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worksheets/sheet28.xml" ContentType="application/vnd.openxmlformats-officedocument.spreadsheetml.worksheet+xml"/>
  <Override PartName="/xl/worksheets/sheet27.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styles.xml" ContentType="application/vnd.openxmlformats-officedocument.spreadsheetml.styles+xml"/>
  <Override PartName="/xl/tables/table35.xml" ContentType="application/vnd.openxmlformats-officedocument.spreadsheetml.table+xml"/>
  <Override PartName="/xl/comments10.xml" ContentType="application/vnd.openxmlformats-officedocument.spreadsheetml.comments+xml"/>
  <Override PartName="/xl/tables/table33.xml" ContentType="application/vnd.openxmlformats-officedocument.spreadsheetml.table+xml"/>
  <Override PartName="/xl/comments9.xml" ContentType="application/vnd.openxmlformats-officedocument.spreadsheetml.comments+xml"/>
  <Override PartName="/xl/tables/table34.xml" ContentType="application/vnd.openxmlformats-officedocument.spreadsheetml.table+xml"/>
  <Override PartName="/xl/pivotCache/pivotCacheDefinition1.xml" ContentType="application/vnd.openxmlformats-officedocument.spreadsheetml.pivotCacheDefinition+xml"/>
  <Override PartName="/xl/tables/table36.xml" ContentType="application/vnd.openxmlformats-officedocument.spreadsheetml.table+xml"/>
  <Override PartName="/xl/pivotCache/pivotCacheRecords1.xml" ContentType="application/vnd.openxmlformats-officedocument.spreadsheetml.pivotCacheRecords+xml"/>
  <Override PartName="/xl/externalLinks/externalLink1.xml" ContentType="application/vnd.openxmlformats-officedocument.spreadsheetml.externalLink+xml"/>
  <Override PartName="/xl/calcChain.xml" ContentType="application/vnd.openxmlformats-officedocument.spreadsheetml.calcChain+xml"/>
  <Override PartName="/xl/tables/table37.xml" ContentType="application/vnd.openxmlformats-officedocument.spreadsheetml.table+xml"/>
  <Override PartName="/xl/tables/table38.xml" ContentType="application/vnd.openxmlformats-officedocument.spreadsheetml.table+xml"/>
  <Override PartName="/xl/tables/table11.xml" ContentType="application/vnd.openxmlformats-officedocument.spreadsheetml.table+xml"/>
  <Override PartName="/xl/tables/table10.xml" ContentType="application/vnd.openxmlformats-officedocument.spreadsheetml.table+xml"/>
  <Override PartName="/xl/tables/table9.xml" ContentType="application/vnd.openxmlformats-officedocument.spreadsheetml.table+xml"/>
  <Override PartName="/xl/tables/table8.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8.xml" ContentType="application/vnd.openxmlformats-officedocument.spreadsheetml.table+xml"/>
  <Override PartName="/xl/tables/table17.xml" ContentType="application/vnd.openxmlformats-officedocument.spreadsheetml.table+xml"/>
  <Override PartName="/xl/tables/table16.xml" ContentType="application/vnd.openxmlformats-officedocument.spreadsheetml.table+xml"/>
  <Override PartName="/xl/tables/table15.xml" ContentType="application/vnd.openxmlformats-officedocument.spreadsheetml.table+xml"/>
  <Override PartName="/xl/tables/table7.xml" ContentType="application/vnd.openxmlformats-officedocument.spreadsheetml.table+xml"/>
  <Override PartName="/xl/tables/table2.xml" ContentType="application/vnd.openxmlformats-officedocument.spreadsheetml.table+xml"/>
  <Override PartName="/xl/comments3.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omments4.xml" ContentType="application/vnd.openxmlformats-officedocument.spreadsheetml.comments+xml"/>
  <Override PartName="/xl/tables/table6.xml" ContentType="application/vnd.openxmlformats-officedocument.spreadsheetml.table+xml"/>
  <Override PartName="/xl/tables/table5.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7.xml" ContentType="application/vnd.openxmlformats-officedocument.spreadsheetml.comments+xml"/>
  <Override PartName="/xl/comments6.xml" ContentType="application/vnd.openxmlformats-officedocument.spreadsheetml.comments+xml"/>
  <Override PartName="/xl/tables/table1.xml" ContentType="application/vnd.openxmlformats-officedocument.spreadsheetml.table+xml"/>
  <Override PartName="/xl/tables/table32.xml" ContentType="application/vnd.openxmlformats-officedocument.spreadsheetml.table+xml"/>
  <Override PartName="/xl/comments8.xml" ContentType="application/vnd.openxmlformats-officedocument.spreadsheetml.comments+xml"/>
  <Override PartName="/xl/comments1.xml" ContentType="application/vnd.openxmlformats-officedocument.spreadsheetml.comments+xml"/>
  <Override PartName="/xl/comments5.xml" ContentType="application/vnd.openxmlformats-officedocument.spreadsheetml.comments+xml"/>
  <Override PartName="/xl/tables/table25.xml" ContentType="application/vnd.openxmlformats-officedocument.spreadsheetml.table+xml"/>
  <Override PartName="/xl/tables/table24.xml" ContentType="application/vnd.openxmlformats-officedocument.spreadsheetml.table+xml"/>
  <Override PartName="/xl/tables/table23.xml" ContentType="application/vnd.openxmlformats-officedocument.spreadsheetml.table+xml"/>
  <Override PartName="/xl/tables/table22.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codeName="ThisWorkbook" hidePivotFieldList="1"/>
  <mc:AlternateContent xmlns:mc="http://schemas.openxmlformats.org/markup-compatibility/2006">
    <mc:Choice Requires="x15">
      <x15ac:absPath xmlns:x15ac="http://schemas.microsoft.com/office/spreadsheetml/2010/11/ac" url="\\WFSMNSV2NSF24\C_IND_Users\U608394\My Documents\SJC\HoraGanaka-master\"/>
    </mc:Choice>
  </mc:AlternateContent>
  <xr:revisionPtr revIDLastSave="0" documentId="13_ncr:1000001_{10D0310C-A75C-334A-96F0-3E26882A2C47}" xr6:coauthVersionLast="32" xr6:coauthVersionMax="32" xr10:uidLastSave="{00000000-0000-0000-0000-000000000000}"/>
  <bookViews>
    <workbookView xWindow="0" yWindow="0" windowWidth="16380" windowHeight="5310" tabRatio="864" activeTab="4" xr2:uid="{00000000-000D-0000-FFFF-FFFF00000000}"/>
  </bookViews>
  <sheets>
    <sheet name="JHora" sheetId="1" r:id="rId1"/>
    <sheet name="Basics" sheetId="2" r:id="rId2"/>
    <sheet name="Charts" sheetId="29" r:id="rId3"/>
    <sheet name="Ayush" sheetId="33" r:id="rId4"/>
    <sheet name="Shadbala" sheetId="24" r:id="rId5"/>
    <sheet name="Vimshottari" sheetId="4" r:id="rId6"/>
    <sheet name="Vimshottari@Date" sheetId="3" r:id="rId7"/>
    <sheet name="Udu" sheetId="5" r:id="rId8"/>
    <sheet name="KalaChakra Dasa" sheetId="32" r:id="rId9"/>
    <sheet name="Ashtakavarga" sheetId="20" r:id="rId10"/>
    <sheet name="DATA" sheetId="14" r:id="rId11"/>
    <sheet name="Tattva" sheetId="6" r:id="rId12"/>
    <sheet name="NarayanaDasa" sheetId="19" r:id="rId13"/>
    <sheet name="Sp.Nakshatra" sheetId="8" r:id="rId14"/>
    <sheet name="Sahamas" sheetId="9" r:id="rId15"/>
    <sheet name="NavaTara" sheetId="10" r:id="rId16"/>
    <sheet name="Sarvotabhadra" sheetId="11" r:id="rId17"/>
    <sheet name="Shata Patha Chakra" sheetId="18" r:id="rId18"/>
    <sheet name="Kalachakra" sheetId="12" r:id="rId19"/>
    <sheet name="Lagna" sheetId="13" r:id="rId20"/>
    <sheet name="MatchMaking" sheetId="23" r:id="rId21"/>
    <sheet name="Murhurtha Rulers" sheetId="16" r:id="rId22"/>
    <sheet name="Navanayaka" sheetId="26" r:id="rId23"/>
    <sheet name="Progressions" sheetId="21" r:id="rId24"/>
    <sheet name="WorkSheet" sheetId="15" r:id="rId25"/>
    <sheet name="Rudra" sheetId="27" r:id="rId26"/>
    <sheet name="PanchaPakshi" sheetId="31" r:id="rId27"/>
    <sheet name="RashiNxPada" sheetId="28" r:id="rId28"/>
  </sheets>
  <externalReferences>
    <externalReference r:id="rId29"/>
  </externalReferences>
  <definedNames>
    <definedName name="_xlnm._FilterDatabase" localSheetId="9" hidden="1">Ashtakavarga!$A$14:$V$280</definedName>
    <definedName name="_xlnm._FilterDatabase" localSheetId="10" hidden="1">DATA!$A$599:$F$659</definedName>
    <definedName name="_xlnm._FilterDatabase" localSheetId="0" hidden="1">JHora!$A$1:$C$109</definedName>
    <definedName name="_xlnm._FilterDatabase" localSheetId="14" hidden="1">Sahamas!$A$1:$L$58</definedName>
    <definedName name="_xlnm._FilterDatabase" localSheetId="6" hidden="1">'Vimshottari@Date'!$A$10:$K$330</definedName>
    <definedName name="_ftn1" localSheetId="10">DATA!$S$46</definedName>
    <definedName name="_ftn2" localSheetId="10">DATA!$S$47</definedName>
    <definedName name="_ftn3" localSheetId="10">DATA!$S$48</definedName>
    <definedName name="_ftn4" localSheetId="10">DATA!$S$49</definedName>
    <definedName name="_ftnref1" localSheetId="10">DATA!$S$34</definedName>
    <definedName name="_ftnref2" localSheetId="10">DATA!$U$38</definedName>
    <definedName name="_ftnref3" localSheetId="10">DATA!$U$39</definedName>
    <definedName name="_ftnref4" localSheetId="10">DATA!$S$42</definedName>
    <definedName name="Age">Progressions!$B$4</definedName>
    <definedName name="Ahargana">DATA!$C$29</definedName>
    <definedName name="AharganaBase">DATA!$B$29</definedName>
    <definedName name="AharganaBaseDate">DATA!$B$29</definedName>
    <definedName name="AllPAV">Ashtakavarga!$A$151:$R$262</definedName>
    <definedName name="antartattva">#N/A</definedName>
    <definedName name="AshtottariDasa">#N/A</definedName>
    <definedName name="AshtottariNaxRulers">DATA!$K$215:$K$242</definedName>
    <definedName name="AshtottariNaxYears">DATA!$L$215:$L$242</definedName>
    <definedName name="AshtStarDeg">#N/A</definedName>
    <definedName name="Avastha">#N/A</definedName>
    <definedName name="Balance1">Vimshottari!$B$237</definedName>
    <definedName name="BAV">Ashtakavarga!$B$16:$P$24</definedName>
    <definedName name="BhavaCusp">Sahamas!#REF!</definedName>
    <definedName name="BhavaInfo">DATA!$A$31:$D$44</definedName>
    <definedName name="BorderDegrees">DATA!$A$821:$B$858</definedName>
    <definedName name="Chart">Basics!$A$58:$M$67</definedName>
    <definedName name="ChartInfo">Basics!$A$7:$K$50</definedName>
    <definedName name="D150EnglishNames">DATA!$V$215:$V$364</definedName>
    <definedName name="D150InequalDegrees">DATA!$W$215:$W$364</definedName>
    <definedName name="D20Deities">DATA!$B$215:$C$254</definedName>
    <definedName name="D24Deities">DATA!$AF$214:$AF$226</definedName>
    <definedName name="D27Deities">DATA!$D$215:$E$241</definedName>
    <definedName name="D60Dieties">DATA!$X$214:$AA$274</definedName>
    <definedName name="DasaSpans">Udu!$C$30:$AW$58</definedName>
    <definedName name="DasaYears">Vimshottari!$A$2:$C$10</definedName>
    <definedName name="Date">Basics!$G$2</definedName>
    <definedName name="DayBirth">Basics!$B$53</definedName>
    <definedName name="DaysInYear">Basics!$B$3</definedName>
    <definedName name="DinaMaana">Basics!$D$48</definedName>
    <definedName name="DivCharts">NarayanaDasa!$A$18:$Q$30</definedName>
    <definedName name="DoB">Basics!$E$2</definedName>
    <definedName name="DTattvaUnit">Tattva!$I$5</definedName>
    <definedName name="Excel_BuiltIn__FilterDatabase_11">Basics!$A$50:$IU$50</definedName>
    <definedName name="Excel_BuiltIn__FilterDatabase_2">"$#REF!.$A$99:$M$179"</definedName>
    <definedName name="Excel_BuiltIn__FilterDatabase_4">"$#REF!.$A$1:$P$62"</definedName>
    <definedName name="Excel_BuiltIn__FilterDatabase_5">"$#REF!.$A$9:$S$19"</definedName>
    <definedName name="Excel_BuiltIn__FilterDatabase_9">"$#REF!.$A$1:$D$30"</definedName>
    <definedName name="FinancialRelations">DATA!$A$520:$E$529</definedName>
    <definedName name="FirstDasaYrs1">Vimshottari!$E$236</definedName>
    <definedName name="FourthLord">Sahamas!$D$5</definedName>
    <definedName name="GhatakaChakra">DATA!$A$369:$H$382</definedName>
    <definedName name="GowriPanchanga">DATA!$A$673:$J$687</definedName>
    <definedName name="GrahaOrder">DATA!$A$484:$A$492</definedName>
    <definedName name="GrahaShayanadiGunanka">DATA!$R$3:$R$11</definedName>
    <definedName name="GrahaWeekdayOrder">DATA!$Q$3:$Q$11</definedName>
    <definedName name="Gunachakra">DATA!$A$661:$F$670</definedName>
    <definedName name="HindiName">#N/A</definedName>
    <definedName name="Hora">'Murhurtha Rulers'!$I$16</definedName>
    <definedName name="HoraLagna">Basics!$G$20</definedName>
    <definedName name="JanmaGhatika">Basics!$D$50</definedName>
    <definedName name="JupDeb">DATA!$J$7</definedName>
    <definedName name="JupEx">DATA!$H$7</definedName>
    <definedName name="Jupiter">Basics!$G$12</definedName>
    <definedName name="JupiterHouse">Ashtakavarga!$C$8</definedName>
    <definedName name="Kalachakra">'KalaChakra Dasa'!$A$1:$H$25</definedName>
    <definedName name="KalachakraTbl">KC[]</definedName>
    <definedName name="Ketu">Basics!$G$16</definedName>
    <definedName name="KetuDeb">DATA!$J$11</definedName>
    <definedName name="KetuEx">DATA!$H$11</definedName>
    <definedName name="Lagna">Basics!$G$7</definedName>
    <definedName name="Lagnahouse">Ashtakavarga!$C$11</definedName>
    <definedName name="LagnaLord">Sahamas!$D$2</definedName>
    <definedName name="LagnaLordD">Sahamas!$H$2</definedName>
    <definedName name="LL">Sahamas!$H$2</definedName>
    <definedName name="Lord2h">Sahamas!$F$1</definedName>
    <definedName name="LordsInHouses">DATA!$A$861:$N$874</definedName>
    <definedName name="MahaDasaTable">Udu!$A$65:$G$95</definedName>
    <definedName name="Mandi">DATA!$A$507:$C$515</definedName>
    <definedName name="Mars">Basics!$G$10</definedName>
    <definedName name="MarsDeb">DATA!$J$5</definedName>
    <definedName name="MarsEx">DATA!$H$5</definedName>
    <definedName name="MarsHouse">Ashtakavarga!$C$6</definedName>
    <definedName name="MercDeb">DATA!$J$6</definedName>
    <definedName name="MercEx">DATA!$H$6</definedName>
    <definedName name="Mercury">Basics!$G$11</definedName>
    <definedName name="MercuryHouse">Ashtakavarga!$C$7</definedName>
    <definedName name="Moon">Basics!$G$9</definedName>
    <definedName name="MoonDeb">DATA!$J$4</definedName>
    <definedName name="MoonDeg">Basics!$G$9</definedName>
    <definedName name="MoonEx">DATA!$H$4</definedName>
    <definedName name="MoonHouse">Ashtakavarga!$C$5</definedName>
    <definedName name="MoonPeriod">DATA!$L$4</definedName>
    <definedName name="NakshatraInfo">DATA!$48:$75</definedName>
    <definedName name="NakshatraSpan">Udu!$C$30:$C$58</definedName>
    <definedName name="NakshatraTbl">DATA!$B$48:$AF$75</definedName>
    <definedName name="NaxDeg28">DATA!$N$215:$N$242</definedName>
    <definedName name="NaxNames28">DATA!$M$215:$M$242</definedName>
    <definedName name="NDasaC">NarayanaDasa!$C$3:$E$14</definedName>
    <definedName name="NDasaSeq">NarayanaDasa!$B$3:$S$14</definedName>
    <definedName name="NDDaysInYEar">NarayanaDasa!$D$16</definedName>
    <definedName name="NDDoB">NarayanaDasa!$C$16</definedName>
    <definedName name="NDTable">NarayanaDasa!$A$2:$T$14</definedName>
    <definedName name="Pachakaadi">DATA!$A$553:$I$561</definedName>
    <definedName name="palbhaa">Lagna!$J$3</definedName>
    <definedName name="PanchangaVaara">Basics!$B$46</definedName>
    <definedName name="PanchangaYoga">DATA!$A$99:$B$125</definedName>
    <definedName name="PlanetData">DATA!$2:$11</definedName>
    <definedName name="PlanetDataSeq">Vimshottari!$A$1:$A$10</definedName>
    <definedName name="_xlnm.Print_Area" localSheetId="1">Basics!$A$1:$AC$53</definedName>
    <definedName name="PunyaSaham">Sahamas!$I$14</definedName>
    <definedName name="PushyaDegree">DATA!$U$55</definedName>
    <definedName name="RaashiMaan2">Lagna!$K$10</definedName>
    <definedName name="RaashiMaana">Lagna!$G$16:$J$29</definedName>
    <definedName name="RaashiMaana1">Lagna!$K$9</definedName>
    <definedName name="Raashimaana3">Lagna!$K$11</definedName>
    <definedName name="Rahu">Basics!$G$15</definedName>
    <definedName name="RahuDeb">DATA!$J$10</definedName>
    <definedName name="RahuEx">DATA!$H$10</definedName>
    <definedName name="RahuHouse">Ashtakavarga!$C$12</definedName>
    <definedName name="RasiDeg">DATA!$B$16:$C$27</definedName>
    <definedName name="RasiInfo">DATA!$A$16:$J$27</definedName>
    <definedName name="RasiNarayan">NarayanaDasa!$A$39:$E$63</definedName>
    <definedName name="RasiTbl">"$#REF!.$A$42:$A$53"</definedName>
    <definedName name="RasiTbl_11">DATA!$A$16:$A$27</definedName>
    <definedName name="RasiTbl_3">DATA!$A$16:$A$27</definedName>
    <definedName name="RatriMaana">Basics!$D$49</definedName>
    <definedName name="RsInfo">DATA!$B$15:$J$27</definedName>
    <definedName name="RsTbl">DATA!$B$16:$B$27</definedName>
    <definedName name="SamvatsaraTable">DATA!$A$599:$F$659</definedName>
    <definedName name="SatDeb">DATA!$J$9</definedName>
    <definedName name="SatEx">DATA!$H$9</definedName>
    <definedName name="Saturn">Basics!$G$14</definedName>
    <definedName name="SaturnHouse">Ashtakavarga!$C$10</definedName>
    <definedName name="SecondLord">Sahamas!$D$3</definedName>
    <definedName name="ShayanaadiAvastha">DATA!$O$215:$O$226</definedName>
    <definedName name="ShodhanaMinimum">Ashtakavarga!$P$40</definedName>
    <definedName name="SignSym">NarayanaDasa!$C$3:$C$14</definedName>
    <definedName name="StarDeg">DATA!$F$46</definedName>
    <definedName name="Start1">NarayanaDasa!$C$39</definedName>
    <definedName name="Sun">Basics!$G$8</definedName>
    <definedName name="SunDeb">DATA!$J$3</definedName>
    <definedName name="SunDeg">Basics!$G$8</definedName>
    <definedName name="SunEx">DATA!$H$3</definedName>
    <definedName name="SunHouse">Ashtakavarga!$C$4</definedName>
    <definedName name="SunRise">Basics!$B$44</definedName>
    <definedName name="SunSet">Basics!$B$45</definedName>
    <definedName name="tattvatable">#N/A</definedName>
    <definedName name="Test_10">"$#REF!.$A$2:$J$138"</definedName>
    <definedName name="ThirdLord">Sahamas!$D$4</definedName>
    <definedName name="Tithi">DATA!$B$484:$B$491</definedName>
    <definedName name="ToB">Basics!$H$2</definedName>
    <definedName name="triṁśāṁśa_phala">DATA!$A$706:$F$713</definedName>
    <definedName name="UseRetrograde">#N/A</definedName>
    <definedName name="Vaara">#N/A</definedName>
    <definedName name="VaaraOrder">#N/A</definedName>
    <definedName name="VenuDeb">DATA!$J$8</definedName>
    <definedName name="Venus">Basics!$G$13</definedName>
    <definedName name="VenusEx">DATA!$H$8</definedName>
    <definedName name="VenusHouse">Ashtakavarga!$C$9</definedName>
    <definedName name="VimAD">Vimshottari!$G$20:$I$30</definedName>
    <definedName name="VimAntarDasa">Vimshottari!$G$20:$I$29</definedName>
    <definedName name="VimFactor">Vimshottari!$G$231</definedName>
    <definedName name="VimFrac">DATA!$A$494:$R$504</definedName>
    <definedName name="VimMahaDasa">Vimshottari!$C$20:$E$30</definedName>
    <definedName name="VimMD">Vimshottari!$C$20:$E$30</definedName>
    <definedName name="VimPAD">Vimshottari!$P$20:$R$30</definedName>
    <definedName name="VimPD">Vimshottari!$J$20:$L$30</definedName>
    <definedName name="VimSD">Vimshottari!$M$20:$O$30</definedName>
    <definedName name="Vimshopaaka">DATA!$A$533:$E$549</definedName>
    <definedName name="VimshottariDAP">Vimshottari!$A$64:$G$145</definedName>
    <definedName name="VimshottariDasa">Vimshottari!$A$20:$E$30</definedName>
    <definedName name="VimshottariMD">Vimshottari!$D$21:$E$29</definedName>
    <definedName name="VimTotal">DATA!$B$13</definedName>
    <definedName name="Year">Udu!$A$59</definedName>
    <definedName name="YogiDeg">Basics!$G$37</definedName>
    <definedName name="अकथह">DATA!$A$170:$E$179</definedName>
  </definedNames>
  <calcPr calcId="179016"/>
  <pivotCaches>
    <pivotCache cacheId="0" r:id="rId30"/>
  </pivotCaches>
</workbook>
</file>

<file path=xl/calcChain.xml><?xml version="1.0" encoding="utf-8"?>
<calcChain xmlns="http://schemas.openxmlformats.org/spreadsheetml/2006/main">
  <c r="J3" i="14" l="1"/>
  <c r="J4" i="14"/>
  <c r="J5" i="14"/>
  <c r="J6" i="14"/>
  <c r="J7" i="14"/>
  <c r="J8" i="14"/>
  <c r="J9" i="14"/>
  <c r="J10" i="14"/>
  <c r="P10" i="33"/>
  <c r="P11" i="33"/>
  <c r="N11" i="33"/>
  <c r="A29" i="20"/>
  <c r="A30" i="20"/>
  <c r="A31" i="20"/>
  <c r="A32" i="20"/>
  <c r="A33" i="20"/>
  <c r="A34" i="20"/>
  <c r="A35" i="20"/>
  <c r="A36" i="20"/>
  <c r="A37" i="20"/>
  <c r="A38" i="20"/>
  <c r="A39" i="20"/>
  <c r="C18" i="33"/>
  <c r="C21" i="33"/>
  <c r="B20" i="33"/>
  <c r="C20" i="33"/>
  <c r="B19" i="33"/>
  <c r="C19" i="33"/>
  <c r="H11" i="33"/>
  <c r="H11" i="14"/>
  <c r="J11" i="14"/>
  <c r="I5" i="14"/>
  <c r="E11" i="33"/>
  <c r="E17" i="33"/>
  <c r="E21" i="33"/>
  <c r="E19" i="33"/>
  <c r="E20" i="33"/>
  <c r="E18" i="33"/>
  <c r="F25" i="32"/>
  <c r="F22" i="32"/>
  <c r="F20" i="32"/>
  <c r="F19" i="32"/>
  <c r="F16" i="32"/>
  <c r="F13" i="32"/>
  <c r="F10" i="32"/>
  <c r="F7" i="32"/>
  <c r="F4" i="32"/>
  <c r="F49" i="32"/>
  <c r="F48" i="32"/>
  <c r="F47" i="32"/>
  <c r="F46" i="32"/>
  <c r="F45" i="32"/>
  <c r="F44" i="32"/>
  <c r="F43" i="32"/>
  <c r="F42" i="32"/>
  <c r="F41" i="32"/>
  <c r="F40" i="32"/>
  <c r="F39" i="32"/>
  <c r="F38" i="32"/>
  <c r="F37" i="32"/>
  <c r="F35" i="32"/>
  <c r="F34" i="32"/>
  <c r="F32" i="32"/>
  <c r="F31" i="32"/>
  <c r="F29" i="32"/>
  <c r="F28" i="32"/>
  <c r="F26" i="32"/>
  <c r="F5" i="32"/>
  <c r="F8" i="32"/>
  <c r="F11" i="32"/>
  <c r="F14" i="32"/>
  <c r="F17" i="32"/>
  <c r="F23" i="32"/>
  <c r="F2" i="32"/>
  <c r="J14" i="32"/>
  <c r="O8" i="32"/>
  <c r="O4" i="32"/>
  <c r="O3" i="32"/>
  <c r="J16" i="32"/>
  <c r="M14" i="32"/>
  <c r="L14" i="32"/>
  <c r="K14" i="32"/>
  <c r="J18" i="32"/>
  <c r="C1" i="1"/>
  <c r="B1" i="1"/>
  <c r="A1" i="1"/>
  <c r="X14" i="32"/>
  <c r="V14" i="32"/>
  <c r="T14" i="32"/>
  <c r="R14" i="32"/>
  <c r="P14" i="32"/>
  <c r="W14" i="32"/>
  <c r="U14" i="32"/>
  <c r="S14" i="32"/>
  <c r="Q14" i="32"/>
  <c r="K18" i="32"/>
  <c r="M18" i="32"/>
  <c r="L18" i="32"/>
  <c r="M16" i="32"/>
  <c r="L16" i="32"/>
  <c r="K16" i="32"/>
  <c r="O14" i="32"/>
  <c r="J20" i="32"/>
  <c r="W12" i="13"/>
  <c r="W11" i="13"/>
  <c r="W10" i="13"/>
  <c r="N11" i="13"/>
  <c r="Y15" i="13"/>
  <c r="N10" i="13"/>
  <c r="Y17" i="13"/>
  <c r="N9" i="13"/>
  <c r="Y13" i="13"/>
  <c r="U29" i="13"/>
  <c r="P29" i="13"/>
  <c r="K3" i="13"/>
  <c r="I4" i="13"/>
  <c r="X18" i="32"/>
  <c r="V18" i="32"/>
  <c r="T18" i="32"/>
  <c r="R18" i="32"/>
  <c r="P18" i="32"/>
  <c r="W18" i="32"/>
  <c r="U18" i="32"/>
  <c r="S18" i="32"/>
  <c r="Q18" i="32"/>
  <c r="W16" i="32"/>
  <c r="U16" i="32"/>
  <c r="S16" i="32"/>
  <c r="Q16" i="32"/>
  <c r="X16" i="32"/>
  <c r="V16" i="32"/>
  <c r="T16" i="32"/>
  <c r="R16" i="32"/>
  <c r="P16" i="32"/>
  <c r="O16" i="32"/>
  <c r="N16" i="32"/>
  <c r="N14" i="32"/>
  <c r="M20" i="32"/>
  <c r="L20" i="32"/>
  <c r="K20" i="32"/>
  <c r="J22" i="32"/>
  <c r="Y10" i="13"/>
  <c r="Y12" i="13"/>
  <c r="A89" i="1"/>
  <c r="A43" i="1"/>
  <c r="C94" i="1"/>
  <c r="A46" i="1"/>
  <c r="A11" i="1"/>
  <c r="B6" i="1"/>
  <c r="C68" i="1"/>
  <c r="C71" i="1"/>
  <c r="A71" i="1"/>
  <c r="B23" i="1"/>
  <c r="A85" i="1"/>
  <c r="A5" i="1"/>
  <c r="C60" i="1"/>
  <c r="B30" i="1"/>
  <c r="C63" i="1"/>
  <c r="A12" i="1"/>
  <c r="C32" i="1"/>
  <c r="A67" i="1"/>
  <c r="B19" i="1"/>
  <c r="C29" i="1"/>
  <c r="A75" i="1"/>
  <c r="A109" i="1"/>
  <c r="A84" i="1"/>
  <c r="A91" i="1"/>
  <c r="B95" i="1"/>
  <c r="A95" i="1"/>
  <c r="A79" i="1"/>
  <c r="B52" i="1"/>
  <c r="C42" i="1"/>
  <c r="A28" i="1"/>
  <c r="A64" i="1"/>
  <c r="B81" i="1"/>
  <c r="A97" i="1"/>
  <c r="A60" i="1"/>
  <c r="C16" i="1"/>
  <c r="A13" i="1"/>
  <c r="A52" i="1"/>
  <c r="B44" i="1"/>
  <c r="A24" i="1"/>
  <c r="C14" i="1"/>
  <c r="C11" i="1"/>
  <c r="A16" i="1"/>
  <c r="B97" i="1"/>
  <c r="B4" i="1"/>
  <c r="B35" i="1"/>
  <c r="A92" i="1"/>
  <c r="C98" i="1"/>
  <c r="A20" i="1"/>
  <c r="A107" i="1"/>
  <c r="A81" i="1"/>
  <c r="B11" i="1"/>
  <c r="A41" i="1"/>
  <c r="A4" i="1"/>
  <c r="B41" i="1"/>
  <c r="B72" i="1"/>
  <c r="C37" i="1"/>
  <c r="A57" i="1"/>
  <c r="C80" i="1"/>
  <c r="B83" i="1"/>
  <c r="C51" i="1"/>
  <c r="B87" i="1"/>
  <c r="B10" i="1"/>
  <c r="C57" i="1"/>
  <c r="B33" i="1"/>
  <c r="C107" i="1"/>
  <c r="C15" i="1"/>
  <c r="A99" i="1"/>
  <c r="C17" i="1"/>
  <c r="C21" i="1"/>
  <c r="A2" i="1"/>
  <c r="C99" i="1"/>
  <c r="A39" i="1"/>
  <c r="A74" i="1"/>
  <c r="B15" i="1"/>
  <c r="B108" i="1"/>
  <c r="B82" i="1"/>
  <c r="B104" i="1"/>
  <c r="A61" i="1"/>
  <c r="C44" i="1"/>
  <c r="B28" i="1"/>
  <c r="B34" i="1"/>
  <c r="B54" i="1"/>
  <c r="B77" i="1"/>
  <c r="A53" i="1"/>
  <c r="C24" i="1"/>
  <c r="B74" i="1"/>
  <c r="A31" i="1"/>
  <c r="B101" i="1"/>
  <c r="B94" i="1"/>
  <c r="C40" i="1"/>
  <c r="B51" i="1"/>
  <c r="A51" i="1"/>
  <c r="A22" i="1"/>
  <c r="A21" i="1"/>
  <c r="A82" i="1"/>
  <c r="A6" i="1"/>
  <c r="C104" i="1"/>
  <c r="C41" i="1"/>
  <c r="B43" i="1"/>
  <c r="C70" i="1"/>
  <c r="A58" i="1"/>
  <c r="A23" i="1"/>
  <c r="C83" i="1"/>
  <c r="C100" i="1"/>
  <c r="A33" i="1"/>
  <c r="A94" i="1"/>
  <c r="C89" i="1"/>
  <c r="B55" i="1"/>
  <c r="C36" i="1"/>
  <c r="C26" i="1"/>
  <c r="C10" i="1"/>
  <c r="C35" i="1"/>
  <c r="C93" i="1"/>
  <c r="B14" i="1"/>
  <c r="A55" i="1"/>
  <c r="A106" i="1"/>
  <c r="B45" i="1"/>
  <c r="C27" i="1"/>
  <c r="B96" i="1"/>
  <c r="B24" i="1"/>
  <c r="B109" i="1"/>
  <c r="C12" i="1"/>
  <c r="A78" i="1"/>
  <c r="B88" i="1"/>
  <c r="C62" i="1"/>
  <c r="A87" i="1"/>
  <c r="B37" i="1"/>
  <c r="B76" i="1"/>
  <c r="C9" i="1"/>
  <c r="C67" i="1"/>
  <c r="C23" i="1"/>
  <c r="A96" i="1"/>
  <c r="B61" i="1"/>
  <c r="B92" i="1"/>
  <c r="C52" i="1"/>
  <c r="C20" i="1"/>
  <c r="A54" i="1"/>
  <c r="A88" i="1"/>
  <c r="A48" i="1"/>
  <c r="C95" i="1"/>
  <c r="C64" i="1"/>
  <c r="B36" i="1"/>
  <c r="A32" i="1"/>
  <c r="C82" i="1"/>
  <c r="C47" i="1"/>
  <c r="B31" i="1"/>
  <c r="C7" i="1"/>
  <c r="A37" i="1"/>
  <c r="B50" i="1"/>
  <c r="B75" i="1"/>
  <c r="C65" i="1"/>
  <c r="B70" i="1"/>
  <c r="B93" i="1"/>
  <c r="A86" i="1"/>
  <c r="A49" i="1"/>
  <c r="C54" i="1"/>
  <c r="B21" i="1"/>
  <c r="B62" i="1"/>
  <c r="B78" i="1"/>
  <c r="C6" i="1"/>
  <c r="C90" i="1"/>
  <c r="C102" i="1"/>
  <c r="B18" i="1"/>
  <c r="C109" i="1"/>
  <c r="C58" i="1"/>
  <c r="A26" i="1"/>
  <c r="C5" i="1"/>
  <c r="A18" i="1"/>
  <c r="B16" i="1"/>
  <c r="C96" i="1"/>
  <c r="A27" i="1"/>
  <c r="B68" i="1"/>
  <c r="C33" i="1"/>
  <c r="A63" i="1"/>
  <c r="B86" i="1"/>
  <c r="C84" i="1"/>
  <c r="C50" i="1"/>
  <c r="C46" i="1"/>
  <c r="B106" i="1"/>
  <c r="A59" i="1"/>
  <c r="B80" i="1"/>
  <c r="C55" i="1"/>
  <c r="A104" i="1"/>
  <c r="A100" i="1"/>
  <c r="B39" i="1"/>
  <c r="C61" i="1"/>
  <c r="C59" i="1"/>
  <c r="A62" i="1"/>
  <c r="B27" i="1"/>
  <c r="C66" i="1"/>
  <c r="A42" i="1"/>
  <c r="B57" i="1"/>
  <c r="C48" i="1"/>
  <c r="C30" i="1"/>
  <c r="B85" i="1"/>
  <c r="A38" i="1"/>
  <c r="B22" i="1"/>
  <c r="C105" i="1"/>
  <c r="C28" i="1"/>
  <c r="B67" i="1"/>
  <c r="B5" i="1"/>
  <c r="C74" i="1"/>
  <c r="C92" i="1"/>
  <c r="C76" i="1"/>
  <c r="C3" i="1"/>
  <c r="A15" i="1"/>
  <c r="A50" i="1"/>
  <c r="A45" i="1"/>
  <c r="C79" i="1"/>
  <c r="A103" i="1"/>
  <c r="A8" i="1"/>
  <c r="C31" i="1"/>
  <c r="A35" i="1"/>
  <c r="B8" i="1"/>
  <c r="B107" i="1"/>
  <c r="C13" i="1"/>
  <c r="C106" i="1"/>
  <c r="A7" i="1"/>
  <c r="B26" i="1"/>
  <c r="C34" i="1"/>
  <c r="B102" i="1"/>
  <c r="B9" i="1"/>
  <c r="B63" i="1"/>
  <c r="C97" i="1"/>
  <c r="B99" i="1"/>
  <c r="C19" i="1"/>
  <c r="B29" i="1"/>
  <c r="C101" i="1"/>
  <c r="B84" i="1"/>
  <c r="A40" i="1"/>
  <c r="B66" i="1"/>
  <c r="B58" i="1"/>
  <c r="A76" i="1"/>
  <c r="C85" i="1"/>
  <c r="B105" i="1"/>
  <c r="C8" i="1"/>
  <c r="B89" i="1"/>
  <c r="C38" i="1"/>
  <c r="B56" i="1"/>
  <c r="B98" i="1"/>
  <c r="C88" i="1"/>
  <c r="A77" i="1"/>
  <c r="A108" i="1"/>
  <c r="B3" i="1"/>
  <c r="C4" i="1"/>
  <c r="A105" i="1"/>
  <c r="C86" i="1"/>
  <c r="B38" i="1"/>
  <c r="A68" i="1"/>
  <c r="B91" i="1"/>
  <c r="B59" i="1"/>
  <c r="B17" i="1"/>
  <c r="C22" i="1"/>
  <c r="C108" i="1"/>
  <c r="A25" i="1"/>
  <c r="B42" i="1"/>
  <c r="A34" i="1"/>
  <c r="C81" i="1"/>
  <c r="B103" i="1"/>
  <c r="A10" i="1"/>
  <c r="C75" i="1"/>
  <c r="A65" i="1"/>
  <c r="B71" i="1"/>
  <c r="C56" i="1"/>
  <c r="B20" i="1"/>
  <c r="A72" i="1"/>
  <c r="A29" i="1"/>
  <c r="B13" i="1"/>
  <c r="A90" i="1"/>
  <c r="C39" i="1"/>
  <c r="C87" i="1"/>
  <c r="B2" i="1"/>
  <c r="B73" i="1"/>
  <c r="A101" i="1"/>
  <c r="C78" i="1"/>
  <c r="C25" i="1"/>
  <c r="A80" i="1"/>
  <c r="B47" i="1"/>
  <c r="A47" i="1"/>
  <c r="B69" i="1"/>
  <c r="C49" i="1"/>
  <c r="B32" i="1"/>
  <c r="B60" i="1"/>
  <c r="B79" i="1"/>
  <c r="C91" i="1"/>
  <c r="B46" i="1"/>
  <c r="B53" i="1"/>
  <c r="A19" i="1"/>
  <c r="C69" i="1"/>
  <c r="B25" i="1"/>
  <c r="C43" i="1"/>
  <c r="C18" i="1"/>
  <c r="C77" i="1"/>
  <c r="A9" i="1"/>
  <c r="B64" i="1"/>
  <c r="C53" i="1"/>
  <c r="A66" i="1"/>
  <c r="A44" i="1"/>
  <c r="B7" i="1"/>
  <c r="B65" i="1"/>
  <c r="B100" i="1"/>
  <c r="C72" i="1"/>
  <c r="A14" i="1"/>
  <c r="B12" i="1"/>
  <c r="A102" i="1"/>
  <c r="C103" i="1"/>
  <c r="A56" i="1"/>
  <c r="B90" i="1"/>
  <c r="A98" i="1"/>
  <c r="C73" i="1"/>
  <c r="A93" i="1"/>
  <c r="A17" i="1"/>
  <c r="A30" i="1"/>
  <c r="A73" i="1"/>
  <c r="A70" i="1"/>
  <c r="C45" i="1"/>
  <c r="B49" i="1"/>
  <c r="A69" i="1"/>
  <c r="B40" i="1"/>
  <c r="A83" i="1"/>
  <c r="C2" i="1"/>
  <c r="A36" i="1"/>
  <c r="B48" i="1"/>
  <c r="Y16" i="13"/>
  <c r="Y18" i="13"/>
  <c r="Y14" i="13"/>
  <c r="Y11" i="13"/>
  <c r="U17" i="13"/>
  <c r="U18" i="13"/>
  <c r="U19" i="13"/>
  <c r="U20" i="13"/>
  <c r="U21" i="13"/>
  <c r="U22" i="13"/>
  <c r="U23" i="13"/>
  <c r="U24" i="13"/>
  <c r="U25" i="13"/>
  <c r="U26" i="13"/>
  <c r="U27" i="13"/>
  <c r="U28" i="13"/>
  <c r="T30" i="13"/>
  <c r="M30" i="13"/>
  <c r="O18" i="32"/>
  <c r="N18" i="32"/>
  <c r="K22" i="32"/>
  <c r="M22" i="32"/>
  <c r="L22" i="32"/>
  <c r="O20" i="32"/>
  <c r="N20" i="32"/>
  <c r="J24" i="32"/>
  <c r="U30" i="13"/>
  <c r="M24" i="32"/>
  <c r="L24" i="32"/>
  <c r="K24" i="32"/>
  <c r="O22" i="32"/>
  <c r="N22" i="32"/>
  <c r="J26" i="32"/>
  <c r="R19" i="13"/>
  <c r="S19" i="13"/>
  <c r="R18" i="13"/>
  <c r="S18" i="13"/>
  <c r="R17" i="13"/>
  <c r="Q22" i="13"/>
  <c r="R22" i="13"/>
  <c r="S22" i="13"/>
  <c r="Q21" i="13"/>
  <c r="Q24" i="13"/>
  <c r="Q20" i="13"/>
  <c r="Q25" i="13"/>
  <c r="Q26" i="13"/>
  <c r="R26" i="13"/>
  <c r="S26" i="13"/>
  <c r="M11" i="13"/>
  <c r="M10" i="13"/>
  <c r="M9" i="13"/>
  <c r="K26" i="32"/>
  <c r="M26" i="32"/>
  <c r="L26" i="32"/>
  <c r="J28" i="32"/>
  <c r="O24" i="32"/>
  <c r="R20" i="13"/>
  <c r="S20" i="13"/>
  <c r="S17" i="13"/>
  <c r="R25" i="13"/>
  <c r="S25" i="13"/>
  <c r="R24" i="13"/>
  <c r="S24" i="13"/>
  <c r="Q27" i="13"/>
  <c r="R27" i="13"/>
  <c r="S27" i="13"/>
  <c r="R21" i="13"/>
  <c r="S21" i="13"/>
  <c r="Q23" i="13"/>
  <c r="R23" i="13"/>
  <c r="S23" i="13"/>
  <c r="N28" i="13"/>
  <c r="O28" i="13"/>
  <c r="N27" i="13"/>
  <c r="O27" i="13"/>
  <c r="N26" i="13"/>
  <c r="O26" i="13"/>
  <c r="N25" i="13"/>
  <c r="O25" i="13"/>
  <c r="N24" i="13"/>
  <c r="O24" i="13"/>
  <c r="N23" i="13"/>
  <c r="O23" i="13"/>
  <c r="N22" i="13"/>
  <c r="O22" i="13"/>
  <c r="N21" i="13"/>
  <c r="O21" i="13"/>
  <c r="N20" i="13"/>
  <c r="O20" i="13"/>
  <c r="N19" i="13"/>
  <c r="O19" i="13"/>
  <c r="N18" i="13"/>
  <c r="O18" i="13"/>
  <c r="N17" i="13"/>
  <c r="O26" i="32"/>
  <c r="N26" i="32"/>
  <c r="N24" i="32"/>
  <c r="M28" i="32"/>
  <c r="L28" i="32"/>
  <c r="K28" i="32"/>
  <c r="J30" i="32"/>
  <c r="N30" i="13"/>
  <c r="Q28" i="13"/>
  <c r="R28" i="13"/>
  <c r="S28" i="13"/>
  <c r="S30" i="13"/>
  <c r="O17" i="13"/>
  <c r="O30" i="13"/>
  <c r="D24" i="5"/>
  <c r="D21" i="5"/>
  <c r="D19" i="5"/>
  <c r="D17" i="5"/>
  <c r="D15" i="5"/>
  <c r="D13" i="5"/>
  <c r="D11" i="5"/>
  <c r="D9" i="5"/>
  <c r="D7" i="5"/>
  <c r="D5" i="5"/>
  <c r="D3" i="5"/>
  <c r="I52" i="9"/>
  <c r="I53" i="9"/>
  <c r="L53" i="9"/>
  <c r="I54" i="9"/>
  <c r="J54" i="9"/>
  <c r="I55" i="9"/>
  <c r="J55" i="9"/>
  <c r="I56" i="9"/>
  <c r="J56" i="9"/>
  <c r="I57" i="9"/>
  <c r="I58" i="9"/>
  <c r="J58" i="9"/>
  <c r="L3" i="4"/>
  <c r="L4" i="4"/>
  <c r="L5" i="4"/>
  <c r="L6" i="4"/>
  <c r="L7" i="4"/>
  <c r="L8" i="4"/>
  <c r="L9" i="4"/>
  <c r="L10" i="4"/>
  <c r="L2" i="4"/>
  <c r="G12" i="4"/>
  <c r="I3" i="4"/>
  <c r="J3" i="4"/>
  <c r="K3" i="4"/>
  <c r="I4" i="4"/>
  <c r="J4" i="4"/>
  <c r="K4" i="4"/>
  <c r="I5" i="4"/>
  <c r="J5" i="4"/>
  <c r="K5" i="4"/>
  <c r="I6" i="4"/>
  <c r="J6" i="4"/>
  <c r="K6" i="4"/>
  <c r="I7" i="4"/>
  <c r="J7" i="4"/>
  <c r="K7" i="4"/>
  <c r="I8" i="4"/>
  <c r="J8" i="4"/>
  <c r="K8" i="4"/>
  <c r="I9" i="4"/>
  <c r="J9" i="4"/>
  <c r="K9" i="4"/>
  <c r="I10" i="4"/>
  <c r="J10" i="4"/>
  <c r="K10" i="4"/>
  <c r="J2" i="4"/>
  <c r="K2" i="4"/>
  <c r="I2" i="4"/>
  <c r="Q3" i="31"/>
  <c r="C3" i="31"/>
  <c r="F1" i="31"/>
  <c r="I1" i="31"/>
  <c r="B39" i="31"/>
  <c r="B40" i="31"/>
  <c r="B42" i="31"/>
  <c r="B43" i="31"/>
  <c r="A771" i="14"/>
  <c r="A772" i="14"/>
  <c r="A773" i="14"/>
  <c r="A774" i="14"/>
  <c r="A775" i="14"/>
  <c r="A776" i="14"/>
  <c r="A777" i="14"/>
  <c r="A778" i="14"/>
  <c r="A779" i="14"/>
  <c r="A780" i="14"/>
  <c r="A781" i="14"/>
  <c r="A782" i="14"/>
  <c r="A783" i="14"/>
  <c r="A784" i="14"/>
  <c r="A785" i="14"/>
  <c r="A786" i="14"/>
  <c r="A787" i="14"/>
  <c r="A788" i="14"/>
  <c r="A789" i="14"/>
  <c r="A790" i="14"/>
  <c r="A791" i="14"/>
  <c r="A792" i="14"/>
  <c r="A793" i="14"/>
  <c r="A794" i="14"/>
  <c r="A795" i="14"/>
  <c r="A796" i="14"/>
  <c r="A797" i="14"/>
  <c r="A798" i="14"/>
  <c r="A799" i="14"/>
  <c r="A800" i="14"/>
  <c r="A801" i="14"/>
  <c r="A802" i="14"/>
  <c r="A803" i="14"/>
  <c r="A804" i="14"/>
  <c r="A805" i="14"/>
  <c r="A806" i="14"/>
  <c r="A807" i="14"/>
  <c r="A808" i="14"/>
  <c r="A809" i="14"/>
  <c r="A810" i="14"/>
  <c r="A811" i="14"/>
  <c r="A812" i="14"/>
  <c r="A813" i="14"/>
  <c r="A814" i="14"/>
  <c r="A815" i="14"/>
  <c r="A816" i="14"/>
  <c r="A817" i="14"/>
  <c r="A818" i="14"/>
  <c r="G534" i="14"/>
  <c r="G535" i="14"/>
  <c r="G536" i="14"/>
  <c r="G537" i="14"/>
  <c r="G538" i="14"/>
  <c r="G539" i="14"/>
  <c r="G540" i="14"/>
  <c r="G541" i="14"/>
  <c r="G542" i="14"/>
  <c r="G543" i="14"/>
  <c r="G544" i="14"/>
  <c r="G545" i="14"/>
  <c r="G546" i="14"/>
  <c r="G547" i="14"/>
  <c r="G548" i="14"/>
  <c r="G549" i="14"/>
  <c r="F550" i="14"/>
  <c r="E550" i="14"/>
  <c r="D550" i="14"/>
  <c r="C550" i="14"/>
  <c r="B550" i="14"/>
  <c r="U48" i="14"/>
  <c r="G82" i="20"/>
  <c r="H82" i="20"/>
  <c r="H94" i="20"/>
  <c r="G83" i="20"/>
  <c r="G95" i="20"/>
  <c r="H83" i="20"/>
  <c r="H95" i="20"/>
  <c r="G84" i="20"/>
  <c r="H84" i="20"/>
  <c r="A51" i="20"/>
  <c r="A52" i="20"/>
  <c r="A53" i="20"/>
  <c r="A54" i="20"/>
  <c r="A55" i="20"/>
  <c r="A56" i="20"/>
  <c r="A57" i="20"/>
  <c r="A58" i="20"/>
  <c r="A59" i="20"/>
  <c r="A60" i="20"/>
  <c r="A61" i="20"/>
  <c r="A62" i="20"/>
  <c r="A63" i="20"/>
  <c r="A64" i="20"/>
  <c r="A65" i="20"/>
  <c r="A66" i="20"/>
  <c r="A67" i="20"/>
  <c r="A68" i="20"/>
  <c r="A69" i="20"/>
  <c r="A70" i="20"/>
  <c r="A71" i="20"/>
  <c r="A72" i="20"/>
  <c r="A1" i="29" a="1"/>
  <c r="B1" i="29"/>
  <c r="AK272" i="20"/>
  <c r="AW272" i="20"/>
  <c r="AJ272" i="20"/>
  <c r="AV272" i="20"/>
  <c r="AI272" i="20"/>
  <c r="AU272" i="20"/>
  <c r="AH272" i="20"/>
  <c r="AG272" i="20"/>
  <c r="AS272" i="20"/>
  <c r="AF272" i="20"/>
  <c r="AR272" i="20"/>
  <c r="AE272" i="20"/>
  <c r="AQ272" i="20"/>
  <c r="AD272" i="20"/>
  <c r="AP272" i="20"/>
  <c r="AC272" i="20"/>
  <c r="AO272" i="20"/>
  <c r="AB272" i="20"/>
  <c r="AN272" i="20"/>
  <c r="AA272" i="20"/>
  <c r="AM272" i="20"/>
  <c r="Z272" i="20"/>
  <c r="AL272" i="20"/>
  <c r="AK271" i="20"/>
  <c r="AW271" i="20"/>
  <c r="AJ271" i="20"/>
  <c r="AV271" i="20"/>
  <c r="AI271" i="20"/>
  <c r="AU271" i="20"/>
  <c r="AH271" i="20"/>
  <c r="AT271" i="20"/>
  <c r="AG271" i="20"/>
  <c r="AS271" i="20"/>
  <c r="AF271" i="20"/>
  <c r="AR271" i="20"/>
  <c r="AE271" i="20"/>
  <c r="AQ271" i="20"/>
  <c r="AD271" i="20"/>
  <c r="AP271" i="20"/>
  <c r="AC271" i="20"/>
  <c r="AO271" i="20"/>
  <c r="AB271" i="20"/>
  <c r="AN271" i="20"/>
  <c r="AA271" i="20"/>
  <c r="AM271" i="20"/>
  <c r="Z271" i="20"/>
  <c r="AL271" i="20"/>
  <c r="AK270" i="20"/>
  <c r="AW270" i="20"/>
  <c r="AJ270" i="20"/>
  <c r="AV270" i="20"/>
  <c r="AI270" i="20"/>
  <c r="AU270" i="20"/>
  <c r="AH270" i="20"/>
  <c r="AT270" i="20"/>
  <c r="AG270" i="20"/>
  <c r="AS270" i="20"/>
  <c r="AF270" i="20"/>
  <c r="AR270" i="20"/>
  <c r="AE270" i="20"/>
  <c r="AQ270" i="20"/>
  <c r="AD270" i="20"/>
  <c r="AP270" i="20"/>
  <c r="AC270" i="20"/>
  <c r="AO270" i="20"/>
  <c r="AB270" i="20"/>
  <c r="AN270" i="20"/>
  <c r="AA270" i="20"/>
  <c r="AM270" i="20"/>
  <c r="Z270" i="20"/>
  <c r="AL270" i="20"/>
  <c r="AK269" i="20"/>
  <c r="AW269" i="20"/>
  <c r="AJ269" i="20"/>
  <c r="AV269" i="20"/>
  <c r="AI269" i="20"/>
  <c r="AU269" i="20"/>
  <c r="AH269" i="20"/>
  <c r="AT269" i="20"/>
  <c r="AG269" i="20"/>
  <c r="AS269" i="20"/>
  <c r="AF269" i="20"/>
  <c r="AR269" i="20"/>
  <c r="AE269" i="20"/>
  <c r="AQ269" i="20"/>
  <c r="AD269" i="20"/>
  <c r="AP269" i="20"/>
  <c r="AC269" i="20"/>
  <c r="AO269" i="20"/>
  <c r="AB269" i="20"/>
  <c r="AN269" i="20"/>
  <c r="AA269" i="20"/>
  <c r="AM269" i="20"/>
  <c r="Z269" i="20"/>
  <c r="AL269" i="20"/>
  <c r="AK268" i="20"/>
  <c r="AW268" i="20"/>
  <c r="AJ268" i="20"/>
  <c r="AV268" i="20"/>
  <c r="AI268" i="20"/>
  <c r="AU268" i="20"/>
  <c r="AH268" i="20"/>
  <c r="AT268" i="20"/>
  <c r="AG268" i="20"/>
  <c r="AS268" i="20"/>
  <c r="AF268" i="20"/>
  <c r="AR268" i="20"/>
  <c r="AE268" i="20"/>
  <c r="AQ268" i="20"/>
  <c r="AD268" i="20"/>
  <c r="AP268" i="20"/>
  <c r="AC268" i="20"/>
  <c r="AO268" i="20"/>
  <c r="AB268" i="20"/>
  <c r="AN268" i="20"/>
  <c r="AA268" i="20"/>
  <c r="AM268" i="20"/>
  <c r="Z268" i="20"/>
  <c r="AK267" i="20"/>
  <c r="AW267" i="20"/>
  <c r="AJ267" i="20"/>
  <c r="AV267" i="20"/>
  <c r="AI267" i="20"/>
  <c r="AU267" i="20"/>
  <c r="AH267" i="20"/>
  <c r="AT267" i="20"/>
  <c r="AG267" i="20"/>
  <c r="AS267" i="20"/>
  <c r="AF267" i="20"/>
  <c r="AR267" i="20"/>
  <c r="AE267" i="20"/>
  <c r="AQ267" i="20"/>
  <c r="AD267" i="20"/>
  <c r="AP267" i="20"/>
  <c r="AC267" i="20"/>
  <c r="AO267" i="20"/>
  <c r="AB267" i="20"/>
  <c r="AN267" i="20"/>
  <c r="AA267" i="20"/>
  <c r="AM267" i="20"/>
  <c r="Z267" i="20"/>
  <c r="AL267" i="20"/>
  <c r="AK266" i="20"/>
  <c r="AW266" i="20"/>
  <c r="AJ266" i="20"/>
  <c r="AV266" i="20"/>
  <c r="AI266" i="20"/>
  <c r="AU266" i="20"/>
  <c r="AH266" i="20"/>
  <c r="AT266" i="20"/>
  <c r="AG266" i="20"/>
  <c r="AS266" i="20"/>
  <c r="AF266" i="20"/>
  <c r="AR266" i="20"/>
  <c r="AE266" i="20"/>
  <c r="AQ266" i="20"/>
  <c r="AD266" i="20"/>
  <c r="AP266" i="20"/>
  <c r="AC266" i="20"/>
  <c r="AO266" i="20"/>
  <c r="AB266" i="20"/>
  <c r="AN266" i="20"/>
  <c r="AA266" i="20"/>
  <c r="AM266" i="20"/>
  <c r="Z266" i="20"/>
  <c r="AK265" i="20"/>
  <c r="AW265" i="20"/>
  <c r="AJ265" i="20"/>
  <c r="AV265" i="20"/>
  <c r="AI265" i="20"/>
  <c r="AU265" i="20"/>
  <c r="AH265" i="20"/>
  <c r="AT265" i="20"/>
  <c r="AG265" i="20"/>
  <c r="AS265" i="20"/>
  <c r="AF265" i="20"/>
  <c r="AR265" i="20"/>
  <c r="AE265" i="20"/>
  <c r="AQ265" i="20"/>
  <c r="AD265" i="20"/>
  <c r="AP265" i="20"/>
  <c r="AC265" i="20"/>
  <c r="AO265" i="20"/>
  <c r="AB265" i="20"/>
  <c r="AN265" i="20"/>
  <c r="AA265" i="20"/>
  <c r="AM265" i="20"/>
  <c r="Z265" i="20"/>
  <c r="Z295" i="20"/>
  <c r="AL294" i="20"/>
  <c r="Y294" i="20"/>
  <c r="AL293" i="20"/>
  <c r="Y293" i="20"/>
  <c r="AL292" i="20"/>
  <c r="Y292" i="20"/>
  <c r="AL291" i="20"/>
  <c r="Y291" i="20"/>
  <c r="AL290" i="20"/>
  <c r="Y290" i="20"/>
  <c r="AL289" i="20"/>
  <c r="Y289" i="20"/>
  <c r="AL288" i="20"/>
  <c r="Y288" i="20"/>
  <c r="AL287" i="20"/>
  <c r="Y287" i="20"/>
  <c r="Z259" i="20"/>
  <c r="AL258" i="20"/>
  <c r="Y258" i="20"/>
  <c r="AL257" i="20"/>
  <c r="Y257" i="20"/>
  <c r="AL256" i="20"/>
  <c r="Y256" i="20"/>
  <c r="AL255" i="20"/>
  <c r="Y255" i="20"/>
  <c r="AL254" i="20"/>
  <c r="Y254" i="20"/>
  <c r="AL253" i="20"/>
  <c r="Y253" i="20"/>
  <c r="AL252" i="20"/>
  <c r="Y252" i="20"/>
  <c r="AL251" i="20"/>
  <c r="Y251" i="20"/>
  <c r="Z245" i="20"/>
  <c r="AL244" i="20"/>
  <c r="Y244" i="20"/>
  <c r="AL243" i="20"/>
  <c r="Y243" i="20"/>
  <c r="AL242" i="20"/>
  <c r="Y242" i="20"/>
  <c r="AL241" i="20"/>
  <c r="Y241" i="20"/>
  <c r="AL240" i="20"/>
  <c r="Y240" i="20"/>
  <c r="AL239" i="20"/>
  <c r="Y239" i="20"/>
  <c r="AL238" i="20"/>
  <c r="Y238" i="20"/>
  <c r="AL237" i="20"/>
  <c r="Y237" i="20"/>
  <c r="Z231" i="20"/>
  <c r="AL230" i="20"/>
  <c r="Y230" i="20"/>
  <c r="AL229" i="20"/>
  <c r="Y229" i="20"/>
  <c r="AL228" i="20"/>
  <c r="Y228" i="20"/>
  <c r="AL227" i="20"/>
  <c r="Y227" i="20"/>
  <c r="AL226" i="20"/>
  <c r="Y226" i="20"/>
  <c r="AL225" i="20"/>
  <c r="Y225" i="20"/>
  <c r="AL224" i="20"/>
  <c r="Y224" i="20"/>
  <c r="AL223" i="20"/>
  <c r="AL231" i="20"/>
  <c r="Y223" i="20"/>
  <c r="Z217" i="20"/>
  <c r="AL216" i="20"/>
  <c r="Y216" i="20"/>
  <c r="AL215" i="20"/>
  <c r="Y215" i="20"/>
  <c r="AL214" i="20"/>
  <c r="Y214" i="20"/>
  <c r="AL213" i="20"/>
  <c r="Y213" i="20"/>
  <c r="AL212" i="20"/>
  <c r="Y212" i="20"/>
  <c r="AL211" i="20"/>
  <c r="Y211" i="20"/>
  <c r="AL210" i="20"/>
  <c r="Y210" i="20"/>
  <c r="AL209" i="20"/>
  <c r="Y209" i="20"/>
  <c r="Z203" i="20"/>
  <c r="AL202" i="20"/>
  <c r="Y202" i="20"/>
  <c r="AL201" i="20"/>
  <c r="Y201" i="20"/>
  <c r="AL200" i="20"/>
  <c r="Y200" i="20"/>
  <c r="AL199" i="20"/>
  <c r="Y199" i="20"/>
  <c r="AL198" i="20"/>
  <c r="Y198" i="20"/>
  <c r="AL197" i="20"/>
  <c r="Y197" i="20"/>
  <c r="AL196" i="20"/>
  <c r="Y196" i="20"/>
  <c r="AL195" i="20"/>
  <c r="Y195" i="20"/>
  <c r="Z189" i="20"/>
  <c r="AL188" i="20"/>
  <c r="Y188" i="20"/>
  <c r="AL187" i="20"/>
  <c r="Y187" i="20"/>
  <c r="AL186" i="20"/>
  <c r="Y186" i="20"/>
  <c r="AL185" i="20"/>
  <c r="Y185" i="20"/>
  <c r="AL184" i="20"/>
  <c r="Y184" i="20"/>
  <c r="AL183" i="20"/>
  <c r="Y183" i="20"/>
  <c r="AL182" i="20"/>
  <c r="Y182" i="20"/>
  <c r="AL181" i="20"/>
  <c r="Y181" i="20"/>
  <c r="Y179" i="20"/>
  <c r="Z175" i="20"/>
  <c r="AL174" i="20"/>
  <c r="Y174" i="20"/>
  <c r="AL173" i="20"/>
  <c r="Y173" i="20"/>
  <c r="AL172" i="20"/>
  <c r="Y172" i="20"/>
  <c r="AL171" i="20"/>
  <c r="Y171" i="20"/>
  <c r="AL170" i="20"/>
  <c r="Y170" i="20"/>
  <c r="AL169" i="20"/>
  <c r="Y169" i="20"/>
  <c r="AL168" i="20"/>
  <c r="Y168" i="20"/>
  <c r="AL167" i="20"/>
  <c r="AL175" i="20"/>
  <c r="Y167" i="20"/>
  <c r="Z161" i="20"/>
  <c r="AL160" i="20"/>
  <c r="Y160" i="20"/>
  <c r="AL159" i="20"/>
  <c r="Y159" i="20"/>
  <c r="AL158" i="20"/>
  <c r="Y158" i="20"/>
  <c r="AL157" i="20"/>
  <c r="Y157" i="20"/>
  <c r="AL156" i="20"/>
  <c r="Y156" i="20"/>
  <c r="AL155" i="20"/>
  <c r="Y155" i="20"/>
  <c r="AL154" i="20"/>
  <c r="Y154" i="20"/>
  <c r="AL153" i="20"/>
  <c r="Y153" i="20"/>
  <c r="Y151" i="20"/>
  <c r="AE189" i="20"/>
  <c r="C739" i="14"/>
  <c r="C742" i="14"/>
  <c r="C745" i="14"/>
  <c r="C748" i="14"/>
  <c r="C751" i="14"/>
  <c r="C754" i="14"/>
  <c r="C757" i="14"/>
  <c r="C760" i="14"/>
  <c r="C763" i="14"/>
  <c r="C766" i="14"/>
  <c r="C737" i="14"/>
  <c r="C740" i="14"/>
  <c r="C743" i="14"/>
  <c r="C746" i="14"/>
  <c r="C749" i="14"/>
  <c r="C752" i="14"/>
  <c r="C755" i="14"/>
  <c r="C758" i="14"/>
  <c r="C761" i="14"/>
  <c r="C764" i="14"/>
  <c r="C767" i="14"/>
  <c r="C735" i="14"/>
  <c r="C738" i="14"/>
  <c r="C741" i="14"/>
  <c r="C744" i="14"/>
  <c r="C747" i="14"/>
  <c r="C750" i="14"/>
  <c r="C753" i="14"/>
  <c r="C756" i="14"/>
  <c r="C759" i="14"/>
  <c r="C762" i="14"/>
  <c r="C765" i="14"/>
  <c r="I14" i="16"/>
  <c r="I15" i="16"/>
  <c r="AA53" i="5"/>
  <c r="AA54" i="5"/>
  <c r="AA55" i="5"/>
  <c r="AA56" i="5"/>
  <c r="AA50" i="5"/>
  <c r="AA51" i="5"/>
  <c r="AA52" i="5"/>
  <c r="AA46" i="5"/>
  <c r="AA47" i="5"/>
  <c r="AA48" i="5"/>
  <c r="AA49" i="5"/>
  <c r="AA43" i="5"/>
  <c r="AA44" i="5"/>
  <c r="AA45" i="5"/>
  <c r="AA39" i="5"/>
  <c r="AA40" i="5"/>
  <c r="AA41" i="5"/>
  <c r="AA42" i="5"/>
  <c r="Z37" i="5"/>
  <c r="Z38" i="5"/>
  <c r="AA36" i="5"/>
  <c r="AA37" i="5"/>
  <c r="AA38" i="5"/>
  <c r="Z33" i="5"/>
  <c r="Z34" i="5"/>
  <c r="Z35" i="5"/>
  <c r="AA32" i="5"/>
  <c r="AA33" i="5"/>
  <c r="AA34" i="5"/>
  <c r="AA35" i="5"/>
  <c r="AA30" i="5"/>
  <c r="AA31" i="5"/>
  <c r="AA57" i="5"/>
  <c r="R51" i="5"/>
  <c r="R50" i="5"/>
  <c r="R49" i="5"/>
  <c r="Z30" i="5"/>
  <c r="Z31" i="5"/>
  <c r="D21" i="8"/>
  <c r="E21" i="8"/>
  <c r="D20" i="8"/>
  <c r="D8" i="8"/>
  <c r="F8" i="8"/>
  <c r="D12" i="8"/>
  <c r="F12" i="8"/>
  <c r="D17" i="8"/>
  <c r="D18" i="8"/>
  <c r="E18" i="8"/>
  <c r="H1" i="8"/>
  <c r="H19" i="8"/>
  <c r="D23" i="8"/>
  <c r="E23" i="8"/>
  <c r="D24" i="8"/>
  <c r="E24" i="8"/>
  <c r="D11" i="8"/>
  <c r="H86" i="15"/>
  <c r="G86" i="15"/>
  <c r="F86" i="15"/>
  <c r="E86" i="15"/>
  <c r="D86" i="15"/>
  <c r="I86" i="15"/>
  <c r="C86" i="15"/>
  <c r="H85" i="15"/>
  <c r="G85" i="15"/>
  <c r="F85" i="15"/>
  <c r="E85" i="15"/>
  <c r="D85" i="15"/>
  <c r="I85" i="15"/>
  <c r="C85" i="15"/>
  <c r="H84" i="15"/>
  <c r="G84" i="15"/>
  <c r="F84" i="15"/>
  <c r="E84" i="15"/>
  <c r="D84" i="15"/>
  <c r="I84" i="15"/>
  <c r="C84" i="15"/>
  <c r="H83" i="15"/>
  <c r="G83" i="15"/>
  <c r="F83" i="15"/>
  <c r="E83" i="15"/>
  <c r="D83" i="15"/>
  <c r="I83" i="15"/>
  <c r="C83" i="15"/>
  <c r="H82" i="15"/>
  <c r="G82" i="15"/>
  <c r="F82" i="15"/>
  <c r="E82" i="15"/>
  <c r="D82" i="15"/>
  <c r="I82" i="15"/>
  <c r="C82" i="15"/>
  <c r="H81" i="15"/>
  <c r="G81" i="15"/>
  <c r="F81" i="15"/>
  <c r="E81" i="15"/>
  <c r="D81" i="15"/>
  <c r="I81" i="15"/>
  <c r="C81" i="15"/>
  <c r="H80" i="15"/>
  <c r="G80" i="15"/>
  <c r="F80" i="15"/>
  <c r="E80" i="15"/>
  <c r="D80" i="15"/>
  <c r="I80" i="15"/>
  <c r="C80" i="15"/>
  <c r="H79" i="15"/>
  <c r="G79" i="15"/>
  <c r="F79" i="15"/>
  <c r="E79" i="15"/>
  <c r="J79" i="15"/>
  <c r="D79" i="15"/>
  <c r="I79" i="15"/>
  <c r="C79" i="15"/>
  <c r="H78" i="15"/>
  <c r="G78" i="15"/>
  <c r="F78" i="15"/>
  <c r="E78" i="15"/>
  <c r="D78" i="15"/>
  <c r="I78" i="15"/>
  <c r="C78" i="15"/>
  <c r="H77" i="15"/>
  <c r="G77" i="15"/>
  <c r="F77" i="15"/>
  <c r="E77" i="15"/>
  <c r="J77" i="15"/>
  <c r="D77" i="15"/>
  <c r="I77" i="15"/>
  <c r="C77" i="15"/>
  <c r="H76" i="15"/>
  <c r="G76" i="15"/>
  <c r="F76" i="15"/>
  <c r="E76" i="15"/>
  <c r="D76" i="15"/>
  <c r="I76" i="15"/>
  <c r="C76" i="15"/>
  <c r="H75" i="15"/>
  <c r="G75" i="15"/>
  <c r="F75" i="15"/>
  <c r="E75" i="15"/>
  <c r="D75" i="15"/>
  <c r="I75" i="15"/>
  <c r="C75" i="15"/>
  <c r="H74" i="15"/>
  <c r="G74" i="15"/>
  <c r="F74" i="15"/>
  <c r="E74" i="15"/>
  <c r="D74" i="15"/>
  <c r="I74" i="15"/>
  <c r="C74" i="15"/>
  <c r="H73" i="15"/>
  <c r="G73" i="15"/>
  <c r="F73" i="15"/>
  <c r="E73" i="15"/>
  <c r="D73" i="15"/>
  <c r="I73" i="15"/>
  <c r="C73" i="15"/>
  <c r="H72" i="15"/>
  <c r="G72" i="15"/>
  <c r="F72" i="15"/>
  <c r="E72" i="15"/>
  <c r="D72" i="15"/>
  <c r="I72" i="15"/>
  <c r="C72" i="15"/>
  <c r="H71" i="15"/>
  <c r="G71" i="15"/>
  <c r="F71" i="15"/>
  <c r="E71" i="15"/>
  <c r="D71" i="15"/>
  <c r="I71" i="15"/>
  <c r="C71" i="15"/>
  <c r="H70" i="15"/>
  <c r="G70" i="15"/>
  <c r="F70" i="15"/>
  <c r="E70" i="15"/>
  <c r="D70" i="15"/>
  <c r="I70" i="15"/>
  <c r="C70" i="15"/>
  <c r="H69" i="15"/>
  <c r="G69" i="15"/>
  <c r="F69" i="15"/>
  <c r="E69" i="15"/>
  <c r="D69" i="15"/>
  <c r="I69" i="15"/>
  <c r="C69" i="15"/>
  <c r="J25" i="15"/>
  <c r="AH76" i="14"/>
  <c r="E90" i="14"/>
  <c r="D90" i="14"/>
  <c r="E88" i="14"/>
  <c r="E91" i="14"/>
  <c r="D91" i="14"/>
  <c r="E92" i="14"/>
  <c r="D88" i="14"/>
  <c r="D92" i="14"/>
  <c r="F1" i="26"/>
  <c r="D3" i="26"/>
  <c r="E3" i="26"/>
  <c r="D4" i="26"/>
  <c r="E4" i="26"/>
  <c r="D5" i="26"/>
  <c r="E5" i="26"/>
  <c r="D6" i="26"/>
  <c r="E6" i="26"/>
  <c r="D7" i="26"/>
  <c r="E7" i="26"/>
  <c r="D8" i="26"/>
  <c r="E8" i="26"/>
  <c r="D9" i="26"/>
  <c r="E9" i="26"/>
  <c r="D10" i="26"/>
  <c r="E10" i="26"/>
  <c r="D11" i="26"/>
  <c r="E11" i="26"/>
  <c r="D14" i="26"/>
  <c r="D15" i="26"/>
  <c r="D16" i="26"/>
  <c r="D17" i="26"/>
  <c r="D18" i="26"/>
  <c r="D19" i="26"/>
  <c r="D20" i="26"/>
  <c r="D21" i="26"/>
  <c r="D22" i="26"/>
  <c r="D29" i="14"/>
  <c r="E29" i="14"/>
  <c r="G172" i="14"/>
  <c r="H172" i="14"/>
  <c r="I172" i="14"/>
  <c r="J172" i="14"/>
  <c r="G173" i="14"/>
  <c r="H173" i="14"/>
  <c r="I173" i="14"/>
  <c r="J173" i="14"/>
  <c r="G174" i="14"/>
  <c r="H174" i="14"/>
  <c r="I174" i="14"/>
  <c r="J174" i="14"/>
  <c r="H171" i="14"/>
  <c r="I171" i="14"/>
  <c r="J171" i="14"/>
  <c r="G171" i="14"/>
  <c r="M11" i="14"/>
  <c r="C308" i="20"/>
  <c r="D308" i="20"/>
  <c r="E308" i="20"/>
  <c r="F308" i="20"/>
  <c r="G308" i="20"/>
  <c r="H308" i="20"/>
  <c r="I308" i="20"/>
  <c r="J308" i="20"/>
  <c r="K308" i="20"/>
  <c r="L308" i="20"/>
  <c r="M308" i="20"/>
  <c r="C309" i="20"/>
  <c r="D309" i="20"/>
  <c r="E309" i="20"/>
  <c r="F309" i="20"/>
  <c r="G309" i="20"/>
  <c r="H309" i="20"/>
  <c r="I309" i="20"/>
  <c r="J309" i="20"/>
  <c r="K309" i="20"/>
  <c r="L309" i="20"/>
  <c r="M309" i="20"/>
  <c r="B309" i="20"/>
  <c r="B308" i="20"/>
  <c r="AM287" i="20"/>
  <c r="AN287" i="20"/>
  <c r="AO287" i="20"/>
  <c r="AP287" i="20"/>
  <c r="AQ287" i="20"/>
  <c r="AR287" i="20"/>
  <c r="AS287" i="20"/>
  <c r="AT287" i="20"/>
  <c r="AU287" i="20"/>
  <c r="AV287" i="20"/>
  <c r="AW287" i="20"/>
  <c r="AM288" i="20"/>
  <c r="AN288" i="20"/>
  <c r="AO288" i="20"/>
  <c r="AP288" i="20"/>
  <c r="AQ288" i="20"/>
  <c r="AR288" i="20"/>
  <c r="AS288" i="20"/>
  <c r="AT288" i="20"/>
  <c r="AU288" i="20"/>
  <c r="AV288" i="20"/>
  <c r="AW288" i="20"/>
  <c r="AM289" i="20"/>
  <c r="AN289" i="20"/>
  <c r="AO289" i="20"/>
  <c r="AP289" i="20"/>
  <c r="AQ289" i="20"/>
  <c r="AR289" i="20"/>
  <c r="AS289" i="20"/>
  <c r="AT289" i="20"/>
  <c r="AU289" i="20"/>
  <c r="AV289" i="20"/>
  <c r="AW289" i="20"/>
  <c r="AM290" i="20"/>
  <c r="AN290" i="20"/>
  <c r="AO290" i="20"/>
  <c r="AP290" i="20"/>
  <c r="AQ290" i="20"/>
  <c r="AR290" i="20"/>
  <c r="AS290" i="20"/>
  <c r="AT290" i="20"/>
  <c r="AU290" i="20"/>
  <c r="AV290" i="20"/>
  <c r="AW290" i="20"/>
  <c r="AM291" i="20"/>
  <c r="AN291" i="20"/>
  <c r="AO291" i="20"/>
  <c r="AP291" i="20"/>
  <c r="AQ291" i="20"/>
  <c r="AR291" i="20"/>
  <c r="AS291" i="20"/>
  <c r="AT291" i="20"/>
  <c r="AU291" i="20"/>
  <c r="AV291" i="20"/>
  <c r="AW291" i="20"/>
  <c r="AM292" i="20"/>
  <c r="AN292" i="20"/>
  <c r="AO292" i="20"/>
  <c r="AP292" i="20"/>
  <c r="AQ292" i="20"/>
  <c r="AR292" i="20"/>
  <c r="AS292" i="20"/>
  <c r="AT292" i="20"/>
  <c r="AU292" i="20"/>
  <c r="AV292" i="20"/>
  <c r="AW292" i="20"/>
  <c r="AM293" i="20"/>
  <c r="AN293" i="20"/>
  <c r="AO293" i="20"/>
  <c r="AP293" i="20"/>
  <c r="AQ293" i="20"/>
  <c r="AR293" i="20"/>
  <c r="AS293" i="20"/>
  <c r="AT293" i="20"/>
  <c r="AU293" i="20"/>
  <c r="AV293" i="20"/>
  <c r="AW293" i="20"/>
  <c r="AM294" i="20"/>
  <c r="AN294" i="20"/>
  <c r="AO294" i="20"/>
  <c r="AP294" i="20"/>
  <c r="AQ294" i="20"/>
  <c r="AR294" i="20"/>
  <c r="AS294" i="20"/>
  <c r="AT294" i="20"/>
  <c r="AU294" i="20"/>
  <c r="AV294" i="20"/>
  <c r="AW294" i="20"/>
  <c r="AK295" i="20"/>
  <c r="AJ295" i="20"/>
  <c r="AI295" i="20"/>
  <c r="AH295" i="20"/>
  <c r="AG295" i="20"/>
  <c r="AF295" i="20"/>
  <c r="AE295" i="20"/>
  <c r="AD295" i="20"/>
  <c r="AC295" i="20"/>
  <c r="AB295" i="20"/>
  <c r="AA295" i="20"/>
  <c r="B285" i="20"/>
  <c r="U69" i="14"/>
  <c r="V69" i="14"/>
  <c r="H125" i="14"/>
  <c r="H124" i="14"/>
  <c r="H123" i="14"/>
  <c r="H122" i="14"/>
  <c r="H121" i="14"/>
  <c r="H120" i="14"/>
  <c r="H119" i="14"/>
  <c r="H118" i="14"/>
  <c r="H117" i="14"/>
  <c r="H116" i="14"/>
  <c r="H115" i="14"/>
  <c r="H114" i="14"/>
  <c r="H113" i="14"/>
  <c r="H112" i="14"/>
  <c r="H111" i="14"/>
  <c r="H110" i="14"/>
  <c r="H109" i="14"/>
  <c r="H108" i="14"/>
  <c r="H107" i="14"/>
  <c r="H106" i="14"/>
  <c r="H105" i="14"/>
  <c r="H104" i="14"/>
  <c r="H103" i="14"/>
  <c r="H102" i="14"/>
  <c r="H101" i="14"/>
  <c r="H100" i="14"/>
  <c r="H99" i="14"/>
  <c r="G113" i="14"/>
  <c r="G114" i="14"/>
  <c r="G115" i="14"/>
  <c r="G116" i="14"/>
  <c r="G117" i="14"/>
  <c r="G118" i="14"/>
  <c r="G119" i="14"/>
  <c r="G120" i="14"/>
  <c r="G121" i="14"/>
  <c r="G122" i="14"/>
  <c r="G123" i="14"/>
  <c r="G124" i="14"/>
  <c r="G125" i="14"/>
  <c r="G112" i="14"/>
  <c r="G100" i="14"/>
  <c r="G101" i="14"/>
  <c r="G102" i="14"/>
  <c r="G103" i="14"/>
  <c r="G104" i="14"/>
  <c r="G105" i="14"/>
  <c r="G106" i="14"/>
  <c r="G107" i="14"/>
  <c r="G108" i="14"/>
  <c r="G109" i="14"/>
  <c r="G110" i="14"/>
  <c r="G111" i="14"/>
  <c r="G99" i="14"/>
  <c r="B8" i="3"/>
  <c r="B3" i="14"/>
  <c r="B4" i="14"/>
  <c r="B5" i="14"/>
  <c r="B6" i="14"/>
  <c r="B7" i="14"/>
  <c r="B8" i="14"/>
  <c r="B9" i="14"/>
  <c r="B10" i="14"/>
  <c r="B11" i="14"/>
  <c r="Y30" i="5"/>
  <c r="Y31" i="5"/>
  <c r="Y32" i="5"/>
  <c r="Y33" i="5"/>
  <c r="Y34" i="5"/>
  <c r="Y35" i="5"/>
  <c r="Y36" i="5"/>
  <c r="Y37" i="5"/>
  <c r="Y38" i="5"/>
  <c r="Y39" i="5"/>
  <c r="Y40" i="5"/>
  <c r="Y41" i="5"/>
  <c r="Y42" i="5"/>
  <c r="Y43" i="5"/>
  <c r="Y44" i="5"/>
  <c r="Y45" i="5"/>
  <c r="Y46" i="5"/>
  <c r="Y47" i="5"/>
  <c r="Y48" i="5"/>
  <c r="Y49" i="5"/>
  <c r="Y50" i="5"/>
  <c r="Y51" i="5"/>
  <c r="Y52" i="5"/>
  <c r="Y53" i="5"/>
  <c r="Y54" i="5"/>
  <c r="Y55" i="5"/>
  <c r="Y56" i="5"/>
  <c r="Y57" i="5"/>
  <c r="C63" i="5"/>
  <c r="AI48" i="14"/>
  <c r="AI49" i="14"/>
  <c r="AI50" i="14"/>
  <c r="AI51" i="14"/>
  <c r="AI52" i="14"/>
  <c r="AI53" i="14"/>
  <c r="AI54" i="14"/>
  <c r="AI55" i="14"/>
  <c r="AI56" i="14"/>
  <c r="AI57" i="14"/>
  <c r="AI58" i="14"/>
  <c r="AI59" i="14"/>
  <c r="AI60" i="14"/>
  <c r="AI61" i="14"/>
  <c r="AI62" i="14"/>
  <c r="AI63" i="14"/>
  <c r="AI64" i="14"/>
  <c r="AI65" i="14"/>
  <c r="AI66" i="14"/>
  <c r="AI67" i="14"/>
  <c r="AI68" i="14"/>
  <c r="AI70" i="14"/>
  <c r="AI71" i="14"/>
  <c r="AI72" i="14"/>
  <c r="AI73" i="14"/>
  <c r="AI74" i="14"/>
  <c r="AI75" i="14"/>
  <c r="AE48" i="14"/>
  <c r="AE49" i="14"/>
  <c r="AE50" i="14"/>
  <c r="AE51" i="14"/>
  <c r="AE52" i="14"/>
  <c r="AE53" i="14"/>
  <c r="AE54" i="14"/>
  <c r="AE55" i="14"/>
  <c r="AE56" i="14"/>
  <c r="AE57" i="14"/>
  <c r="AE58" i="14"/>
  <c r="AE59" i="14"/>
  <c r="AE60" i="14"/>
  <c r="AE61" i="14"/>
  <c r="AE62" i="14"/>
  <c r="AE63" i="14"/>
  <c r="AE64" i="14"/>
  <c r="AE65" i="14"/>
  <c r="AE66" i="14"/>
  <c r="AE67" i="14"/>
  <c r="AE68" i="14"/>
  <c r="AE70" i="14"/>
  <c r="AE71" i="14"/>
  <c r="AE72" i="14"/>
  <c r="AE73" i="14"/>
  <c r="AE74" i="14"/>
  <c r="AE75" i="14"/>
  <c r="B3" i="21"/>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H8" i="16"/>
  <c r="H5" i="15"/>
  <c r="H6" i="15"/>
  <c r="H7" i="15"/>
  <c r="H8" i="15"/>
  <c r="H9" i="15"/>
  <c r="F28" i="15"/>
  <c r="H10" i="15"/>
  <c r="H11" i="15"/>
  <c r="H12" i="15"/>
  <c r="H13" i="15"/>
  <c r="H14" i="15"/>
  <c r="H15" i="15"/>
  <c r="H16" i="15"/>
  <c r="H17" i="15"/>
  <c r="H18" i="15"/>
  <c r="H19" i="15"/>
  <c r="H20" i="15"/>
  <c r="H21" i="15"/>
  <c r="H22" i="15"/>
  <c r="B28" i="15"/>
  <c r="C28" i="15"/>
  <c r="C30" i="15"/>
  <c r="B30" i="15"/>
  <c r="B31" i="15"/>
  <c r="B32" i="15"/>
  <c r="E32" i="15"/>
  <c r="B33" i="15"/>
  <c r="B34" i="15"/>
  <c r="E34" i="15"/>
  <c r="B35" i="15"/>
  <c r="B36" i="15"/>
  <c r="E36" i="15"/>
  <c r="B37" i="15"/>
  <c r="E37" i="15"/>
  <c r="B38" i="15"/>
  <c r="B43" i="15"/>
  <c r="E43" i="15"/>
  <c r="B44" i="15"/>
  <c r="B45" i="15"/>
  <c r="B46" i="15"/>
  <c r="B47" i="15"/>
  <c r="B48" i="15"/>
  <c r="B49" i="15"/>
  <c r="B50" i="15"/>
  <c r="B51" i="15"/>
  <c r="B54" i="15"/>
  <c r="D54" i="15"/>
  <c r="E56" i="15"/>
  <c r="B56" i="15"/>
  <c r="B57" i="15"/>
  <c r="B58" i="15"/>
  <c r="B59" i="15"/>
  <c r="B60" i="15"/>
  <c r="B61" i="15"/>
  <c r="B62" i="15"/>
  <c r="B63" i="15"/>
  <c r="B64" i="15"/>
  <c r="A45" i="18"/>
  <c r="A75" i="18"/>
  <c r="B45" i="18"/>
  <c r="B75" i="18"/>
  <c r="C45" i="18"/>
  <c r="C75" i="18"/>
  <c r="D45" i="18"/>
  <c r="D75" i="18"/>
  <c r="E45" i="18"/>
  <c r="E75" i="18"/>
  <c r="F45" i="18"/>
  <c r="F75" i="18"/>
  <c r="G45" i="18"/>
  <c r="G75" i="18"/>
  <c r="H45" i="18"/>
  <c r="H75" i="18"/>
  <c r="I45" i="18"/>
  <c r="I75" i="18"/>
  <c r="J45" i="18"/>
  <c r="J75" i="18"/>
  <c r="K45" i="18"/>
  <c r="K75" i="18"/>
  <c r="L45" i="18"/>
  <c r="L75" i="18"/>
  <c r="M45" i="18"/>
  <c r="M75" i="18"/>
  <c r="A46" i="18"/>
  <c r="A76" i="18"/>
  <c r="B46" i="18"/>
  <c r="B76" i="18"/>
  <c r="C46" i="18"/>
  <c r="C76" i="18"/>
  <c r="D46" i="18"/>
  <c r="D76" i="18"/>
  <c r="E46" i="18"/>
  <c r="E76" i="18"/>
  <c r="F46" i="18"/>
  <c r="F76" i="18"/>
  <c r="G46" i="18"/>
  <c r="G76" i="18"/>
  <c r="H46" i="18"/>
  <c r="H76" i="18"/>
  <c r="I46" i="18"/>
  <c r="I76" i="18"/>
  <c r="J46" i="18"/>
  <c r="J76" i="18"/>
  <c r="K46" i="18"/>
  <c r="K76" i="18"/>
  <c r="L46" i="18"/>
  <c r="L76" i="18"/>
  <c r="M46" i="18"/>
  <c r="M76" i="18"/>
  <c r="A47" i="18"/>
  <c r="A77" i="18"/>
  <c r="B47" i="18"/>
  <c r="B77" i="18"/>
  <c r="C47" i="18"/>
  <c r="C77" i="18"/>
  <c r="D47" i="18"/>
  <c r="D77" i="18"/>
  <c r="E47" i="18"/>
  <c r="E77" i="18"/>
  <c r="F47" i="18"/>
  <c r="F77" i="18"/>
  <c r="G47" i="18"/>
  <c r="G77" i="18"/>
  <c r="H47" i="18"/>
  <c r="H77" i="18"/>
  <c r="I47" i="18"/>
  <c r="I77" i="18"/>
  <c r="J47" i="18"/>
  <c r="J77" i="18"/>
  <c r="K47" i="18"/>
  <c r="K77" i="18"/>
  <c r="L47" i="18"/>
  <c r="L77" i="18"/>
  <c r="M47" i="18"/>
  <c r="M77" i="18"/>
  <c r="A48" i="18"/>
  <c r="A78" i="18"/>
  <c r="B48" i="18"/>
  <c r="B78" i="18"/>
  <c r="C48" i="18"/>
  <c r="C78" i="18"/>
  <c r="D48" i="18"/>
  <c r="D78" i="18"/>
  <c r="E48" i="18"/>
  <c r="E78" i="18"/>
  <c r="F48" i="18"/>
  <c r="F78" i="18"/>
  <c r="G48" i="18"/>
  <c r="G78" i="18"/>
  <c r="H48" i="18"/>
  <c r="H78" i="18"/>
  <c r="I48" i="18"/>
  <c r="I78" i="18"/>
  <c r="J48" i="18"/>
  <c r="J78" i="18"/>
  <c r="K48" i="18"/>
  <c r="K78" i="18"/>
  <c r="L48" i="18"/>
  <c r="L78" i="18"/>
  <c r="M48" i="18"/>
  <c r="M78" i="18"/>
  <c r="A49" i="18"/>
  <c r="A79" i="18"/>
  <c r="B49" i="18"/>
  <c r="B79" i="18"/>
  <c r="C49" i="18"/>
  <c r="C79" i="18"/>
  <c r="D49" i="18"/>
  <c r="D79" i="18"/>
  <c r="E49" i="18"/>
  <c r="E79" i="18"/>
  <c r="F49" i="18"/>
  <c r="F79" i="18"/>
  <c r="G49" i="18"/>
  <c r="G79" i="18"/>
  <c r="H49" i="18"/>
  <c r="H79" i="18"/>
  <c r="I49" i="18"/>
  <c r="I79" i="18"/>
  <c r="J49" i="18"/>
  <c r="J79" i="18"/>
  <c r="K49" i="18"/>
  <c r="K79" i="18"/>
  <c r="L49" i="18"/>
  <c r="L79" i="18"/>
  <c r="M49" i="18"/>
  <c r="M79" i="18"/>
  <c r="A50" i="18"/>
  <c r="A80" i="18"/>
  <c r="B50" i="18"/>
  <c r="B80" i="18"/>
  <c r="C50" i="18"/>
  <c r="C80" i="18"/>
  <c r="D50" i="18"/>
  <c r="D80" i="18"/>
  <c r="E50" i="18"/>
  <c r="E80" i="18"/>
  <c r="F50" i="18"/>
  <c r="F80" i="18"/>
  <c r="G50" i="18"/>
  <c r="G80" i="18"/>
  <c r="H50" i="18"/>
  <c r="H80" i="18"/>
  <c r="I50" i="18"/>
  <c r="I80" i="18"/>
  <c r="J50" i="18"/>
  <c r="J80" i="18"/>
  <c r="K50" i="18"/>
  <c r="K80" i="18"/>
  <c r="L50" i="18"/>
  <c r="L80" i="18"/>
  <c r="M50" i="18"/>
  <c r="M80" i="18"/>
  <c r="A51" i="18"/>
  <c r="A81" i="18"/>
  <c r="B51" i="18"/>
  <c r="B81" i="18"/>
  <c r="C51" i="18"/>
  <c r="C81" i="18"/>
  <c r="D51" i="18"/>
  <c r="D81" i="18"/>
  <c r="E51" i="18"/>
  <c r="E81" i="18"/>
  <c r="F51" i="18"/>
  <c r="F81" i="18"/>
  <c r="G51" i="18"/>
  <c r="G81" i="18"/>
  <c r="H51" i="18"/>
  <c r="H81" i="18"/>
  <c r="I51" i="18"/>
  <c r="I81" i="18"/>
  <c r="J51" i="18"/>
  <c r="J81" i="18"/>
  <c r="K51" i="18"/>
  <c r="K81" i="18"/>
  <c r="L51" i="18"/>
  <c r="L81" i="18"/>
  <c r="M51" i="18"/>
  <c r="M81" i="18"/>
  <c r="A52" i="18"/>
  <c r="A82" i="18"/>
  <c r="A97" i="18"/>
  <c r="B52" i="18"/>
  <c r="B82" i="18"/>
  <c r="B97" i="18"/>
  <c r="C52" i="18"/>
  <c r="C82" i="18"/>
  <c r="C97" i="18"/>
  <c r="D52" i="18"/>
  <c r="D82" i="18"/>
  <c r="D97" i="18"/>
  <c r="E52" i="18"/>
  <c r="E82" i="18"/>
  <c r="E97" i="18"/>
  <c r="F52" i="18"/>
  <c r="F82" i="18"/>
  <c r="F97" i="18"/>
  <c r="G52" i="18"/>
  <c r="G82" i="18"/>
  <c r="G97" i="18"/>
  <c r="H52" i="18"/>
  <c r="H82" i="18"/>
  <c r="H97" i="18"/>
  <c r="I52" i="18"/>
  <c r="I82" i="18"/>
  <c r="I97" i="18"/>
  <c r="J52" i="18"/>
  <c r="J82" i="18"/>
  <c r="J97" i="18"/>
  <c r="K52" i="18"/>
  <c r="K82" i="18"/>
  <c r="K97" i="18"/>
  <c r="L52" i="18"/>
  <c r="L82" i="18"/>
  <c r="L97" i="18"/>
  <c r="M52" i="18"/>
  <c r="M82" i="18"/>
  <c r="M97" i="18"/>
  <c r="A53" i="18"/>
  <c r="A83" i="18"/>
  <c r="B53" i="18"/>
  <c r="B83" i="18"/>
  <c r="C53" i="18"/>
  <c r="C83" i="18"/>
  <c r="D53" i="18"/>
  <c r="D83" i="18"/>
  <c r="E53" i="18"/>
  <c r="E83" i="18"/>
  <c r="F53" i="18"/>
  <c r="F83" i="18"/>
  <c r="G53" i="18"/>
  <c r="G83" i="18"/>
  <c r="H53" i="18"/>
  <c r="H83" i="18"/>
  <c r="I53" i="18"/>
  <c r="I83" i="18"/>
  <c r="J53" i="18"/>
  <c r="J83" i="18"/>
  <c r="K53" i="18"/>
  <c r="K83" i="18"/>
  <c r="L53" i="18"/>
  <c r="L83" i="18"/>
  <c r="M53" i="18"/>
  <c r="M83" i="18"/>
  <c r="A54" i="18"/>
  <c r="A84" i="18"/>
  <c r="B54" i="18"/>
  <c r="B84" i="18"/>
  <c r="C54" i="18"/>
  <c r="C84" i="18"/>
  <c r="D54" i="18"/>
  <c r="D84" i="18"/>
  <c r="E54" i="18"/>
  <c r="E84" i="18"/>
  <c r="F54" i="18"/>
  <c r="F84" i="18"/>
  <c r="G54" i="18"/>
  <c r="G84" i="18"/>
  <c r="H54" i="18"/>
  <c r="H84" i="18"/>
  <c r="I54" i="18"/>
  <c r="I84" i="18"/>
  <c r="J54" i="18"/>
  <c r="J84" i="18"/>
  <c r="K54" i="18"/>
  <c r="K84" i="18"/>
  <c r="L54" i="18"/>
  <c r="L84" i="18"/>
  <c r="M54" i="18"/>
  <c r="M84" i="18"/>
  <c r="A55" i="18"/>
  <c r="A85" i="18"/>
  <c r="B55" i="18"/>
  <c r="B85" i="18"/>
  <c r="C55" i="18"/>
  <c r="C85" i="18"/>
  <c r="D55" i="18"/>
  <c r="D85" i="18"/>
  <c r="E55" i="18"/>
  <c r="E85" i="18"/>
  <c r="F55" i="18"/>
  <c r="F85" i="18"/>
  <c r="G55" i="18"/>
  <c r="G85" i="18"/>
  <c r="H55" i="18"/>
  <c r="H85" i="18"/>
  <c r="I55" i="18"/>
  <c r="I85" i="18"/>
  <c r="J55" i="18"/>
  <c r="J85" i="18"/>
  <c r="K55" i="18"/>
  <c r="K85" i="18"/>
  <c r="L55" i="18"/>
  <c r="L85" i="18"/>
  <c r="M55" i="18"/>
  <c r="M85" i="18"/>
  <c r="A56" i="18"/>
  <c r="A86" i="18"/>
  <c r="B56" i="18"/>
  <c r="B86" i="18"/>
  <c r="C56" i="18"/>
  <c r="C86" i="18"/>
  <c r="D56" i="18"/>
  <c r="D86" i="18"/>
  <c r="E56" i="18"/>
  <c r="E86" i="18"/>
  <c r="F56" i="18"/>
  <c r="F86" i="18"/>
  <c r="G56" i="18"/>
  <c r="G86" i="18"/>
  <c r="H56" i="18"/>
  <c r="H86" i="18"/>
  <c r="I56" i="18"/>
  <c r="I86" i="18"/>
  <c r="J56" i="18"/>
  <c r="J86" i="18"/>
  <c r="K56" i="18"/>
  <c r="K86" i="18"/>
  <c r="L56" i="18"/>
  <c r="L86" i="18"/>
  <c r="M56" i="18"/>
  <c r="M86" i="18"/>
  <c r="A57" i="18"/>
  <c r="A87" i="18"/>
  <c r="B57" i="18"/>
  <c r="B87" i="18"/>
  <c r="C57" i="18"/>
  <c r="C87" i="18"/>
  <c r="D57" i="18"/>
  <c r="D87" i="18"/>
  <c r="E57" i="18"/>
  <c r="E87" i="18"/>
  <c r="F57" i="18"/>
  <c r="F87" i="18"/>
  <c r="G57" i="18"/>
  <c r="G87" i="18"/>
  <c r="H57" i="18"/>
  <c r="H87" i="18"/>
  <c r="I57" i="18"/>
  <c r="I87" i="18"/>
  <c r="J57" i="18"/>
  <c r="J87" i="18"/>
  <c r="K57" i="18"/>
  <c r="K87" i="18"/>
  <c r="L57" i="18"/>
  <c r="L87" i="18"/>
  <c r="M57" i="18"/>
  <c r="M87" i="18"/>
  <c r="A58" i="18"/>
  <c r="A88" i="18"/>
  <c r="B58" i="18"/>
  <c r="B88" i="18"/>
  <c r="C58" i="18"/>
  <c r="C88" i="18"/>
  <c r="D58" i="18"/>
  <c r="D88" i="18"/>
  <c r="E58" i="18"/>
  <c r="E88" i="18"/>
  <c r="F58" i="18"/>
  <c r="F88" i="18"/>
  <c r="G58" i="18"/>
  <c r="G88" i="18"/>
  <c r="H58" i="18"/>
  <c r="H88" i="18"/>
  <c r="I58" i="18"/>
  <c r="I88" i="18"/>
  <c r="J58" i="18"/>
  <c r="J88" i="18"/>
  <c r="K58" i="18"/>
  <c r="K88" i="18"/>
  <c r="L58" i="18"/>
  <c r="L88" i="18"/>
  <c r="M58" i="18"/>
  <c r="M88" i="18"/>
  <c r="A59" i="18"/>
  <c r="B59" i="18"/>
  <c r="C59" i="18"/>
  <c r="D59" i="18"/>
  <c r="E59" i="18"/>
  <c r="F59" i="18"/>
  <c r="H59" i="18"/>
  <c r="I59" i="18"/>
  <c r="J59" i="18"/>
  <c r="K59" i="18"/>
  <c r="L59" i="18"/>
  <c r="M59" i="18"/>
  <c r="J4" i="10"/>
  <c r="I5" i="10"/>
  <c r="H6" i="10"/>
  <c r="G7" i="10"/>
  <c r="F8" i="10"/>
  <c r="E9" i="10"/>
  <c r="D10" i="10"/>
  <c r="C11" i="10"/>
  <c r="M4" i="10"/>
  <c r="N5" i="10"/>
  <c r="O6" i="10"/>
  <c r="P7" i="10"/>
  <c r="Q8" i="10"/>
  <c r="R9" i="10"/>
  <c r="S10" i="10"/>
  <c r="T11" i="10"/>
  <c r="Q12" i="10"/>
  <c r="O12" i="10"/>
  <c r="M12" i="10"/>
  <c r="K12" i="10"/>
  <c r="I12" i="10"/>
  <c r="G12" i="10"/>
  <c r="E12" i="10"/>
  <c r="C12" i="10"/>
  <c r="R12" i="10"/>
  <c r="P12" i="10"/>
  <c r="N12" i="10"/>
  <c r="L12" i="10"/>
  <c r="J12" i="10"/>
  <c r="H12" i="10"/>
  <c r="F12" i="10"/>
  <c r="D12" i="10"/>
  <c r="D3" i="8"/>
  <c r="F3" i="8"/>
  <c r="D4" i="8"/>
  <c r="D5" i="8"/>
  <c r="E5" i="8"/>
  <c r="D6" i="8"/>
  <c r="E6" i="8"/>
  <c r="D7" i="8"/>
  <c r="D9" i="8"/>
  <c r="F9" i="8"/>
  <c r="D10" i="8"/>
  <c r="D13" i="8"/>
  <c r="F13" i="8"/>
  <c r="D15" i="8"/>
  <c r="F15" i="8"/>
  <c r="D16" i="8"/>
  <c r="D19" i="8"/>
  <c r="F19" i="8"/>
  <c r="D22" i="8"/>
  <c r="D25" i="8"/>
  <c r="D27" i="8"/>
  <c r="H29" i="8"/>
  <c r="I29" i="8"/>
  <c r="D29" i="8"/>
  <c r="H30" i="8"/>
  <c r="I30" i="8"/>
  <c r="D30" i="8"/>
  <c r="E30" i="8"/>
  <c r="H31" i="8"/>
  <c r="I31" i="8"/>
  <c r="D31" i="8"/>
  <c r="H32" i="8"/>
  <c r="I32" i="8"/>
  <c r="D32" i="8"/>
  <c r="H33" i="8"/>
  <c r="I33" i="8"/>
  <c r="D33" i="8"/>
  <c r="H34" i="8"/>
  <c r="I34" i="8"/>
  <c r="D34" i="8"/>
  <c r="G34" i="8"/>
  <c r="H35" i="8"/>
  <c r="I35" i="8"/>
  <c r="D35" i="8"/>
  <c r="H36" i="8"/>
  <c r="I36" i="8"/>
  <c r="D36" i="8"/>
  <c r="G36" i="8"/>
  <c r="D16" i="19"/>
  <c r="D35" i="19"/>
  <c r="A39" i="19"/>
  <c r="A41" i="19"/>
  <c r="H41" i="19"/>
  <c r="A43" i="19"/>
  <c r="A45" i="19"/>
  <c r="H45" i="19"/>
  <c r="A47" i="19"/>
  <c r="B47" i="19"/>
  <c r="A49" i="19"/>
  <c r="B49" i="19"/>
  <c r="I49" i="19"/>
  <c r="J49" i="19"/>
  <c r="K49" i="19"/>
  <c r="L49" i="19"/>
  <c r="M49" i="19"/>
  <c r="N49" i="19"/>
  <c r="O49" i="19"/>
  <c r="P49" i="19"/>
  <c r="Q49" i="19"/>
  <c r="R49" i="19"/>
  <c r="S49" i="19"/>
  <c r="A51" i="19"/>
  <c r="B51" i="19"/>
  <c r="A53" i="19"/>
  <c r="B53" i="19"/>
  <c r="A55" i="19"/>
  <c r="H55" i="19"/>
  <c r="A57" i="19"/>
  <c r="H57" i="19"/>
  <c r="A59" i="19"/>
  <c r="A61" i="19"/>
  <c r="D70" i="19"/>
  <c r="A74" i="19"/>
  <c r="H74" i="19"/>
  <c r="A76" i="19"/>
  <c r="A78" i="19"/>
  <c r="I78" i="19"/>
  <c r="J78" i="19"/>
  <c r="K78" i="19"/>
  <c r="L78" i="19"/>
  <c r="M78" i="19"/>
  <c r="N78" i="19"/>
  <c r="O78" i="19"/>
  <c r="P78" i="19"/>
  <c r="Q78" i="19"/>
  <c r="R78" i="19"/>
  <c r="S78" i="19"/>
  <c r="A80" i="19"/>
  <c r="I80" i="19"/>
  <c r="J80" i="19"/>
  <c r="K80" i="19"/>
  <c r="L80" i="19"/>
  <c r="M80" i="19"/>
  <c r="N80" i="19"/>
  <c r="O80" i="19"/>
  <c r="P80" i="19"/>
  <c r="Q80" i="19"/>
  <c r="R80" i="19"/>
  <c r="S80" i="19"/>
  <c r="A82" i="19"/>
  <c r="B82" i="19"/>
  <c r="A84" i="19"/>
  <c r="B84" i="19"/>
  <c r="A86" i="19"/>
  <c r="B86" i="19"/>
  <c r="I86" i="19"/>
  <c r="A88" i="19"/>
  <c r="B88" i="19"/>
  <c r="A90" i="19"/>
  <c r="A92" i="19"/>
  <c r="B92" i="19"/>
  <c r="A94" i="19"/>
  <c r="H94" i="19"/>
  <c r="A96" i="19"/>
  <c r="B96" i="19"/>
  <c r="D102" i="19"/>
  <c r="A106" i="19"/>
  <c r="B106" i="19"/>
  <c r="A108" i="19"/>
  <c r="A110" i="19"/>
  <c r="H110" i="19"/>
  <c r="A112" i="19"/>
  <c r="A114" i="19"/>
  <c r="B114" i="19"/>
  <c r="I114" i="19"/>
  <c r="J114" i="19"/>
  <c r="A116" i="19"/>
  <c r="B116" i="19"/>
  <c r="A118" i="19"/>
  <c r="B118" i="19"/>
  <c r="A120" i="19"/>
  <c r="B120" i="19"/>
  <c r="A122" i="19"/>
  <c r="B122" i="19"/>
  <c r="A124" i="19"/>
  <c r="B124" i="19"/>
  <c r="A126" i="19"/>
  <c r="A128" i="19"/>
  <c r="B128" i="19"/>
  <c r="D135" i="19"/>
  <c r="A139" i="19"/>
  <c r="H139" i="19"/>
  <c r="A141" i="19"/>
  <c r="A143" i="19"/>
  <c r="A145" i="19"/>
  <c r="H145" i="19"/>
  <c r="A147" i="19"/>
  <c r="A149" i="19"/>
  <c r="B149" i="19"/>
  <c r="A151" i="19"/>
  <c r="A153" i="19"/>
  <c r="B153" i="19"/>
  <c r="A155" i="19"/>
  <c r="A157" i="19"/>
  <c r="A159" i="19"/>
  <c r="A161" i="19"/>
  <c r="C161" i="19"/>
  <c r="D171" i="19"/>
  <c r="A175" i="19"/>
  <c r="H176" i="19"/>
  <c r="A177" i="19"/>
  <c r="A179" i="19"/>
  <c r="H179" i="19"/>
  <c r="A181" i="19"/>
  <c r="A183" i="19"/>
  <c r="B183" i="19"/>
  <c r="A185" i="19"/>
  <c r="B185" i="19"/>
  <c r="A187" i="19"/>
  <c r="B187" i="19"/>
  <c r="A189" i="19"/>
  <c r="A191" i="19"/>
  <c r="H191" i="19"/>
  <c r="A193" i="19"/>
  <c r="A195" i="19"/>
  <c r="A197" i="19"/>
  <c r="H197" i="19"/>
  <c r="D206" i="19"/>
  <c r="A210" i="19"/>
  <c r="B210" i="19"/>
  <c r="B212" i="19"/>
  <c r="H212" i="19"/>
  <c r="I214" i="19"/>
  <c r="J214" i="19"/>
  <c r="K214" i="19"/>
  <c r="L214" i="19"/>
  <c r="M214" i="19"/>
  <c r="N214" i="19"/>
  <c r="O214" i="19"/>
  <c r="P214" i="19"/>
  <c r="Q214" i="19"/>
  <c r="R214" i="19"/>
  <c r="S214" i="19"/>
  <c r="I216" i="19"/>
  <c r="J216" i="19"/>
  <c r="K216" i="19"/>
  <c r="L216" i="19"/>
  <c r="M216" i="19"/>
  <c r="N216" i="19"/>
  <c r="O216" i="19"/>
  <c r="P216" i="19"/>
  <c r="Q216" i="19"/>
  <c r="R216" i="19"/>
  <c r="S216" i="19"/>
  <c r="I218" i="19"/>
  <c r="J218" i="19"/>
  <c r="K218" i="19"/>
  <c r="L218" i="19"/>
  <c r="M218" i="19"/>
  <c r="N218" i="19"/>
  <c r="O218" i="19"/>
  <c r="P218" i="19"/>
  <c r="Q218" i="19"/>
  <c r="R218" i="19"/>
  <c r="S218" i="19"/>
  <c r="I220" i="19"/>
  <c r="J220" i="19"/>
  <c r="K220" i="19"/>
  <c r="L220" i="19"/>
  <c r="M220" i="19"/>
  <c r="N220" i="19"/>
  <c r="O220" i="19"/>
  <c r="P220" i="19"/>
  <c r="Q220" i="19"/>
  <c r="R220" i="19"/>
  <c r="S220" i="19"/>
  <c r="B222" i="19"/>
  <c r="I222" i="19"/>
  <c r="J222" i="19"/>
  <c r="K222" i="19"/>
  <c r="L222" i="19"/>
  <c r="M222" i="19"/>
  <c r="N222" i="19"/>
  <c r="O222" i="19"/>
  <c r="B224" i="19"/>
  <c r="I224" i="19"/>
  <c r="B226" i="19"/>
  <c r="H226" i="19"/>
  <c r="B228" i="19"/>
  <c r="H228" i="19"/>
  <c r="B230" i="19"/>
  <c r="H230" i="19"/>
  <c r="A232" i="19"/>
  <c r="H232" i="19"/>
  <c r="D241" i="19"/>
  <c r="A245" i="19"/>
  <c r="H245" i="19"/>
  <c r="A247" i="19"/>
  <c r="B247" i="19"/>
  <c r="A249" i="19"/>
  <c r="A251" i="19"/>
  <c r="B251" i="19"/>
  <c r="A253" i="19"/>
  <c r="A255" i="19"/>
  <c r="I255" i="19"/>
  <c r="J255" i="19"/>
  <c r="K255" i="19"/>
  <c r="L255" i="19"/>
  <c r="M255" i="19"/>
  <c r="N255" i="19"/>
  <c r="O255" i="19"/>
  <c r="P255" i="19"/>
  <c r="Q255" i="19"/>
  <c r="R255" i="19"/>
  <c r="S255" i="19"/>
  <c r="A257" i="19"/>
  <c r="C257" i="19"/>
  <c r="A259" i="19"/>
  <c r="A261" i="19"/>
  <c r="A263" i="19"/>
  <c r="A265" i="19"/>
  <c r="A267" i="19"/>
  <c r="H267" i="19"/>
  <c r="D273" i="19"/>
  <c r="A277" i="19"/>
  <c r="H277" i="19"/>
  <c r="A279" i="19"/>
  <c r="A281" i="19"/>
  <c r="B281" i="19"/>
  <c r="A283" i="19"/>
  <c r="A285" i="19"/>
  <c r="A287" i="19"/>
  <c r="I287" i="19"/>
  <c r="J287" i="19"/>
  <c r="K287" i="19"/>
  <c r="L287" i="19"/>
  <c r="M287" i="19"/>
  <c r="N287" i="19"/>
  <c r="O287" i="19"/>
  <c r="P287" i="19"/>
  <c r="Q287" i="19"/>
  <c r="R287" i="19"/>
  <c r="S287" i="19"/>
  <c r="A289" i="19"/>
  <c r="A291" i="19"/>
  <c r="B291" i="19"/>
  <c r="A293" i="19"/>
  <c r="H293" i="19"/>
  <c r="A295" i="19"/>
  <c r="A297" i="19"/>
  <c r="A299" i="19"/>
  <c r="D304" i="19"/>
  <c r="A308" i="19"/>
  <c r="H308" i="19"/>
  <c r="A310" i="19"/>
  <c r="B310" i="19"/>
  <c r="A312" i="19"/>
  <c r="H312" i="19"/>
  <c r="A314" i="19"/>
  <c r="B314" i="19"/>
  <c r="A316" i="19"/>
  <c r="A318" i="19"/>
  <c r="I318" i="19"/>
  <c r="J318" i="19"/>
  <c r="K318" i="19"/>
  <c r="L318" i="19"/>
  <c r="M318" i="19"/>
  <c r="N318" i="19"/>
  <c r="O318" i="19"/>
  <c r="P318" i="19"/>
  <c r="Q318" i="19"/>
  <c r="R318" i="19"/>
  <c r="S318" i="19"/>
  <c r="A320" i="19"/>
  <c r="A322" i="19"/>
  <c r="B322" i="19"/>
  <c r="I322" i="19"/>
  <c r="J322" i="19"/>
  <c r="K322" i="19"/>
  <c r="L322" i="19"/>
  <c r="M322" i="19"/>
  <c r="N322" i="19"/>
  <c r="O322" i="19"/>
  <c r="P322" i="19"/>
  <c r="Q322" i="19"/>
  <c r="R322" i="19"/>
  <c r="S322" i="19"/>
  <c r="A324" i="19"/>
  <c r="A326" i="19"/>
  <c r="H326" i="19"/>
  <c r="A328" i="19"/>
  <c r="A330" i="19"/>
  <c r="B330" i="19"/>
  <c r="D336" i="19"/>
  <c r="I337" i="19"/>
  <c r="B340" i="19"/>
  <c r="H340" i="19"/>
  <c r="B342" i="19"/>
  <c r="H342" i="19"/>
  <c r="B344" i="19"/>
  <c r="H344" i="19"/>
  <c r="B346" i="19"/>
  <c r="H346" i="19"/>
  <c r="B348" i="19"/>
  <c r="B350" i="19"/>
  <c r="I350" i="19"/>
  <c r="B352" i="19"/>
  <c r="B354" i="19"/>
  <c r="I354" i="19"/>
  <c r="B356" i="19"/>
  <c r="H356" i="19"/>
  <c r="B358" i="19"/>
  <c r="H358" i="19"/>
  <c r="B360" i="19"/>
  <c r="H360" i="19"/>
  <c r="B362" i="19"/>
  <c r="H362" i="19"/>
  <c r="I3" i="6"/>
  <c r="M3" i="6"/>
  <c r="N3" i="6"/>
  <c r="P3" i="6"/>
  <c r="Q3" i="6"/>
  <c r="T3" i="6"/>
  <c r="U3" i="6"/>
  <c r="M4" i="6"/>
  <c r="N4" i="6"/>
  <c r="P4" i="6"/>
  <c r="Q4" i="6"/>
  <c r="T4" i="6"/>
  <c r="U4" i="6"/>
  <c r="M5" i="6"/>
  <c r="N5" i="6"/>
  <c r="P5" i="6"/>
  <c r="Q5" i="6"/>
  <c r="T5" i="6"/>
  <c r="U5" i="6"/>
  <c r="M6" i="6"/>
  <c r="N6" i="6"/>
  <c r="P6" i="6"/>
  <c r="Q6" i="6"/>
  <c r="T6" i="6"/>
  <c r="U6" i="6"/>
  <c r="M7" i="6"/>
  <c r="N7" i="6"/>
  <c r="P7" i="6"/>
  <c r="Q7" i="6"/>
  <c r="T7" i="6"/>
  <c r="U7" i="6"/>
  <c r="M8" i="6"/>
  <c r="N8" i="6"/>
  <c r="P8" i="6"/>
  <c r="Q8" i="6"/>
  <c r="T8" i="6"/>
  <c r="U8" i="6"/>
  <c r="M9" i="6"/>
  <c r="N9" i="6"/>
  <c r="P9" i="6"/>
  <c r="Q9" i="6"/>
  <c r="T9" i="6"/>
  <c r="U9" i="6"/>
  <c r="T11" i="6"/>
  <c r="D12" i="6"/>
  <c r="G12" i="6"/>
  <c r="J12" i="6"/>
  <c r="M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D13" i="6"/>
  <c r="G13" i="6"/>
  <c r="J13" i="6"/>
  <c r="M13" i="6"/>
  <c r="D14" i="6"/>
  <c r="G14" i="6"/>
  <c r="J14" i="6"/>
  <c r="M14" i="6"/>
  <c r="D15" i="6"/>
  <c r="G15" i="6"/>
  <c r="J15" i="6"/>
  <c r="M15" i="6"/>
  <c r="D16" i="6"/>
  <c r="G16" i="6"/>
  <c r="J16" i="6"/>
  <c r="M16" i="6"/>
  <c r="D17" i="6"/>
  <c r="G17" i="6"/>
  <c r="J17" i="6"/>
  <c r="M17" i="6"/>
  <c r="D18" i="6"/>
  <c r="G18" i="6"/>
  <c r="J18" i="6"/>
  <c r="M18" i="6"/>
  <c r="D19" i="6"/>
  <c r="G19" i="6"/>
  <c r="J19" i="6"/>
  <c r="M19" i="6"/>
  <c r="D20" i="6"/>
  <c r="G20" i="6"/>
  <c r="J20" i="6"/>
  <c r="M20" i="6"/>
  <c r="D21" i="6"/>
  <c r="G21" i="6"/>
  <c r="J21" i="6"/>
  <c r="M21" i="6"/>
  <c r="D22" i="6"/>
  <c r="G22" i="6"/>
  <c r="J22" i="6"/>
  <c r="M22" i="6"/>
  <c r="D23" i="6"/>
  <c r="G23" i="6"/>
  <c r="J23" i="6"/>
  <c r="M23" i="6"/>
  <c r="D24" i="6"/>
  <c r="G24" i="6"/>
  <c r="J24" i="6"/>
  <c r="M24" i="6"/>
  <c r="D25" i="6"/>
  <c r="G25" i="6"/>
  <c r="J25" i="6"/>
  <c r="M25" i="6"/>
  <c r="D26" i="6"/>
  <c r="G26" i="6"/>
  <c r="J26" i="6"/>
  <c r="M26" i="6"/>
  <c r="D27" i="6"/>
  <c r="G27" i="6"/>
  <c r="J27" i="6"/>
  <c r="M27" i="6"/>
  <c r="D28" i="6"/>
  <c r="G28" i="6"/>
  <c r="J28" i="6"/>
  <c r="M28" i="6"/>
  <c r="D29" i="6"/>
  <c r="G29" i="6"/>
  <c r="J29" i="6"/>
  <c r="M29" i="6"/>
  <c r="D30" i="6"/>
  <c r="G30" i="6"/>
  <c r="J30" i="6"/>
  <c r="M30" i="6"/>
  <c r="D31" i="6"/>
  <c r="G31" i="6"/>
  <c r="J31" i="6"/>
  <c r="M31" i="6"/>
  <c r="D32" i="6"/>
  <c r="G32" i="6"/>
  <c r="J32" i="6"/>
  <c r="M32" i="6"/>
  <c r="D33" i="6"/>
  <c r="G33" i="6"/>
  <c r="J33" i="6"/>
  <c r="M33" i="6"/>
  <c r="D34" i="6"/>
  <c r="G34" i="6"/>
  <c r="J34" i="6"/>
  <c r="M34" i="6"/>
  <c r="D35" i="6"/>
  <c r="G35" i="6"/>
  <c r="J35" i="6"/>
  <c r="M35" i="6"/>
  <c r="D36" i="6"/>
  <c r="G36" i="6"/>
  <c r="J36" i="6"/>
  <c r="M36" i="6"/>
  <c r="D37" i="6"/>
  <c r="G37" i="6"/>
  <c r="J37" i="6"/>
  <c r="M37" i="6"/>
  <c r="D38" i="6"/>
  <c r="G38" i="6"/>
  <c r="J38" i="6"/>
  <c r="M38" i="6"/>
  <c r="A39" i="6"/>
  <c r="A23" i="6"/>
  <c r="A37" i="6"/>
  <c r="A21" i="6"/>
  <c r="A35" i="6"/>
  <c r="A19" i="6"/>
  <c r="D39" i="6"/>
  <c r="G39" i="6"/>
  <c r="J39" i="6"/>
  <c r="M39" i="6"/>
  <c r="D40" i="6"/>
  <c r="G40" i="6"/>
  <c r="J40" i="6"/>
  <c r="M40" i="6"/>
  <c r="D41" i="6"/>
  <c r="G41" i="6"/>
  <c r="J41" i="6"/>
  <c r="M41" i="6"/>
  <c r="D47" i="6"/>
  <c r="G47" i="6"/>
  <c r="J47" i="6"/>
  <c r="M47" i="6"/>
  <c r="D48" i="6"/>
  <c r="G48" i="6"/>
  <c r="J48" i="6"/>
  <c r="M48" i="6"/>
  <c r="D49" i="6"/>
  <c r="G49" i="6"/>
  <c r="J49" i="6"/>
  <c r="M49" i="6"/>
  <c r="D50" i="6"/>
  <c r="G50" i="6"/>
  <c r="J50" i="6"/>
  <c r="M50" i="6"/>
  <c r="D51" i="6"/>
  <c r="G51" i="6"/>
  <c r="J51" i="6"/>
  <c r="M51" i="6"/>
  <c r="D52" i="6"/>
  <c r="G52" i="6"/>
  <c r="J52" i="6"/>
  <c r="M52" i="6"/>
  <c r="D53" i="6"/>
  <c r="G53" i="6"/>
  <c r="J53" i="6"/>
  <c r="M53" i="6"/>
  <c r="D54" i="6"/>
  <c r="G54" i="6"/>
  <c r="J54" i="6"/>
  <c r="M54" i="6"/>
  <c r="D55" i="6"/>
  <c r="G55" i="6"/>
  <c r="J55" i="6"/>
  <c r="M55" i="6"/>
  <c r="D56" i="6"/>
  <c r="G56" i="6"/>
  <c r="J56" i="6"/>
  <c r="M56" i="6"/>
  <c r="D57" i="6"/>
  <c r="G57" i="6"/>
  <c r="J57" i="6"/>
  <c r="M57" i="6"/>
  <c r="D58" i="6"/>
  <c r="G58" i="6"/>
  <c r="J58" i="6"/>
  <c r="M58" i="6"/>
  <c r="D59" i="6"/>
  <c r="G59" i="6"/>
  <c r="J59" i="6"/>
  <c r="M59" i="6"/>
  <c r="D60" i="6"/>
  <c r="G60" i="6"/>
  <c r="J60" i="6"/>
  <c r="M60" i="6"/>
  <c r="D61" i="6"/>
  <c r="G61" i="6"/>
  <c r="J61" i="6"/>
  <c r="M61" i="6"/>
  <c r="D62" i="6"/>
  <c r="G62" i="6"/>
  <c r="J62" i="6"/>
  <c r="M62" i="6"/>
  <c r="D63" i="6"/>
  <c r="G63" i="6"/>
  <c r="J63" i="6"/>
  <c r="M63" i="6"/>
  <c r="D64" i="6"/>
  <c r="G64" i="6"/>
  <c r="J64" i="6"/>
  <c r="M64" i="6"/>
  <c r="D65" i="6"/>
  <c r="G65" i="6"/>
  <c r="J65" i="6"/>
  <c r="M65" i="6"/>
  <c r="D66" i="6"/>
  <c r="G66" i="6"/>
  <c r="J66" i="6"/>
  <c r="M66" i="6"/>
  <c r="D67" i="6"/>
  <c r="G67" i="6"/>
  <c r="J67" i="6"/>
  <c r="M67" i="6"/>
  <c r="D68" i="6"/>
  <c r="G68" i="6"/>
  <c r="J68" i="6"/>
  <c r="M68" i="6"/>
  <c r="D69" i="6"/>
  <c r="G69" i="6"/>
  <c r="J69" i="6"/>
  <c r="M69" i="6"/>
  <c r="D70" i="6"/>
  <c r="G70" i="6"/>
  <c r="J70" i="6"/>
  <c r="M70" i="6"/>
  <c r="D71" i="6"/>
  <c r="G71" i="6"/>
  <c r="J71" i="6"/>
  <c r="M71" i="6"/>
  <c r="D72" i="6"/>
  <c r="G72" i="6"/>
  <c r="J72" i="6"/>
  <c r="M72" i="6"/>
  <c r="D73" i="6"/>
  <c r="G73" i="6"/>
  <c r="J73" i="6"/>
  <c r="M73" i="6"/>
  <c r="D74" i="6"/>
  <c r="G74" i="6"/>
  <c r="J74" i="6"/>
  <c r="M74" i="6"/>
  <c r="D75" i="6"/>
  <c r="G75" i="6"/>
  <c r="J75" i="6"/>
  <c r="M75" i="6"/>
  <c r="D76" i="6"/>
  <c r="G76" i="6"/>
  <c r="J76" i="6"/>
  <c r="M76" i="6"/>
  <c r="I11" i="14"/>
  <c r="I8" i="14"/>
  <c r="C8" i="33"/>
  <c r="T8" i="14"/>
  <c r="I3" i="14"/>
  <c r="C3" i="33"/>
  <c r="I4" i="14"/>
  <c r="C4" i="33"/>
  <c r="U5" i="14"/>
  <c r="I10" i="14"/>
  <c r="I7" i="14"/>
  <c r="C7" i="33"/>
  <c r="U7" i="14"/>
  <c r="U9" i="14"/>
  <c r="I6" i="14"/>
  <c r="C6" i="33"/>
  <c r="C17" i="14"/>
  <c r="C18" i="14"/>
  <c r="C19" i="14"/>
  <c r="C20" i="14"/>
  <c r="C21" i="14"/>
  <c r="C22" i="14"/>
  <c r="C23" i="14"/>
  <c r="C24" i="14"/>
  <c r="C25" i="14"/>
  <c r="C26" i="14"/>
  <c r="C27" i="14"/>
  <c r="F46" i="14"/>
  <c r="L215" i="14"/>
  <c r="L216" i="14"/>
  <c r="N216" i="14"/>
  <c r="N217" i="14"/>
  <c r="N218" i="14"/>
  <c r="N219" i="14"/>
  <c r="N220" i="14"/>
  <c r="N221" i="14"/>
  <c r="N222" i="14"/>
  <c r="N223" i="14"/>
  <c r="N224" i="14"/>
  <c r="N225" i="14"/>
  <c r="N226" i="14"/>
  <c r="N227" i="14"/>
  <c r="N228" i="14"/>
  <c r="N229" i="14"/>
  <c r="N230" i="14"/>
  <c r="N231" i="14"/>
  <c r="N232" i="14"/>
  <c r="N233" i="14"/>
  <c r="N234" i="14"/>
  <c r="N235" i="14"/>
  <c r="L217" i="14"/>
  <c r="L218" i="14"/>
  <c r="L219" i="14"/>
  <c r="L220" i="14"/>
  <c r="L221" i="14"/>
  <c r="L222" i="14"/>
  <c r="L223" i="14"/>
  <c r="L224" i="14"/>
  <c r="L225" i="14"/>
  <c r="L226" i="14"/>
  <c r="L227" i="14"/>
  <c r="L228" i="14"/>
  <c r="L229" i="14"/>
  <c r="L230" i="14"/>
  <c r="L231" i="14"/>
  <c r="L232" i="14"/>
  <c r="L233" i="14"/>
  <c r="L234" i="14"/>
  <c r="L235" i="14"/>
  <c r="L236" i="14"/>
  <c r="L237" i="14"/>
  <c r="L238" i="14"/>
  <c r="L239" i="14"/>
  <c r="L240" i="14"/>
  <c r="L241" i="14"/>
  <c r="L242" i="14"/>
  <c r="N495" i="14"/>
  <c r="P495" i="14"/>
  <c r="Q495" i="14"/>
  <c r="R495" i="14"/>
  <c r="K496" i="14"/>
  <c r="N496" i="14"/>
  <c r="P496" i="14"/>
  <c r="Q496" i="14"/>
  <c r="R496" i="14"/>
  <c r="K497" i="14"/>
  <c r="N497" i="14"/>
  <c r="P497" i="14"/>
  <c r="Q497" i="14"/>
  <c r="R497" i="14"/>
  <c r="K498" i="14"/>
  <c r="N498" i="14"/>
  <c r="P498" i="14"/>
  <c r="Q498" i="14"/>
  <c r="R498" i="14"/>
  <c r="K499" i="14"/>
  <c r="N499" i="14"/>
  <c r="P499" i="14"/>
  <c r="Q499" i="14"/>
  <c r="R499" i="14"/>
  <c r="K500" i="14"/>
  <c r="N500" i="14"/>
  <c r="P500" i="14"/>
  <c r="Q500" i="14"/>
  <c r="R500" i="14"/>
  <c r="K501" i="14"/>
  <c r="N501" i="14"/>
  <c r="P501" i="14"/>
  <c r="Q501" i="14"/>
  <c r="R501" i="14"/>
  <c r="K502" i="14"/>
  <c r="N502" i="14"/>
  <c r="P502" i="14"/>
  <c r="Q502" i="14"/>
  <c r="R502" i="14"/>
  <c r="K503" i="14"/>
  <c r="N503" i="14"/>
  <c r="P503" i="14"/>
  <c r="Q503" i="14"/>
  <c r="R503" i="14"/>
  <c r="K504" i="14"/>
  <c r="N504" i="14"/>
  <c r="P504" i="14"/>
  <c r="Q504" i="14"/>
  <c r="R504" i="14"/>
  <c r="E507" i="14"/>
  <c r="B510" i="14"/>
  <c r="C512" i="14"/>
  <c r="A15" i="20"/>
  <c r="A16" i="20"/>
  <c r="A17" i="20"/>
  <c r="A18" i="20"/>
  <c r="A19" i="20"/>
  <c r="A20" i="20"/>
  <c r="A21" i="20"/>
  <c r="A22" i="20"/>
  <c r="A23" i="20"/>
  <c r="A24" i="20"/>
  <c r="A25" i="20"/>
  <c r="A26" i="20"/>
  <c r="A27" i="20"/>
  <c r="A28" i="20"/>
  <c r="A40" i="20"/>
  <c r="A41" i="20"/>
  <c r="A42" i="20"/>
  <c r="A43" i="20"/>
  <c r="A44" i="20"/>
  <c r="A45" i="20"/>
  <c r="A46" i="20"/>
  <c r="A47" i="20"/>
  <c r="A48" i="20"/>
  <c r="A49" i="20"/>
  <c r="A50" i="20"/>
  <c r="A73" i="20"/>
  <c r="A74" i="20"/>
  <c r="A75" i="20"/>
  <c r="A76" i="20"/>
  <c r="A77" i="20"/>
  <c r="A78" i="20"/>
  <c r="A79" i="20"/>
  <c r="A80" i="20"/>
  <c r="A81" i="20"/>
  <c r="A82" i="20"/>
  <c r="A83" i="20"/>
  <c r="A84" i="20"/>
  <c r="B82" i="20"/>
  <c r="B94" i="20"/>
  <c r="B83" i="20"/>
  <c r="B95" i="20"/>
  <c r="Z83" i="20"/>
  <c r="Z165" i="20"/>
  <c r="A85" i="20"/>
  <c r="A86" i="20"/>
  <c r="A87" i="20"/>
  <c r="A88" i="20"/>
  <c r="A89" i="20"/>
  <c r="A90" i="20"/>
  <c r="A91" i="20"/>
  <c r="A92" i="20"/>
  <c r="A93" i="20"/>
  <c r="A94" i="20"/>
  <c r="A95" i="20"/>
  <c r="A96" i="20"/>
  <c r="A97" i="20"/>
  <c r="A98" i="20"/>
  <c r="A99" i="20"/>
  <c r="A100" i="20"/>
  <c r="A101" i="20"/>
  <c r="A102" i="20"/>
  <c r="A103" i="20"/>
  <c r="A104" i="20"/>
  <c r="A105" i="20"/>
  <c r="A106" i="20"/>
  <c r="A107" i="20"/>
  <c r="A108" i="20"/>
  <c r="A109" i="20"/>
  <c r="D98" i="20"/>
  <c r="E98" i="20"/>
  <c r="F98" i="20"/>
  <c r="G98" i="20"/>
  <c r="H98" i="20"/>
  <c r="I98" i="20"/>
  <c r="J98" i="20"/>
  <c r="A110" i="20"/>
  <c r="A111" i="20"/>
  <c r="A112" i="20"/>
  <c r="A113" i="20"/>
  <c r="A114" i="20"/>
  <c r="A115" i="20"/>
  <c r="A116" i="20"/>
  <c r="A117" i="20"/>
  <c r="A118" i="20"/>
  <c r="A119" i="20"/>
  <c r="C111" i="20"/>
  <c r="D111" i="20"/>
  <c r="E111" i="20"/>
  <c r="F111" i="20"/>
  <c r="G111" i="20"/>
  <c r="H111" i="20"/>
  <c r="I111" i="20"/>
  <c r="J111" i="20"/>
  <c r="K111" i="20"/>
  <c r="L111" i="20"/>
  <c r="M111" i="20"/>
  <c r="N111" i="20"/>
  <c r="O111" i="20"/>
  <c r="A120" i="20"/>
  <c r="A121" i="20"/>
  <c r="A122" i="20"/>
  <c r="A123" i="20"/>
  <c r="A124" i="20"/>
  <c r="A125" i="20"/>
  <c r="A126" i="20"/>
  <c r="A127" i="20"/>
  <c r="A128" i="20"/>
  <c r="A129" i="20"/>
  <c r="C121" i="20"/>
  <c r="D121" i="20"/>
  <c r="E121" i="20"/>
  <c r="F121" i="20"/>
  <c r="G121" i="20"/>
  <c r="H121" i="20"/>
  <c r="I121" i="20"/>
  <c r="J121" i="20"/>
  <c r="K121" i="20"/>
  <c r="L121" i="20"/>
  <c r="M121" i="20"/>
  <c r="N121" i="20"/>
  <c r="O121" i="20"/>
  <c r="Q121" i="20"/>
  <c r="Q131" i="20"/>
  <c r="A130" i="20"/>
  <c r="A131" i="20"/>
  <c r="A132" i="20"/>
  <c r="A133" i="20"/>
  <c r="A134" i="20"/>
  <c r="A135" i="20"/>
  <c r="A136" i="20"/>
  <c r="A137" i="20"/>
  <c r="A138" i="20"/>
  <c r="A139" i="20"/>
  <c r="A140" i="20"/>
  <c r="A141" i="20"/>
  <c r="A142" i="20"/>
  <c r="A143" i="20"/>
  <c r="A144" i="20"/>
  <c r="A145" i="20"/>
  <c r="A146" i="20"/>
  <c r="A147" i="20"/>
  <c r="A148" i="20"/>
  <c r="A149" i="20"/>
  <c r="C131" i="20"/>
  <c r="D131" i="20"/>
  <c r="E131" i="20"/>
  <c r="F131" i="20"/>
  <c r="G131" i="20"/>
  <c r="H131" i="20"/>
  <c r="I131" i="20"/>
  <c r="J131" i="20"/>
  <c r="K131" i="20"/>
  <c r="L131" i="20"/>
  <c r="M131" i="20"/>
  <c r="N131" i="20"/>
  <c r="O131" i="20"/>
  <c r="B151" i="20"/>
  <c r="AM153" i="20"/>
  <c r="AN153" i="20"/>
  <c r="AO153" i="20"/>
  <c r="AP153" i="20"/>
  <c r="AQ153" i="20"/>
  <c r="AR153" i="20"/>
  <c r="AS153" i="20"/>
  <c r="AT153" i="20"/>
  <c r="AU153" i="20"/>
  <c r="AV153" i="20"/>
  <c r="AW153" i="20"/>
  <c r="AM154" i="20"/>
  <c r="AN154" i="20"/>
  <c r="AO154" i="20"/>
  <c r="AP154" i="20"/>
  <c r="AQ154" i="20"/>
  <c r="AR154" i="20"/>
  <c r="AS154" i="20"/>
  <c r="AT154" i="20"/>
  <c r="AU154" i="20"/>
  <c r="AV154" i="20"/>
  <c r="AW154" i="20"/>
  <c r="AM155" i="20"/>
  <c r="AN155" i="20"/>
  <c r="AO155" i="20"/>
  <c r="AP155" i="20"/>
  <c r="AQ155" i="20"/>
  <c r="AR155" i="20"/>
  <c r="AS155" i="20"/>
  <c r="AT155" i="20"/>
  <c r="AU155" i="20"/>
  <c r="AV155" i="20"/>
  <c r="AW155" i="20"/>
  <c r="AM156" i="20"/>
  <c r="AN156" i="20"/>
  <c r="AO156" i="20"/>
  <c r="AP156" i="20"/>
  <c r="AQ156" i="20"/>
  <c r="AR156" i="20"/>
  <c r="AS156" i="20"/>
  <c r="AT156" i="20"/>
  <c r="AU156" i="20"/>
  <c r="AV156" i="20"/>
  <c r="AW156" i="20"/>
  <c r="AM157" i="20"/>
  <c r="AN157" i="20"/>
  <c r="AO157" i="20"/>
  <c r="AP157" i="20"/>
  <c r="AQ157" i="20"/>
  <c r="AR157" i="20"/>
  <c r="AS157" i="20"/>
  <c r="AT157" i="20"/>
  <c r="AU157" i="20"/>
  <c r="AV157" i="20"/>
  <c r="AW157" i="20"/>
  <c r="AM158" i="20"/>
  <c r="AN158" i="20"/>
  <c r="AO158" i="20"/>
  <c r="AP158" i="20"/>
  <c r="AQ158" i="20"/>
  <c r="AR158" i="20"/>
  <c r="AS158" i="20"/>
  <c r="AT158" i="20"/>
  <c r="AU158" i="20"/>
  <c r="AV158" i="20"/>
  <c r="AW158" i="20"/>
  <c r="AM159" i="20"/>
  <c r="AN159" i="20"/>
  <c r="AO159" i="20"/>
  <c r="AP159" i="20"/>
  <c r="AQ159" i="20"/>
  <c r="AR159" i="20"/>
  <c r="AS159" i="20"/>
  <c r="AT159" i="20"/>
  <c r="AU159" i="20"/>
  <c r="AV159" i="20"/>
  <c r="AW159" i="20"/>
  <c r="AM160" i="20"/>
  <c r="AN160" i="20"/>
  <c r="AO160" i="20"/>
  <c r="AP160" i="20"/>
  <c r="AQ160" i="20"/>
  <c r="AR160" i="20"/>
  <c r="AS160" i="20"/>
  <c r="AT160" i="20"/>
  <c r="AU160" i="20"/>
  <c r="AV160" i="20"/>
  <c r="AW160" i="20"/>
  <c r="AA161" i="20"/>
  <c r="AB161" i="20"/>
  <c r="AC161" i="20"/>
  <c r="AD161" i="20"/>
  <c r="AE161" i="20"/>
  <c r="AF161" i="20"/>
  <c r="AG161" i="20"/>
  <c r="AH161" i="20"/>
  <c r="AI161" i="20"/>
  <c r="AJ161" i="20"/>
  <c r="AK161" i="20"/>
  <c r="B165" i="20"/>
  <c r="AM167" i="20"/>
  <c r="AN167" i="20"/>
  <c r="AO167" i="20"/>
  <c r="AP167" i="20"/>
  <c r="AQ167" i="20"/>
  <c r="AR167" i="20"/>
  <c r="AS167" i="20"/>
  <c r="AT167" i="20"/>
  <c r="AU167" i="20"/>
  <c r="AV167" i="20"/>
  <c r="AW167" i="20"/>
  <c r="AM168" i="20"/>
  <c r="AN168" i="20"/>
  <c r="AO168" i="20"/>
  <c r="AP168" i="20"/>
  <c r="AQ168" i="20"/>
  <c r="AR168" i="20"/>
  <c r="AS168" i="20"/>
  <c r="AT168" i="20"/>
  <c r="AU168" i="20"/>
  <c r="AV168" i="20"/>
  <c r="AW168" i="20"/>
  <c r="AM169" i="20"/>
  <c r="AN169" i="20"/>
  <c r="AO169" i="20"/>
  <c r="AP169" i="20"/>
  <c r="AQ169" i="20"/>
  <c r="AR169" i="20"/>
  <c r="AS169" i="20"/>
  <c r="AT169" i="20"/>
  <c r="AU169" i="20"/>
  <c r="AV169" i="20"/>
  <c r="AW169" i="20"/>
  <c r="AM170" i="20"/>
  <c r="AN170" i="20"/>
  <c r="AO170" i="20"/>
  <c r="AP170" i="20"/>
  <c r="AQ170" i="20"/>
  <c r="AR170" i="20"/>
  <c r="AS170" i="20"/>
  <c r="AT170" i="20"/>
  <c r="AU170" i="20"/>
  <c r="AV170" i="20"/>
  <c r="AW170" i="20"/>
  <c r="AM171" i="20"/>
  <c r="AN171" i="20"/>
  <c r="AO171" i="20"/>
  <c r="AP171" i="20"/>
  <c r="AQ171" i="20"/>
  <c r="AR171" i="20"/>
  <c r="AS171" i="20"/>
  <c r="AT171" i="20"/>
  <c r="AU171" i="20"/>
  <c r="AV171" i="20"/>
  <c r="AW171" i="20"/>
  <c r="AM172" i="20"/>
  <c r="AN172" i="20"/>
  <c r="AO172" i="20"/>
  <c r="AP172" i="20"/>
  <c r="AQ172" i="20"/>
  <c r="AR172" i="20"/>
  <c r="AS172" i="20"/>
  <c r="AT172" i="20"/>
  <c r="AU172" i="20"/>
  <c r="AV172" i="20"/>
  <c r="AW172" i="20"/>
  <c r="AM173" i="20"/>
  <c r="AN173" i="20"/>
  <c r="AO173" i="20"/>
  <c r="AP173" i="20"/>
  <c r="AQ173" i="20"/>
  <c r="AR173" i="20"/>
  <c r="AS173" i="20"/>
  <c r="AT173" i="20"/>
  <c r="AU173" i="20"/>
  <c r="AV173" i="20"/>
  <c r="AW173" i="20"/>
  <c r="AM174" i="20"/>
  <c r="AN174" i="20"/>
  <c r="AO174" i="20"/>
  <c r="AP174" i="20"/>
  <c r="AQ174" i="20"/>
  <c r="AR174" i="20"/>
  <c r="AS174" i="20"/>
  <c r="AT174" i="20"/>
  <c r="AU174" i="20"/>
  <c r="AV174" i="20"/>
  <c r="AW174" i="20"/>
  <c r="AA175" i="20"/>
  <c r="AB175" i="20"/>
  <c r="AC175" i="20"/>
  <c r="AD175" i="20"/>
  <c r="AE175" i="20"/>
  <c r="AF175" i="20"/>
  <c r="AG175" i="20"/>
  <c r="AH175" i="20"/>
  <c r="AI175" i="20"/>
  <c r="AJ175" i="20"/>
  <c r="AK175" i="20"/>
  <c r="B179" i="20"/>
  <c r="B189" i="20"/>
  <c r="B19" i="20"/>
  <c r="AM181" i="20"/>
  <c r="AN181" i="20"/>
  <c r="AO181" i="20"/>
  <c r="AP181" i="20"/>
  <c r="AQ181" i="20"/>
  <c r="AR181" i="20"/>
  <c r="AS181" i="20"/>
  <c r="AT181" i="20"/>
  <c r="AU181" i="20"/>
  <c r="AV181" i="20"/>
  <c r="AW181" i="20"/>
  <c r="AM182" i="20"/>
  <c r="AN182" i="20"/>
  <c r="AO182" i="20"/>
  <c r="AP182" i="20"/>
  <c r="AQ182" i="20"/>
  <c r="AR182" i="20"/>
  <c r="AS182" i="20"/>
  <c r="AT182" i="20"/>
  <c r="AU182" i="20"/>
  <c r="AV182" i="20"/>
  <c r="AW182" i="20"/>
  <c r="AM183" i="20"/>
  <c r="AN183" i="20"/>
  <c r="AO183" i="20"/>
  <c r="AP183" i="20"/>
  <c r="AQ183" i="20"/>
  <c r="AR183" i="20"/>
  <c r="AS183" i="20"/>
  <c r="AT183" i="20"/>
  <c r="AU183" i="20"/>
  <c r="AV183" i="20"/>
  <c r="AW183" i="20"/>
  <c r="AM184" i="20"/>
  <c r="AN184" i="20"/>
  <c r="AO184" i="20"/>
  <c r="AP184" i="20"/>
  <c r="AQ184" i="20"/>
  <c r="AR184" i="20"/>
  <c r="AS184" i="20"/>
  <c r="AT184" i="20"/>
  <c r="AU184" i="20"/>
  <c r="AV184" i="20"/>
  <c r="AW184" i="20"/>
  <c r="AM185" i="20"/>
  <c r="AN185" i="20"/>
  <c r="AO185" i="20"/>
  <c r="AP185" i="20"/>
  <c r="AQ185" i="20"/>
  <c r="AR185" i="20"/>
  <c r="AS185" i="20"/>
  <c r="AT185" i="20"/>
  <c r="AU185" i="20"/>
  <c r="AV185" i="20"/>
  <c r="AW185" i="20"/>
  <c r="AM186" i="20"/>
  <c r="AN186" i="20"/>
  <c r="AO186" i="20"/>
  <c r="AP186" i="20"/>
  <c r="AQ186" i="20"/>
  <c r="AR186" i="20"/>
  <c r="AS186" i="20"/>
  <c r="AT186" i="20"/>
  <c r="AU186" i="20"/>
  <c r="AV186" i="20"/>
  <c r="AW186" i="20"/>
  <c r="AM187" i="20"/>
  <c r="AN187" i="20"/>
  <c r="AO187" i="20"/>
  <c r="AP187" i="20"/>
  <c r="AQ187" i="20"/>
  <c r="AR187" i="20"/>
  <c r="AS187" i="20"/>
  <c r="AT187" i="20"/>
  <c r="AU187" i="20"/>
  <c r="AV187" i="20"/>
  <c r="AW187" i="20"/>
  <c r="AM188" i="20"/>
  <c r="AN188" i="20"/>
  <c r="AO188" i="20"/>
  <c r="AP188" i="20"/>
  <c r="AQ188" i="20"/>
  <c r="AR188" i="20"/>
  <c r="AS188" i="20"/>
  <c r="AT188" i="20"/>
  <c r="AU188" i="20"/>
  <c r="AV188" i="20"/>
  <c r="AW188" i="20"/>
  <c r="AA189" i="20"/>
  <c r="AB189" i="20"/>
  <c r="AC189" i="20"/>
  <c r="AD189" i="20"/>
  <c r="AF189" i="20"/>
  <c r="AG189" i="20"/>
  <c r="AH189" i="20"/>
  <c r="AI189" i="20"/>
  <c r="AJ189" i="20"/>
  <c r="AK189" i="20"/>
  <c r="B193" i="20"/>
  <c r="AM195" i="20"/>
  <c r="AN195" i="20"/>
  <c r="AO195" i="20"/>
  <c r="AP195" i="20"/>
  <c r="AQ195" i="20"/>
  <c r="AR195" i="20"/>
  <c r="AS195" i="20"/>
  <c r="AT195" i="20"/>
  <c r="AU195" i="20"/>
  <c r="AV195" i="20"/>
  <c r="AW195" i="20"/>
  <c r="AM196" i="20"/>
  <c r="AN196" i="20"/>
  <c r="AO196" i="20"/>
  <c r="AP196" i="20"/>
  <c r="AQ196" i="20"/>
  <c r="AR196" i="20"/>
  <c r="AS196" i="20"/>
  <c r="AT196" i="20"/>
  <c r="AU196" i="20"/>
  <c r="AV196" i="20"/>
  <c r="AW196" i="20"/>
  <c r="AM197" i="20"/>
  <c r="AN197" i="20"/>
  <c r="AO197" i="20"/>
  <c r="AP197" i="20"/>
  <c r="AQ197" i="20"/>
  <c r="AR197" i="20"/>
  <c r="AS197" i="20"/>
  <c r="AT197" i="20"/>
  <c r="AU197" i="20"/>
  <c r="AV197" i="20"/>
  <c r="AW197" i="20"/>
  <c r="AM198" i="20"/>
  <c r="AN198" i="20"/>
  <c r="AO198" i="20"/>
  <c r="AP198" i="20"/>
  <c r="AQ198" i="20"/>
  <c r="AR198" i="20"/>
  <c r="AS198" i="20"/>
  <c r="AT198" i="20"/>
  <c r="AU198" i="20"/>
  <c r="AV198" i="20"/>
  <c r="AW198" i="20"/>
  <c r="AM199" i="20"/>
  <c r="AN199" i="20"/>
  <c r="AO199" i="20"/>
  <c r="AP199" i="20"/>
  <c r="AQ199" i="20"/>
  <c r="AR199" i="20"/>
  <c r="AS199" i="20"/>
  <c r="AT199" i="20"/>
  <c r="AU199" i="20"/>
  <c r="AV199" i="20"/>
  <c r="AW199" i="20"/>
  <c r="AM200" i="20"/>
  <c r="AN200" i="20"/>
  <c r="AO200" i="20"/>
  <c r="AP200" i="20"/>
  <c r="AQ200" i="20"/>
  <c r="AR200" i="20"/>
  <c r="AS200" i="20"/>
  <c r="AT200" i="20"/>
  <c r="AU200" i="20"/>
  <c r="AV200" i="20"/>
  <c r="AW200" i="20"/>
  <c r="AM201" i="20"/>
  <c r="AN201" i="20"/>
  <c r="AO201" i="20"/>
  <c r="AP201" i="20"/>
  <c r="AQ201" i="20"/>
  <c r="AR201" i="20"/>
  <c r="AS201" i="20"/>
  <c r="AT201" i="20"/>
  <c r="AU201" i="20"/>
  <c r="AV201" i="20"/>
  <c r="AW201" i="20"/>
  <c r="AM202" i="20"/>
  <c r="AN202" i="20"/>
  <c r="AO202" i="20"/>
  <c r="AP202" i="20"/>
  <c r="AQ202" i="20"/>
  <c r="AR202" i="20"/>
  <c r="AS202" i="20"/>
  <c r="AT202" i="20"/>
  <c r="AU202" i="20"/>
  <c r="AV202" i="20"/>
  <c r="AW202" i="20"/>
  <c r="AA203" i="20"/>
  <c r="AB203" i="20"/>
  <c r="AC203" i="20"/>
  <c r="AD203" i="20"/>
  <c r="AE203" i="20"/>
  <c r="AF203" i="20"/>
  <c r="AG203" i="20"/>
  <c r="AH203" i="20"/>
  <c r="AI203" i="20"/>
  <c r="AJ203" i="20"/>
  <c r="AK203" i="20"/>
  <c r="B207" i="20"/>
  <c r="AM209" i="20"/>
  <c r="AN209" i="20"/>
  <c r="AO209" i="20"/>
  <c r="AP209" i="20"/>
  <c r="AQ209" i="20"/>
  <c r="AR209" i="20"/>
  <c r="AS209" i="20"/>
  <c r="AT209" i="20"/>
  <c r="AU209" i="20"/>
  <c r="AV209" i="20"/>
  <c r="AW209" i="20"/>
  <c r="AM210" i="20"/>
  <c r="AN210" i="20"/>
  <c r="AO210" i="20"/>
  <c r="AP210" i="20"/>
  <c r="AQ210" i="20"/>
  <c r="AR210" i="20"/>
  <c r="AS210" i="20"/>
  <c r="AT210" i="20"/>
  <c r="AU210" i="20"/>
  <c r="AV210" i="20"/>
  <c r="AW210" i="20"/>
  <c r="AM211" i="20"/>
  <c r="AN211" i="20"/>
  <c r="AO211" i="20"/>
  <c r="AP211" i="20"/>
  <c r="AQ211" i="20"/>
  <c r="AR211" i="20"/>
  <c r="AS211" i="20"/>
  <c r="AT211" i="20"/>
  <c r="AU211" i="20"/>
  <c r="AV211" i="20"/>
  <c r="AW211" i="20"/>
  <c r="AM212" i="20"/>
  <c r="AN212" i="20"/>
  <c r="AO212" i="20"/>
  <c r="AP212" i="20"/>
  <c r="AQ212" i="20"/>
  <c r="AR212" i="20"/>
  <c r="AS212" i="20"/>
  <c r="AT212" i="20"/>
  <c r="AU212" i="20"/>
  <c r="AV212" i="20"/>
  <c r="AW212" i="20"/>
  <c r="AM213" i="20"/>
  <c r="AN213" i="20"/>
  <c r="AO213" i="20"/>
  <c r="AP213" i="20"/>
  <c r="AQ213" i="20"/>
  <c r="AR213" i="20"/>
  <c r="AS213" i="20"/>
  <c r="AT213" i="20"/>
  <c r="AU213" i="20"/>
  <c r="AV213" i="20"/>
  <c r="AW213" i="20"/>
  <c r="AM214" i="20"/>
  <c r="AN214" i="20"/>
  <c r="AO214" i="20"/>
  <c r="AP214" i="20"/>
  <c r="AQ214" i="20"/>
  <c r="AR214" i="20"/>
  <c r="AS214" i="20"/>
  <c r="AT214" i="20"/>
  <c r="AU214" i="20"/>
  <c r="AV214" i="20"/>
  <c r="AW214" i="20"/>
  <c r="AM215" i="20"/>
  <c r="AN215" i="20"/>
  <c r="AO215" i="20"/>
  <c r="AP215" i="20"/>
  <c r="AQ215" i="20"/>
  <c r="AR215" i="20"/>
  <c r="AS215" i="20"/>
  <c r="AT215" i="20"/>
  <c r="AU215" i="20"/>
  <c r="AV215" i="20"/>
  <c r="AW215" i="20"/>
  <c r="AM216" i="20"/>
  <c r="AN216" i="20"/>
  <c r="AO216" i="20"/>
  <c r="AP216" i="20"/>
  <c r="AQ216" i="20"/>
  <c r="AR216" i="20"/>
  <c r="AS216" i="20"/>
  <c r="AT216" i="20"/>
  <c r="AU216" i="20"/>
  <c r="AV216" i="20"/>
  <c r="AW216" i="20"/>
  <c r="AA217" i="20"/>
  <c r="AB217" i="20"/>
  <c r="AC217" i="20"/>
  <c r="AD217" i="20"/>
  <c r="AE217" i="20"/>
  <c r="AF217" i="20"/>
  <c r="AG217" i="20"/>
  <c r="AH217" i="20"/>
  <c r="AI217" i="20"/>
  <c r="AJ217" i="20"/>
  <c r="AK217" i="20"/>
  <c r="B221" i="20"/>
  <c r="A221" i="20"/>
  <c r="A228" i="20"/>
  <c r="AM223" i="20"/>
  <c r="AN223" i="20"/>
  <c r="AO223" i="20"/>
  <c r="AP223" i="20"/>
  <c r="AQ223" i="20"/>
  <c r="AR223" i="20"/>
  <c r="AS223" i="20"/>
  <c r="AT223" i="20"/>
  <c r="AU223" i="20"/>
  <c r="AV223" i="20"/>
  <c r="AW223" i="20"/>
  <c r="AM224" i="20"/>
  <c r="AN224" i="20"/>
  <c r="AO224" i="20"/>
  <c r="AP224" i="20"/>
  <c r="AQ224" i="20"/>
  <c r="AR224" i="20"/>
  <c r="AS224" i="20"/>
  <c r="AT224" i="20"/>
  <c r="AU224" i="20"/>
  <c r="AV224" i="20"/>
  <c r="AW224" i="20"/>
  <c r="AM225" i="20"/>
  <c r="AN225" i="20"/>
  <c r="AO225" i="20"/>
  <c r="AP225" i="20"/>
  <c r="AQ225" i="20"/>
  <c r="AR225" i="20"/>
  <c r="AS225" i="20"/>
  <c r="AT225" i="20"/>
  <c r="AU225" i="20"/>
  <c r="AV225" i="20"/>
  <c r="AW225" i="20"/>
  <c r="AM226" i="20"/>
  <c r="AN226" i="20"/>
  <c r="AO226" i="20"/>
  <c r="AP226" i="20"/>
  <c r="AQ226" i="20"/>
  <c r="AR226" i="20"/>
  <c r="AS226" i="20"/>
  <c r="AT226" i="20"/>
  <c r="AU226" i="20"/>
  <c r="AV226" i="20"/>
  <c r="AW226" i="20"/>
  <c r="AM227" i="20"/>
  <c r="AN227" i="20"/>
  <c r="AO227" i="20"/>
  <c r="AP227" i="20"/>
  <c r="AQ227" i="20"/>
  <c r="AR227" i="20"/>
  <c r="AS227" i="20"/>
  <c r="AT227" i="20"/>
  <c r="AU227" i="20"/>
  <c r="AV227" i="20"/>
  <c r="AW227" i="20"/>
  <c r="AM228" i="20"/>
  <c r="AN228" i="20"/>
  <c r="AO228" i="20"/>
  <c r="AP228" i="20"/>
  <c r="AQ228" i="20"/>
  <c r="AR228" i="20"/>
  <c r="AS228" i="20"/>
  <c r="AT228" i="20"/>
  <c r="AU228" i="20"/>
  <c r="AV228" i="20"/>
  <c r="AW228" i="20"/>
  <c r="AM229" i="20"/>
  <c r="AN229" i="20"/>
  <c r="AO229" i="20"/>
  <c r="AP229" i="20"/>
  <c r="AQ229" i="20"/>
  <c r="AR229" i="20"/>
  <c r="AS229" i="20"/>
  <c r="AT229" i="20"/>
  <c r="AU229" i="20"/>
  <c r="AV229" i="20"/>
  <c r="AW229" i="20"/>
  <c r="AM230" i="20"/>
  <c r="AN230" i="20"/>
  <c r="AO230" i="20"/>
  <c r="AP230" i="20"/>
  <c r="AQ230" i="20"/>
  <c r="AR230" i="20"/>
  <c r="AS230" i="20"/>
  <c r="AT230" i="20"/>
  <c r="AU230" i="20"/>
  <c r="AV230" i="20"/>
  <c r="AW230" i="20"/>
  <c r="AA231" i="20"/>
  <c r="AB231" i="20"/>
  <c r="AC231" i="20"/>
  <c r="AD231" i="20"/>
  <c r="AE231" i="20"/>
  <c r="AF231" i="20"/>
  <c r="AG231" i="20"/>
  <c r="AH231" i="20"/>
  <c r="AI231" i="20"/>
  <c r="AJ231" i="20"/>
  <c r="AK231" i="20"/>
  <c r="B235" i="20"/>
  <c r="AM237" i="20"/>
  <c r="AN237" i="20"/>
  <c r="AO237" i="20"/>
  <c r="AP237" i="20"/>
  <c r="AQ237" i="20"/>
  <c r="AR237" i="20"/>
  <c r="AS237" i="20"/>
  <c r="AT237" i="20"/>
  <c r="AU237" i="20"/>
  <c r="AV237" i="20"/>
  <c r="AW237" i="20"/>
  <c r="AM238" i="20"/>
  <c r="AN238" i="20"/>
  <c r="AO238" i="20"/>
  <c r="AP238" i="20"/>
  <c r="AQ238" i="20"/>
  <c r="AR238" i="20"/>
  <c r="AS238" i="20"/>
  <c r="AT238" i="20"/>
  <c r="AU238" i="20"/>
  <c r="AV238" i="20"/>
  <c r="AW238" i="20"/>
  <c r="AM239" i="20"/>
  <c r="AN239" i="20"/>
  <c r="AO239" i="20"/>
  <c r="AP239" i="20"/>
  <c r="AQ239" i="20"/>
  <c r="AR239" i="20"/>
  <c r="AS239" i="20"/>
  <c r="AT239" i="20"/>
  <c r="AU239" i="20"/>
  <c r="AV239" i="20"/>
  <c r="AW239" i="20"/>
  <c r="AM240" i="20"/>
  <c r="AN240" i="20"/>
  <c r="AO240" i="20"/>
  <c r="AP240" i="20"/>
  <c r="AQ240" i="20"/>
  <c r="AR240" i="20"/>
  <c r="AS240" i="20"/>
  <c r="AT240" i="20"/>
  <c r="AU240" i="20"/>
  <c r="AV240" i="20"/>
  <c r="AW240" i="20"/>
  <c r="AM241" i="20"/>
  <c r="AN241" i="20"/>
  <c r="AO241" i="20"/>
  <c r="AP241" i="20"/>
  <c r="AQ241" i="20"/>
  <c r="AR241" i="20"/>
  <c r="AS241" i="20"/>
  <c r="AT241" i="20"/>
  <c r="AU241" i="20"/>
  <c r="AV241" i="20"/>
  <c r="AW241" i="20"/>
  <c r="AM242" i="20"/>
  <c r="AN242" i="20"/>
  <c r="AO242" i="20"/>
  <c r="AP242" i="20"/>
  <c r="AQ242" i="20"/>
  <c r="AR242" i="20"/>
  <c r="AS242" i="20"/>
  <c r="AT242" i="20"/>
  <c r="AU242" i="20"/>
  <c r="AV242" i="20"/>
  <c r="AW242" i="20"/>
  <c r="AM243" i="20"/>
  <c r="AN243" i="20"/>
  <c r="AO243" i="20"/>
  <c r="AP243" i="20"/>
  <c r="AQ243" i="20"/>
  <c r="AR243" i="20"/>
  <c r="AS243" i="20"/>
  <c r="AT243" i="20"/>
  <c r="AU243" i="20"/>
  <c r="AV243" i="20"/>
  <c r="AW243" i="20"/>
  <c r="AM244" i="20"/>
  <c r="AN244" i="20"/>
  <c r="AO244" i="20"/>
  <c r="AP244" i="20"/>
  <c r="AQ244" i="20"/>
  <c r="AR244" i="20"/>
  <c r="AS244" i="20"/>
  <c r="AT244" i="20"/>
  <c r="AU244" i="20"/>
  <c r="AV244" i="20"/>
  <c r="AW244" i="20"/>
  <c r="AA245" i="20"/>
  <c r="AB245" i="20"/>
  <c r="AC245" i="20"/>
  <c r="AD245" i="20"/>
  <c r="AE245" i="20"/>
  <c r="AF245" i="20"/>
  <c r="AG245" i="20"/>
  <c r="AH245" i="20"/>
  <c r="AI245" i="20"/>
  <c r="AJ245" i="20"/>
  <c r="AK245" i="20"/>
  <c r="B249" i="20"/>
  <c r="AM251" i="20"/>
  <c r="AN251" i="20"/>
  <c r="AO251" i="20"/>
  <c r="AP251" i="20"/>
  <c r="AQ251" i="20"/>
  <c r="AR251" i="20"/>
  <c r="AS251" i="20"/>
  <c r="AT251" i="20"/>
  <c r="AU251" i="20"/>
  <c r="AV251" i="20"/>
  <c r="AW251" i="20"/>
  <c r="AM252" i="20"/>
  <c r="AN252" i="20"/>
  <c r="AO252" i="20"/>
  <c r="AP252" i="20"/>
  <c r="AQ252" i="20"/>
  <c r="AR252" i="20"/>
  <c r="AS252" i="20"/>
  <c r="AT252" i="20"/>
  <c r="AU252" i="20"/>
  <c r="AV252" i="20"/>
  <c r="AW252" i="20"/>
  <c r="AM253" i="20"/>
  <c r="AN253" i="20"/>
  <c r="AO253" i="20"/>
  <c r="AP253" i="20"/>
  <c r="AQ253" i="20"/>
  <c r="AR253" i="20"/>
  <c r="AS253" i="20"/>
  <c r="AT253" i="20"/>
  <c r="AU253" i="20"/>
  <c r="AV253" i="20"/>
  <c r="AW253" i="20"/>
  <c r="AM254" i="20"/>
  <c r="AN254" i="20"/>
  <c r="AO254" i="20"/>
  <c r="AP254" i="20"/>
  <c r="AQ254" i="20"/>
  <c r="AR254" i="20"/>
  <c r="AS254" i="20"/>
  <c r="AT254" i="20"/>
  <c r="AU254" i="20"/>
  <c r="AV254" i="20"/>
  <c r="AW254" i="20"/>
  <c r="AM255" i="20"/>
  <c r="AN255" i="20"/>
  <c r="AO255" i="20"/>
  <c r="AP255" i="20"/>
  <c r="AQ255" i="20"/>
  <c r="AR255" i="20"/>
  <c r="AS255" i="20"/>
  <c r="AT255" i="20"/>
  <c r="AU255" i="20"/>
  <c r="AV255" i="20"/>
  <c r="AW255" i="20"/>
  <c r="AM256" i="20"/>
  <c r="AN256" i="20"/>
  <c r="AO256" i="20"/>
  <c r="AP256" i="20"/>
  <c r="AQ256" i="20"/>
  <c r="AR256" i="20"/>
  <c r="AS256" i="20"/>
  <c r="AT256" i="20"/>
  <c r="AU256" i="20"/>
  <c r="AV256" i="20"/>
  <c r="AW256" i="20"/>
  <c r="AM257" i="20"/>
  <c r="AN257" i="20"/>
  <c r="AO257" i="20"/>
  <c r="AP257" i="20"/>
  <c r="AQ257" i="20"/>
  <c r="AR257" i="20"/>
  <c r="AS257" i="20"/>
  <c r="AT257" i="20"/>
  <c r="AU257" i="20"/>
  <c r="AV257" i="20"/>
  <c r="AW257" i="20"/>
  <c r="AM258" i="20"/>
  <c r="AN258" i="20"/>
  <c r="AO258" i="20"/>
  <c r="AP258" i="20"/>
  <c r="AQ258" i="20"/>
  <c r="AR258" i="20"/>
  <c r="AS258" i="20"/>
  <c r="AT258" i="20"/>
  <c r="AU258" i="20"/>
  <c r="AV258" i="20"/>
  <c r="AW258" i="20"/>
  <c r="AA259" i="20"/>
  <c r="AB259" i="20"/>
  <c r="AC259" i="20"/>
  <c r="AD259" i="20"/>
  <c r="AE259" i="20"/>
  <c r="AF259" i="20"/>
  <c r="AG259" i="20"/>
  <c r="AH259" i="20"/>
  <c r="AI259" i="20"/>
  <c r="AJ259" i="20"/>
  <c r="AK259" i="20"/>
  <c r="A263" i="20"/>
  <c r="A264" i="20"/>
  <c r="A265" i="20"/>
  <c r="A266" i="20"/>
  <c r="A267" i="20"/>
  <c r="A268" i="20"/>
  <c r="A269" i="20"/>
  <c r="A270" i="20"/>
  <c r="A271" i="20"/>
  <c r="A272" i="20"/>
  <c r="A273" i="20"/>
  <c r="A274" i="20"/>
  <c r="A275" i="20"/>
  <c r="C3" i="5"/>
  <c r="E30" i="5"/>
  <c r="G30" i="5"/>
  <c r="G31" i="5"/>
  <c r="G32" i="5"/>
  <c r="K30" i="5"/>
  <c r="M30" i="5"/>
  <c r="W30" i="5"/>
  <c r="O30" i="5"/>
  <c r="O31" i="5"/>
  <c r="O32" i="5"/>
  <c r="P30" i="5"/>
  <c r="R30" i="5"/>
  <c r="R57" i="5"/>
  <c r="R56" i="5"/>
  <c r="U30" i="5"/>
  <c r="U57" i="5"/>
  <c r="U56" i="5"/>
  <c r="C31" i="5"/>
  <c r="C32" i="5"/>
  <c r="C33" i="5"/>
  <c r="C34" i="5"/>
  <c r="C35" i="5"/>
  <c r="C36" i="5"/>
  <c r="C37" i="5"/>
  <c r="C38" i="5"/>
  <c r="C39" i="5"/>
  <c r="C40" i="5"/>
  <c r="C41" i="5"/>
  <c r="C42" i="5"/>
  <c r="C43" i="5"/>
  <c r="C44" i="5"/>
  <c r="C45" i="5"/>
  <c r="C46" i="5"/>
  <c r="C47" i="5"/>
  <c r="C48" i="5"/>
  <c r="C49" i="5"/>
  <c r="C50" i="5"/>
  <c r="C53" i="5"/>
  <c r="C54" i="5"/>
  <c r="C55" i="5"/>
  <c r="C56" i="5"/>
  <c r="C57" i="5"/>
  <c r="C58" i="5"/>
  <c r="E31" i="5"/>
  <c r="F31" i="5"/>
  <c r="F32" i="5"/>
  <c r="K31" i="5"/>
  <c r="M31" i="5"/>
  <c r="W31" i="5"/>
  <c r="N31" i="5"/>
  <c r="N32" i="5"/>
  <c r="Q31" i="5"/>
  <c r="Q57" i="5"/>
  <c r="Q56" i="5"/>
  <c r="S31" i="5"/>
  <c r="S30" i="5"/>
  <c r="U31" i="5"/>
  <c r="E32" i="5"/>
  <c r="K32" i="5"/>
  <c r="M32" i="5"/>
  <c r="W32" i="5"/>
  <c r="I32" i="5"/>
  <c r="I33" i="5"/>
  <c r="I34" i="5"/>
  <c r="E33" i="5"/>
  <c r="G33" i="5"/>
  <c r="G34" i="5"/>
  <c r="G35" i="5"/>
  <c r="G36" i="5"/>
  <c r="K33" i="5"/>
  <c r="M33" i="5"/>
  <c r="W33" i="5"/>
  <c r="H33" i="5"/>
  <c r="H34" i="5"/>
  <c r="O33" i="5"/>
  <c r="P33" i="5"/>
  <c r="P32" i="5"/>
  <c r="R33" i="5"/>
  <c r="R32" i="5"/>
  <c r="T33" i="5"/>
  <c r="T32" i="5"/>
  <c r="T31" i="5"/>
  <c r="E34" i="5"/>
  <c r="F34" i="5"/>
  <c r="F35" i="5"/>
  <c r="F36" i="5"/>
  <c r="K34" i="5"/>
  <c r="M34" i="5"/>
  <c r="W34" i="5"/>
  <c r="N34" i="5"/>
  <c r="N35" i="5"/>
  <c r="N36" i="5"/>
  <c r="Q34" i="5"/>
  <c r="Q33" i="5"/>
  <c r="Q32" i="5"/>
  <c r="S34" i="5"/>
  <c r="S33" i="5"/>
  <c r="S32" i="5"/>
  <c r="U34" i="5"/>
  <c r="U33" i="5"/>
  <c r="U32" i="5"/>
  <c r="E35" i="5"/>
  <c r="K35" i="5"/>
  <c r="M35" i="5"/>
  <c r="W35" i="5"/>
  <c r="I35" i="5"/>
  <c r="E36" i="5"/>
  <c r="K36" i="5"/>
  <c r="M36" i="5"/>
  <c r="W36" i="5"/>
  <c r="I36" i="5"/>
  <c r="T36" i="5"/>
  <c r="T35" i="5"/>
  <c r="E37" i="5"/>
  <c r="G37" i="5"/>
  <c r="G38" i="5"/>
  <c r="G39" i="5"/>
  <c r="K37" i="5"/>
  <c r="M37" i="5"/>
  <c r="W37" i="5"/>
  <c r="I37" i="5"/>
  <c r="O37" i="5"/>
  <c r="O38" i="5"/>
  <c r="O39" i="5"/>
  <c r="P37" i="5"/>
  <c r="P36" i="5"/>
  <c r="P35" i="5"/>
  <c r="R37" i="5"/>
  <c r="R36" i="5"/>
  <c r="R35" i="5"/>
  <c r="S37" i="5"/>
  <c r="S36" i="5"/>
  <c r="S35" i="5"/>
  <c r="U37" i="5"/>
  <c r="U36" i="5"/>
  <c r="U35" i="5"/>
  <c r="E38" i="5"/>
  <c r="F38" i="5"/>
  <c r="F39" i="5"/>
  <c r="K38" i="5"/>
  <c r="M38" i="5"/>
  <c r="W38" i="5"/>
  <c r="I38" i="5"/>
  <c r="N38" i="5"/>
  <c r="N39" i="5"/>
  <c r="Q38" i="5"/>
  <c r="Q37" i="5"/>
  <c r="Q36" i="5"/>
  <c r="Q35" i="5"/>
  <c r="S38" i="5"/>
  <c r="U38" i="5"/>
  <c r="E39" i="5"/>
  <c r="K39" i="5"/>
  <c r="M39" i="5"/>
  <c r="W39" i="5"/>
  <c r="I39" i="5"/>
  <c r="E40" i="5"/>
  <c r="G40" i="5"/>
  <c r="G41" i="5"/>
  <c r="G42" i="5"/>
  <c r="G43" i="5"/>
  <c r="K40" i="5"/>
  <c r="M40" i="5"/>
  <c r="W40" i="5"/>
  <c r="I40" i="5"/>
  <c r="O40" i="5"/>
  <c r="O41" i="5"/>
  <c r="O42" i="5"/>
  <c r="O43" i="5"/>
  <c r="P40" i="5"/>
  <c r="P39" i="5"/>
  <c r="R40" i="5"/>
  <c r="R39" i="5"/>
  <c r="T40" i="5"/>
  <c r="T39" i="5"/>
  <c r="T38" i="5"/>
  <c r="E41" i="5"/>
  <c r="F41" i="5"/>
  <c r="F42" i="5"/>
  <c r="F43" i="5"/>
  <c r="K41" i="5"/>
  <c r="M41" i="5"/>
  <c r="W41" i="5"/>
  <c r="I41" i="5"/>
  <c r="N41" i="5"/>
  <c r="N42" i="5"/>
  <c r="N43" i="5"/>
  <c r="Q41" i="5"/>
  <c r="Q40" i="5"/>
  <c r="Q39" i="5"/>
  <c r="S41" i="5"/>
  <c r="S40" i="5"/>
  <c r="S39" i="5"/>
  <c r="U41" i="5"/>
  <c r="U40" i="5"/>
  <c r="U39" i="5"/>
  <c r="E42" i="5"/>
  <c r="K42" i="5"/>
  <c r="M42" i="5"/>
  <c r="W42" i="5"/>
  <c r="I42" i="5"/>
  <c r="E43" i="5"/>
  <c r="K43" i="5"/>
  <c r="M43" i="5"/>
  <c r="W43" i="5"/>
  <c r="I43" i="5"/>
  <c r="T43" i="5"/>
  <c r="T42" i="5"/>
  <c r="E44" i="5"/>
  <c r="G44" i="5"/>
  <c r="G45" i="5"/>
  <c r="G46" i="5"/>
  <c r="K44" i="5"/>
  <c r="M44" i="5"/>
  <c r="W44" i="5"/>
  <c r="I44" i="5"/>
  <c r="O44" i="5"/>
  <c r="O45" i="5"/>
  <c r="O46" i="5"/>
  <c r="P44" i="5"/>
  <c r="P43" i="5"/>
  <c r="P42" i="5"/>
  <c r="R44" i="5"/>
  <c r="R43" i="5"/>
  <c r="R42" i="5"/>
  <c r="U44" i="5"/>
  <c r="U43" i="5"/>
  <c r="U42" i="5"/>
  <c r="E45" i="5"/>
  <c r="F45" i="5"/>
  <c r="F46" i="5"/>
  <c r="K45" i="5"/>
  <c r="M45" i="5"/>
  <c r="W45" i="5"/>
  <c r="I45" i="5"/>
  <c r="N45" i="5"/>
  <c r="N46" i="5"/>
  <c r="Q45" i="5"/>
  <c r="Q44" i="5"/>
  <c r="Q43" i="5"/>
  <c r="Q42" i="5"/>
  <c r="S45" i="5"/>
  <c r="S44" i="5"/>
  <c r="S43" i="5"/>
  <c r="S42" i="5"/>
  <c r="U45" i="5"/>
  <c r="E46" i="5"/>
  <c r="K46" i="5"/>
  <c r="M46" i="5"/>
  <c r="W46" i="5"/>
  <c r="I46" i="5"/>
  <c r="Q46" i="5"/>
  <c r="Q47" i="5"/>
  <c r="Q48" i="5"/>
  <c r="E47" i="5"/>
  <c r="G47" i="5"/>
  <c r="G48" i="5"/>
  <c r="G49" i="5"/>
  <c r="G50" i="5"/>
  <c r="K47" i="5"/>
  <c r="M47" i="5"/>
  <c r="W47" i="5"/>
  <c r="I47" i="5"/>
  <c r="O47" i="5"/>
  <c r="O48" i="5"/>
  <c r="O49" i="5"/>
  <c r="O50" i="5"/>
  <c r="P47" i="5"/>
  <c r="P46" i="5"/>
  <c r="R47" i="5"/>
  <c r="R46" i="5"/>
  <c r="T47" i="5"/>
  <c r="T46" i="5"/>
  <c r="T45" i="5"/>
  <c r="E48" i="5"/>
  <c r="F48" i="5"/>
  <c r="F49" i="5"/>
  <c r="F50" i="5"/>
  <c r="K48" i="5"/>
  <c r="M48" i="5"/>
  <c r="W48" i="5"/>
  <c r="I48" i="5"/>
  <c r="N48" i="5"/>
  <c r="N49" i="5"/>
  <c r="N50" i="5"/>
  <c r="S48" i="5"/>
  <c r="S47" i="5"/>
  <c r="S46" i="5"/>
  <c r="U48" i="5"/>
  <c r="U47" i="5"/>
  <c r="U46" i="5"/>
  <c r="E49" i="5"/>
  <c r="E50" i="5"/>
  <c r="E51" i="5"/>
  <c r="K49" i="5"/>
  <c r="M49" i="5"/>
  <c r="W49" i="5"/>
  <c r="I49" i="5"/>
  <c r="I50" i="5"/>
  <c r="Q49" i="5"/>
  <c r="Q50" i="5"/>
  <c r="Q51" i="5"/>
  <c r="U49" i="5"/>
  <c r="U50" i="5"/>
  <c r="U51" i="5"/>
  <c r="K50" i="5"/>
  <c r="M50" i="5"/>
  <c r="W50" i="5"/>
  <c r="H50" i="5"/>
  <c r="H51" i="5"/>
  <c r="H52" i="5"/>
  <c r="P50" i="5"/>
  <c r="P51" i="5"/>
  <c r="P52" i="5"/>
  <c r="T50" i="5"/>
  <c r="T51" i="5"/>
  <c r="F52" i="5"/>
  <c r="F51" i="5"/>
  <c r="K52" i="5"/>
  <c r="K51" i="5"/>
  <c r="M52" i="5"/>
  <c r="M51" i="5"/>
  <c r="W52" i="5"/>
  <c r="W51" i="5"/>
  <c r="N52" i="5"/>
  <c r="N51" i="5"/>
  <c r="S52" i="5"/>
  <c r="S51" i="5"/>
  <c r="S50" i="5"/>
  <c r="S49" i="5"/>
  <c r="E53" i="5"/>
  <c r="G53" i="5"/>
  <c r="G52" i="5"/>
  <c r="G51" i="5"/>
  <c r="K53" i="5"/>
  <c r="M53" i="5"/>
  <c r="W53" i="5"/>
  <c r="I53" i="5"/>
  <c r="I54" i="5"/>
  <c r="I55" i="5"/>
  <c r="O53" i="5"/>
  <c r="O52" i="5"/>
  <c r="O51" i="5"/>
  <c r="E54" i="5"/>
  <c r="G54" i="5"/>
  <c r="G55" i="5"/>
  <c r="G56" i="5"/>
  <c r="G57" i="5"/>
  <c r="K54" i="5"/>
  <c r="M54" i="5"/>
  <c r="W54" i="5"/>
  <c r="H54" i="5"/>
  <c r="H55" i="5"/>
  <c r="O54" i="5"/>
  <c r="O55" i="5"/>
  <c r="O56" i="5"/>
  <c r="O57" i="5"/>
  <c r="P54" i="5"/>
  <c r="P53" i="5"/>
  <c r="R54" i="5"/>
  <c r="R53" i="5"/>
  <c r="S54" i="5"/>
  <c r="S53" i="5"/>
  <c r="T54" i="5"/>
  <c r="T53" i="5"/>
  <c r="T52" i="5"/>
  <c r="E55" i="5"/>
  <c r="F55" i="5"/>
  <c r="F56" i="5"/>
  <c r="F57" i="5"/>
  <c r="K55" i="5"/>
  <c r="M55" i="5"/>
  <c r="N55" i="5"/>
  <c r="N56" i="5"/>
  <c r="N57" i="5"/>
  <c r="Q55" i="5"/>
  <c r="Q54" i="5"/>
  <c r="Q53" i="5"/>
  <c r="U55" i="5"/>
  <c r="U54" i="5"/>
  <c r="U53" i="5"/>
  <c r="U52" i="5"/>
  <c r="E56" i="5"/>
  <c r="K56" i="5"/>
  <c r="M56" i="5"/>
  <c r="I56" i="5"/>
  <c r="I57" i="5"/>
  <c r="I30" i="5"/>
  <c r="I31" i="5"/>
  <c r="E57" i="5"/>
  <c r="K57" i="5"/>
  <c r="M57" i="5"/>
  <c r="H57" i="5"/>
  <c r="H30" i="5"/>
  <c r="H31" i="5"/>
  <c r="P57" i="5"/>
  <c r="P56" i="5"/>
  <c r="T57" i="5"/>
  <c r="T56" i="5"/>
  <c r="A59" i="5"/>
  <c r="N1" i="3"/>
  <c r="O1" i="3"/>
  <c r="N2" i="3"/>
  <c r="O2" i="3"/>
  <c r="G6" i="3"/>
  <c r="J12" i="3"/>
  <c r="J11" i="3"/>
  <c r="B13" i="3"/>
  <c r="I16" i="3"/>
  <c r="B17" i="3"/>
  <c r="K19" i="3"/>
  <c r="K27" i="3"/>
  <c r="K35" i="3"/>
  <c r="K43" i="3"/>
  <c r="K51" i="3"/>
  <c r="K59" i="3"/>
  <c r="K67" i="3"/>
  <c r="K75" i="3"/>
  <c r="K83" i="3"/>
  <c r="K91" i="3"/>
  <c r="K99" i="3"/>
  <c r="K107" i="3"/>
  <c r="K115" i="3"/>
  <c r="K123" i="3"/>
  <c r="K131" i="3"/>
  <c r="K139" i="3"/>
  <c r="K147" i="3"/>
  <c r="K155" i="3"/>
  <c r="K163" i="3"/>
  <c r="K171" i="3"/>
  <c r="K179" i="3"/>
  <c r="K187" i="3"/>
  <c r="K195" i="3"/>
  <c r="K203" i="3"/>
  <c r="K211" i="3"/>
  <c r="K219" i="3"/>
  <c r="K227" i="3"/>
  <c r="K235" i="3"/>
  <c r="K243" i="3"/>
  <c r="K251" i="3"/>
  <c r="K259" i="3"/>
  <c r="K267" i="3"/>
  <c r="K275" i="3"/>
  <c r="K283" i="3"/>
  <c r="K291" i="3"/>
  <c r="K299" i="3"/>
  <c r="K307" i="3"/>
  <c r="K315" i="3"/>
  <c r="K323" i="3"/>
  <c r="K20" i="3"/>
  <c r="K28" i="3"/>
  <c r="K36" i="3"/>
  <c r="K44" i="3"/>
  <c r="K52" i="3"/>
  <c r="K60" i="3"/>
  <c r="K68" i="3"/>
  <c r="K76" i="3"/>
  <c r="K84" i="3"/>
  <c r="K92" i="3"/>
  <c r="K100" i="3"/>
  <c r="K108" i="3"/>
  <c r="K116" i="3"/>
  <c r="K124" i="3"/>
  <c r="K132" i="3"/>
  <c r="K140" i="3"/>
  <c r="K148" i="3"/>
  <c r="K156" i="3"/>
  <c r="K164" i="3"/>
  <c r="K172" i="3"/>
  <c r="K180" i="3"/>
  <c r="K188" i="3"/>
  <c r="K196" i="3"/>
  <c r="K204" i="3"/>
  <c r="K212" i="3"/>
  <c r="K220" i="3"/>
  <c r="K228" i="3"/>
  <c r="K236" i="3"/>
  <c r="K244" i="3"/>
  <c r="K252" i="3"/>
  <c r="K260" i="3"/>
  <c r="K268" i="3"/>
  <c r="K276" i="3"/>
  <c r="K284" i="3"/>
  <c r="K292" i="3"/>
  <c r="K300" i="3"/>
  <c r="K308" i="3"/>
  <c r="K316" i="3"/>
  <c r="K324" i="3"/>
  <c r="B21" i="3"/>
  <c r="K21" i="3"/>
  <c r="K29" i="3"/>
  <c r="K37" i="3"/>
  <c r="K45" i="3"/>
  <c r="K53" i="3"/>
  <c r="K61" i="3"/>
  <c r="K69" i="3"/>
  <c r="K77" i="3"/>
  <c r="K85" i="3"/>
  <c r="K93" i="3"/>
  <c r="K101" i="3"/>
  <c r="K109" i="3"/>
  <c r="K117" i="3"/>
  <c r="K125" i="3"/>
  <c r="K133" i="3"/>
  <c r="K141" i="3"/>
  <c r="K149" i="3"/>
  <c r="K157" i="3"/>
  <c r="K165" i="3"/>
  <c r="K173" i="3"/>
  <c r="K181" i="3"/>
  <c r="K189" i="3"/>
  <c r="K197" i="3"/>
  <c r="K205" i="3"/>
  <c r="K213" i="3"/>
  <c r="K221" i="3"/>
  <c r="K229" i="3"/>
  <c r="K237" i="3"/>
  <c r="K245" i="3"/>
  <c r="K253" i="3"/>
  <c r="K261" i="3"/>
  <c r="K269" i="3"/>
  <c r="K277" i="3"/>
  <c r="K285" i="3"/>
  <c r="K293" i="3"/>
  <c r="K301" i="3"/>
  <c r="K309" i="3"/>
  <c r="K317" i="3"/>
  <c r="K325" i="3"/>
  <c r="K22" i="3"/>
  <c r="K30" i="3"/>
  <c r="K38" i="3"/>
  <c r="K46" i="3"/>
  <c r="K54" i="3"/>
  <c r="K62" i="3"/>
  <c r="K70" i="3"/>
  <c r="K78" i="3"/>
  <c r="K86" i="3"/>
  <c r="K94" i="3"/>
  <c r="K102" i="3"/>
  <c r="K110" i="3"/>
  <c r="K118" i="3"/>
  <c r="K126" i="3"/>
  <c r="K134" i="3"/>
  <c r="K142" i="3"/>
  <c r="K150" i="3"/>
  <c r="K158" i="3"/>
  <c r="K166" i="3"/>
  <c r="K174" i="3"/>
  <c r="K182" i="3"/>
  <c r="K190" i="3"/>
  <c r="K198" i="3"/>
  <c r="K206" i="3"/>
  <c r="K214" i="3"/>
  <c r="K222" i="3"/>
  <c r="K230" i="3"/>
  <c r="K238" i="3"/>
  <c r="K246" i="3"/>
  <c r="K254" i="3"/>
  <c r="K262" i="3"/>
  <c r="K270" i="3"/>
  <c r="K278" i="3"/>
  <c r="K286" i="3"/>
  <c r="K294" i="3"/>
  <c r="K302" i="3"/>
  <c r="K310" i="3"/>
  <c r="K318" i="3"/>
  <c r="K326" i="3"/>
  <c r="K23" i="3"/>
  <c r="K31" i="3"/>
  <c r="K39" i="3"/>
  <c r="K47" i="3"/>
  <c r="K55" i="3"/>
  <c r="K63" i="3"/>
  <c r="K71" i="3"/>
  <c r="K79" i="3"/>
  <c r="K87" i="3"/>
  <c r="K95" i="3"/>
  <c r="K103" i="3"/>
  <c r="K111" i="3"/>
  <c r="K119" i="3"/>
  <c r="K127" i="3"/>
  <c r="K135" i="3"/>
  <c r="K143" i="3"/>
  <c r="K151" i="3"/>
  <c r="K159" i="3"/>
  <c r="K167" i="3"/>
  <c r="K175" i="3"/>
  <c r="K183" i="3"/>
  <c r="K191" i="3"/>
  <c r="K199" i="3"/>
  <c r="K207" i="3"/>
  <c r="K215" i="3"/>
  <c r="K223" i="3"/>
  <c r="K231" i="3"/>
  <c r="K239" i="3"/>
  <c r="K247" i="3"/>
  <c r="K255" i="3"/>
  <c r="K263" i="3"/>
  <c r="K271" i="3"/>
  <c r="K279" i="3"/>
  <c r="K287" i="3"/>
  <c r="K295" i="3"/>
  <c r="K303" i="3"/>
  <c r="K311" i="3"/>
  <c r="K319" i="3"/>
  <c r="K327" i="3"/>
  <c r="K24" i="3"/>
  <c r="K32" i="3"/>
  <c r="K40" i="3"/>
  <c r="K48" i="3"/>
  <c r="B25" i="3"/>
  <c r="K25" i="3"/>
  <c r="K33" i="3"/>
  <c r="K41" i="3"/>
  <c r="K49" i="3"/>
  <c r="K57" i="3"/>
  <c r="K65" i="3"/>
  <c r="K73" i="3"/>
  <c r="K81" i="3"/>
  <c r="K89" i="3"/>
  <c r="K97" i="3"/>
  <c r="K105" i="3"/>
  <c r="K113" i="3"/>
  <c r="K121" i="3"/>
  <c r="K129" i="3"/>
  <c r="K137" i="3"/>
  <c r="K145" i="3"/>
  <c r="K153" i="3"/>
  <c r="K161" i="3"/>
  <c r="K169" i="3"/>
  <c r="K177" i="3"/>
  <c r="K185" i="3"/>
  <c r="K193" i="3"/>
  <c r="K201" i="3"/>
  <c r="K209" i="3"/>
  <c r="K217" i="3"/>
  <c r="K225" i="3"/>
  <c r="K233" i="3"/>
  <c r="K241" i="3"/>
  <c r="K249" i="3"/>
  <c r="K257" i="3"/>
  <c r="K265" i="3"/>
  <c r="K273" i="3"/>
  <c r="K281" i="3"/>
  <c r="K289" i="3"/>
  <c r="K297" i="3"/>
  <c r="K305" i="3"/>
  <c r="K313" i="3"/>
  <c r="K321" i="3"/>
  <c r="K329" i="3"/>
  <c r="K26" i="3"/>
  <c r="K34" i="3"/>
  <c r="K42" i="3"/>
  <c r="K50" i="3"/>
  <c r="K58" i="3"/>
  <c r="K66" i="3"/>
  <c r="K74" i="3"/>
  <c r="K82" i="3"/>
  <c r="K90" i="3"/>
  <c r="K98" i="3"/>
  <c r="K106" i="3"/>
  <c r="K114" i="3"/>
  <c r="K122" i="3"/>
  <c r="K130" i="3"/>
  <c r="K138" i="3"/>
  <c r="K146" i="3"/>
  <c r="K154" i="3"/>
  <c r="K162" i="3"/>
  <c r="K170" i="3"/>
  <c r="K178" i="3"/>
  <c r="K186" i="3"/>
  <c r="K194" i="3"/>
  <c r="K202" i="3"/>
  <c r="K210" i="3"/>
  <c r="K218" i="3"/>
  <c r="K226" i="3"/>
  <c r="K234" i="3"/>
  <c r="K242" i="3"/>
  <c r="K250" i="3"/>
  <c r="K258" i="3"/>
  <c r="K266" i="3"/>
  <c r="K274" i="3"/>
  <c r="K282" i="3"/>
  <c r="K290" i="3"/>
  <c r="K298" i="3"/>
  <c r="K306" i="3"/>
  <c r="K314" i="3"/>
  <c r="K322" i="3"/>
  <c r="K330" i="3"/>
  <c r="B29" i="3"/>
  <c r="B33" i="3"/>
  <c r="B37" i="3"/>
  <c r="B41" i="3"/>
  <c r="B45" i="3"/>
  <c r="B49" i="3"/>
  <c r="B53" i="3"/>
  <c r="B57" i="3"/>
  <c r="B61" i="3"/>
  <c r="B65" i="3"/>
  <c r="B69" i="3"/>
  <c r="B73" i="3"/>
  <c r="B77" i="3"/>
  <c r="B81" i="3"/>
  <c r="B85" i="3"/>
  <c r="B89" i="3"/>
  <c r="B93" i="3"/>
  <c r="B97" i="3"/>
  <c r="B101" i="3"/>
  <c r="B105" i="3"/>
  <c r="B109" i="3"/>
  <c r="N112" i="3"/>
  <c r="O112" i="3"/>
  <c r="B113" i="3"/>
  <c r="N114" i="3"/>
  <c r="O114" i="3"/>
  <c r="N115" i="3"/>
  <c r="O115" i="3"/>
  <c r="N116" i="3"/>
  <c r="O116" i="3"/>
  <c r="B117" i="3"/>
  <c r="N120" i="3"/>
  <c r="O120" i="3"/>
  <c r="B121" i="3"/>
  <c r="N122" i="3"/>
  <c r="O122" i="3"/>
  <c r="N123" i="3"/>
  <c r="O123" i="3"/>
  <c r="N124" i="3"/>
  <c r="O124" i="3"/>
  <c r="B125" i="3"/>
  <c r="N128" i="3"/>
  <c r="O128" i="3"/>
  <c r="B129" i="3"/>
  <c r="N130" i="3"/>
  <c r="O130" i="3"/>
  <c r="N131" i="3"/>
  <c r="O131" i="3"/>
  <c r="N132" i="3"/>
  <c r="O132" i="3"/>
  <c r="B133" i="3"/>
  <c r="N136" i="3"/>
  <c r="O136" i="3"/>
  <c r="B137" i="3"/>
  <c r="B141" i="3"/>
  <c r="B145" i="3"/>
  <c r="B149" i="3"/>
  <c r="B153" i="3"/>
  <c r="B157" i="3"/>
  <c r="B161" i="3"/>
  <c r="B165" i="3"/>
  <c r="B169" i="3"/>
  <c r="B173" i="3"/>
  <c r="B177" i="3"/>
  <c r="B181" i="3"/>
  <c r="B185" i="3"/>
  <c r="B189" i="3"/>
  <c r="B193" i="3"/>
  <c r="B197" i="3"/>
  <c r="B201" i="3"/>
  <c r="B205" i="3"/>
  <c r="B209" i="3"/>
  <c r="B213" i="3"/>
  <c r="B221" i="3"/>
  <c r="B225" i="3"/>
  <c r="B229" i="3"/>
  <c r="B233" i="3"/>
  <c r="B237" i="3"/>
  <c r="B241" i="3"/>
  <c r="B245" i="3"/>
  <c r="B249" i="3"/>
  <c r="B253" i="3"/>
  <c r="B257" i="3"/>
  <c r="B261" i="3"/>
  <c r="B265" i="3"/>
  <c r="B269" i="3"/>
  <c r="B273" i="3"/>
  <c r="B277" i="3"/>
  <c r="B281" i="3"/>
  <c r="B285" i="3"/>
  <c r="B289" i="3"/>
  <c r="B293" i="3"/>
  <c r="B297" i="3"/>
  <c r="B301" i="3"/>
  <c r="B305" i="3"/>
  <c r="B309" i="3"/>
  <c r="B313" i="3"/>
  <c r="B317" i="3"/>
  <c r="B321" i="3"/>
  <c r="B325" i="3"/>
  <c r="B329" i="3"/>
  <c r="A2" i="4"/>
  <c r="B2" i="4"/>
  <c r="C2" i="4"/>
  <c r="E2" i="4"/>
  <c r="A3" i="4"/>
  <c r="B3" i="4"/>
  <c r="C3" i="4"/>
  <c r="E3" i="4"/>
  <c r="A4" i="4"/>
  <c r="B4" i="4"/>
  <c r="C4" i="4"/>
  <c r="E4" i="4"/>
  <c r="A5" i="4"/>
  <c r="B5" i="4"/>
  <c r="C5" i="4"/>
  <c r="E5" i="4"/>
  <c r="A6" i="4"/>
  <c r="B6" i="4"/>
  <c r="C6" i="4"/>
  <c r="E6" i="4"/>
  <c r="A7" i="4"/>
  <c r="B7" i="4"/>
  <c r="C7" i="4"/>
  <c r="E7" i="4"/>
  <c r="A8" i="4"/>
  <c r="B8" i="4"/>
  <c r="C8" i="4"/>
  <c r="E8" i="4"/>
  <c r="A9" i="4"/>
  <c r="B9" i="4"/>
  <c r="C9" i="4"/>
  <c r="E9" i="4"/>
  <c r="A10" i="4"/>
  <c r="B10" i="4"/>
  <c r="C10" i="4"/>
  <c r="E10" i="4"/>
  <c r="C63" i="4"/>
  <c r="G234" i="4"/>
  <c r="M234" i="4"/>
  <c r="S234" i="4"/>
  <c r="T235" i="4"/>
  <c r="AA5" i="24"/>
  <c r="AA6" i="24"/>
  <c r="AA7" i="24"/>
  <c r="AA8" i="24"/>
  <c r="AA9" i="24"/>
  <c r="AA10" i="24"/>
  <c r="AA11" i="24"/>
  <c r="J3" i="2"/>
  <c r="M72" i="2"/>
  <c r="U72" i="2"/>
  <c r="F77" i="2"/>
  <c r="C117" i="5"/>
  <c r="C123" i="5"/>
  <c r="C107" i="5"/>
  <c r="C91" i="5"/>
  <c r="C75" i="5"/>
  <c r="C109" i="5"/>
  <c r="C85" i="5"/>
  <c r="C124" i="5"/>
  <c r="C108" i="5"/>
  <c r="C92" i="5"/>
  <c r="C76" i="5"/>
  <c r="C97" i="5"/>
  <c r="C118" i="5"/>
  <c r="C102" i="5"/>
  <c r="C86" i="5"/>
  <c r="C125" i="5"/>
  <c r="C127" i="5"/>
  <c r="C111" i="5"/>
  <c r="C95" i="5"/>
  <c r="C79" i="5"/>
  <c r="C121" i="5"/>
  <c r="C89" i="5"/>
  <c r="C128" i="5"/>
  <c r="C96" i="5"/>
  <c r="C80" i="5"/>
  <c r="C113" i="5"/>
  <c r="C122" i="5"/>
  <c r="C106" i="5"/>
  <c r="C90" i="5"/>
  <c r="C74" i="5"/>
  <c r="C70" i="5"/>
  <c r="C115" i="5"/>
  <c r="C83" i="5"/>
  <c r="C93" i="5"/>
  <c r="K62" i="5"/>
  <c r="C116" i="5"/>
  <c r="C84" i="5"/>
  <c r="C126" i="5"/>
  <c r="C94" i="5"/>
  <c r="C101" i="5"/>
  <c r="C119" i="5"/>
  <c r="C103" i="5"/>
  <c r="C87" i="5"/>
  <c r="C71" i="5"/>
  <c r="C105" i="5"/>
  <c r="C81" i="5"/>
  <c r="C120" i="5"/>
  <c r="C104" i="5"/>
  <c r="C88" i="5"/>
  <c r="C72" i="5"/>
  <c r="C73" i="5"/>
  <c r="C114" i="5"/>
  <c r="C98" i="5"/>
  <c r="C82" i="5"/>
  <c r="C112" i="5"/>
  <c r="C69" i="5"/>
  <c r="C99" i="5"/>
  <c r="C67" i="5"/>
  <c r="C77" i="5"/>
  <c r="C100" i="5"/>
  <c r="C68" i="5"/>
  <c r="C110" i="5"/>
  <c r="C78" i="5"/>
  <c r="E2" i="16"/>
  <c r="N10" i="16"/>
  <c r="N11" i="16"/>
  <c r="N12" i="16"/>
  <c r="N13" i="16"/>
  <c r="N14" i="16"/>
  <c r="N15" i="16"/>
  <c r="N16" i="16"/>
  <c r="N17" i="16"/>
  <c r="N18" i="16"/>
  <c r="N19" i="16"/>
  <c r="N20" i="16"/>
  <c r="N21" i="16"/>
  <c r="N23" i="16"/>
  <c r="N24" i="16"/>
  <c r="N25" i="16"/>
  <c r="N26" i="16"/>
  <c r="N27" i="16"/>
  <c r="N28" i="16"/>
  <c r="N29" i="16"/>
  <c r="N30" i="16"/>
  <c r="N31" i="16"/>
  <c r="N32" i="16"/>
  <c r="N33" i="16"/>
  <c r="N34" i="16"/>
  <c r="E17" i="16"/>
  <c r="F23" i="8"/>
  <c r="E36" i="8"/>
  <c r="B41" i="19"/>
  <c r="I41" i="19"/>
  <c r="J71" i="15"/>
  <c r="Y207" i="20"/>
  <c r="G94" i="20"/>
  <c r="I5" i="13"/>
  <c r="I6" i="13"/>
  <c r="B102" i="20"/>
  <c r="B32" i="20"/>
  <c r="C5" i="33"/>
  <c r="O28" i="32"/>
  <c r="N28" i="32"/>
  <c r="K30" i="32"/>
  <c r="M30" i="32"/>
  <c r="L30" i="32"/>
  <c r="L31" i="32"/>
  <c r="H96" i="19"/>
  <c r="H310" i="19"/>
  <c r="B197" i="19"/>
  <c r="I197" i="19"/>
  <c r="J197" i="19"/>
  <c r="K197" i="19"/>
  <c r="L197" i="19"/>
  <c r="M197" i="19"/>
  <c r="N197" i="19"/>
  <c r="O197" i="19"/>
  <c r="P197" i="19"/>
  <c r="Q197" i="19"/>
  <c r="R197" i="19"/>
  <c r="S197" i="19"/>
  <c r="F21" i="8"/>
  <c r="B74" i="19"/>
  <c r="E34" i="8"/>
  <c r="B179" i="19"/>
  <c r="D179" i="19"/>
  <c r="E9" i="8"/>
  <c r="G30" i="8"/>
  <c r="U49" i="14"/>
  <c r="U50" i="14"/>
  <c r="U51" i="14"/>
  <c r="U52" i="14"/>
  <c r="U53" i="14"/>
  <c r="U54" i="14"/>
  <c r="U55" i="14"/>
  <c r="U56" i="14"/>
  <c r="U57" i="14"/>
  <c r="U58" i="14"/>
  <c r="U59" i="14"/>
  <c r="U60" i="14"/>
  <c r="U61" i="14"/>
  <c r="U62" i="14"/>
  <c r="U63" i="14"/>
  <c r="U64" i="14"/>
  <c r="U65" i="14"/>
  <c r="U66" i="14"/>
  <c r="U67" i="14"/>
  <c r="U68" i="14"/>
  <c r="U70" i="14"/>
  <c r="U71" i="14"/>
  <c r="U72" i="14"/>
  <c r="U73" i="14"/>
  <c r="U74" i="14"/>
  <c r="U75" i="14"/>
  <c r="C63" i="15"/>
  <c r="E48" i="15"/>
  <c r="E49" i="15"/>
  <c r="J86" i="15"/>
  <c r="AL259" i="20"/>
  <c r="Q30" i="13"/>
  <c r="R30" i="13"/>
  <c r="AL161" i="20"/>
  <c r="Y221" i="20"/>
  <c r="AL295" i="20"/>
  <c r="Z235" i="20"/>
  <c r="Z221" i="20"/>
  <c r="H247" i="19"/>
  <c r="I247" i="19"/>
  <c r="J247" i="19"/>
  <c r="K247" i="19"/>
  <c r="L247" i="19"/>
  <c r="M247" i="19"/>
  <c r="N247" i="19"/>
  <c r="O247" i="19"/>
  <c r="P247" i="19"/>
  <c r="Q247" i="19"/>
  <c r="R247" i="19"/>
  <c r="S247" i="19"/>
  <c r="B161" i="19"/>
  <c r="D161" i="19"/>
  <c r="E161" i="19"/>
  <c r="H92" i="19"/>
  <c r="I92" i="19"/>
  <c r="J92" i="19"/>
  <c r="K92" i="19"/>
  <c r="L92" i="19"/>
  <c r="M92" i="19"/>
  <c r="N92" i="19"/>
  <c r="O92" i="19"/>
  <c r="P92" i="19"/>
  <c r="Q92" i="19"/>
  <c r="R92" i="19"/>
  <c r="S92" i="19"/>
  <c r="I342" i="19"/>
  <c r="J84" i="15"/>
  <c r="D149" i="19"/>
  <c r="H122" i="19"/>
  <c r="I122" i="19"/>
  <c r="J122" i="19"/>
  <c r="K122" i="19"/>
  <c r="L122" i="19"/>
  <c r="M122" i="19"/>
  <c r="N122" i="19"/>
  <c r="O122" i="19"/>
  <c r="P122" i="19"/>
  <c r="Q122" i="19"/>
  <c r="R122" i="19"/>
  <c r="S122" i="19"/>
  <c r="C60" i="15"/>
  <c r="AX210" i="20"/>
  <c r="AX188" i="20"/>
  <c r="AX169" i="20"/>
  <c r="H161" i="19"/>
  <c r="H106" i="19"/>
  <c r="I106" i="19"/>
  <c r="E15" i="8"/>
  <c r="B145" i="19"/>
  <c r="D145" i="19"/>
  <c r="E12" i="8"/>
  <c r="C249" i="19"/>
  <c r="C58" i="15"/>
  <c r="H25" i="15"/>
  <c r="AO295" i="20"/>
  <c r="AX252" i="20"/>
  <c r="AX184" i="20"/>
  <c r="AX172" i="20"/>
  <c r="AX237" i="20"/>
  <c r="AX201" i="20"/>
  <c r="B257" i="19"/>
  <c r="D257" i="19"/>
  <c r="E257" i="19"/>
  <c r="B232" i="19"/>
  <c r="I232" i="19"/>
  <c r="J232" i="19"/>
  <c r="K232" i="19"/>
  <c r="L232" i="19"/>
  <c r="M232" i="19"/>
  <c r="N232" i="19"/>
  <c r="O232" i="19"/>
  <c r="P232" i="19"/>
  <c r="Q232" i="19"/>
  <c r="R232" i="19"/>
  <c r="S232" i="19"/>
  <c r="A179" i="20"/>
  <c r="A180" i="20"/>
  <c r="E46" i="15"/>
  <c r="J69" i="15"/>
  <c r="J72" i="15"/>
  <c r="J73" i="15"/>
  <c r="J74" i="15"/>
  <c r="J75" i="15"/>
  <c r="J76" i="15"/>
  <c r="J78" i="15"/>
  <c r="J80" i="15"/>
  <c r="J81" i="15"/>
  <c r="J82" i="15"/>
  <c r="AL203" i="20"/>
  <c r="Y235" i="20"/>
  <c r="C145" i="19"/>
  <c r="W236" i="4"/>
  <c r="W238" i="4"/>
  <c r="G5" i="15"/>
  <c r="E8" i="8"/>
  <c r="I228" i="19"/>
  <c r="J228" i="19"/>
  <c r="K228" i="19"/>
  <c r="L228" i="19"/>
  <c r="M228" i="19"/>
  <c r="N228" i="19"/>
  <c r="O228" i="19"/>
  <c r="P228" i="19"/>
  <c r="Q228" i="19"/>
  <c r="R228" i="19"/>
  <c r="S228" i="19"/>
  <c r="J224" i="19"/>
  <c r="K224" i="19"/>
  <c r="L224" i="19"/>
  <c r="M224" i="19"/>
  <c r="N224" i="19"/>
  <c r="O224" i="19"/>
  <c r="P224" i="19"/>
  <c r="Q224" i="19"/>
  <c r="R224" i="19"/>
  <c r="S224" i="19"/>
  <c r="C59" i="15"/>
  <c r="AX223" i="20"/>
  <c r="AX200" i="20"/>
  <c r="AX181" i="20"/>
  <c r="F6" i="8"/>
  <c r="H18" i="8"/>
  <c r="I18" i="8"/>
  <c r="E3" i="16"/>
  <c r="E4" i="16"/>
  <c r="E5" i="16"/>
  <c r="E6" i="16"/>
  <c r="E7" i="16"/>
  <c r="E8" i="16"/>
  <c r="E9" i="16"/>
  <c r="E10" i="16"/>
  <c r="E11" i="16"/>
  <c r="E12" i="16"/>
  <c r="E13" i="16"/>
  <c r="E14" i="16"/>
  <c r="E15" i="16"/>
  <c r="E16" i="16"/>
  <c r="Z151" i="20"/>
  <c r="J354" i="19"/>
  <c r="K354" i="19"/>
  <c r="L354" i="19"/>
  <c r="M354" i="19"/>
  <c r="N354" i="19"/>
  <c r="O354" i="19"/>
  <c r="P354" i="19"/>
  <c r="Q354" i="19"/>
  <c r="R354" i="19"/>
  <c r="S354" i="19"/>
  <c r="B231" i="20"/>
  <c r="A231" i="20"/>
  <c r="Z285" i="20"/>
  <c r="C189" i="19"/>
  <c r="E47" i="15"/>
  <c r="C57" i="15"/>
  <c r="AL189" i="20"/>
  <c r="Y193" i="20"/>
  <c r="AL245" i="20"/>
  <c r="Y249" i="20"/>
  <c r="A223" i="20"/>
  <c r="Z193" i="20"/>
  <c r="A226" i="20"/>
  <c r="Z179" i="20"/>
  <c r="AP203" i="20"/>
  <c r="I230" i="19"/>
  <c r="J230" i="19"/>
  <c r="K230" i="19"/>
  <c r="L230" i="19"/>
  <c r="M230" i="19"/>
  <c r="N230" i="19"/>
  <c r="O230" i="19"/>
  <c r="P230" i="19"/>
  <c r="Q230" i="19"/>
  <c r="R230" i="19"/>
  <c r="S230" i="19"/>
  <c r="B253" i="19"/>
  <c r="D253" i="19"/>
  <c r="H253" i="19"/>
  <c r="P222" i="19"/>
  <c r="Q222" i="19"/>
  <c r="R222" i="19"/>
  <c r="S222" i="19"/>
  <c r="J52" i="9"/>
  <c r="L52" i="9"/>
  <c r="J350" i="19"/>
  <c r="K350" i="19"/>
  <c r="L350" i="19"/>
  <c r="M350" i="19"/>
  <c r="N350" i="19"/>
  <c r="O350" i="19"/>
  <c r="P350" i="19"/>
  <c r="Q350" i="19"/>
  <c r="R350" i="19"/>
  <c r="S350" i="19"/>
  <c r="B279" i="19"/>
  <c r="D279" i="19"/>
  <c r="H279" i="19"/>
  <c r="B265" i="19"/>
  <c r="D265" i="19"/>
  <c r="H265" i="19"/>
  <c r="H175" i="19"/>
  <c r="B175" i="19"/>
  <c r="D175" i="19"/>
  <c r="H76" i="19"/>
  <c r="B76" i="19"/>
  <c r="H59" i="19"/>
  <c r="B59" i="19"/>
  <c r="B159" i="19"/>
  <c r="D159" i="19"/>
  <c r="C159" i="19"/>
  <c r="H90" i="19"/>
  <c r="B90" i="19"/>
  <c r="B61" i="19"/>
  <c r="H61" i="19"/>
  <c r="E35" i="8"/>
  <c r="G35" i="8"/>
  <c r="AR231" i="20"/>
  <c r="H251" i="19"/>
  <c r="I251" i="19"/>
  <c r="J251" i="19"/>
  <c r="K251" i="19"/>
  <c r="L251" i="19"/>
  <c r="M251" i="19"/>
  <c r="N251" i="19"/>
  <c r="O251" i="19"/>
  <c r="P251" i="19"/>
  <c r="Q251" i="19"/>
  <c r="R251" i="19"/>
  <c r="S251" i="19"/>
  <c r="D251" i="19"/>
  <c r="C247" i="19"/>
  <c r="D255" i="19"/>
  <c r="I226" i="19"/>
  <c r="J226" i="19"/>
  <c r="K226" i="19"/>
  <c r="L226" i="19"/>
  <c r="M226" i="19"/>
  <c r="N226" i="19"/>
  <c r="O226" i="19"/>
  <c r="P226" i="19"/>
  <c r="Q226" i="19"/>
  <c r="R226" i="19"/>
  <c r="S226" i="19"/>
  <c r="I149" i="19"/>
  <c r="J149" i="19"/>
  <c r="K149" i="19"/>
  <c r="L149" i="19"/>
  <c r="M149" i="19"/>
  <c r="N149" i="19"/>
  <c r="O149" i="19"/>
  <c r="P149" i="19"/>
  <c r="Q149" i="19"/>
  <c r="R149" i="19"/>
  <c r="S149" i="19"/>
  <c r="E13" i="8"/>
  <c r="C265" i="19"/>
  <c r="B245" i="19"/>
  <c r="D245" i="19"/>
  <c r="AN295" i="20"/>
  <c r="AQ295" i="20"/>
  <c r="AM295" i="20"/>
  <c r="H20" i="8"/>
  <c r="H24" i="8"/>
  <c r="I24" i="8"/>
  <c r="H11" i="8"/>
  <c r="I11" i="8"/>
  <c r="H4" i="8"/>
  <c r="I4" i="8"/>
  <c r="H17" i="8"/>
  <c r="I17" i="8"/>
  <c r="H7" i="8"/>
  <c r="J7" i="8"/>
  <c r="AX224" i="20"/>
  <c r="AX168" i="20"/>
  <c r="AX212" i="20"/>
  <c r="AX156" i="20"/>
  <c r="AX268" i="20"/>
  <c r="AX256" i="20"/>
  <c r="AX242" i="20"/>
  <c r="AX258" i="20"/>
  <c r="AX272" i="20"/>
  <c r="AX160" i="20"/>
  <c r="AX244" i="20"/>
  <c r="B124" i="20"/>
  <c r="AX167" i="20"/>
  <c r="AX216" i="20"/>
  <c r="AX226" i="20"/>
  <c r="H314" i="19"/>
  <c r="I314" i="19"/>
  <c r="J314" i="19"/>
  <c r="K314" i="19"/>
  <c r="L314" i="19"/>
  <c r="M314" i="19"/>
  <c r="N314" i="19"/>
  <c r="O314" i="19"/>
  <c r="P314" i="19"/>
  <c r="Q314" i="19"/>
  <c r="R314" i="19"/>
  <c r="S314" i="19"/>
  <c r="H128" i="19"/>
  <c r="I128" i="19"/>
  <c r="J128" i="19"/>
  <c r="K128" i="19"/>
  <c r="L128" i="19"/>
  <c r="M128" i="19"/>
  <c r="N128" i="19"/>
  <c r="O128" i="19"/>
  <c r="P128" i="19"/>
  <c r="Q128" i="19"/>
  <c r="R128" i="19"/>
  <c r="S128" i="19"/>
  <c r="E19" i="8"/>
  <c r="E51" i="15"/>
  <c r="Q30" i="5"/>
  <c r="C251" i="19"/>
  <c r="B110" i="19"/>
  <c r="I110" i="19"/>
  <c r="J110" i="19"/>
  <c r="K110" i="19"/>
  <c r="L110" i="19"/>
  <c r="M110" i="19"/>
  <c r="N110" i="19"/>
  <c r="O110" i="19"/>
  <c r="P110" i="19"/>
  <c r="Q110" i="19"/>
  <c r="R110" i="19"/>
  <c r="S110" i="19"/>
  <c r="H8" i="8"/>
  <c r="J8" i="8"/>
  <c r="A285" i="20"/>
  <c r="A294" i="20"/>
  <c r="B295" i="20"/>
  <c r="AP295" i="20"/>
  <c r="AX195" i="20"/>
  <c r="AX239" i="20"/>
  <c r="AX187" i="20"/>
  <c r="Y295" i="20"/>
  <c r="AX209" i="20"/>
  <c r="AX153" i="20"/>
  <c r="F18" i="8"/>
  <c r="C263" i="19"/>
  <c r="C197" i="19"/>
  <c r="C64" i="15"/>
  <c r="G20" i="15"/>
  <c r="E50" i="15"/>
  <c r="AS295" i="20"/>
  <c r="Y165" i="20"/>
  <c r="AX267" i="20"/>
  <c r="AX157" i="20"/>
  <c r="AX229" i="20"/>
  <c r="AL217" i="20"/>
  <c r="AX251" i="20"/>
  <c r="Z207" i="20"/>
  <c r="B326" i="19"/>
  <c r="I326" i="19"/>
  <c r="J326" i="19"/>
  <c r="K326" i="19"/>
  <c r="L326" i="19"/>
  <c r="M326" i="19"/>
  <c r="N326" i="19"/>
  <c r="O326" i="19"/>
  <c r="P326" i="19"/>
  <c r="Q326" i="19"/>
  <c r="R326" i="19"/>
  <c r="S326" i="19"/>
  <c r="Z249" i="20"/>
  <c r="B263" i="19"/>
  <c r="D263" i="19"/>
  <c r="Q52" i="5"/>
  <c r="C149" i="19"/>
  <c r="I116" i="19"/>
  <c r="J116" i="19"/>
  <c r="K116" i="19"/>
  <c r="L116" i="19"/>
  <c r="M116" i="19"/>
  <c r="N116" i="19"/>
  <c r="O116" i="19"/>
  <c r="P116" i="19"/>
  <c r="Q116" i="19"/>
  <c r="R116" i="19"/>
  <c r="S116" i="19"/>
  <c r="G9" i="15"/>
  <c r="AS175" i="20"/>
  <c r="I96" i="19"/>
  <c r="J96" i="19"/>
  <c r="K96" i="19"/>
  <c r="L96" i="19"/>
  <c r="M96" i="19"/>
  <c r="N96" i="19"/>
  <c r="O96" i="19"/>
  <c r="P96" i="19"/>
  <c r="Q96" i="19"/>
  <c r="R96" i="19"/>
  <c r="S96" i="19"/>
  <c r="B277" i="19"/>
  <c r="I277" i="19"/>
  <c r="J277" i="19"/>
  <c r="K277" i="19"/>
  <c r="L277" i="19"/>
  <c r="M277" i="19"/>
  <c r="N277" i="19"/>
  <c r="O277" i="19"/>
  <c r="P277" i="19"/>
  <c r="Q277" i="19"/>
  <c r="R277" i="19"/>
  <c r="S277" i="19"/>
  <c r="H183" i="19"/>
  <c r="I183" i="19"/>
  <c r="J183" i="19"/>
  <c r="K183" i="19"/>
  <c r="L183" i="19"/>
  <c r="M183" i="19"/>
  <c r="N183" i="19"/>
  <c r="O183" i="19"/>
  <c r="P183" i="19"/>
  <c r="Q183" i="19"/>
  <c r="R183" i="19"/>
  <c r="S183" i="19"/>
  <c r="F38" i="2"/>
  <c r="V48" i="14"/>
  <c r="V49" i="14"/>
  <c r="V50" i="14"/>
  <c r="V51" i="14"/>
  <c r="V52" i="14"/>
  <c r="V53" i="14"/>
  <c r="V54" i="14"/>
  <c r="V55" i="14"/>
  <c r="V56" i="14"/>
  <c r="V57" i="14"/>
  <c r="V58" i="14"/>
  <c r="V59" i="14"/>
  <c r="V60" i="14"/>
  <c r="V61" i="14"/>
  <c r="V62" i="14"/>
  <c r="V63" i="14"/>
  <c r="V64" i="14"/>
  <c r="V65" i="14"/>
  <c r="V66" i="14"/>
  <c r="V67" i="14"/>
  <c r="V68" i="14"/>
  <c r="V70" i="14"/>
  <c r="V71" i="14"/>
  <c r="V72" i="14"/>
  <c r="V73" i="14"/>
  <c r="V74" i="14"/>
  <c r="V75" i="14"/>
  <c r="AX255" i="20"/>
  <c r="AX227" i="20"/>
  <c r="AX199" i="20"/>
  <c r="AX171" i="20"/>
  <c r="AX174" i="20"/>
  <c r="AX230" i="20"/>
  <c r="AX158" i="20"/>
  <c r="AX228" i="20"/>
  <c r="AX170" i="20"/>
  <c r="AX240" i="20"/>
  <c r="AX196" i="20"/>
  <c r="AX266" i="20"/>
  <c r="B267" i="19"/>
  <c r="I267" i="19"/>
  <c r="J267" i="19"/>
  <c r="K267" i="19"/>
  <c r="L267" i="19"/>
  <c r="M267" i="19"/>
  <c r="N267" i="19"/>
  <c r="O267" i="19"/>
  <c r="P267" i="19"/>
  <c r="Q267" i="19"/>
  <c r="R267" i="19"/>
  <c r="S267" i="19"/>
  <c r="AX155" i="20"/>
  <c r="AX271" i="20"/>
  <c r="C153" i="19"/>
  <c r="C253" i="19"/>
  <c r="H10" i="8"/>
  <c r="I10" i="8"/>
  <c r="H13" i="8"/>
  <c r="I13" i="8"/>
  <c r="H3" i="8"/>
  <c r="I3" i="8"/>
  <c r="H15" i="8"/>
  <c r="I15" i="8"/>
  <c r="H12" i="8"/>
  <c r="I358" i="19"/>
  <c r="J358" i="19"/>
  <c r="K358" i="19"/>
  <c r="L358" i="19"/>
  <c r="M358" i="19"/>
  <c r="N358" i="19"/>
  <c r="O358" i="19"/>
  <c r="P358" i="19"/>
  <c r="Q358" i="19"/>
  <c r="R358" i="19"/>
  <c r="S358" i="19"/>
  <c r="I346" i="19"/>
  <c r="J346" i="19"/>
  <c r="K346" i="19"/>
  <c r="L346" i="19"/>
  <c r="M346" i="19"/>
  <c r="N346" i="19"/>
  <c r="O346" i="19"/>
  <c r="P346" i="19"/>
  <c r="Q346" i="19"/>
  <c r="R346" i="19"/>
  <c r="S346" i="19"/>
  <c r="B55" i="19"/>
  <c r="I55" i="19"/>
  <c r="H330" i="19"/>
  <c r="I330" i="19"/>
  <c r="J330" i="19"/>
  <c r="K330" i="19"/>
  <c r="L330" i="19"/>
  <c r="M330" i="19"/>
  <c r="N330" i="19"/>
  <c r="O330" i="19"/>
  <c r="P330" i="19"/>
  <c r="Q330" i="19"/>
  <c r="R330" i="19"/>
  <c r="S330" i="19"/>
  <c r="B114" i="20"/>
  <c r="AX241" i="20"/>
  <c r="AX213" i="20"/>
  <c r="AX185" i="20"/>
  <c r="AX202" i="20"/>
  <c r="AX186" i="20"/>
  <c r="AX154" i="20"/>
  <c r="AX183" i="20"/>
  <c r="H263" i="19"/>
  <c r="C245" i="19"/>
  <c r="E3" i="8"/>
  <c r="H159" i="19"/>
  <c r="H6" i="8"/>
  <c r="J6" i="8"/>
  <c r="H14" i="8"/>
  <c r="H22" i="8"/>
  <c r="H16" i="8"/>
  <c r="H5" i="8"/>
  <c r="H21" i="8"/>
  <c r="I344" i="19"/>
  <c r="J344" i="19"/>
  <c r="K344" i="19"/>
  <c r="L344" i="19"/>
  <c r="M344" i="19"/>
  <c r="N344" i="19"/>
  <c r="O344" i="19"/>
  <c r="P344" i="19"/>
  <c r="Q344" i="19"/>
  <c r="R344" i="19"/>
  <c r="S344" i="19"/>
  <c r="C61" i="15"/>
  <c r="C56" i="15"/>
  <c r="AA58" i="5"/>
  <c r="L56" i="9"/>
  <c r="AR217" i="20"/>
  <c r="H210" i="19"/>
  <c r="I210" i="19"/>
  <c r="J210" i="19"/>
  <c r="K210" i="19"/>
  <c r="L210" i="19"/>
  <c r="M210" i="19"/>
  <c r="N210" i="19"/>
  <c r="O210" i="19"/>
  <c r="P210" i="19"/>
  <c r="Q210" i="19"/>
  <c r="R210" i="19"/>
  <c r="S210" i="19"/>
  <c r="B293" i="19"/>
  <c r="D293" i="19"/>
  <c r="D153" i="19"/>
  <c r="H281" i="19"/>
  <c r="I281" i="19"/>
  <c r="J281" i="19"/>
  <c r="K281" i="19"/>
  <c r="L281" i="19"/>
  <c r="M281" i="19"/>
  <c r="N281" i="19"/>
  <c r="O281" i="19"/>
  <c r="P281" i="19"/>
  <c r="Q281" i="19"/>
  <c r="R281" i="19"/>
  <c r="S281" i="19"/>
  <c r="B191" i="19"/>
  <c r="I191" i="19"/>
  <c r="J191" i="19"/>
  <c r="K191" i="19"/>
  <c r="L191" i="19"/>
  <c r="AT203" i="20"/>
  <c r="D281" i="19"/>
  <c r="C255" i="19"/>
  <c r="J83" i="15"/>
  <c r="J85" i="15"/>
  <c r="AX253" i="20"/>
  <c r="AX269" i="20"/>
  <c r="AX159" i="20"/>
  <c r="C175" i="19"/>
  <c r="E44" i="15"/>
  <c r="C62" i="15"/>
  <c r="T237" i="4"/>
  <c r="V236" i="4"/>
  <c r="T290" i="4"/>
  <c r="A235" i="20"/>
  <c r="A238" i="20"/>
  <c r="B245" i="20"/>
  <c r="B23" i="20"/>
  <c r="B36" i="20"/>
  <c r="AT231" i="20"/>
  <c r="A229" i="20"/>
  <c r="A227" i="20"/>
  <c r="A234" i="20"/>
  <c r="A225" i="20"/>
  <c r="A224" i="20"/>
  <c r="A233" i="20"/>
  <c r="AM175" i="20"/>
  <c r="B511" i="14"/>
  <c r="C513" i="14"/>
  <c r="C155" i="19"/>
  <c r="H155" i="19"/>
  <c r="B155" i="19"/>
  <c r="D155" i="19"/>
  <c r="B147" i="19"/>
  <c r="I147" i="19"/>
  <c r="J147" i="19"/>
  <c r="K147" i="19"/>
  <c r="L147" i="19"/>
  <c r="M147" i="19"/>
  <c r="N147" i="19"/>
  <c r="O147" i="19"/>
  <c r="P147" i="19"/>
  <c r="Q147" i="19"/>
  <c r="R147" i="19"/>
  <c r="S147" i="19"/>
  <c r="C147" i="19"/>
  <c r="B126" i="19"/>
  <c r="H126" i="19"/>
  <c r="I118" i="19"/>
  <c r="J118" i="19"/>
  <c r="K118" i="19"/>
  <c r="L118" i="19"/>
  <c r="M118" i="19"/>
  <c r="N118" i="19"/>
  <c r="O118" i="19"/>
  <c r="P118" i="19"/>
  <c r="Q118" i="19"/>
  <c r="R118" i="19"/>
  <c r="S118" i="19"/>
  <c r="H112" i="19"/>
  <c r="B112" i="19"/>
  <c r="G32" i="8"/>
  <c r="E32" i="8"/>
  <c r="E17" i="8"/>
  <c r="F17" i="8"/>
  <c r="B94" i="19"/>
  <c r="I94" i="19"/>
  <c r="J94" i="19"/>
  <c r="K94" i="19"/>
  <c r="L94" i="19"/>
  <c r="M94" i="19"/>
  <c r="N94" i="19"/>
  <c r="O94" i="19"/>
  <c r="P94" i="19"/>
  <c r="Q94" i="19"/>
  <c r="R94" i="19"/>
  <c r="S94" i="19"/>
  <c r="A222" i="20"/>
  <c r="A232" i="20"/>
  <c r="F24" i="8"/>
  <c r="B193" i="19"/>
  <c r="D193" i="19"/>
  <c r="H193" i="19"/>
  <c r="H177" i="19"/>
  <c r="B177" i="19"/>
  <c r="B57" i="19"/>
  <c r="I57" i="19"/>
  <c r="J57" i="19"/>
  <c r="K57" i="19"/>
  <c r="L57" i="19"/>
  <c r="M57" i="19"/>
  <c r="N57" i="19"/>
  <c r="O57" i="19"/>
  <c r="P57" i="19"/>
  <c r="Q57" i="19"/>
  <c r="R57" i="19"/>
  <c r="S57" i="19"/>
  <c r="F4" i="8"/>
  <c r="E4" i="8"/>
  <c r="B43" i="19"/>
  <c r="H43" i="19"/>
  <c r="J86" i="19"/>
  <c r="K86" i="19"/>
  <c r="L86" i="19"/>
  <c r="M86" i="19"/>
  <c r="N86" i="19"/>
  <c r="O86" i="19"/>
  <c r="P86" i="19"/>
  <c r="Q86" i="19"/>
  <c r="R86" i="19"/>
  <c r="S86" i="19"/>
  <c r="B312" i="19"/>
  <c r="I312" i="19"/>
  <c r="J312" i="19"/>
  <c r="K312" i="19"/>
  <c r="L312" i="19"/>
  <c r="M312" i="19"/>
  <c r="N312" i="19"/>
  <c r="O312" i="19"/>
  <c r="P312" i="19"/>
  <c r="Q312" i="19"/>
  <c r="R312" i="19"/>
  <c r="S312" i="19"/>
  <c r="A230" i="20"/>
  <c r="F5" i="8"/>
  <c r="K58" i="5"/>
  <c r="Y259" i="20"/>
  <c r="AO231" i="20"/>
  <c r="B65" i="20"/>
  <c r="B134" i="20"/>
  <c r="F97" i="20"/>
  <c r="B54" i="20"/>
  <c r="B76" i="20"/>
  <c r="B88" i="20"/>
  <c r="B43" i="20"/>
  <c r="AT175" i="20"/>
  <c r="A165" i="20"/>
  <c r="A172" i="20"/>
  <c r="B175" i="20"/>
  <c r="B18" i="20"/>
  <c r="B31" i="20"/>
  <c r="AN161" i="20"/>
  <c r="AT161" i="20"/>
  <c r="I362" i="19"/>
  <c r="J362" i="19"/>
  <c r="K362" i="19"/>
  <c r="L362" i="19"/>
  <c r="M362" i="19"/>
  <c r="N362" i="19"/>
  <c r="O362" i="19"/>
  <c r="P362" i="19"/>
  <c r="Q362" i="19"/>
  <c r="R362" i="19"/>
  <c r="S362" i="19"/>
  <c r="I352" i="19"/>
  <c r="J352" i="19"/>
  <c r="K352" i="19"/>
  <c r="L352" i="19"/>
  <c r="M352" i="19"/>
  <c r="N352" i="19"/>
  <c r="O352" i="19"/>
  <c r="P352" i="19"/>
  <c r="Q352" i="19"/>
  <c r="R352" i="19"/>
  <c r="S352" i="19"/>
  <c r="J342" i="19"/>
  <c r="K342" i="19"/>
  <c r="L342" i="19"/>
  <c r="M342" i="19"/>
  <c r="N342" i="19"/>
  <c r="O342" i="19"/>
  <c r="P342" i="19"/>
  <c r="Q342" i="19"/>
  <c r="R342" i="19"/>
  <c r="S342" i="19"/>
  <c r="B324" i="19"/>
  <c r="H324" i="19"/>
  <c r="J106" i="19"/>
  <c r="K106" i="19"/>
  <c r="L106" i="19"/>
  <c r="M106" i="19"/>
  <c r="N106" i="19"/>
  <c r="O106" i="19"/>
  <c r="P106" i="19"/>
  <c r="Q106" i="19"/>
  <c r="R106" i="19"/>
  <c r="S106" i="19"/>
  <c r="B41" i="15"/>
  <c r="E35" i="15"/>
  <c r="H24" i="15"/>
  <c r="F29" i="15"/>
  <c r="E45" i="15"/>
  <c r="AI76" i="14"/>
  <c r="Y58" i="5"/>
  <c r="AV295" i="20"/>
  <c r="AR295" i="20"/>
  <c r="AU295" i="20"/>
  <c r="AT295" i="20"/>
  <c r="AW295" i="20"/>
  <c r="E11" i="8"/>
  <c r="F11" i="8"/>
  <c r="F20" i="8"/>
  <c r="E20" i="8"/>
  <c r="B139" i="19"/>
  <c r="C139" i="19"/>
  <c r="G29" i="8"/>
  <c r="E29" i="8"/>
  <c r="F22" i="8"/>
  <c r="E22" i="8"/>
  <c r="F7" i="8"/>
  <c r="E7" i="8"/>
  <c r="AX238" i="20"/>
  <c r="AX182" i="20"/>
  <c r="AX254" i="20"/>
  <c r="AX198" i="20"/>
  <c r="AX270" i="20"/>
  <c r="AX214" i="20"/>
  <c r="AL266" i="20"/>
  <c r="Y266" i="20"/>
  <c r="I139" i="19"/>
  <c r="J139" i="19"/>
  <c r="K139" i="19"/>
  <c r="L139" i="19"/>
  <c r="M139" i="19"/>
  <c r="N139" i="19"/>
  <c r="O139" i="19"/>
  <c r="P139" i="19"/>
  <c r="Q139" i="19"/>
  <c r="R139" i="19"/>
  <c r="S139" i="19"/>
  <c r="I19" i="8"/>
  <c r="J19" i="8"/>
  <c r="H295" i="19"/>
  <c r="B295" i="19"/>
  <c r="D295" i="19"/>
  <c r="I310" i="19"/>
  <c r="J310" i="19"/>
  <c r="K310" i="19"/>
  <c r="L310" i="19"/>
  <c r="M310" i="19"/>
  <c r="N310" i="19"/>
  <c r="O310" i="19"/>
  <c r="P310" i="19"/>
  <c r="Q310" i="19"/>
  <c r="R310" i="19"/>
  <c r="S310" i="19"/>
  <c r="C277" i="19"/>
  <c r="H124" i="19"/>
  <c r="I124" i="19"/>
  <c r="J124" i="19"/>
  <c r="K124" i="19"/>
  <c r="L124" i="19"/>
  <c r="M124" i="19"/>
  <c r="N124" i="19"/>
  <c r="O124" i="19"/>
  <c r="P124" i="19"/>
  <c r="Q124" i="19"/>
  <c r="R124" i="19"/>
  <c r="S124" i="19"/>
  <c r="D139" i="19"/>
  <c r="B308" i="19"/>
  <c r="I308" i="19"/>
  <c r="AX211" i="20"/>
  <c r="B259" i="19"/>
  <c r="I259" i="19"/>
  <c r="J259" i="19"/>
  <c r="K259" i="19"/>
  <c r="L259" i="19"/>
  <c r="M259" i="19"/>
  <c r="N259" i="19"/>
  <c r="O259" i="19"/>
  <c r="P259" i="19"/>
  <c r="Q259" i="19"/>
  <c r="R259" i="19"/>
  <c r="S259" i="19"/>
  <c r="B151" i="19"/>
  <c r="C151" i="19"/>
  <c r="AX265" i="20"/>
  <c r="AX197" i="20"/>
  <c r="AX225" i="20"/>
  <c r="AX215" i="20"/>
  <c r="AX173" i="20"/>
  <c r="AX257" i="20"/>
  <c r="AX243" i="20"/>
  <c r="A1" i="29"/>
  <c r="C1" i="29"/>
  <c r="E33" i="15"/>
  <c r="AR245" i="20"/>
  <c r="AQ231" i="20"/>
  <c r="AV217" i="20"/>
  <c r="AM217" i="20"/>
  <c r="AN175" i="20"/>
  <c r="C9" i="33"/>
  <c r="C267" i="19"/>
  <c r="I9" i="14"/>
  <c r="C259" i="19"/>
  <c r="B189" i="19"/>
  <c r="H143" i="19"/>
  <c r="B143" i="19"/>
  <c r="D143" i="19"/>
  <c r="C143" i="19"/>
  <c r="I53" i="19"/>
  <c r="J53" i="19"/>
  <c r="K53" i="19"/>
  <c r="L53" i="19"/>
  <c r="M53" i="19"/>
  <c r="N53" i="19"/>
  <c r="O53" i="19"/>
  <c r="P53" i="19"/>
  <c r="Q53" i="19"/>
  <c r="R53" i="19"/>
  <c r="S53" i="19"/>
  <c r="G33" i="8"/>
  <c r="E33" i="8"/>
  <c r="E16" i="8"/>
  <c r="F16" i="8"/>
  <c r="F10" i="8"/>
  <c r="E10" i="8"/>
  <c r="K56" i="3"/>
  <c r="S3" i="6"/>
  <c r="S4" i="6"/>
  <c r="I4" i="6"/>
  <c r="I356" i="19"/>
  <c r="J356" i="19"/>
  <c r="K356" i="19"/>
  <c r="L356" i="19"/>
  <c r="M356" i="19"/>
  <c r="N356" i="19"/>
  <c r="O356" i="19"/>
  <c r="P356" i="19"/>
  <c r="Q356" i="19"/>
  <c r="R356" i="19"/>
  <c r="S356" i="19"/>
  <c r="H328" i="19"/>
  <c r="B328" i="19"/>
  <c r="B320" i="19"/>
  <c r="I320" i="19"/>
  <c r="J320" i="19"/>
  <c r="K320" i="19"/>
  <c r="L320" i="19"/>
  <c r="M320" i="19"/>
  <c r="N320" i="19"/>
  <c r="O320" i="19"/>
  <c r="P320" i="19"/>
  <c r="Q320" i="19"/>
  <c r="R320" i="19"/>
  <c r="S320" i="19"/>
  <c r="H316" i="19"/>
  <c r="B316" i="19"/>
  <c r="H297" i="19"/>
  <c r="B297" i="19"/>
  <c r="D297" i="19"/>
  <c r="C297" i="19"/>
  <c r="B289" i="19"/>
  <c r="D289" i="19"/>
  <c r="C289" i="19"/>
  <c r="H285" i="19"/>
  <c r="B285" i="19"/>
  <c r="D285" i="19"/>
  <c r="C285" i="19"/>
  <c r="B181" i="19"/>
  <c r="D181" i="19"/>
  <c r="H181" i="19"/>
  <c r="I360" i="19"/>
  <c r="J360" i="19"/>
  <c r="K360" i="19"/>
  <c r="L360" i="19"/>
  <c r="M360" i="19"/>
  <c r="N360" i="19"/>
  <c r="O360" i="19"/>
  <c r="P360" i="19"/>
  <c r="Q360" i="19"/>
  <c r="R360" i="19"/>
  <c r="S360" i="19"/>
  <c r="C181" i="19"/>
  <c r="B13" i="14"/>
  <c r="A207" i="20"/>
  <c r="B217" i="20"/>
  <c r="A193" i="20"/>
  <c r="B203" i="20"/>
  <c r="B20" i="20"/>
  <c r="AM189" i="20"/>
  <c r="AU175" i="20"/>
  <c r="AQ175" i="20"/>
  <c r="AP175" i="20"/>
  <c r="AW175" i="20"/>
  <c r="AO175" i="20"/>
  <c r="Y161" i="20"/>
  <c r="AV161" i="20"/>
  <c r="AU161" i="20"/>
  <c r="AW161" i="20"/>
  <c r="AS161" i="20"/>
  <c r="AO161" i="20"/>
  <c r="H283" i="19"/>
  <c r="C283" i="19"/>
  <c r="C291" i="19"/>
  <c r="C293" i="19"/>
  <c r="C279" i="19"/>
  <c r="D291" i="19"/>
  <c r="C281" i="19"/>
  <c r="C287" i="19"/>
  <c r="H261" i="19"/>
  <c r="B261" i="19"/>
  <c r="D261" i="19"/>
  <c r="B249" i="19"/>
  <c r="D249" i="19"/>
  <c r="H249" i="19"/>
  <c r="I212" i="19"/>
  <c r="J212" i="19"/>
  <c r="K212" i="19"/>
  <c r="L212" i="19"/>
  <c r="M212" i="19"/>
  <c r="N212" i="19"/>
  <c r="O212" i="19"/>
  <c r="P212" i="19"/>
  <c r="Q212" i="19"/>
  <c r="R212" i="19"/>
  <c r="S212" i="19"/>
  <c r="B195" i="19"/>
  <c r="H195" i="19"/>
  <c r="C195" i="19"/>
  <c r="C187" i="19"/>
  <c r="D187" i="19"/>
  <c r="C179" i="19"/>
  <c r="D183" i="19"/>
  <c r="C191" i="19"/>
  <c r="C193" i="19"/>
  <c r="C183" i="19"/>
  <c r="C185" i="19"/>
  <c r="C177" i="19"/>
  <c r="B141" i="19"/>
  <c r="D141" i="19"/>
  <c r="C141" i="19"/>
  <c r="H141" i="19"/>
  <c r="H108" i="19"/>
  <c r="B108" i="19"/>
  <c r="I88" i="19"/>
  <c r="J88" i="19"/>
  <c r="K88" i="19"/>
  <c r="L88" i="19"/>
  <c r="M88" i="19"/>
  <c r="N88" i="19"/>
  <c r="O88" i="19"/>
  <c r="P88" i="19"/>
  <c r="Q88" i="19"/>
  <c r="R88" i="19"/>
  <c r="S88" i="19"/>
  <c r="I84" i="19"/>
  <c r="J84" i="19"/>
  <c r="K84" i="19"/>
  <c r="L84" i="19"/>
  <c r="M84" i="19"/>
  <c r="N84" i="19"/>
  <c r="O84" i="19"/>
  <c r="P84" i="19"/>
  <c r="Q84" i="19"/>
  <c r="R84" i="19"/>
  <c r="S84" i="19"/>
  <c r="B39" i="19"/>
  <c r="H39" i="19"/>
  <c r="E31" i="8"/>
  <c r="G31" i="8"/>
  <c r="E25" i="8"/>
  <c r="F25" i="8"/>
  <c r="M58" i="5"/>
  <c r="AW259" i="20"/>
  <c r="AQ245" i="20"/>
  <c r="AM245" i="20"/>
  <c r="AT245" i="20"/>
  <c r="AP245" i="20"/>
  <c r="AW245" i="20"/>
  <c r="AS245" i="20"/>
  <c r="AO245" i="20"/>
  <c r="AV231" i="20"/>
  <c r="AP231" i="20"/>
  <c r="AW231" i="20"/>
  <c r="AU217" i="20"/>
  <c r="AT217" i="20"/>
  <c r="AP217" i="20"/>
  <c r="Y203" i="20"/>
  <c r="AS203" i="20"/>
  <c r="Y175" i="20"/>
  <c r="AV175" i="20"/>
  <c r="AR175" i="20"/>
  <c r="B283" i="19"/>
  <c r="D283" i="19"/>
  <c r="I74" i="19"/>
  <c r="J74" i="19"/>
  <c r="K74" i="19"/>
  <c r="L74" i="19"/>
  <c r="M74" i="19"/>
  <c r="N74" i="19"/>
  <c r="O74" i="19"/>
  <c r="P74" i="19"/>
  <c r="Q74" i="19"/>
  <c r="R74" i="19"/>
  <c r="S74" i="19"/>
  <c r="D287" i="19"/>
  <c r="C295" i="19"/>
  <c r="B45" i="19"/>
  <c r="I45" i="19"/>
  <c r="J45" i="19"/>
  <c r="K45" i="19"/>
  <c r="L45" i="19"/>
  <c r="M45" i="19"/>
  <c r="N45" i="19"/>
  <c r="O45" i="19"/>
  <c r="P45" i="19"/>
  <c r="Q45" i="19"/>
  <c r="R45" i="19"/>
  <c r="S45" i="19"/>
  <c r="C261" i="19"/>
  <c r="E18" i="16"/>
  <c r="E19" i="16"/>
  <c r="E20" i="16"/>
  <c r="E21" i="16"/>
  <c r="E22" i="16"/>
  <c r="E23" i="16"/>
  <c r="E24" i="16"/>
  <c r="E25" i="16"/>
  <c r="E26" i="16"/>
  <c r="E27" i="16"/>
  <c r="E28" i="16"/>
  <c r="E29" i="16"/>
  <c r="E30" i="16"/>
  <c r="E31" i="16"/>
  <c r="E32" i="16"/>
  <c r="G58" i="5"/>
  <c r="AR259" i="20"/>
  <c r="AN231" i="20"/>
  <c r="AR161" i="20"/>
  <c r="AQ161" i="20"/>
  <c r="AM161" i="20"/>
  <c r="AP161" i="20"/>
  <c r="A151" i="20"/>
  <c r="B161" i="20"/>
  <c r="B17" i="20"/>
  <c r="D197" i="19"/>
  <c r="Y271" i="20"/>
  <c r="K52" i="9"/>
  <c r="K56" i="9"/>
  <c r="E31" i="15"/>
  <c r="Y270" i="20"/>
  <c r="R3" i="31"/>
  <c r="S3" i="31"/>
  <c r="T3" i="31"/>
  <c r="U3" i="31"/>
  <c r="W3" i="31"/>
  <c r="X3" i="31"/>
  <c r="Y3" i="31"/>
  <c r="Z3" i="31"/>
  <c r="AA3" i="31"/>
  <c r="L54" i="9"/>
  <c r="K58" i="9"/>
  <c r="Y267" i="20"/>
  <c r="AW273" i="20"/>
  <c r="L58" i="9"/>
  <c r="K54" i="9"/>
  <c r="B22" i="20"/>
  <c r="B35" i="20"/>
  <c r="O34" i="5"/>
  <c r="O35" i="5"/>
  <c r="O36" i="5"/>
  <c r="I51" i="19"/>
  <c r="J51" i="19"/>
  <c r="K51" i="19"/>
  <c r="L51" i="19"/>
  <c r="M51" i="19"/>
  <c r="N51" i="19"/>
  <c r="O51" i="19"/>
  <c r="P51" i="19"/>
  <c r="Q51" i="19"/>
  <c r="R51" i="19"/>
  <c r="S51" i="19"/>
  <c r="I51" i="5"/>
  <c r="I52" i="5"/>
  <c r="S57" i="5"/>
  <c r="S56" i="5"/>
  <c r="S58" i="5"/>
  <c r="A276" i="20"/>
  <c r="A277" i="20"/>
  <c r="A278" i="20"/>
  <c r="A279" i="20"/>
  <c r="A280" i="20"/>
  <c r="N237" i="14"/>
  <c r="N236" i="14"/>
  <c r="B299" i="19"/>
  <c r="H299" i="19"/>
  <c r="C299" i="19"/>
  <c r="I187" i="19"/>
  <c r="J187" i="19"/>
  <c r="K187" i="19"/>
  <c r="L187" i="19"/>
  <c r="M187" i="19"/>
  <c r="N187" i="19"/>
  <c r="O187" i="19"/>
  <c r="P187" i="19"/>
  <c r="Q187" i="19"/>
  <c r="R187" i="19"/>
  <c r="S187" i="19"/>
  <c r="D247" i="19"/>
  <c r="G13" i="15"/>
  <c r="G8" i="15"/>
  <c r="G15" i="15"/>
  <c r="G7" i="15"/>
  <c r="G16" i="15"/>
  <c r="G10" i="15"/>
  <c r="G21" i="15"/>
  <c r="G11" i="15"/>
  <c r="G18" i="15"/>
  <c r="G22" i="15"/>
  <c r="G6" i="15"/>
  <c r="G17" i="15"/>
  <c r="G14" i="15"/>
  <c r="G12" i="15"/>
  <c r="G19" i="15"/>
  <c r="AS259" i="20"/>
  <c r="AO259" i="20"/>
  <c r="AV259" i="20"/>
  <c r="AN259" i="20"/>
  <c r="AU259" i="20"/>
  <c r="AQ259" i="20"/>
  <c r="AM259" i="20"/>
  <c r="Y217" i="20"/>
  <c r="AQ217" i="20"/>
  <c r="AW217" i="20"/>
  <c r="AS217" i="20"/>
  <c r="AO217" i="20"/>
  <c r="AN217" i="20"/>
  <c r="AV203" i="20"/>
  <c r="AR203" i="20"/>
  <c r="AN203" i="20"/>
  <c r="AU203" i="20"/>
  <c r="AQ203" i="20"/>
  <c r="AM203" i="20"/>
  <c r="AW203" i="20"/>
  <c r="AO203" i="20"/>
  <c r="Y189" i="20"/>
  <c r="AU189" i="20"/>
  <c r="AQ189" i="20"/>
  <c r="AT189" i="20"/>
  <c r="AP189" i="20"/>
  <c r="AW189" i="20"/>
  <c r="AS189" i="20"/>
  <c r="AO189" i="20"/>
  <c r="AV189" i="20"/>
  <c r="AR189" i="20"/>
  <c r="AN189" i="20"/>
  <c r="C51" i="5"/>
  <c r="C52" i="5"/>
  <c r="N238" i="14"/>
  <c r="N239" i="14"/>
  <c r="N240" i="14"/>
  <c r="N241" i="14"/>
  <c r="N242" i="14"/>
  <c r="E52" i="5"/>
  <c r="E58" i="5"/>
  <c r="J41" i="19"/>
  <c r="K41" i="19"/>
  <c r="L41" i="19"/>
  <c r="M41" i="19"/>
  <c r="N41" i="19"/>
  <c r="O41" i="19"/>
  <c r="P41" i="19"/>
  <c r="Q41" i="19"/>
  <c r="R41" i="19"/>
  <c r="S41" i="19"/>
  <c r="U58" i="5"/>
  <c r="W58" i="5"/>
  <c r="AT259" i="20"/>
  <c r="AP259" i="20"/>
  <c r="A249" i="20"/>
  <c r="B259" i="20"/>
  <c r="B24" i="20"/>
  <c r="B37" i="20"/>
  <c r="Y245" i="20"/>
  <c r="AV245" i="20"/>
  <c r="AN245" i="20"/>
  <c r="AU245" i="20"/>
  <c r="A240" i="20"/>
  <c r="Y231" i="20"/>
  <c r="AS231" i="20"/>
  <c r="AU231" i="20"/>
  <c r="AM231" i="20"/>
  <c r="I348" i="19"/>
  <c r="J348" i="19"/>
  <c r="K348" i="19"/>
  <c r="L348" i="19"/>
  <c r="M348" i="19"/>
  <c r="N348" i="19"/>
  <c r="O348" i="19"/>
  <c r="P348" i="19"/>
  <c r="Q348" i="19"/>
  <c r="R348" i="19"/>
  <c r="S348" i="19"/>
  <c r="I340" i="19"/>
  <c r="J340" i="19"/>
  <c r="K340" i="19"/>
  <c r="L340" i="19"/>
  <c r="M340" i="19"/>
  <c r="N340" i="19"/>
  <c r="O340" i="19"/>
  <c r="P340" i="19"/>
  <c r="Q340" i="19"/>
  <c r="R340" i="19"/>
  <c r="S340" i="19"/>
  <c r="I185" i="19"/>
  <c r="J185" i="19"/>
  <c r="K185" i="19"/>
  <c r="L185" i="19"/>
  <c r="M185" i="19"/>
  <c r="N185" i="19"/>
  <c r="O185" i="19"/>
  <c r="P185" i="19"/>
  <c r="Q185" i="19"/>
  <c r="R185" i="19"/>
  <c r="S185" i="19"/>
  <c r="D185" i="19"/>
  <c r="B157" i="19"/>
  <c r="H157" i="19"/>
  <c r="C157" i="19"/>
  <c r="I291" i="19"/>
  <c r="J291" i="19"/>
  <c r="K291" i="19"/>
  <c r="L291" i="19"/>
  <c r="M291" i="19"/>
  <c r="N291" i="19"/>
  <c r="O291" i="19"/>
  <c r="P291" i="19"/>
  <c r="Q291" i="19"/>
  <c r="R291" i="19"/>
  <c r="S291" i="19"/>
  <c r="AT272" i="20"/>
  <c r="Y272" i="20"/>
  <c r="I47" i="19"/>
  <c r="J47" i="19"/>
  <c r="K47" i="19"/>
  <c r="L47" i="19"/>
  <c r="M47" i="19"/>
  <c r="N47" i="19"/>
  <c r="O47" i="19"/>
  <c r="P47" i="19"/>
  <c r="Q47" i="19"/>
  <c r="R47" i="19"/>
  <c r="S47" i="19"/>
  <c r="I120" i="19"/>
  <c r="J120" i="19"/>
  <c r="K120" i="19"/>
  <c r="L120" i="19"/>
  <c r="M120" i="19"/>
  <c r="N120" i="19"/>
  <c r="O120" i="19"/>
  <c r="P120" i="19"/>
  <c r="Q120" i="19"/>
  <c r="R120" i="19"/>
  <c r="S120" i="19"/>
  <c r="G550" i="14"/>
  <c r="I153" i="19"/>
  <c r="J153" i="19"/>
  <c r="K153" i="19"/>
  <c r="L153" i="19"/>
  <c r="M153" i="19"/>
  <c r="N153" i="19"/>
  <c r="O153" i="19"/>
  <c r="P153" i="19"/>
  <c r="Q153" i="19"/>
  <c r="R153" i="19"/>
  <c r="S153" i="19"/>
  <c r="I82" i="19"/>
  <c r="J82" i="19"/>
  <c r="K82" i="19"/>
  <c r="L82" i="19"/>
  <c r="M82" i="19"/>
  <c r="N82" i="19"/>
  <c r="O82" i="19"/>
  <c r="P82" i="19"/>
  <c r="Q82" i="19"/>
  <c r="R82" i="19"/>
  <c r="S82" i="19"/>
  <c r="E38" i="15"/>
  <c r="J57" i="9"/>
  <c r="L57" i="9"/>
  <c r="K57" i="9"/>
  <c r="K114" i="19"/>
  <c r="L114" i="19"/>
  <c r="M114" i="19"/>
  <c r="N114" i="19"/>
  <c r="O114" i="19"/>
  <c r="P114" i="19"/>
  <c r="Q114" i="19"/>
  <c r="R114" i="19"/>
  <c r="S114" i="19"/>
  <c r="Y268" i="20"/>
  <c r="AL268" i="20"/>
  <c r="J70" i="15"/>
  <c r="Y265" i="20"/>
  <c r="AL265" i="20"/>
  <c r="D3" i="31"/>
  <c r="E3" i="31"/>
  <c r="F3" i="31"/>
  <c r="G3" i="31"/>
  <c r="I3" i="31"/>
  <c r="J3" i="31"/>
  <c r="K3" i="31"/>
  <c r="L3" i="31"/>
  <c r="M3" i="31"/>
  <c r="J53" i="9"/>
  <c r="K53" i="9"/>
  <c r="E30" i="15"/>
  <c r="Y269" i="20"/>
  <c r="K55" i="9"/>
  <c r="L55" i="9"/>
  <c r="B63" i="20"/>
  <c r="B30" i="20"/>
  <c r="B115" i="20"/>
  <c r="B33" i="20"/>
  <c r="P15" i="32"/>
  <c r="Q15" i="32"/>
  <c r="R15" i="32"/>
  <c r="S15" i="32"/>
  <c r="T15" i="32"/>
  <c r="U15" i="32"/>
  <c r="V15" i="32"/>
  <c r="W15" i="32"/>
  <c r="X15" i="32"/>
  <c r="Q11" i="33"/>
  <c r="O30" i="32"/>
  <c r="N30" i="32"/>
  <c r="J3" i="8"/>
  <c r="B125" i="20"/>
  <c r="J4" i="8"/>
  <c r="E149" i="19"/>
  <c r="G97" i="20"/>
  <c r="E263" i="19"/>
  <c r="I179" i="19"/>
  <c r="J179" i="19"/>
  <c r="K179" i="19"/>
  <c r="L179" i="19"/>
  <c r="M179" i="19"/>
  <c r="N179" i="19"/>
  <c r="O179" i="19"/>
  <c r="P179" i="19"/>
  <c r="Q179" i="19"/>
  <c r="R179" i="19"/>
  <c r="S179" i="19"/>
  <c r="J17" i="8"/>
  <c r="I245" i="19"/>
  <c r="J245" i="19"/>
  <c r="K245" i="19"/>
  <c r="L245" i="19"/>
  <c r="M245" i="19"/>
  <c r="N245" i="19"/>
  <c r="O245" i="19"/>
  <c r="P245" i="19"/>
  <c r="Q245" i="19"/>
  <c r="R245" i="19"/>
  <c r="S245" i="19"/>
  <c r="J55" i="19"/>
  <c r="K55" i="19"/>
  <c r="L55" i="19"/>
  <c r="M55" i="19"/>
  <c r="N55" i="19"/>
  <c r="O55" i="19"/>
  <c r="P55" i="19"/>
  <c r="Q55" i="19"/>
  <c r="R55" i="19"/>
  <c r="S55" i="19"/>
  <c r="J11" i="8"/>
  <c r="J18" i="8"/>
  <c r="E159" i="19"/>
  <c r="A171" i="20"/>
  <c r="A298" i="20"/>
  <c r="E249" i="19"/>
  <c r="B77" i="20"/>
  <c r="B89" i="20"/>
  <c r="B66" i="20"/>
  <c r="J10" i="8"/>
  <c r="I249" i="19"/>
  <c r="A236" i="20"/>
  <c r="A241" i="20"/>
  <c r="I257" i="19"/>
  <c r="J257" i="19"/>
  <c r="K257" i="19"/>
  <c r="L257" i="19"/>
  <c r="M257" i="19"/>
  <c r="N257" i="19"/>
  <c r="O257" i="19"/>
  <c r="P257" i="19"/>
  <c r="Q257" i="19"/>
  <c r="R257" i="19"/>
  <c r="S257" i="19"/>
  <c r="I161" i="19"/>
  <c r="J161" i="19"/>
  <c r="K161" i="19"/>
  <c r="L161" i="19"/>
  <c r="M161" i="19"/>
  <c r="N161" i="19"/>
  <c r="O161" i="19"/>
  <c r="P161" i="19"/>
  <c r="Q161" i="19"/>
  <c r="R161" i="19"/>
  <c r="S161" i="19"/>
  <c r="A239" i="20"/>
  <c r="A293" i="20"/>
  <c r="I90" i="19"/>
  <c r="J90" i="19"/>
  <c r="K90" i="19"/>
  <c r="L90" i="19"/>
  <c r="M90" i="19"/>
  <c r="N90" i="19"/>
  <c r="O90" i="19"/>
  <c r="P90" i="19"/>
  <c r="Q90" i="19"/>
  <c r="R90" i="19"/>
  <c r="S90" i="19"/>
  <c r="E145" i="19"/>
  <c r="E247" i="19"/>
  <c r="E197" i="19"/>
  <c r="A288" i="20"/>
  <c r="A189" i="20"/>
  <c r="A186" i="20"/>
  <c r="A295" i="20"/>
  <c r="A286" i="20"/>
  <c r="A297" i="20"/>
  <c r="Q58" i="5"/>
  <c r="P58" i="5"/>
  <c r="A188" i="20"/>
  <c r="I175" i="19"/>
  <c r="J175" i="19"/>
  <c r="K175" i="19"/>
  <c r="L175" i="19"/>
  <c r="M175" i="19"/>
  <c r="N175" i="19"/>
  <c r="O175" i="19"/>
  <c r="P175" i="19"/>
  <c r="Q175" i="19"/>
  <c r="R175" i="19"/>
  <c r="S175" i="19"/>
  <c r="D267" i="19"/>
  <c r="E267" i="19"/>
  <c r="A296" i="20"/>
  <c r="E175" i="19"/>
  <c r="I176" i="19"/>
  <c r="J176" i="19"/>
  <c r="K176" i="19"/>
  <c r="L176" i="19"/>
  <c r="M176" i="19"/>
  <c r="N176" i="19"/>
  <c r="O176" i="19"/>
  <c r="P176" i="19"/>
  <c r="Q176" i="19"/>
  <c r="R176" i="19"/>
  <c r="S176" i="19"/>
  <c r="I265" i="19"/>
  <c r="J265" i="19"/>
  <c r="K265" i="19"/>
  <c r="L265" i="19"/>
  <c r="M265" i="19"/>
  <c r="N265" i="19"/>
  <c r="O265" i="19"/>
  <c r="P265" i="19"/>
  <c r="Q265" i="19"/>
  <c r="R265" i="19"/>
  <c r="S265" i="19"/>
  <c r="A192" i="20"/>
  <c r="T257" i="4"/>
  <c r="A187" i="20"/>
  <c r="A183" i="20"/>
  <c r="I126" i="19"/>
  <c r="J126" i="19"/>
  <c r="K126" i="19"/>
  <c r="L126" i="19"/>
  <c r="M126" i="19"/>
  <c r="N126" i="19"/>
  <c r="O126" i="19"/>
  <c r="P126" i="19"/>
  <c r="Q126" i="19"/>
  <c r="R126" i="19"/>
  <c r="S126" i="19"/>
  <c r="I155" i="19"/>
  <c r="J155" i="19"/>
  <c r="K155" i="19"/>
  <c r="L155" i="19"/>
  <c r="M155" i="19"/>
  <c r="N155" i="19"/>
  <c r="O155" i="19"/>
  <c r="P155" i="19"/>
  <c r="Q155" i="19"/>
  <c r="R155" i="19"/>
  <c r="S155" i="19"/>
  <c r="A184" i="20"/>
  <c r="A185" i="20"/>
  <c r="I6" i="8"/>
  <c r="S239" i="4"/>
  <c r="A181" i="20"/>
  <c r="A190" i="20"/>
  <c r="A182" i="20"/>
  <c r="A191" i="20"/>
  <c r="I145" i="19"/>
  <c r="J145" i="19"/>
  <c r="K145" i="19"/>
  <c r="L145" i="19"/>
  <c r="M145" i="19"/>
  <c r="N145" i="19"/>
  <c r="O145" i="19"/>
  <c r="P145" i="19"/>
  <c r="Q145" i="19"/>
  <c r="R145" i="19"/>
  <c r="S145" i="19"/>
  <c r="E63" i="5"/>
  <c r="I8" i="8"/>
  <c r="J24" i="8"/>
  <c r="E281" i="19"/>
  <c r="J15" i="8"/>
  <c r="A178" i="20"/>
  <c r="A242" i="20"/>
  <c r="I285" i="19"/>
  <c r="J285" i="19"/>
  <c r="K285" i="19"/>
  <c r="L285" i="19"/>
  <c r="M285" i="19"/>
  <c r="N285" i="19"/>
  <c r="O285" i="19"/>
  <c r="P285" i="19"/>
  <c r="Q285" i="19"/>
  <c r="R285" i="19"/>
  <c r="S285" i="19"/>
  <c r="E255" i="19"/>
  <c r="I253" i="19"/>
  <c r="J253" i="19"/>
  <c r="K253" i="19"/>
  <c r="L253" i="19"/>
  <c r="M253" i="19"/>
  <c r="N253" i="19"/>
  <c r="O253" i="19"/>
  <c r="P253" i="19"/>
  <c r="Q253" i="19"/>
  <c r="R253" i="19"/>
  <c r="S253" i="19"/>
  <c r="I261" i="19"/>
  <c r="J261" i="19"/>
  <c r="K261" i="19"/>
  <c r="L261" i="19"/>
  <c r="M261" i="19"/>
  <c r="N261" i="19"/>
  <c r="O261" i="19"/>
  <c r="P261" i="19"/>
  <c r="Q261" i="19"/>
  <c r="R261" i="19"/>
  <c r="S261" i="19"/>
  <c r="A175" i="20"/>
  <c r="I263" i="19"/>
  <c r="J263" i="19"/>
  <c r="K263" i="19"/>
  <c r="L263" i="19"/>
  <c r="M263" i="19"/>
  <c r="N263" i="19"/>
  <c r="O263" i="19"/>
  <c r="P263" i="19"/>
  <c r="Q263" i="19"/>
  <c r="R263" i="19"/>
  <c r="S263" i="19"/>
  <c r="I279" i="19"/>
  <c r="J279" i="19"/>
  <c r="K279" i="19"/>
  <c r="L279" i="19"/>
  <c r="M279" i="19"/>
  <c r="N279" i="19"/>
  <c r="O279" i="19"/>
  <c r="P279" i="19"/>
  <c r="Q279" i="19"/>
  <c r="R279" i="19"/>
  <c r="S279" i="19"/>
  <c r="S314" i="4"/>
  <c r="S315" i="4"/>
  <c r="S316" i="4"/>
  <c r="S317" i="4"/>
  <c r="S318" i="4"/>
  <c r="S319" i="4"/>
  <c r="S320" i="4"/>
  <c r="S321" i="4"/>
  <c r="S322" i="4"/>
  <c r="T317" i="4"/>
  <c r="T264" i="4"/>
  <c r="T270" i="4"/>
  <c r="E253" i="19"/>
  <c r="E251" i="19"/>
  <c r="E245" i="19"/>
  <c r="T268" i="4"/>
  <c r="T299" i="4"/>
  <c r="E265" i="19"/>
  <c r="A168" i="20"/>
  <c r="A177" i="20"/>
  <c r="T263" i="4"/>
  <c r="T273" i="4"/>
  <c r="T274" i="4"/>
  <c r="T259" i="4"/>
  <c r="I159" i="19"/>
  <c r="J159" i="19"/>
  <c r="K159" i="19"/>
  <c r="L159" i="19"/>
  <c r="M159" i="19"/>
  <c r="N159" i="19"/>
  <c r="O159" i="19"/>
  <c r="P159" i="19"/>
  <c r="Q159" i="19"/>
  <c r="R159" i="19"/>
  <c r="S159" i="19"/>
  <c r="I7" i="8"/>
  <c r="I61" i="19"/>
  <c r="J61" i="19"/>
  <c r="K61" i="19"/>
  <c r="L61" i="19"/>
  <c r="M61" i="19"/>
  <c r="N61" i="19"/>
  <c r="O61" i="19"/>
  <c r="P61" i="19"/>
  <c r="Q61" i="19"/>
  <c r="R61" i="19"/>
  <c r="S61" i="19"/>
  <c r="I76" i="19"/>
  <c r="J76" i="19"/>
  <c r="K76" i="19"/>
  <c r="L76" i="19"/>
  <c r="M76" i="19"/>
  <c r="N76" i="19"/>
  <c r="O76" i="19"/>
  <c r="P76" i="19"/>
  <c r="Q76" i="19"/>
  <c r="R76" i="19"/>
  <c r="S76" i="19"/>
  <c r="A174" i="20"/>
  <c r="T318" i="4"/>
  <c r="T256" i="4"/>
  <c r="T258" i="4"/>
  <c r="I177" i="19"/>
  <c r="J177" i="19"/>
  <c r="K177" i="19"/>
  <c r="L177" i="19"/>
  <c r="M177" i="19"/>
  <c r="N177" i="19"/>
  <c r="O177" i="19"/>
  <c r="P177" i="19"/>
  <c r="Q177" i="19"/>
  <c r="R177" i="19"/>
  <c r="S177" i="19"/>
  <c r="E153" i="19"/>
  <c r="J13" i="8"/>
  <c r="A287" i="20"/>
  <c r="A290" i="20"/>
  <c r="A291" i="20"/>
  <c r="A292" i="20"/>
  <c r="A289" i="20"/>
  <c r="I59" i="19"/>
  <c r="J59" i="19"/>
  <c r="K59" i="19"/>
  <c r="L59" i="19"/>
  <c r="M59" i="19"/>
  <c r="N59" i="19"/>
  <c r="O59" i="19"/>
  <c r="P59" i="19"/>
  <c r="Q59" i="19"/>
  <c r="R59" i="19"/>
  <c r="S59" i="19"/>
  <c r="J5" i="8"/>
  <c r="I5" i="8"/>
  <c r="I16" i="8"/>
  <c r="J16" i="8"/>
  <c r="I22" i="8"/>
  <c r="J22" i="8"/>
  <c r="I14" i="8"/>
  <c r="J14" i="8"/>
  <c r="D277" i="19"/>
  <c r="E277" i="19"/>
  <c r="T293" i="4"/>
  <c r="S287" i="4"/>
  <c r="S288" i="4"/>
  <c r="S289" i="4"/>
  <c r="S290" i="4"/>
  <c r="S291" i="4"/>
  <c r="S292" i="4"/>
  <c r="S293" i="4"/>
  <c r="S294" i="4"/>
  <c r="S295" i="4"/>
  <c r="T319" i="4"/>
  <c r="T302" i="4"/>
  <c r="T247" i="4"/>
  <c r="S260" i="4"/>
  <c r="S261" i="4"/>
  <c r="S262" i="4"/>
  <c r="S263" i="4"/>
  <c r="S264" i="4"/>
  <c r="S265" i="4"/>
  <c r="S266" i="4"/>
  <c r="S267" i="4"/>
  <c r="S268" i="4"/>
  <c r="T283" i="4"/>
  <c r="T309" i="4"/>
  <c r="T265" i="4"/>
  <c r="T280" i="4"/>
  <c r="T276" i="4"/>
  <c r="T311" i="4"/>
  <c r="T282" i="4"/>
  <c r="T248" i="4"/>
  <c r="T297" i="4"/>
  <c r="S296" i="4"/>
  <c r="S297" i="4"/>
  <c r="S298" i="4"/>
  <c r="S299" i="4"/>
  <c r="S300" i="4"/>
  <c r="S301" i="4"/>
  <c r="S302" i="4"/>
  <c r="S303" i="4"/>
  <c r="S304" i="4"/>
  <c r="T279" i="4"/>
  <c r="T292" i="4"/>
  <c r="M191" i="19"/>
  <c r="N191" i="19"/>
  <c r="O191" i="19"/>
  <c r="P191" i="19"/>
  <c r="Q191" i="19"/>
  <c r="R191" i="19"/>
  <c r="S191" i="19"/>
  <c r="B122" i="20"/>
  <c r="B52" i="20"/>
  <c r="D177" i="19"/>
  <c r="E177" i="19"/>
  <c r="T245" i="4"/>
  <c r="T306" i="4"/>
  <c r="T261" i="4"/>
  <c r="T294" i="4"/>
  <c r="T253" i="4"/>
  <c r="T298" i="4"/>
  <c r="T310" i="4"/>
  <c r="T284" i="4"/>
  <c r="T249" i="4"/>
  <c r="T254" i="4"/>
  <c r="T312" i="4"/>
  <c r="T307" i="4"/>
  <c r="T301" i="4"/>
  <c r="T313" i="4"/>
  <c r="T308" i="4"/>
  <c r="J308" i="19"/>
  <c r="K308" i="19"/>
  <c r="L308" i="19"/>
  <c r="M308" i="19"/>
  <c r="N308" i="19"/>
  <c r="O308" i="19"/>
  <c r="P308" i="19"/>
  <c r="Q308" i="19"/>
  <c r="R308" i="19"/>
  <c r="S308" i="19"/>
  <c r="I324" i="19"/>
  <c r="J324" i="19"/>
  <c r="K324" i="19"/>
  <c r="L324" i="19"/>
  <c r="M324" i="19"/>
  <c r="N324" i="19"/>
  <c r="O324" i="19"/>
  <c r="P324" i="19"/>
  <c r="Q324" i="19"/>
  <c r="R324" i="19"/>
  <c r="S324" i="19"/>
  <c r="I193" i="19"/>
  <c r="J193" i="19"/>
  <c r="K193" i="19"/>
  <c r="L193" i="19"/>
  <c r="M193" i="19"/>
  <c r="N193" i="19"/>
  <c r="O193" i="19"/>
  <c r="P193" i="19"/>
  <c r="Q193" i="19"/>
  <c r="R193" i="19"/>
  <c r="S193" i="19"/>
  <c r="I293" i="19"/>
  <c r="J293" i="19"/>
  <c r="K293" i="19"/>
  <c r="L293" i="19"/>
  <c r="M293" i="19"/>
  <c r="N293" i="19"/>
  <c r="O293" i="19"/>
  <c r="P293" i="19"/>
  <c r="Q293" i="19"/>
  <c r="R293" i="19"/>
  <c r="S293" i="19"/>
  <c r="S269" i="4"/>
  <c r="S270" i="4"/>
  <c r="S271" i="4"/>
  <c r="S272" i="4"/>
  <c r="S273" i="4"/>
  <c r="S274" i="4"/>
  <c r="S275" i="4"/>
  <c r="S276" i="4"/>
  <c r="S277" i="4"/>
  <c r="D191" i="19"/>
  <c r="E191" i="19"/>
  <c r="T289" i="4"/>
  <c r="T281" i="4"/>
  <c r="T304" i="4"/>
  <c r="T252" i="4"/>
  <c r="T295" i="4"/>
  <c r="T291" i="4"/>
  <c r="S242" i="4"/>
  <c r="S243" i="4"/>
  <c r="S244" i="4"/>
  <c r="S245" i="4"/>
  <c r="S246" i="4"/>
  <c r="S247" i="4"/>
  <c r="S248" i="4"/>
  <c r="S249" i="4"/>
  <c r="S250" i="4"/>
  <c r="T262" i="4"/>
  <c r="T242" i="4"/>
  <c r="T255" i="4"/>
  <c r="T275" i="4"/>
  <c r="T316" i="4"/>
  <c r="T243" i="4"/>
  <c r="T303" i="4"/>
  <c r="S278" i="4"/>
  <c r="S279" i="4"/>
  <c r="S280" i="4"/>
  <c r="S281" i="4"/>
  <c r="S282" i="4"/>
  <c r="S283" i="4"/>
  <c r="S284" i="4"/>
  <c r="S285" i="4"/>
  <c r="S286" i="4"/>
  <c r="T246" i="4"/>
  <c r="S305" i="4"/>
  <c r="S306" i="4"/>
  <c r="S307" i="4"/>
  <c r="S308" i="4"/>
  <c r="S309" i="4"/>
  <c r="S310" i="4"/>
  <c r="S311" i="4"/>
  <c r="S312" i="4"/>
  <c r="S313" i="4"/>
  <c r="I112" i="19"/>
  <c r="J112" i="19"/>
  <c r="K112" i="19"/>
  <c r="L112" i="19"/>
  <c r="M112" i="19"/>
  <c r="N112" i="19"/>
  <c r="O112" i="19"/>
  <c r="P112" i="19"/>
  <c r="Q112" i="19"/>
  <c r="R112" i="19"/>
  <c r="S112" i="19"/>
  <c r="S251" i="4"/>
  <c r="S252" i="4"/>
  <c r="S253" i="4"/>
  <c r="S254" i="4"/>
  <c r="S255" i="4"/>
  <c r="S256" i="4"/>
  <c r="S257" i="4"/>
  <c r="S258" i="4"/>
  <c r="S259" i="4"/>
  <c r="T300" i="4"/>
  <c r="T288" i="4"/>
  <c r="T321" i="4"/>
  <c r="T244" i="4"/>
  <c r="E139" i="19"/>
  <c r="E193" i="19"/>
  <c r="T236" i="4"/>
  <c r="T250" i="4"/>
  <c r="E291" i="19"/>
  <c r="T285" i="4"/>
  <c r="T267" i="4"/>
  <c r="S323" i="4"/>
  <c r="T277" i="4"/>
  <c r="T271" i="4"/>
  <c r="T320" i="4"/>
  <c r="T315" i="4"/>
  <c r="T322" i="4"/>
  <c r="T286" i="4"/>
  <c r="T266" i="4"/>
  <c r="T272" i="4"/>
  <c r="E155" i="19"/>
  <c r="E297" i="19"/>
  <c r="E261" i="19"/>
  <c r="E141" i="19"/>
  <c r="E285" i="19"/>
  <c r="E289" i="19"/>
  <c r="E143" i="19"/>
  <c r="B58" i="20"/>
  <c r="B69" i="20"/>
  <c r="B118" i="20"/>
  <c r="J97" i="20"/>
  <c r="B106" i="20"/>
  <c r="B138" i="20"/>
  <c r="B47" i="20"/>
  <c r="B80" i="20"/>
  <c r="B92" i="20"/>
  <c r="B128" i="20"/>
  <c r="I108" i="19"/>
  <c r="J108" i="19"/>
  <c r="K108" i="19"/>
  <c r="L108" i="19"/>
  <c r="M108" i="19"/>
  <c r="N108" i="19"/>
  <c r="O108" i="19"/>
  <c r="P108" i="19"/>
  <c r="Q108" i="19"/>
  <c r="R108" i="19"/>
  <c r="S108" i="19"/>
  <c r="I295" i="19"/>
  <c r="J295" i="19"/>
  <c r="K295" i="19"/>
  <c r="L295" i="19"/>
  <c r="M295" i="19"/>
  <c r="N295" i="19"/>
  <c r="O295" i="19"/>
  <c r="P295" i="19"/>
  <c r="Q295" i="19"/>
  <c r="R295" i="19"/>
  <c r="S295" i="19"/>
  <c r="D147" i="19"/>
  <c r="E147" i="19"/>
  <c r="I43" i="19"/>
  <c r="J43" i="19"/>
  <c r="K43" i="19"/>
  <c r="L43" i="19"/>
  <c r="M43" i="19"/>
  <c r="N43" i="19"/>
  <c r="O43" i="19"/>
  <c r="P43" i="19"/>
  <c r="Q43" i="19"/>
  <c r="R43" i="19"/>
  <c r="S43" i="19"/>
  <c r="A243" i="20"/>
  <c r="A237" i="20"/>
  <c r="A247" i="20"/>
  <c r="A246" i="20"/>
  <c r="A244" i="20"/>
  <c r="A245" i="20"/>
  <c r="A248" i="20"/>
  <c r="I151" i="19"/>
  <c r="J151" i="19"/>
  <c r="K151" i="19"/>
  <c r="L151" i="19"/>
  <c r="M151" i="19"/>
  <c r="N151" i="19"/>
  <c r="O151" i="19"/>
  <c r="P151" i="19"/>
  <c r="Q151" i="19"/>
  <c r="R151" i="19"/>
  <c r="S151" i="19"/>
  <c r="D151" i="19"/>
  <c r="E151" i="19"/>
  <c r="I289" i="19"/>
  <c r="J289" i="19"/>
  <c r="K289" i="19"/>
  <c r="L289" i="19"/>
  <c r="M289" i="19"/>
  <c r="N289" i="19"/>
  <c r="O289" i="19"/>
  <c r="P289" i="19"/>
  <c r="Q289" i="19"/>
  <c r="R289" i="19"/>
  <c r="S289" i="19"/>
  <c r="I39" i="19"/>
  <c r="J39" i="19"/>
  <c r="K39" i="19"/>
  <c r="L39" i="19"/>
  <c r="M39" i="19"/>
  <c r="N39" i="19"/>
  <c r="O39" i="19"/>
  <c r="P39" i="19"/>
  <c r="Q39" i="19"/>
  <c r="R39" i="19"/>
  <c r="S39" i="19"/>
  <c r="D259" i="19"/>
  <c r="E259" i="19"/>
  <c r="A176" i="20"/>
  <c r="A169" i="20"/>
  <c r="A173" i="20"/>
  <c r="A166" i="20"/>
  <c r="A167" i="20"/>
  <c r="A170" i="20"/>
  <c r="B512" i="14"/>
  <c r="C514" i="14"/>
  <c r="E183" i="19"/>
  <c r="E279" i="19"/>
  <c r="E283" i="19"/>
  <c r="E293" i="19"/>
  <c r="E181" i="19"/>
  <c r="A152" i="20"/>
  <c r="A159" i="20"/>
  <c r="A158" i="20"/>
  <c r="A164" i="20"/>
  <c r="A157" i="20"/>
  <c r="A156" i="20"/>
  <c r="A160" i="20"/>
  <c r="A154" i="20"/>
  <c r="A163" i="20"/>
  <c r="A153" i="20"/>
  <c r="A155" i="20"/>
  <c r="A161" i="20"/>
  <c r="A162" i="20"/>
  <c r="A208" i="20"/>
  <c r="A219" i="20"/>
  <c r="A215" i="20"/>
  <c r="A211" i="20"/>
  <c r="A214" i="20"/>
  <c r="A212" i="20"/>
  <c r="A213" i="20"/>
  <c r="A220" i="20"/>
  <c r="A218" i="20"/>
  <c r="A209" i="20"/>
  <c r="A210" i="20"/>
  <c r="A216" i="20"/>
  <c r="I316" i="19"/>
  <c r="J316" i="19"/>
  <c r="K316" i="19"/>
  <c r="L316" i="19"/>
  <c r="M316" i="19"/>
  <c r="N316" i="19"/>
  <c r="O316" i="19"/>
  <c r="P316" i="19"/>
  <c r="Q316" i="19"/>
  <c r="R316" i="19"/>
  <c r="S316" i="19"/>
  <c r="I328" i="19"/>
  <c r="J328" i="19"/>
  <c r="K328" i="19"/>
  <c r="L328" i="19"/>
  <c r="M328" i="19"/>
  <c r="N328" i="19"/>
  <c r="O328" i="19"/>
  <c r="P328" i="19"/>
  <c r="Q328" i="19"/>
  <c r="R328" i="19"/>
  <c r="S328" i="19"/>
  <c r="K64" i="3"/>
  <c r="I189" i="19"/>
  <c r="J189" i="19"/>
  <c r="K189" i="19"/>
  <c r="L189" i="19"/>
  <c r="M189" i="19"/>
  <c r="N189" i="19"/>
  <c r="O189" i="19"/>
  <c r="P189" i="19"/>
  <c r="Q189" i="19"/>
  <c r="R189" i="19"/>
  <c r="S189" i="19"/>
  <c r="F30" i="15"/>
  <c r="D30" i="15"/>
  <c r="C31" i="15"/>
  <c r="F38" i="15"/>
  <c r="E185" i="19"/>
  <c r="J249" i="19"/>
  <c r="K249" i="19"/>
  <c r="L249" i="19"/>
  <c r="M249" i="19"/>
  <c r="N249" i="19"/>
  <c r="O249" i="19"/>
  <c r="P249" i="19"/>
  <c r="Q249" i="19"/>
  <c r="R249" i="19"/>
  <c r="S249" i="19"/>
  <c r="E295" i="19"/>
  <c r="I141" i="19"/>
  <c r="J141" i="19"/>
  <c r="K141" i="19"/>
  <c r="L141" i="19"/>
  <c r="M141" i="19"/>
  <c r="N141" i="19"/>
  <c r="O141" i="19"/>
  <c r="P141" i="19"/>
  <c r="Q141" i="19"/>
  <c r="R141" i="19"/>
  <c r="S141" i="19"/>
  <c r="E179" i="19"/>
  <c r="B103" i="20"/>
  <c r="B55" i="20"/>
  <c r="B135" i="20"/>
  <c r="B44" i="20"/>
  <c r="I143" i="19"/>
  <c r="J143" i="19"/>
  <c r="K143" i="19"/>
  <c r="L143" i="19"/>
  <c r="M143" i="19"/>
  <c r="N143" i="19"/>
  <c r="O143" i="19"/>
  <c r="P143" i="19"/>
  <c r="Q143" i="19"/>
  <c r="R143" i="19"/>
  <c r="S143" i="19"/>
  <c r="A202" i="20"/>
  <c r="A194" i="20"/>
  <c r="A198" i="20"/>
  <c r="A197" i="20"/>
  <c r="A199" i="20"/>
  <c r="A206" i="20"/>
  <c r="A200" i="20"/>
  <c r="A196" i="20"/>
  <c r="A201" i="20"/>
  <c r="A195" i="20"/>
  <c r="A204" i="20"/>
  <c r="A205" i="20"/>
  <c r="A203" i="20"/>
  <c r="I297" i="19"/>
  <c r="J297" i="19"/>
  <c r="K297" i="19"/>
  <c r="L297" i="19"/>
  <c r="M297" i="19"/>
  <c r="N297" i="19"/>
  <c r="O297" i="19"/>
  <c r="P297" i="19"/>
  <c r="Q297" i="19"/>
  <c r="R297" i="19"/>
  <c r="S297" i="19"/>
  <c r="R3" i="6"/>
  <c r="S5" i="6"/>
  <c r="O58" i="5"/>
  <c r="B132" i="20"/>
  <c r="D97" i="20"/>
  <c r="B41" i="20"/>
  <c r="B74" i="20"/>
  <c r="B86" i="20"/>
  <c r="B100" i="20"/>
  <c r="B112" i="20"/>
  <c r="I283" i="19"/>
  <c r="J283" i="19"/>
  <c r="K283" i="19"/>
  <c r="L283" i="19"/>
  <c r="M283" i="19"/>
  <c r="N283" i="19"/>
  <c r="O283" i="19"/>
  <c r="P283" i="19"/>
  <c r="Q283" i="19"/>
  <c r="R283" i="19"/>
  <c r="S283" i="19"/>
  <c r="E187" i="19"/>
  <c r="I195" i="19"/>
  <c r="J195" i="19"/>
  <c r="K195" i="19"/>
  <c r="L195" i="19"/>
  <c r="M195" i="19"/>
  <c r="N195" i="19"/>
  <c r="O195" i="19"/>
  <c r="P195" i="19"/>
  <c r="Q195" i="19"/>
  <c r="R195" i="19"/>
  <c r="S195" i="19"/>
  <c r="D195" i="19"/>
  <c r="E195" i="19"/>
  <c r="E287" i="19"/>
  <c r="A217" i="20"/>
  <c r="B21" i="20"/>
  <c r="B34" i="20"/>
  <c r="B64" i="20"/>
  <c r="E97" i="20"/>
  <c r="B113" i="20"/>
  <c r="B42" i="20"/>
  <c r="B53" i="20"/>
  <c r="B133" i="20"/>
  <c r="B123" i="20"/>
  <c r="B75" i="20"/>
  <c r="B87" i="20"/>
  <c r="B101" i="20"/>
  <c r="I181" i="19"/>
  <c r="J181" i="19"/>
  <c r="K181" i="19"/>
  <c r="L181" i="19"/>
  <c r="M181" i="19"/>
  <c r="N181" i="19"/>
  <c r="O181" i="19"/>
  <c r="P181" i="19"/>
  <c r="Q181" i="19"/>
  <c r="R181" i="19"/>
  <c r="S181" i="19"/>
  <c r="D189" i="19"/>
  <c r="E189" i="19"/>
  <c r="A260" i="20"/>
  <c r="A256" i="20"/>
  <c r="A257" i="20"/>
  <c r="A251" i="20"/>
  <c r="A259" i="20"/>
  <c r="A253" i="20"/>
  <c r="A255" i="20"/>
  <c r="A261" i="20"/>
  <c r="A254" i="20"/>
  <c r="A252" i="20"/>
  <c r="A262" i="20"/>
  <c r="A250" i="20"/>
  <c r="A258" i="20"/>
  <c r="I299" i="19"/>
  <c r="J299" i="19"/>
  <c r="K299" i="19"/>
  <c r="L299" i="19"/>
  <c r="M299" i="19"/>
  <c r="N299" i="19"/>
  <c r="O299" i="19"/>
  <c r="P299" i="19"/>
  <c r="Q299" i="19"/>
  <c r="R299" i="19"/>
  <c r="S299" i="19"/>
  <c r="I58" i="5"/>
  <c r="F32" i="15"/>
  <c r="F31" i="15"/>
  <c r="F37" i="15"/>
  <c r="F33" i="15"/>
  <c r="F35" i="15"/>
  <c r="F41" i="15"/>
  <c r="F34" i="15"/>
  <c r="B139" i="20"/>
  <c r="K97" i="20"/>
  <c r="B70" i="20"/>
  <c r="B81" i="20"/>
  <c r="B93" i="20"/>
  <c r="B119" i="20"/>
  <c r="B48" i="20"/>
  <c r="B129" i="20"/>
  <c r="B59" i="20"/>
  <c r="B107" i="20"/>
  <c r="B57" i="20"/>
  <c r="B137" i="20"/>
  <c r="B68" i="20"/>
  <c r="I97" i="20"/>
  <c r="B117" i="20"/>
  <c r="B127" i="20"/>
  <c r="B46" i="20"/>
  <c r="B79" i="20"/>
  <c r="B91" i="20"/>
  <c r="B105" i="20"/>
  <c r="I157" i="19"/>
  <c r="J157" i="19"/>
  <c r="K157" i="19"/>
  <c r="L157" i="19"/>
  <c r="M157" i="19"/>
  <c r="N157" i="19"/>
  <c r="O157" i="19"/>
  <c r="P157" i="19"/>
  <c r="Q157" i="19"/>
  <c r="R157" i="19"/>
  <c r="S157" i="19"/>
  <c r="D157" i="19"/>
  <c r="E157" i="19"/>
  <c r="D299" i="19"/>
  <c r="E299" i="19"/>
  <c r="F36" i="15"/>
  <c r="G175" i="19"/>
  <c r="F177" i="19"/>
  <c r="H178" i="19"/>
  <c r="I178" i="19"/>
  <c r="J178" i="19"/>
  <c r="K178" i="19"/>
  <c r="L178" i="19"/>
  <c r="M178" i="19"/>
  <c r="N178" i="19"/>
  <c r="O178" i="19"/>
  <c r="P178" i="19"/>
  <c r="Q178" i="19"/>
  <c r="R178" i="19"/>
  <c r="S178" i="19"/>
  <c r="B513" i="14"/>
  <c r="C515" i="14"/>
  <c r="D31" i="15"/>
  <c r="C32" i="15"/>
  <c r="D32" i="15"/>
  <c r="C33" i="15"/>
  <c r="D33" i="15"/>
  <c r="C34" i="15"/>
  <c r="D34" i="15"/>
  <c r="C35" i="15"/>
  <c r="B67" i="20"/>
  <c r="B56" i="20"/>
  <c r="B116" i="20"/>
  <c r="H97" i="20"/>
  <c r="B78" i="20"/>
  <c r="B90" i="20"/>
  <c r="B45" i="20"/>
  <c r="B126" i="20"/>
  <c r="B136" i="20"/>
  <c r="B104" i="20"/>
  <c r="K72" i="3"/>
  <c r="H39" i="15"/>
  <c r="R4" i="6"/>
  <c r="S6" i="6"/>
  <c r="F48" i="15"/>
  <c r="F50" i="15"/>
  <c r="F45" i="15"/>
  <c r="F47" i="15"/>
  <c r="F49" i="15"/>
  <c r="F44" i="15"/>
  <c r="F46" i="15"/>
  <c r="F43" i="15"/>
  <c r="F51" i="15"/>
  <c r="G177" i="19"/>
  <c r="F179" i="19"/>
  <c r="G179" i="19"/>
  <c r="F181" i="19"/>
  <c r="H182" i="19"/>
  <c r="I182" i="19"/>
  <c r="J182" i="19"/>
  <c r="K182" i="19"/>
  <c r="L182" i="19"/>
  <c r="M182" i="19"/>
  <c r="N182" i="19"/>
  <c r="O182" i="19"/>
  <c r="P182" i="19"/>
  <c r="Q182" i="19"/>
  <c r="R182" i="19"/>
  <c r="S182" i="19"/>
  <c r="B514" i="14"/>
  <c r="C509" i="14"/>
  <c r="K80" i="3"/>
  <c r="R5" i="6"/>
  <c r="S7" i="6"/>
  <c r="D35" i="15"/>
  <c r="C36" i="15"/>
  <c r="D36" i="15"/>
  <c r="C37" i="15"/>
  <c r="D37" i="15"/>
  <c r="C38" i="15"/>
  <c r="D38" i="15"/>
  <c r="C41" i="15"/>
  <c r="C43" i="15"/>
  <c r="D43" i="15"/>
  <c r="C44" i="15"/>
  <c r="D44" i="15"/>
  <c r="C45" i="15"/>
  <c r="D45" i="15"/>
  <c r="C46" i="15"/>
  <c r="D46" i="15"/>
  <c r="C47" i="15"/>
  <c r="D47" i="15"/>
  <c r="C48" i="15"/>
  <c r="D48" i="15"/>
  <c r="C49" i="15"/>
  <c r="D49" i="15"/>
  <c r="C50" i="15"/>
  <c r="D50" i="15"/>
  <c r="C51" i="15"/>
  <c r="D51" i="15"/>
  <c r="C54" i="15"/>
  <c r="H52" i="15"/>
  <c r="G181" i="19"/>
  <c r="F183" i="19"/>
  <c r="H184" i="19"/>
  <c r="I184" i="19"/>
  <c r="J184" i="19"/>
  <c r="K184" i="19"/>
  <c r="L184" i="19"/>
  <c r="M184" i="19"/>
  <c r="N184" i="19"/>
  <c r="O184" i="19"/>
  <c r="P184" i="19"/>
  <c r="Q184" i="19"/>
  <c r="R184" i="19"/>
  <c r="S184" i="19"/>
  <c r="H180" i="19"/>
  <c r="I180" i="19"/>
  <c r="J180" i="19"/>
  <c r="K180" i="19"/>
  <c r="L180" i="19"/>
  <c r="M180" i="19"/>
  <c r="N180" i="19"/>
  <c r="O180" i="19"/>
  <c r="P180" i="19"/>
  <c r="Q180" i="19"/>
  <c r="R180" i="19"/>
  <c r="S180" i="19"/>
  <c r="B515" i="14"/>
  <c r="C511" i="14"/>
  <c r="C510" i="14"/>
  <c r="S8" i="6"/>
  <c r="R6" i="6"/>
  <c r="K88" i="3"/>
  <c r="D56" i="15"/>
  <c r="D59" i="15"/>
  <c r="D57" i="15"/>
  <c r="D62" i="15"/>
  <c r="D60" i="15"/>
  <c r="D64" i="15"/>
  <c r="D58" i="15"/>
  <c r="D63" i="15"/>
  <c r="D61" i="15"/>
  <c r="G183" i="19"/>
  <c r="F185" i="19"/>
  <c r="H186" i="19"/>
  <c r="I186" i="19"/>
  <c r="J186" i="19"/>
  <c r="K186" i="19"/>
  <c r="L186" i="19"/>
  <c r="M186" i="19"/>
  <c r="N186" i="19"/>
  <c r="O186" i="19"/>
  <c r="P186" i="19"/>
  <c r="Q186" i="19"/>
  <c r="R186" i="19"/>
  <c r="S186" i="19"/>
  <c r="K96" i="3"/>
  <c r="R7" i="6"/>
  <c r="S9" i="6"/>
  <c r="R8" i="6"/>
  <c r="G185" i="19"/>
  <c r="F187" i="19"/>
  <c r="F56" i="15"/>
  <c r="E57" i="15"/>
  <c r="F57" i="15"/>
  <c r="E58" i="15"/>
  <c r="F58" i="15"/>
  <c r="E59" i="15"/>
  <c r="F59" i="15"/>
  <c r="E60" i="15"/>
  <c r="F60" i="15"/>
  <c r="E61" i="15"/>
  <c r="F61" i="15"/>
  <c r="E62" i="15"/>
  <c r="F62" i="15"/>
  <c r="E63" i="15"/>
  <c r="F63" i="15"/>
  <c r="E64" i="15"/>
  <c r="F64" i="15"/>
  <c r="H65" i="15"/>
  <c r="K104" i="3"/>
  <c r="H188" i="19"/>
  <c r="I188" i="19"/>
  <c r="J188" i="19"/>
  <c r="K188" i="19"/>
  <c r="L188" i="19"/>
  <c r="M188" i="19"/>
  <c r="N188" i="19"/>
  <c r="O188" i="19"/>
  <c r="P188" i="19"/>
  <c r="Q188" i="19"/>
  <c r="R188" i="19"/>
  <c r="S188" i="19"/>
  <c r="G187" i="19"/>
  <c r="F189" i="19"/>
  <c r="K112" i="3"/>
  <c r="H190" i="19"/>
  <c r="I190" i="19"/>
  <c r="J190" i="19"/>
  <c r="K190" i="19"/>
  <c r="L190" i="19"/>
  <c r="M190" i="19"/>
  <c r="N190" i="19"/>
  <c r="O190" i="19"/>
  <c r="P190" i="19"/>
  <c r="Q190" i="19"/>
  <c r="R190" i="19"/>
  <c r="S190" i="19"/>
  <c r="G189" i="19"/>
  <c r="F191" i="19"/>
  <c r="K120" i="3"/>
  <c r="H192" i="19"/>
  <c r="I192" i="19"/>
  <c r="J192" i="19"/>
  <c r="K192" i="19"/>
  <c r="L192" i="19"/>
  <c r="M192" i="19"/>
  <c r="N192" i="19"/>
  <c r="O192" i="19"/>
  <c r="P192" i="19"/>
  <c r="Q192" i="19"/>
  <c r="R192" i="19"/>
  <c r="S192" i="19"/>
  <c r="G191" i="19"/>
  <c r="F193" i="19"/>
  <c r="K128" i="3"/>
  <c r="G193" i="19"/>
  <c r="F195" i="19"/>
  <c r="H194" i="19"/>
  <c r="I194" i="19"/>
  <c r="J194" i="19"/>
  <c r="K194" i="19"/>
  <c r="L194" i="19"/>
  <c r="M194" i="19"/>
  <c r="N194" i="19"/>
  <c r="O194" i="19"/>
  <c r="P194" i="19"/>
  <c r="Q194" i="19"/>
  <c r="R194" i="19"/>
  <c r="S194" i="19"/>
  <c r="K136" i="3"/>
  <c r="H196" i="19"/>
  <c r="I196" i="19"/>
  <c r="J196" i="19"/>
  <c r="K196" i="19"/>
  <c r="L196" i="19"/>
  <c r="M196" i="19"/>
  <c r="N196" i="19"/>
  <c r="O196" i="19"/>
  <c r="P196" i="19"/>
  <c r="Q196" i="19"/>
  <c r="R196" i="19"/>
  <c r="S196" i="19"/>
  <c r="G195" i="19"/>
  <c r="F197" i="19"/>
  <c r="K144" i="3"/>
  <c r="H198" i="19"/>
  <c r="I198" i="19"/>
  <c r="J198" i="19"/>
  <c r="K198" i="19"/>
  <c r="L198" i="19"/>
  <c r="M198" i="19"/>
  <c r="N198" i="19"/>
  <c r="O198" i="19"/>
  <c r="P198" i="19"/>
  <c r="Q198" i="19"/>
  <c r="R198" i="19"/>
  <c r="S198" i="19"/>
  <c r="G197" i="19"/>
  <c r="K152" i="3"/>
  <c r="K160" i="3"/>
  <c r="K168" i="3"/>
  <c r="K176" i="3"/>
  <c r="K184" i="3"/>
  <c r="K192" i="3"/>
  <c r="K200" i="3"/>
  <c r="K208" i="3"/>
  <c r="K216" i="3"/>
  <c r="K224" i="3"/>
  <c r="K232" i="3"/>
  <c r="K240" i="3"/>
  <c r="K248" i="3"/>
  <c r="K256" i="3"/>
  <c r="K264" i="3"/>
  <c r="K272" i="3"/>
  <c r="K280" i="3"/>
  <c r="K288" i="3"/>
  <c r="K296" i="3"/>
  <c r="K304" i="3"/>
  <c r="K312" i="3"/>
  <c r="K320" i="3"/>
  <c r="K328" i="3"/>
  <c r="N51" i="3"/>
  <c r="N80" i="3"/>
  <c r="O67" i="3"/>
  <c r="N43" i="3"/>
  <c r="O59" i="3"/>
  <c r="N96" i="3"/>
  <c r="O40" i="3"/>
  <c r="N42" i="3"/>
  <c r="O82" i="3"/>
  <c r="O99" i="3"/>
  <c r="N40" i="3"/>
  <c r="O88" i="3"/>
  <c r="O92" i="3"/>
  <c r="N82" i="3"/>
  <c r="O50" i="3"/>
  <c r="N44" i="3"/>
  <c r="O56" i="3"/>
  <c r="N108" i="3"/>
  <c r="O106" i="3"/>
  <c r="N75" i="3"/>
  <c r="O66" i="3"/>
  <c r="N60" i="3"/>
  <c r="N91" i="3"/>
  <c r="O51" i="3"/>
  <c r="A1" i="2"/>
  <c r="O98" i="3"/>
  <c r="N107" i="3"/>
  <c r="O43" i="3"/>
  <c r="N76" i="3"/>
  <c r="N100" i="3"/>
  <c r="N74" i="3"/>
  <c r="O64" i="3"/>
  <c r="B7" i="13"/>
  <c r="N67" i="3"/>
  <c r="N50" i="3"/>
  <c r="N92" i="3"/>
  <c r="O83" i="3"/>
  <c r="O60" i="3"/>
  <c r="O58" i="3"/>
  <c r="O108" i="3"/>
  <c r="N56" i="3"/>
  <c r="N84" i="3"/>
  <c r="O91" i="3"/>
  <c r="O75" i="3"/>
  <c r="O104" i="3"/>
  <c r="N66" i="3"/>
  <c r="O96" i="3"/>
  <c r="N98" i="3"/>
  <c r="O100" i="3"/>
  <c r="N83" i="3"/>
  <c r="N106" i="3"/>
  <c r="O84" i="3"/>
  <c r="N104" i="3"/>
  <c r="N88" i="3"/>
  <c r="O80" i="3"/>
  <c r="N90" i="3"/>
  <c r="N58" i="3"/>
  <c r="O74" i="3"/>
  <c r="O107" i="3"/>
  <c r="O48" i="3"/>
  <c r="N59" i="3"/>
  <c r="O90" i="3"/>
  <c r="N72" i="3"/>
  <c r="N52" i="3"/>
  <c r="O68" i="3"/>
  <c r="O76" i="3"/>
  <c r="O42" i="3"/>
  <c r="N68" i="3"/>
  <c r="O52" i="3"/>
  <c r="N64" i="3"/>
  <c r="N99" i="3"/>
  <c r="O44" i="3"/>
  <c r="N48" i="3"/>
  <c r="O72" i="3"/>
  <c r="J320" i="3"/>
  <c r="J120" i="3"/>
  <c r="J256" i="3"/>
  <c r="I200" i="3"/>
  <c r="I144" i="3"/>
  <c r="J248" i="3"/>
  <c r="I272" i="3"/>
  <c r="J152" i="3"/>
  <c r="I64" i="3"/>
  <c r="I224" i="3"/>
  <c r="I104" i="3"/>
  <c r="J312" i="3"/>
  <c r="I240" i="3"/>
  <c r="I328" i="3"/>
  <c r="I40" i="3"/>
  <c r="J80" i="3"/>
  <c r="J96" i="3"/>
  <c r="I96" i="3"/>
  <c r="J216" i="3"/>
  <c r="I248" i="3"/>
  <c r="J64" i="3"/>
  <c r="I280" i="3"/>
  <c r="I128" i="3"/>
  <c r="I312" i="3"/>
  <c r="J264" i="3"/>
  <c r="J24" i="3"/>
  <c r="I208" i="3"/>
  <c r="J240" i="3"/>
  <c r="I160" i="3"/>
  <c r="I232" i="3"/>
  <c r="I48" i="3"/>
  <c r="J144" i="3"/>
  <c r="I56" i="3"/>
  <c r="I304" i="3"/>
  <c r="J200" i="3"/>
  <c r="I120" i="3"/>
  <c r="J272" i="3"/>
  <c r="J296" i="3"/>
  <c r="I112" i="3"/>
  <c r="J128" i="3"/>
  <c r="I168" i="3"/>
  <c r="I152" i="3"/>
  <c r="J40" i="3"/>
  <c r="J104" i="3"/>
  <c r="I88" i="3"/>
  <c r="I320" i="3"/>
  <c r="J224" i="3"/>
  <c r="I296" i="3"/>
  <c r="I176" i="3"/>
  <c r="J328" i="3"/>
  <c r="I80" i="3"/>
  <c r="J72" i="3"/>
  <c r="I24" i="3"/>
  <c r="J184" i="3"/>
  <c r="J232" i="3"/>
  <c r="J136" i="3"/>
  <c r="J176" i="3"/>
  <c r="I192" i="3"/>
  <c r="J160" i="3"/>
  <c r="I136" i="3"/>
  <c r="I72" i="3"/>
  <c r="I256" i="3"/>
  <c r="J32" i="3"/>
  <c r="J168" i="3"/>
  <c r="J56" i="3"/>
  <c r="J88" i="3"/>
  <c r="J304" i="3"/>
  <c r="I264" i="3"/>
  <c r="J280" i="3"/>
  <c r="J288" i="3"/>
  <c r="J48" i="3"/>
  <c r="J192" i="3"/>
  <c r="I288" i="3"/>
  <c r="I32" i="3"/>
  <c r="I184" i="3"/>
  <c r="J208" i="3"/>
  <c r="I216" i="3"/>
  <c r="J112" i="3"/>
  <c r="B2" i="2"/>
  <c r="C2" i="2"/>
  <c r="J195" i="3"/>
  <c r="J196" i="3"/>
  <c r="J123" i="3"/>
  <c r="J124" i="3"/>
  <c r="J139" i="3"/>
  <c r="J140" i="3"/>
  <c r="J84" i="3"/>
  <c r="J83" i="3"/>
  <c r="J291" i="3"/>
  <c r="J292" i="3"/>
  <c r="J19" i="3"/>
  <c r="J20" i="3"/>
  <c r="J316" i="3"/>
  <c r="J315" i="3"/>
  <c r="J275" i="3"/>
  <c r="J276" i="3"/>
  <c r="J308" i="3"/>
  <c r="J307" i="3"/>
  <c r="J27" i="3"/>
  <c r="J28" i="3"/>
  <c r="J324" i="3"/>
  <c r="J323" i="3"/>
  <c r="J188" i="3"/>
  <c r="J187" i="3"/>
  <c r="J131" i="3"/>
  <c r="J132" i="3"/>
  <c r="J268" i="3"/>
  <c r="J267" i="3"/>
  <c r="J67" i="3"/>
  <c r="J68" i="3"/>
  <c r="J163" i="3"/>
  <c r="J164" i="3"/>
  <c r="J284" i="3"/>
  <c r="J283" i="3"/>
  <c r="J300" i="3"/>
  <c r="J299" i="3"/>
  <c r="J235" i="3"/>
  <c r="J236" i="3"/>
  <c r="J251" i="3"/>
  <c r="J252" i="3"/>
  <c r="J115" i="3"/>
  <c r="J116" i="3"/>
  <c r="J43" i="3"/>
  <c r="J44" i="3"/>
  <c r="J107" i="3"/>
  <c r="J108" i="3"/>
  <c r="J148" i="3"/>
  <c r="J147" i="3"/>
  <c r="J180" i="3"/>
  <c r="J179" i="3"/>
  <c r="J243" i="3"/>
  <c r="J244" i="3"/>
  <c r="J211" i="3"/>
  <c r="J212" i="3"/>
  <c r="J259" i="3"/>
  <c r="J260" i="3"/>
  <c r="J36" i="3"/>
  <c r="J35" i="3"/>
  <c r="J227" i="3"/>
  <c r="J228" i="3"/>
  <c r="I225" i="3"/>
  <c r="J172" i="3"/>
  <c r="J171" i="3"/>
  <c r="J76" i="3"/>
  <c r="J75" i="3"/>
  <c r="J203" i="3"/>
  <c r="J204" i="3"/>
  <c r="J155" i="3"/>
  <c r="J156" i="3"/>
  <c r="J52" i="3"/>
  <c r="J51" i="3"/>
  <c r="J59" i="3"/>
  <c r="J60" i="3"/>
  <c r="J99" i="3"/>
  <c r="J100" i="3"/>
  <c r="J219" i="3"/>
  <c r="J220" i="3"/>
  <c r="J91" i="3"/>
  <c r="J92" i="3"/>
  <c r="C7" i="2"/>
  <c r="A7" i="2"/>
  <c r="B7" i="2"/>
  <c r="D7" i="2"/>
  <c r="D19" i="21"/>
  <c r="K7" i="2"/>
  <c r="K41" i="2"/>
  <c r="L41" i="2"/>
  <c r="O16" i="3"/>
  <c r="N36" i="3"/>
  <c r="O9" i="3"/>
  <c r="O35" i="3"/>
  <c r="D16" i="2"/>
  <c r="D28" i="21"/>
  <c r="K16" i="2"/>
  <c r="C16" i="2"/>
  <c r="B16" i="2"/>
  <c r="A16" i="2"/>
  <c r="A28" i="21"/>
  <c r="A21" i="2"/>
  <c r="A33" i="21"/>
  <c r="C21" i="2"/>
  <c r="D21" i="2"/>
  <c r="D33" i="21"/>
  <c r="B21" i="2"/>
  <c r="D22" i="2"/>
  <c r="D34" i="21"/>
  <c r="A22" i="2"/>
  <c r="A34" i="21"/>
  <c r="C22" i="2"/>
  <c r="B22" i="2"/>
  <c r="A20" i="2"/>
  <c r="A32" i="21"/>
  <c r="C20" i="2"/>
  <c r="B20" i="2"/>
  <c r="D20" i="2"/>
  <c r="D32" i="21"/>
  <c r="O32" i="3"/>
  <c r="D19" i="2"/>
  <c r="D31" i="21"/>
  <c r="C19" i="2"/>
  <c r="B19" i="2"/>
  <c r="A19" i="2"/>
  <c r="A31" i="21"/>
  <c r="B11" i="13"/>
  <c r="J3" i="13"/>
  <c r="B10" i="13"/>
  <c r="N24" i="3"/>
  <c r="N19" i="3"/>
  <c r="N16" i="3"/>
  <c r="O7" i="3"/>
  <c r="K15" i="2"/>
  <c r="A15" i="2"/>
  <c r="A27" i="21"/>
  <c r="B15" i="2"/>
  <c r="D15" i="2"/>
  <c r="D27" i="21"/>
  <c r="C15" i="2"/>
  <c r="N28" i="3"/>
  <c r="A25" i="2"/>
  <c r="A37" i="21"/>
  <c r="D25" i="2"/>
  <c r="D37" i="21"/>
  <c r="B25" i="2"/>
  <c r="C25" i="2"/>
  <c r="D13" i="2"/>
  <c r="D25" i="21"/>
  <c r="A13" i="2"/>
  <c r="B13" i="2"/>
  <c r="C13" i="2"/>
  <c r="K13" i="2"/>
  <c r="A17" i="2"/>
  <c r="A29" i="21"/>
  <c r="C17" i="2"/>
  <c r="D17" i="2"/>
  <c r="D29" i="21"/>
  <c r="B17" i="2"/>
  <c r="A23" i="2"/>
  <c r="A35" i="21"/>
  <c r="D23" i="2"/>
  <c r="D35" i="21"/>
  <c r="B23" i="2"/>
  <c r="C23" i="2"/>
  <c r="O19" i="3"/>
  <c r="N32" i="3"/>
  <c r="O34" i="3"/>
  <c r="O36" i="3"/>
  <c r="C8" i="2"/>
  <c r="A8" i="2"/>
  <c r="K42" i="2"/>
  <c r="K8" i="2"/>
  <c r="B8" i="2"/>
  <c r="D8" i="2"/>
  <c r="D20" i="21"/>
  <c r="N10" i="3"/>
  <c r="O28" i="3"/>
  <c r="N3" i="3"/>
  <c r="C18" i="2"/>
  <c r="D18" i="2"/>
  <c r="D30" i="21"/>
  <c r="A18" i="2"/>
  <c r="A30" i="21"/>
  <c r="B18" i="2"/>
  <c r="N7" i="3"/>
  <c r="O4" i="3"/>
  <c r="O12" i="3"/>
  <c r="N8" i="3"/>
  <c r="N34" i="3"/>
  <c r="N5" i="3"/>
  <c r="B9" i="2"/>
  <c r="K43" i="2"/>
  <c r="K9" i="2"/>
  <c r="A9" i="2"/>
  <c r="D9" i="2"/>
  <c r="D21" i="21"/>
  <c r="C9" i="2"/>
  <c r="O3" i="3"/>
  <c r="O27" i="3"/>
  <c r="N12" i="3"/>
  <c r="N26" i="3"/>
  <c r="N20" i="3"/>
  <c r="C26" i="2"/>
  <c r="B26" i="2"/>
  <c r="D26" i="2"/>
  <c r="D38" i="21"/>
  <c r="A26" i="2"/>
  <c r="A38" i="21"/>
  <c r="C28" i="2"/>
  <c r="D28" i="2"/>
  <c r="D40" i="21"/>
  <c r="A28" i="2"/>
  <c r="A40" i="21"/>
  <c r="B28" i="2"/>
  <c r="B29" i="2"/>
  <c r="C29" i="2"/>
  <c r="D29" i="2"/>
  <c r="D41" i="21"/>
  <c r="A29" i="2"/>
  <c r="A41" i="21"/>
  <c r="O20" i="3"/>
  <c r="O8" i="3"/>
  <c r="N9" i="3"/>
  <c r="C11" i="2"/>
  <c r="K11" i="2"/>
  <c r="K45" i="2"/>
  <c r="D11" i="2"/>
  <c r="D23" i="21"/>
  <c r="A11" i="2"/>
  <c r="B11" i="2"/>
  <c r="N6" i="3"/>
  <c r="N11" i="3"/>
  <c r="O24" i="3"/>
  <c r="K10" i="2"/>
  <c r="D10" i="2"/>
  <c r="D22" i="21"/>
  <c r="B10" i="2"/>
  <c r="C10" i="2"/>
  <c r="A10" i="2"/>
  <c r="K44" i="2"/>
  <c r="B3" i="13"/>
  <c r="B4" i="13"/>
  <c r="O18" i="3"/>
  <c r="N4" i="3"/>
  <c r="O5" i="3"/>
  <c r="A24" i="2"/>
  <c r="A36" i="21"/>
  <c r="D24" i="2"/>
  <c r="D36" i="21"/>
  <c r="B24" i="2"/>
  <c r="C24" i="2"/>
  <c r="D12" i="2"/>
  <c r="D24" i="21"/>
  <c r="K12" i="2"/>
  <c r="K46" i="2"/>
  <c r="A12" i="2"/>
  <c r="C12" i="2"/>
  <c r="B12" i="2"/>
  <c r="O6" i="3"/>
  <c r="N27" i="3"/>
  <c r="N35" i="3"/>
  <c r="C14" i="2"/>
  <c r="B14" i="2"/>
  <c r="A14" i="2"/>
  <c r="D14" i="2"/>
  <c r="D26" i="21"/>
  <c r="K14" i="2"/>
  <c r="O11" i="3"/>
  <c r="O26" i="3"/>
  <c r="C30" i="2"/>
  <c r="D30" i="2"/>
  <c r="D42" i="21"/>
  <c r="B30" i="2"/>
  <c r="A30" i="2"/>
  <c r="A42" i="21"/>
  <c r="N18" i="3"/>
  <c r="O10" i="3"/>
  <c r="C27" i="2"/>
  <c r="A27" i="2"/>
  <c r="A39" i="21"/>
  <c r="D27" i="2"/>
  <c r="D39" i="21"/>
  <c r="B27" i="2"/>
  <c r="B54" i="2"/>
  <c r="E2" i="2"/>
  <c r="Z239" i="4"/>
  <c r="H4" i="13"/>
  <c r="J4" i="13"/>
  <c r="H5" i="13"/>
  <c r="J5" i="13"/>
  <c r="H6" i="13"/>
  <c r="J6" i="13"/>
  <c r="B5" i="13"/>
  <c r="A24" i="21"/>
  <c r="B9" i="24"/>
  <c r="G9" i="2"/>
  <c r="C6" i="24"/>
  <c r="O3" i="16"/>
  <c r="P3" i="16"/>
  <c r="M23" i="16"/>
  <c r="B21" i="19"/>
  <c r="C21" i="21"/>
  <c r="B35" i="21"/>
  <c r="H23" i="2"/>
  <c r="G13" i="2"/>
  <c r="C10" i="24"/>
  <c r="C25" i="21"/>
  <c r="B25" i="19"/>
  <c r="C24" i="21"/>
  <c r="B24" i="19"/>
  <c r="G12" i="2"/>
  <c r="C9" i="24"/>
  <c r="G10" i="2"/>
  <c r="C7" i="24"/>
  <c r="C22" i="21"/>
  <c r="B22" i="19"/>
  <c r="B23" i="19"/>
  <c r="C23" i="21"/>
  <c r="C35" i="21"/>
  <c r="G23" i="2"/>
  <c r="B29" i="21"/>
  <c r="H17" i="2"/>
  <c r="G15" i="2"/>
  <c r="H15" i="2"/>
  <c r="B27" i="21"/>
  <c r="C32" i="21"/>
  <c r="G20" i="2"/>
  <c r="G21" i="2"/>
  <c r="C33" i="21"/>
  <c r="G16" i="2"/>
  <c r="B28" i="19"/>
  <c r="C28" i="21"/>
  <c r="O4" i="16"/>
  <c r="P4" i="16"/>
  <c r="G7" i="2"/>
  <c r="B19" i="19"/>
  <c r="C19" i="21"/>
  <c r="C37" i="21"/>
  <c r="G25" i="2"/>
  <c r="C42" i="21"/>
  <c r="G30" i="2"/>
  <c r="B8" i="24"/>
  <c r="A23" i="21"/>
  <c r="H28" i="2"/>
  <c r="B40" i="21"/>
  <c r="G14" i="2"/>
  <c r="C11" i="24"/>
  <c r="B26" i="19"/>
  <c r="C26" i="21"/>
  <c r="B24" i="21"/>
  <c r="H12" i="2"/>
  <c r="B7" i="24"/>
  <c r="A22" i="21"/>
  <c r="G11" i="2"/>
  <c r="C8" i="24"/>
  <c r="H11" i="2"/>
  <c r="B23" i="21"/>
  <c r="B41" i="21"/>
  <c r="H29" i="2"/>
  <c r="C40" i="21"/>
  <c r="G28" i="2"/>
  <c r="C38" i="21"/>
  <c r="G26" i="2"/>
  <c r="A21" i="21"/>
  <c r="B6" i="24"/>
  <c r="A2" i="3"/>
  <c r="A234" i="4"/>
  <c r="A13" i="4"/>
  <c r="H18" i="2"/>
  <c r="B30" i="21"/>
  <c r="G8" i="2"/>
  <c r="C5" i="24"/>
  <c r="B20" i="21"/>
  <c r="H8" i="2"/>
  <c r="O2" i="16"/>
  <c r="P2" i="16"/>
  <c r="M10" i="16"/>
  <c r="B20" i="19"/>
  <c r="C20" i="21"/>
  <c r="A25" i="21"/>
  <c r="B10" i="24"/>
  <c r="C31" i="21"/>
  <c r="G19" i="2"/>
  <c r="B32" i="21"/>
  <c r="H20" i="2"/>
  <c r="G22" i="2"/>
  <c r="C34" i="21"/>
  <c r="B28" i="21"/>
  <c r="H16" i="2"/>
  <c r="Y234" i="4"/>
  <c r="A19" i="21"/>
  <c r="A26" i="21"/>
  <c r="B11" i="24"/>
  <c r="C36" i="21"/>
  <c r="G24" i="2"/>
  <c r="B22" i="21"/>
  <c r="H10" i="2"/>
  <c r="H27" i="2"/>
  <c r="B39" i="21"/>
  <c r="G27" i="2"/>
  <c r="C39" i="21"/>
  <c r="B42" i="21"/>
  <c r="H30" i="2"/>
  <c r="H14" i="2"/>
  <c r="B26" i="21"/>
  <c r="B36" i="21"/>
  <c r="H24" i="2"/>
  <c r="C41" i="21"/>
  <c r="G29" i="2"/>
  <c r="B38" i="21"/>
  <c r="H26" i="2"/>
  <c r="H9" i="2"/>
  <c r="B21" i="21"/>
  <c r="C16" i="19"/>
  <c r="F245" i="19"/>
  <c r="N239" i="4"/>
  <c r="B45" i="2"/>
  <c r="C30" i="21"/>
  <c r="G18" i="2"/>
  <c r="B5" i="24"/>
  <c r="A20" i="21"/>
  <c r="C29" i="21"/>
  <c r="G17" i="2"/>
  <c r="B25" i="21"/>
  <c r="H13" i="2"/>
  <c r="H25" i="2"/>
  <c r="B37" i="21"/>
  <c r="C27" i="21"/>
  <c r="B27" i="19"/>
  <c r="H19" i="2"/>
  <c r="B31" i="21"/>
  <c r="H22" i="2"/>
  <c r="B34" i="21"/>
  <c r="B33" i="21"/>
  <c r="H21" i="2"/>
  <c r="H7" i="2"/>
  <c r="B19" i="21"/>
  <c r="E9" i="20"/>
  <c r="F10" i="20"/>
  <c r="B9" i="33"/>
  <c r="H6" i="9"/>
  <c r="F8" i="20"/>
  <c r="H8" i="9"/>
  <c r="F12" i="20"/>
  <c r="B6" i="33"/>
  <c r="B3" i="33"/>
  <c r="B5" i="33"/>
  <c r="H10" i="9"/>
  <c r="H3" i="9"/>
  <c r="H12" i="9"/>
  <c r="F4" i="20"/>
  <c r="E11" i="20"/>
  <c r="F11" i="20"/>
  <c r="H4" i="9"/>
  <c r="B4" i="33"/>
  <c r="F7" i="20"/>
  <c r="E5" i="20"/>
  <c r="H7" i="9"/>
  <c r="E10" i="20"/>
  <c r="H9" i="9"/>
  <c r="H2" i="9"/>
  <c r="E4" i="20"/>
  <c r="E12" i="20"/>
  <c r="H13" i="9"/>
  <c r="E7" i="20"/>
  <c r="B8" i="33"/>
  <c r="H11" i="9"/>
  <c r="H5" i="9"/>
  <c r="E6" i="20"/>
  <c r="F6" i="20"/>
  <c r="F9" i="20"/>
  <c r="B7" i="33"/>
  <c r="B10" i="33"/>
  <c r="F5" i="20"/>
  <c r="E8" i="20"/>
  <c r="D11" i="24"/>
  <c r="E11" i="24"/>
  <c r="D9" i="24"/>
  <c r="E9" i="24"/>
  <c r="D5" i="24"/>
  <c r="E5" i="24"/>
  <c r="D8" i="24"/>
  <c r="E8" i="24"/>
  <c r="D7" i="24"/>
  <c r="E7" i="24"/>
  <c r="D10" i="24"/>
  <c r="E10" i="24"/>
  <c r="D6" i="24"/>
  <c r="E6" i="24"/>
  <c r="K10" i="33"/>
  <c r="D10" i="33"/>
  <c r="D6" i="33"/>
  <c r="O6" i="33"/>
  <c r="D5" i="33"/>
  <c r="O5" i="33"/>
  <c r="D9" i="33"/>
  <c r="O9" i="33"/>
  <c r="D4" i="33"/>
  <c r="O4" i="33"/>
  <c r="D7" i="33"/>
  <c r="O7" i="33"/>
  <c r="D8" i="33"/>
  <c r="O8" i="33"/>
  <c r="D3" i="33"/>
  <c r="O3" i="33"/>
  <c r="G3" i="33"/>
  <c r="J6" i="33"/>
  <c r="J9" i="33"/>
  <c r="J4" i="33"/>
  <c r="J7" i="33"/>
  <c r="J8" i="33"/>
  <c r="J5" i="33"/>
  <c r="J3" i="33"/>
  <c r="G6" i="33"/>
  <c r="G9" i="33"/>
  <c r="G4" i="33"/>
  <c r="G7" i="33"/>
  <c r="G8" i="33"/>
  <c r="G5" i="33"/>
  <c r="K3" i="33"/>
  <c r="K6" i="33"/>
  <c r="K9" i="33"/>
  <c r="K7" i="33"/>
  <c r="K5" i="33"/>
  <c r="K8" i="33"/>
  <c r="K4" i="33"/>
  <c r="B29" i="13"/>
  <c r="H239" i="4"/>
  <c r="B1" i="13"/>
  <c r="B2" i="13"/>
  <c r="B1" i="21"/>
  <c r="B4" i="21"/>
  <c r="B12" i="21"/>
  <c r="G2" i="2"/>
  <c r="D54" i="2"/>
  <c r="F277" i="19"/>
  <c r="G277" i="19"/>
  <c r="F279" i="19"/>
  <c r="H2" i="2"/>
  <c r="F308" i="19"/>
  <c r="H309" i="19"/>
  <c r="C60" i="5"/>
  <c r="F66" i="5"/>
  <c r="B44" i="2"/>
  <c r="K2" i="2"/>
  <c r="T239" i="4"/>
  <c r="W251" i="4"/>
  <c r="W250" i="4"/>
  <c r="W249" i="4"/>
  <c r="W248" i="4"/>
  <c r="W247" i="4"/>
  <c r="W246" i="4"/>
  <c r="W245" i="4"/>
  <c r="W244" i="4"/>
  <c r="W243" i="4"/>
  <c r="W242" i="4"/>
  <c r="B18" i="4"/>
  <c r="B52" i="2"/>
  <c r="F52" i="2"/>
  <c r="B239" i="4"/>
  <c r="I20" i="13"/>
  <c r="I25" i="13"/>
  <c r="I19" i="13"/>
  <c r="I18" i="13"/>
  <c r="I21" i="13"/>
  <c r="I17" i="13"/>
  <c r="I22" i="13"/>
  <c r="B14" i="4"/>
  <c r="D15" i="4"/>
  <c r="Z235" i="4"/>
  <c r="AB236" i="4"/>
  <c r="B235" i="4"/>
  <c r="D236" i="4"/>
  <c r="B3" i="3"/>
  <c r="D4" i="3"/>
  <c r="B4" i="3"/>
  <c r="F50" i="9"/>
  <c r="F20" i="9"/>
  <c r="I2" i="9"/>
  <c r="C4" i="20"/>
  <c r="I12" i="9"/>
  <c r="C7" i="20"/>
  <c r="I3" i="9"/>
  <c r="I4" i="9"/>
  <c r="I11" i="9"/>
  <c r="C9" i="20"/>
  <c r="C11" i="20"/>
  <c r="I5" i="9"/>
  <c r="I10" i="9"/>
  <c r="C6" i="20"/>
  <c r="I13" i="9"/>
  <c r="C5" i="20"/>
  <c r="C10" i="20"/>
  <c r="I8" i="9"/>
  <c r="I7" i="9"/>
  <c r="I6" i="9"/>
  <c r="I9" i="9"/>
  <c r="C8" i="20"/>
  <c r="C12" i="20"/>
  <c r="N22" i="2"/>
  <c r="S22" i="2"/>
  <c r="T22" i="2"/>
  <c r="U22" i="2"/>
  <c r="O22" i="2"/>
  <c r="R22" i="2"/>
  <c r="P22" i="2"/>
  <c r="Q22" i="2"/>
  <c r="F74" i="19"/>
  <c r="F106" i="19"/>
  <c r="F39" i="19"/>
  <c r="F210" i="19"/>
  <c r="F340" i="19"/>
  <c r="F139" i="19"/>
  <c r="E19" i="2"/>
  <c r="I19" i="2"/>
  <c r="P12" i="2"/>
  <c r="S12" i="2"/>
  <c r="T12" i="2"/>
  <c r="U12" i="2"/>
  <c r="Q12" i="2"/>
  <c r="R12" i="2"/>
  <c r="N12" i="2"/>
  <c r="F12" i="2"/>
  <c r="D348" i="19"/>
  <c r="C350" i="19"/>
  <c r="D350" i="19"/>
  <c r="C348" i="19"/>
  <c r="D346" i="19"/>
  <c r="C346" i="19"/>
  <c r="S19" i="2"/>
  <c r="T19" i="2"/>
  <c r="U19" i="2"/>
  <c r="Q19" i="2"/>
  <c r="N19" i="2"/>
  <c r="R19" i="2"/>
  <c r="O19" i="2"/>
  <c r="P19" i="2"/>
  <c r="O25" i="2"/>
  <c r="Q25" i="2"/>
  <c r="P25" i="2"/>
  <c r="R25" i="2"/>
  <c r="S25" i="2"/>
  <c r="T25" i="2"/>
  <c r="U25" i="2"/>
  <c r="N25" i="2"/>
  <c r="B6" i="13"/>
  <c r="B8" i="13"/>
  <c r="O21" i="2"/>
  <c r="N21" i="2"/>
  <c r="Q21" i="2"/>
  <c r="S21" i="2"/>
  <c r="T21" i="2"/>
  <c r="U21" i="2"/>
  <c r="R21" i="2"/>
  <c r="P21" i="2"/>
  <c r="I17" i="2"/>
  <c r="E17" i="2"/>
  <c r="G32" i="2"/>
  <c r="I18" i="2"/>
  <c r="E18" i="2"/>
  <c r="B49" i="2"/>
  <c r="P9" i="2"/>
  <c r="R9" i="2"/>
  <c r="S9" i="2"/>
  <c r="T9" i="2"/>
  <c r="U9" i="2"/>
  <c r="F9" i="2"/>
  <c r="Q9" i="2"/>
  <c r="O9" i="2"/>
  <c r="N9" i="2"/>
  <c r="O14" i="2"/>
  <c r="P14" i="2"/>
  <c r="S14" i="2"/>
  <c r="T14" i="2"/>
  <c r="U14" i="2"/>
  <c r="F14" i="2"/>
  <c r="R14" i="2"/>
  <c r="Q14" i="2"/>
  <c r="N14" i="2"/>
  <c r="I27" i="2"/>
  <c r="E27" i="2"/>
  <c r="E22" i="2"/>
  <c r="I22" i="2"/>
  <c r="D342" i="19"/>
  <c r="C342" i="19"/>
  <c r="G39" i="2"/>
  <c r="I8" i="2"/>
  <c r="B7" i="21"/>
  <c r="G40" i="2"/>
  <c r="G41" i="2"/>
  <c r="B59" i="2"/>
  <c r="E8" i="2"/>
  <c r="H51" i="9"/>
  <c r="G37" i="2"/>
  <c r="F15" i="9"/>
  <c r="I26" i="2"/>
  <c r="E26" i="2"/>
  <c r="R29" i="2"/>
  <c r="Q29" i="2"/>
  <c r="O29" i="2"/>
  <c r="S29" i="2"/>
  <c r="T29" i="2"/>
  <c r="U29" i="2"/>
  <c r="N29" i="2"/>
  <c r="P29" i="2"/>
  <c r="B62" i="2"/>
  <c r="I11" i="2"/>
  <c r="E11" i="2"/>
  <c r="I30" i="2"/>
  <c r="E30" i="2"/>
  <c r="I21" i="2"/>
  <c r="E21" i="2"/>
  <c r="P15" i="2"/>
  <c r="O15" i="2"/>
  <c r="S15" i="2"/>
  <c r="T15" i="2"/>
  <c r="U15" i="2"/>
  <c r="N15" i="2"/>
  <c r="R15" i="2"/>
  <c r="Q15" i="2"/>
  <c r="E23" i="2"/>
  <c r="I23" i="2"/>
  <c r="C362" i="19"/>
  <c r="D362" i="19"/>
  <c r="C352" i="19"/>
  <c r="C354" i="19"/>
  <c r="D354" i="19"/>
  <c r="D352" i="19"/>
  <c r="I13" i="2"/>
  <c r="E13" i="2"/>
  <c r="F36" i="9"/>
  <c r="F39" i="9"/>
  <c r="B64" i="2"/>
  <c r="C356" i="19"/>
  <c r="D356" i="19"/>
  <c r="B48" i="2"/>
  <c r="G245" i="19"/>
  <c r="F247" i="19"/>
  <c r="H246" i="19"/>
  <c r="I246" i="19"/>
  <c r="J246" i="19"/>
  <c r="K246" i="19"/>
  <c r="L246" i="19"/>
  <c r="M246" i="19"/>
  <c r="N246" i="19"/>
  <c r="O246" i="19"/>
  <c r="P246" i="19"/>
  <c r="Q246" i="19"/>
  <c r="R246" i="19"/>
  <c r="S246" i="19"/>
  <c r="O11" i="2"/>
  <c r="F11" i="2"/>
  <c r="S11" i="2"/>
  <c r="T11" i="2"/>
  <c r="U11" i="2"/>
  <c r="R11" i="2"/>
  <c r="P11" i="2"/>
  <c r="N11" i="2"/>
  <c r="Q11" i="2"/>
  <c r="R27" i="2"/>
  <c r="P27" i="2"/>
  <c r="N27" i="2"/>
  <c r="O27" i="2"/>
  <c r="Q27" i="2"/>
  <c r="S27" i="2"/>
  <c r="T27" i="2"/>
  <c r="U27" i="2"/>
  <c r="F15" i="2"/>
  <c r="F8" i="2"/>
  <c r="Q8" i="2"/>
  <c r="R8" i="2"/>
  <c r="O8" i="2"/>
  <c r="P8" i="2"/>
  <c r="I36" i="19"/>
  <c r="N8" i="2"/>
  <c r="S8" i="2"/>
  <c r="T8" i="2"/>
  <c r="U8" i="2"/>
  <c r="R18" i="2"/>
  <c r="S18" i="2"/>
  <c r="T18" i="2"/>
  <c r="U18" i="2"/>
  <c r="N18" i="2"/>
  <c r="O18" i="2"/>
  <c r="Q18" i="2"/>
  <c r="P18" i="2"/>
  <c r="I28" i="2"/>
  <c r="E28" i="2"/>
  <c r="C360" i="19"/>
  <c r="D360" i="19"/>
  <c r="E25" i="2"/>
  <c r="I25" i="2"/>
  <c r="E7" i="2"/>
  <c r="B25" i="13"/>
  <c r="G43" i="2"/>
  <c r="F35" i="9"/>
  <c r="I7" i="2"/>
  <c r="J33" i="2"/>
  <c r="F34" i="9"/>
  <c r="B58" i="2"/>
  <c r="I16" i="2"/>
  <c r="B67" i="2"/>
  <c r="E16" i="2"/>
  <c r="Q17" i="2"/>
  <c r="S17" i="2"/>
  <c r="T17" i="2"/>
  <c r="U17" i="2"/>
  <c r="P17" i="2"/>
  <c r="R17" i="2"/>
  <c r="O17" i="2"/>
  <c r="N17" i="2"/>
  <c r="O10" i="2"/>
  <c r="I10" i="2"/>
  <c r="F45" i="9"/>
  <c r="E10" i="2"/>
  <c r="F44" i="9"/>
  <c r="B61" i="2"/>
  <c r="F28" i="9"/>
  <c r="C340" i="19"/>
  <c r="D358" i="19"/>
  <c r="D340" i="19"/>
  <c r="C358" i="19"/>
  <c r="G36" i="2"/>
  <c r="F60" i="9"/>
  <c r="H60" i="9"/>
  <c r="I60" i="9"/>
  <c r="L11" i="2"/>
  <c r="M11" i="2"/>
  <c r="F59" i="9"/>
  <c r="L10" i="2"/>
  <c r="M10" i="2"/>
  <c r="G31" i="2"/>
  <c r="G34" i="2"/>
  <c r="L14" i="2"/>
  <c r="M14" i="2"/>
  <c r="G42" i="2"/>
  <c r="B42" i="2"/>
  <c r="I42" i="2"/>
  <c r="F25" i="9"/>
  <c r="F14" i="9"/>
  <c r="C62" i="5"/>
  <c r="B66" i="5"/>
  <c r="B60" i="2"/>
  <c r="L7" i="2"/>
  <c r="G35" i="2"/>
  <c r="L13" i="2"/>
  <c r="M13" i="2"/>
  <c r="L8" i="2"/>
  <c r="M8" i="2"/>
  <c r="E9" i="2"/>
  <c r="L12" i="2"/>
  <c r="M12" i="2"/>
  <c r="I9" i="2"/>
  <c r="N7" i="2"/>
  <c r="S7" i="2"/>
  <c r="T7" i="2"/>
  <c r="U7" i="2"/>
  <c r="P7" i="2"/>
  <c r="R7" i="2"/>
  <c r="O7" i="2"/>
  <c r="Q7" i="2"/>
  <c r="E29" i="2"/>
  <c r="I29" i="2"/>
  <c r="S10" i="2"/>
  <c r="T10" i="2"/>
  <c r="U10" i="2"/>
  <c r="P10" i="2"/>
  <c r="Q10" i="2"/>
  <c r="R10" i="2"/>
  <c r="N10" i="2"/>
  <c r="F10" i="2"/>
  <c r="I14" i="2"/>
  <c r="F27" i="9"/>
  <c r="F46" i="9"/>
  <c r="F24" i="9"/>
  <c r="F19" i="9"/>
  <c r="F23" i="9"/>
  <c r="E14" i="2"/>
  <c r="B65" i="2"/>
  <c r="O12" i="2"/>
  <c r="F30" i="9"/>
  <c r="G61" i="9"/>
  <c r="I12" i="2"/>
  <c r="F61" i="9"/>
  <c r="F31" i="9"/>
  <c r="F26" i="9"/>
  <c r="E12" i="2"/>
  <c r="F22" i="9"/>
  <c r="B63" i="2"/>
  <c r="F21" i="9"/>
  <c r="P13" i="2"/>
  <c r="S13" i="2"/>
  <c r="T13" i="2"/>
  <c r="U13" i="2"/>
  <c r="Q13" i="2"/>
  <c r="N13" i="2"/>
  <c r="O13" i="2"/>
  <c r="R13" i="2"/>
  <c r="F13" i="2"/>
  <c r="P26" i="2"/>
  <c r="O26" i="2"/>
  <c r="S26" i="2"/>
  <c r="T26" i="2"/>
  <c r="U26" i="2"/>
  <c r="R26" i="2"/>
  <c r="N26" i="2"/>
  <c r="Q26" i="2"/>
  <c r="S24" i="2"/>
  <c r="T24" i="2"/>
  <c r="U24" i="2"/>
  <c r="R24" i="2"/>
  <c r="N24" i="2"/>
  <c r="P24" i="2"/>
  <c r="O24" i="2"/>
  <c r="Q24" i="2"/>
  <c r="O30" i="2"/>
  <c r="P30" i="2"/>
  <c r="Q30" i="2"/>
  <c r="R30" i="2"/>
  <c r="S30" i="2"/>
  <c r="T30" i="2"/>
  <c r="U30" i="2"/>
  <c r="N30" i="2"/>
  <c r="I24" i="2"/>
  <c r="E24" i="2"/>
  <c r="P16" i="2"/>
  <c r="S16" i="2"/>
  <c r="T16" i="2"/>
  <c r="U16" i="2"/>
  <c r="O16" i="2"/>
  <c r="N16" i="2"/>
  <c r="Q16" i="2"/>
  <c r="R16" i="2"/>
  <c r="P20" i="2"/>
  <c r="N20" i="2"/>
  <c r="R20" i="2"/>
  <c r="Q20" i="2"/>
  <c r="O20" i="2"/>
  <c r="S20" i="2"/>
  <c r="T20" i="2"/>
  <c r="U20" i="2"/>
  <c r="P10" i="16"/>
  <c r="O10" i="16"/>
  <c r="M11" i="16"/>
  <c r="S28" i="2"/>
  <c r="T28" i="2"/>
  <c r="U28" i="2"/>
  <c r="O28" i="2"/>
  <c r="Q28" i="2"/>
  <c r="P28" i="2"/>
  <c r="R28" i="2"/>
  <c r="N28" i="2"/>
  <c r="C344" i="19"/>
  <c r="D344" i="19"/>
  <c r="I20" i="2"/>
  <c r="E20" i="2"/>
  <c r="K33" i="2"/>
  <c r="I15" i="2"/>
  <c r="E15" i="2"/>
  <c r="B66" i="2"/>
  <c r="S23" i="2"/>
  <c r="T23" i="2"/>
  <c r="U23" i="2"/>
  <c r="N23" i="2"/>
  <c r="Q23" i="2"/>
  <c r="P23" i="2"/>
  <c r="R23" i="2"/>
  <c r="O23" i="2"/>
  <c r="O23" i="16"/>
  <c r="Q23" i="16"/>
  <c r="M24" i="16"/>
  <c r="P23" i="16"/>
  <c r="G10" i="20"/>
  <c r="D207" i="20"/>
  <c r="D249" i="20"/>
  <c r="G4" i="20"/>
  <c r="C20" i="20"/>
  <c r="C23" i="20"/>
  <c r="C21" i="20"/>
  <c r="G6" i="20"/>
  <c r="G5" i="20"/>
  <c r="C19" i="20"/>
  <c r="D285" i="20"/>
  <c r="G11" i="20"/>
  <c r="G12" i="20"/>
  <c r="C24" i="20"/>
  <c r="G8" i="20"/>
  <c r="C18" i="20"/>
  <c r="D235" i="20"/>
  <c r="G9" i="20"/>
  <c r="D221" i="20"/>
  <c r="C22" i="20"/>
  <c r="G7" i="20"/>
  <c r="C17" i="20"/>
  <c r="D151" i="20"/>
  <c r="D165" i="20"/>
  <c r="D193" i="20"/>
  <c r="D179" i="20"/>
  <c r="K11" i="33"/>
  <c r="J11" i="33"/>
  <c r="G11" i="33"/>
  <c r="B16" i="21"/>
  <c r="D16" i="21"/>
  <c r="E16" i="21"/>
  <c r="B9" i="21"/>
  <c r="D9" i="21"/>
  <c r="E9" i="21"/>
  <c r="B15" i="21"/>
  <c r="C15" i="21"/>
  <c r="B8" i="21"/>
  <c r="D8" i="21"/>
  <c r="E8" i="21"/>
  <c r="B13" i="21"/>
  <c r="D13" i="21"/>
  <c r="E13" i="21"/>
  <c r="B11" i="21"/>
  <c r="D11" i="21"/>
  <c r="E11" i="21"/>
  <c r="B10" i="21"/>
  <c r="C10" i="21"/>
  <c r="B14" i="21"/>
  <c r="D14" i="21"/>
  <c r="E14" i="21"/>
  <c r="H278" i="19"/>
  <c r="I278" i="19"/>
  <c r="J278" i="19"/>
  <c r="K278" i="19"/>
  <c r="L278" i="19"/>
  <c r="M278" i="19"/>
  <c r="N278" i="19"/>
  <c r="O278" i="19"/>
  <c r="P278" i="19"/>
  <c r="Q278" i="19"/>
  <c r="R278" i="19"/>
  <c r="S278" i="19"/>
  <c r="B53" i="2"/>
  <c r="H27" i="9"/>
  <c r="I27" i="9"/>
  <c r="J2" i="2"/>
  <c r="B28" i="13"/>
  <c r="D48" i="2"/>
  <c r="D49" i="2"/>
  <c r="D2" i="6"/>
  <c r="I6" i="6"/>
  <c r="B46" i="2"/>
  <c r="D6" i="6"/>
  <c r="I2" i="6"/>
  <c r="B50" i="2"/>
  <c r="D50" i="2"/>
  <c r="J16" i="2"/>
  <c r="V16" i="2"/>
  <c r="W260" i="4"/>
  <c r="W259" i="4"/>
  <c r="W258" i="4"/>
  <c r="W257" i="4"/>
  <c r="W256" i="4"/>
  <c r="W255" i="4"/>
  <c r="W254" i="4"/>
  <c r="W253" i="4"/>
  <c r="W252" i="4"/>
  <c r="E236" i="4"/>
  <c r="B237" i="4"/>
  <c r="E251" i="4"/>
  <c r="E4" i="3"/>
  <c r="E6" i="3"/>
  <c r="B251" i="3"/>
  <c r="J13" i="2"/>
  <c r="V13" i="2"/>
  <c r="G23" i="9"/>
  <c r="J9" i="2"/>
  <c r="W9" i="2"/>
  <c r="G34" i="9"/>
  <c r="AC236" i="4"/>
  <c r="AC238" i="4"/>
  <c r="G17" i="9"/>
  <c r="H31" i="9"/>
  <c r="I31" i="9"/>
  <c r="K31" i="9"/>
  <c r="B32" i="13"/>
  <c r="B31" i="13"/>
  <c r="J21" i="13"/>
  <c r="P21" i="13"/>
  <c r="I24" i="13"/>
  <c r="J18" i="13"/>
  <c r="P18" i="13"/>
  <c r="I27" i="13"/>
  <c r="J22" i="13"/>
  <c r="P22" i="13"/>
  <c r="I23" i="13"/>
  <c r="J19" i="13"/>
  <c r="P19" i="13"/>
  <c r="I26" i="13"/>
  <c r="J17" i="13"/>
  <c r="P17" i="13"/>
  <c r="I28" i="13"/>
  <c r="J20" i="13"/>
  <c r="P20" i="13"/>
  <c r="G32" i="9"/>
  <c r="L33" i="2"/>
  <c r="M33" i="2"/>
  <c r="G33" i="2"/>
  <c r="I33" i="2"/>
  <c r="E15" i="4"/>
  <c r="E17" i="4"/>
  <c r="F21" i="4"/>
  <c r="G42" i="9"/>
  <c r="H28" i="9"/>
  <c r="I28" i="9"/>
  <c r="J28" i="9"/>
  <c r="H40" i="9"/>
  <c r="I40" i="9"/>
  <c r="J40" i="9"/>
  <c r="G26" i="9"/>
  <c r="H48" i="9"/>
  <c r="I48" i="9"/>
  <c r="J48" i="9"/>
  <c r="G29" i="9"/>
  <c r="E362" i="19"/>
  <c r="H50" i="9"/>
  <c r="I50" i="9"/>
  <c r="K50" i="9"/>
  <c r="P2" i="2" a="1"/>
  <c r="P2" i="2"/>
  <c r="E340" i="19"/>
  <c r="G340" i="19"/>
  <c r="F342" i="19"/>
  <c r="E360" i="19"/>
  <c r="E352" i="19"/>
  <c r="E342" i="19"/>
  <c r="B9" i="13"/>
  <c r="B13" i="13"/>
  <c r="C102" i="20"/>
  <c r="C65" i="20"/>
  <c r="F99" i="20"/>
  <c r="C134" i="20"/>
  <c r="C124" i="20"/>
  <c r="C114" i="20"/>
  <c r="J99" i="20"/>
  <c r="C128" i="20"/>
  <c r="C138" i="20"/>
  <c r="C106" i="20"/>
  <c r="C69" i="20"/>
  <c r="C118" i="20"/>
  <c r="C137" i="20"/>
  <c r="C105" i="20"/>
  <c r="I99" i="20"/>
  <c r="C117" i="20"/>
  <c r="C127" i="20"/>
  <c r="C68" i="20"/>
  <c r="C70" i="20"/>
  <c r="C107" i="20"/>
  <c r="C119" i="20"/>
  <c r="C129" i="20"/>
  <c r="K99" i="20"/>
  <c r="C139" i="20"/>
  <c r="X7" i="20"/>
  <c r="C122" i="20"/>
  <c r="E27" i="20"/>
  <c r="C132" i="20"/>
  <c r="D99" i="20"/>
  <c r="C63" i="20"/>
  <c r="C100" i="20"/>
  <c r="C112" i="20"/>
  <c r="M27" i="20"/>
  <c r="N27" i="20"/>
  <c r="L27" i="20"/>
  <c r="I27" i="20"/>
  <c r="K27" i="20"/>
  <c r="F27" i="20"/>
  <c r="G27" i="20"/>
  <c r="D27" i="20"/>
  <c r="H27" i="20"/>
  <c r="O27" i="20"/>
  <c r="J27" i="20"/>
  <c r="C136" i="20"/>
  <c r="C104" i="20"/>
  <c r="H99" i="20"/>
  <c r="C126" i="20"/>
  <c r="C116" i="20"/>
  <c r="C67" i="20"/>
  <c r="C125" i="20"/>
  <c r="C115" i="20"/>
  <c r="C135" i="20"/>
  <c r="C66" i="20"/>
  <c r="G99" i="20"/>
  <c r="C103" i="20"/>
  <c r="C64" i="20"/>
  <c r="C123" i="20"/>
  <c r="C133" i="20"/>
  <c r="E99" i="20"/>
  <c r="C113" i="20"/>
  <c r="C101" i="20"/>
  <c r="B203" i="3"/>
  <c r="B107" i="3"/>
  <c r="B275" i="3"/>
  <c r="B51" i="3"/>
  <c r="B147" i="3"/>
  <c r="F66" i="2"/>
  <c r="K66" i="2"/>
  <c r="L66" i="2"/>
  <c r="E27" i="19"/>
  <c r="O66" i="2"/>
  <c r="P66" i="2"/>
  <c r="G27" i="19"/>
  <c r="Q66" i="2"/>
  <c r="R66" i="2"/>
  <c r="H27" i="19"/>
  <c r="M66" i="2"/>
  <c r="N66" i="2"/>
  <c r="F27" i="19"/>
  <c r="G66" i="2"/>
  <c r="H66" i="2"/>
  <c r="C27" i="19"/>
  <c r="I66" i="2"/>
  <c r="J66" i="2"/>
  <c r="D27" i="19"/>
  <c r="C66" i="2"/>
  <c r="D66" i="2"/>
  <c r="M25" i="16"/>
  <c r="O24" i="16"/>
  <c r="P24" i="16"/>
  <c r="Q24" i="16"/>
  <c r="M12" i="16"/>
  <c r="P11" i="16"/>
  <c r="O11" i="16"/>
  <c r="I65" i="2"/>
  <c r="J65" i="2"/>
  <c r="D26" i="19"/>
  <c r="Q65" i="2"/>
  <c r="R65" i="2"/>
  <c r="H26" i="19"/>
  <c r="G65" i="2"/>
  <c r="H65" i="2"/>
  <c r="C26" i="19"/>
  <c r="D65" i="2"/>
  <c r="K65" i="2"/>
  <c r="L65" i="2"/>
  <c r="E26" i="19"/>
  <c r="M65" i="2"/>
  <c r="N65" i="2"/>
  <c r="F26" i="19"/>
  <c r="C65" i="2"/>
  <c r="O65" i="2"/>
  <c r="P65" i="2"/>
  <c r="G26" i="19"/>
  <c r="F65" i="2"/>
  <c r="O60" i="2"/>
  <c r="P60" i="2"/>
  <c r="G21" i="19"/>
  <c r="I60" i="2"/>
  <c r="J60" i="2"/>
  <c r="D21" i="19"/>
  <c r="D60" i="2"/>
  <c r="G60" i="2"/>
  <c r="C60" i="2"/>
  <c r="Q60" i="2"/>
  <c r="R60" i="2"/>
  <c r="H21" i="19"/>
  <c r="M60" i="2"/>
  <c r="N60" i="2"/>
  <c r="F21" i="19"/>
  <c r="F60" i="2"/>
  <c r="K60" i="2"/>
  <c r="L60" i="2"/>
  <c r="E21" i="19"/>
  <c r="I31" i="2"/>
  <c r="E31" i="2"/>
  <c r="B31" i="2"/>
  <c r="D31" i="2"/>
  <c r="H31" i="2"/>
  <c r="C31" i="2"/>
  <c r="J60" i="9"/>
  <c r="K60" i="9"/>
  <c r="O61" i="2"/>
  <c r="P61" i="2"/>
  <c r="G22" i="19"/>
  <c r="G61" i="2"/>
  <c r="H61" i="2"/>
  <c r="C22" i="19"/>
  <c r="K61" i="2"/>
  <c r="L61" i="2"/>
  <c r="E22" i="19"/>
  <c r="I61" i="2"/>
  <c r="J61" i="2"/>
  <c r="D22" i="19"/>
  <c r="D61" i="2"/>
  <c r="M61" i="2"/>
  <c r="N61" i="2"/>
  <c r="F22" i="19"/>
  <c r="C61" i="2"/>
  <c r="F61" i="2"/>
  <c r="Q61" i="2"/>
  <c r="R61" i="2"/>
  <c r="H22" i="19"/>
  <c r="Q67" i="2"/>
  <c r="R67" i="2"/>
  <c r="H28" i="19"/>
  <c r="K67" i="2"/>
  <c r="L67" i="2"/>
  <c r="E28" i="19"/>
  <c r="F67" i="2"/>
  <c r="G67" i="2"/>
  <c r="I67" i="2"/>
  <c r="J67" i="2"/>
  <c r="D28" i="19"/>
  <c r="C67" i="2"/>
  <c r="D67" i="2"/>
  <c r="O67" i="2"/>
  <c r="M67" i="2"/>
  <c r="M8" i="11"/>
  <c r="A7" i="11"/>
  <c r="H4" i="29"/>
  <c r="K3" i="29"/>
  <c r="D13" i="11"/>
  <c r="K2" i="29"/>
  <c r="H2" i="29"/>
  <c r="E1" i="11"/>
  <c r="M5" i="11"/>
  <c r="G1" i="11"/>
  <c r="G13" i="11"/>
  <c r="A4" i="11"/>
  <c r="I1" i="11"/>
  <c r="H5" i="29"/>
  <c r="A8" i="11"/>
  <c r="A6" i="11"/>
  <c r="F1" i="11"/>
  <c r="I2" i="29"/>
  <c r="H13" i="11"/>
  <c r="J2" i="29"/>
  <c r="K4" i="29"/>
  <c r="H3" i="29"/>
  <c r="A5" i="11"/>
  <c r="D1" i="11"/>
  <c r="A10" i="11"/>
  <c r="J1" i="11"/>
  <c r="K5" i="29"/>
  <c r="H1" i="11"/>
  <c r="M10" i="11"/>
  <c r="I13" i="11"/>
  <c r="M4" i="11"/>
  <c r="M6" i="11"/>
  <c r="J13" i="11"/>
  <c r="I5" i="29"/>
  <c r="F13" i="11"/>
  <c r="A9" i="11"/>
  <c r="M7" i="11"/>
  <c r="M9" i="11"/>
  <c r="J5" i="29"/>
  <c r="D6" i="29"/>
  <c r="D25" i="13"/>
  <c r="D1" i="6"/>
  <c r="I5" i="6"/>
  <c r="G279" i="19"/>
  <c r="F281" i="19"/>
  <c r="H280" i="19"/>
  <c r="I280" i="19"/>
  <c r="J280" i="19"/>
  <c r="K280" i="19"/>
  <c r="L280" i="19"/>
  <c r="M280" i="19"/>
  <c r="N280" i="19"/>
  <c r="O280" i="19"/>
  <c r="P280" i="19"/>
  <c r="Q280" i="19"/>
  <c r="R280" i="19"/>
  <c r="S280" i="19"/>
  <c r="H40" i="19"/>
  <c r="D3" i="6"/>
  <c r="C288" i="20"/>
  <c r="Q288" i="20"/>
  <c r="C210" i="20"/>
  <c r="Q210" i="20"/>
  <c r="C196" i="20"/>
  <c r="Q196" i="20"/>
  <c r="C238" i="20"/>
  <c r="Q238" i="20"/>
  <c r="C224" i="20"/>
  <c r="Q224" i="20"/>
  <c r="C182" i="20"/>
  <c r="Q182" i="20"/>
  <c r="C154" i="20"/>
  <c r="Q154" i="20"/>
  <c r="C266" i="20"/>
  <c r="C168" i="20"/>
  <c r="Q168" i="20"/>
  <c r="C252" i="20"/>
  <c r="Q252" i="20"/>
  <c r="K8" i="9"/>
  <c r="J8" i="9"/>
  <c r="L8" i="9"/>
  <c r="L10" i="9"/>
  <c r="K10" i="9"/>
  <c r="J10" i="9"/>
  <c r="L3" i="9"/>
  <c r="K3" i="9"/>
  <c r="J3" i="9"/>
  <c r="C184" i="20"/>
  <c r="Q184" i="20"/>
  <c r="C226" i="20"/>
  <c r="Q226" i="20"/>
  <c r="C240" i="20"/>
  <c r="Q240" i="20"/>
  <c r="C254" i="20"/>
  <c r="Q254" i="20"/>
  <c r="C198" i="20"/>
  <c r="Q198" i="20"/>
  <c r="C212" i="20"/>
  <c r="Q212" i="20"/>
  <c r="C290" i="20"/>
  <c r="Q290" i="20"/>
  <c r="C170" i="20"/>
  <c r="Q170" i="20"/>
  <c r="C156" i="20"/>
  <c r="Q156" i="20"/>
  <c r="C268" i="20"/>
  <c r="E344" i="19"/>
  <c r="E358" i="19"/>
  <c r="E356" i="19"/>
  <c r="E346" i="19"/>
  <c r="E348" i="19"/>
  <c r="H30" i="9"/>
  <c r="I30" i="9"/>
  <c r="G44" i="9"/>
  <c r="G36" i="9"/>
  <c r="H24" i="9"/>
  <c r="I24" i="9"/>
  <c r="O63" i="2"/>
  <c r="P63" i="2"/>
  <c r="G24" i="19"/>
  <c r="C63" i="2"/>
  <c r="M63" i="2"/>
  <c r="N63" i="2"/>
  <c r="F24" i="19"/>
  <c r="K63" i="2"/>
  <c r="L63" i="2"/>
  <c r="E24" i="19"/>
  <c r="G63" i="2"/>
  <c r="H63" i="2"/>
  <c r="C24" i="19"/>
  <c r="F63" i="2"/>
  <c r="Q63" i="2"/>
  <c r="R63" i="2"/>
  <c r="H24" i="19"/>
  <c r="D63" i="2"/>
  <c r="I63" i="2"/>
  <c r="J63" i="2"/>
  <c r="D24" i="19"/>
  <c r="E34" i="2"/>
  <c r="C34" i="2"/>
  <c r="I34" i="2"/>
  <c r="B34" i="2"/>
  <c r="D34" i="2"/>
  <c r="H34" i="2"/>
  <c r="H235" i="4"/>
  <c r="G247" i="19"/>
  <c r="F249" i="19"/>
  <c r="H248" i="19"/>
  <c r="I248" i="19"/>
  <c r="J248" i="19"/>
  <c r="K248" i="19"/>
  <c r="L248" i="19"/>
  <c r="M248" i="19"/>
  <c r="N248" i="19"/>
  <c r="O248" i="19"/>
  <c r="P248" i="19"/>
  <c r="Q248" i="19"/>
  <c r="R248" i="19"/>
  <c r="S248" i="19"/>
  <c r="F64" i="2"/>
  <c r="C64" i="2"/>
  <c r="D64" i="2"/>
  <c r="Q64" i="2"/>
  <c r="R64" i="2"/>
  <c r="H25" i="19"/>
  <c r="I64" i="2"/>
  <c r="J64" i="2"/>
  <c r="D25" i="19"/>
  <c r="O64" i="2"/>
  <c r="P64" i="2"/>
  <c r="G25" i="19"/>
  <c r="M64" i="2"/>
  <c r="N64" i="2"/>
  <c r="F25" i="19"/>
  <c r="K64" i="2"/>
  <c r="L64" i="2"/>
  <c r="E25" i="19"/>
  <c r="G64" i="2"/>
  <c r="H64" i="2"/>
  <c r="C25" i="19"/>
  <c r="Q62" i="2"/>
  <c r="R62" i="2"/>
  <c r="H23" i="19"/>
  <c r="M62" i="2"/>
  <c r="N62" i="2"/>
  <c r="F23" i="19"/>
  <c r="F62" i="2"/>
  <c r="K62" i="2"/>
  <c r="L62" i="2"/>
  <c r="E23" i="19"/>
  <c r="I62" i="2"/>
  <c r="J62" i="2"/>
  <c r="D23" i="19"/>
  <c r="C62" i="2"/>
  <c r="D62" i="2"/>
  <c r="O62" i="2"/>
  <c r="P62" i="2"/>
  <c r="G23" i="19"/>
  <c r="G62" i="2"/>
  <c r="H62" i="2"/>
  <c r="C23" i="19"/>
  <c r="B291" i="4"/>
  <c r="B320" i="4"/>
  <c r="A305" i="4"/>
  <c r="A306" i="4"/>
  <c r="A307" i="4"/>
  <c r="A308" i="4"/>
  <c r="A309" i="4"/>
  <c r="A310" i="4"/>
  <c r="A311" i="4"/>
  <c r="A312" i="4"/>
  <c r="A313" i="4"/>
  <c r="A251" i="4"/>
  <c r="A252" i="4"/>
  <c r="A253" i="4"/>
  <c r="A254" i="4"/>
  <c r="A255" i="4"/>
  <c r="A256" i="4"/>
  <c r="A257" i="4"/>
  <c r="A258" i="4"/>
  <c r="A259" i="4"/>
  <c r="B236" i="4"/>
  <c r="A260" i="4"/>
  <c r="A261" i="4"/>
  <c r="A262" i="4"/>
  <c r="A263" i="4"/>
  <c r="A264" i="4"/>
  <c r="A265" i="4"/>
  <c r="A266" i="4"/>
  <c r="A267" i="4"/>
  <c r="A268" i="4"/>
  <c r="B312" i="4"/>
  <c r="B292" i="4"/>
  <c r="B267" i="4"/>
  <c r="B309" i="4"/>
  <c r="B277" i="4"/>
  <c r="B308" i="4"/>
  <c r="B262" i="4"/>
  <c r="B310" i="4"/>
  <c r="B254" i="4"/>
  <c r="B259" i="4"/>
  <c r="B246" i="4"/>
  <c r="B294" i="4"/>
  <c r="B245" i="4"/>
  <c r="B280" i="4"/>
  <c r="B306" i="4"/>
  <c r="A239" i="4"/>
  <c r="B249" i="4"/>
  <c r="B282" i="4"/>
  <c r="A296" i="4"/>
  <c r="A297" i="4"/>
  <c r="A298" i="4"/>
  <c r="A299" i="4"/>
  <c r="A300" i="4"/>
  <c r="A301" i="4"/>
  <c r="A302" i="4"/>
  <c r="A303" i="4"/>
  <c r="A304" i="4"/>
  <c r="B256" i="4"/>
  <c r="B322" i="4"/>
  <c r="B303" i="4"/>
  <c r="B297" i="4"/>
  <c r="B247" i="4"/>
  <c r="B270" i="4"/>
  <c r="B258" i="4"/>
  <c r="B315" i="4"/>
  <c r="B293" i="4"/>
  <c r="B268" i="4"/>
  <c r="B285" i="4"/>
  <c r="B264" i="4"/>
  <c r="B272" i="4"/>
  <c r="B311" i="4"/>
  <c r="A269" i="4"/>
  <c r="A270" i="4"/>
  <c r="A271" i="4"/>
  <c r="A272" i="4"/>
  <c r="A273" i="4"/>
  <c r="A274" i="4"/>
  <c r="A275" i="4"/>
  <c r="A276" i="4"/>
  <c r="A277" i="4"/>
  <c r="B298" i="4"/>
  <c r="A278" i="4"/>
  <c r="A279" i="4"/>
  <c r="A280" i="4"/>
  <c r="A281" i="4"/>
  <c r="A282" i="4"/>
  <c r="A283" i="4"/>
  <c r="A284" i="4"/>
  <c r="A285" i="4"/>
  <c r="A286" i="4"/>
  <c r="B252" i="4"/>
  <c r="B263" i="4"/>
  <c r="B273" i="4"/>
  <c r="B255" i="4"/>
  <c r="B317" i="4"/>
  <c r="B274" i="4"/>
  <c r="B244" i="4"/>
  <c r="B288" i="4"/>
  <c r="A323" i="4"/>
  <c r="B253" i="4"/>
  <c r="B265" i="4"/>
  <c r="B316" i="4"/>
  <c r="B284" i="4"/>
  <c r="B283" i="4"/>
  <c r="B301" i="4"/>
  <c r="B300" i="4"/>
  <c r="B248" i="4"/>
  <c r="A287" i="4"/>
  <c r="A288" i="4"/>
  <c r="A289" i="4"/>
  <c r="A290" i="4"/>
  <c r="A291" i="4"/>
  <c r="A292" i="4"/>
  <c r="A293" i="4"/>
  <c r="A294" i="4"/>
  <c r="A295" i="4"/>
  <c r="B318" i="4"/>
  <c r="B271" i="4"/>
  <c r="B304" i="4"/>
  <c r="B281" i="4"/>
  <c r="B319" i="4"/>
  <c r="B321" i="4"/>
  <c r="B276" i="4"/>
  <c r="B242" i="4"/>
  <c r="B302" i="4"/>
  <c r="B243" i="4"/>
  <c r="A314" i="4"/>
  <c r="A315" i="4"/>
  <c r="A316" i="4"/>
  <c r="A317" i="4"/>
  <c r="A318" i="4"/>
  <c r="A319" i="4"/>
  <c r="A320" i="4"/>
  <c r="A321" i="4"/>
  <c r="A322" i="4"/>
  <c r="B275" i="4"/>
  <c r="B289" i="4"/>
  <c r="B279" i="4"/>
  <c r="B313" i="4"/>
  <c r="B295" i="4"/>
  <c r="B250" i="4"/>
  <c r="B286" i="4"/>
  <c r="B307" i="4"/>
  <c r="B257" i="4"/>
  <c r="B261" i="4"/>
  <c r="A242" i="4"/>
  <c r="A243" i="4"/>
  <c r="A244" i="4"/>
  <c r="A245" i="4"/>
  <c r="A246" i="4"/>
  <c r="A247" i="4"/>
  <c r="A248" i="4"/>
  <c r="A249" i="4"/>
  <c r="A250" i="4"/>
  <c r="B266" i="4"/>
  <c r="B299" i="4"/>
  <c r="B290" i="4"/>
  <c r="L51" i="9"/>
  <c r="I51" i="9"/>
  <c r="J51" i="9"/>
  <c r="K51" i="9"/>
  <c r="E40" i="2"/>
  <c r="B40" i="2"/>
  <c r="C40" i="2"/>
  <c r="I40" i="2"/>
  <c r="E39" i="2"/>
  <c r="B39" i="2"/>
  <c r="C39" i="2"/>
  <c r="I39" i="2"/>
  <c r="B32" i="2"/>
  <c r="I32" i="2"/>
  <c r="C32" i="2"/>
  <c r="B68" i="2"/>
  <c r="E32" i="2"/>
  <c r="H211" i="19"/>
  <c r="K7" i="9"/>
  <c r="L7" i="9"/>
  <c r="J7" i="9"/>
  <c r="C215" i="20"/>
  <c r="Q215" i="20"/>
  <c r="C187" i="20"/>
  <c r="Q187" i="20"/>
  <c r="C257" i="20"/>
  <c r="Q257" i="20"/>
  <c r="C173" i="20"/>
  <c r="Q173" i="20"/>
  <c r="C271" i="20"/>
  <c r="C229" i="20"/>
  <c r="Q229" i="20"/>
  <c r="C293" i="20"/>
  <c r="Q293" i="20"/>
  <c r="C201" i="20"/>
  <c r="Q201" i="20"/>
  <c r="C243" i="20"/>
  <c r="Q243" i="20"/>
  <c r="C159" i="20"/>
  <c r="Q159" i="20"/>
  <c r="C230" i="20"/>
  <c r="Q230" i="20"/>
  <c r="C216" i="20"/>
  <c r="Q216" i="20"/>
  <c r="C174" i="20"/>
  <c r="Q174" i="20"/>
  <c r="C188" i="20"/>
  <c r="Q188" i="20"/>
  <c r="C202" i="20"/>
  <c r="Q202" i="20"/>
  <c r="C258" i="20"/>
  <c r="Q258" i="20"/>
  <c r="D263" i="20"/>
  <c r="C160" i="20"/>
  <c r="Q160" i="20"/>
  <c r="C272" i="20"/>
  <c r="C244" i="20"/>
  <c r="Q244" i="20"/>
  <c r="C294" i="20"/>
  <c r="Q294" i="20"/>
  <c r="D15" i="20"/>
  <c r="J4" i="9"/>
  <c r="K4" i="9"/>
  <c r="L4" i="9"/>
  <c r="J12" i="9"/>
  <c r="L12" i="9"/>
  <c r="K12" i="9"/>
  <c r="G60" i="9"/>
  <c r="H22" i="9"/>
  <c r="I22" i="9"/>
  <c r="G39" i="9"/>
  <c r="B112" i="3"/>
  <c r="B312" i="3"/>
  <c r="B104" i="3"/>
  <c r="B232" i="3"/>
  <c r="B168" i="3"/>
  <c r="B24" i="3"/>
  <c r="B296" i="3"/>
  <c r="B192" i="3"/>
  <c r="B328" i="3"/>
  <c r="B16" i="3"/>
  <c r="B120" i="3"/>
  <c r="B72" i="3"/>
  <c r="B248" i="3"/>
  <c r="B160" i="3"/>
  <c r="B56" i="3"/>
  <c r="B136" i="3"/>
  <c r="B176" i="3"/>
  <c r="B80" i="3"/>
  <c r="B304" i="3"/>
  <c r="B32" i="3"/>
  <c r="B256" i="3"/>
  <c r="B216" i="3"/>
  <c r="B272" i="3"/>
  <c r="B96" i="3"/>
  <c r="B224" i="3"/>
  <c r="B152" i="3"/>
  <c r="B40" i="3"/>
  <c r="B184" i="3"/>
  <c r="B320" i="3"/>
  <c r="B88" i="3"/>
  <c r="B48" i="3"/>
  <c r="B240" i="3"/>
  <c r="B64" i="3"/>
  <c r="B200" i="3"/>
  <c r="B264" i="3"/>
  <c r="B280" i="3"/>
  <c r="B288" i="3"/>
  <c r="B144" i="3"/>
  <c r="B208" i="3"/>
  <c r="B128" i="3"/>
  <c r="D12" i="21"/>
  <c r="E12" i="21"/>
  <c r="C12" i="21"/>
  <c r="Z16" i="2"/>
  <c r="AA16" i="2"/>
  <c r="X16" i="2"/>
  <c r="O58" i="2"/>
  <c r="P58" i="2"/>
  <c r="G19" i="19"/>
  <c r="F58" i="2"/>
  <c r="I58" i="2"/>
  <c r="J58" i="2"/>
  <c r="D19" i="19"/>
  <c r="Q58" i="2"/>
  <c r="R58" i="2"/>
  <c r="H19" i="19"/>
  <c r="K58" i="2"/>
  <c r="L58" i="2"/>
  <c r="E19" i="19"/>
  <c r="G58" i="2"/>
  <c r="H58" i="2"/>
  <c r="C19" i="19"/>
  <c r="D58" i="2"/>
  <c r="C58" i="2"/>
  <c r="M58" i="2"/>
  <c r="N58" i="2"/>
  <c r="F19" i="19"/>
  <c r="W269" i="4"/>
  <c r="Z13" i="2"/>
  <c r="X13" i="2"/>
  <c r="AA13" i="2"/>
  <c r="E37" i="2"/>
  <c r="F37" i="2"/>
  <c r="G38" i="2"/>
  <c r="B37" i="2"/>
  <c r="D37" i="2"/>
  <c r="H37" i="2"/>
  <c r="I37" i="2"/>
  <c r="C37" i="2"/>
  <c r="B41" i="2"/>
  <c r="D41" i="2"/>
  <c r="H41" i="2"/>
  <c r="I41" i="2"/>
  <c r="E41" i="2"/>
  <c r="C41" i="2"/>
  <c r="H341" i="19"/>
  <c r="H75" i="19"/>
  <c r="L6" i="9"/>
  <c r="K6" i="9"/>
  <c r="J6" i="9"/>
  <c r="C223" i="20"/>
  <c r="Q223" i="20"/>
  <c r="C195" i="20"/>
  <c r="Q195" i="20"/>
  <c r="C181" i="20"/>
  <c r="Q181" i="20"/>
  <c r="C153" i="20"/>
  <c r="Q153" i="20"/>
  <c r="C209" i="20"/>
  <c r="Q209" i="20"/>
  <c r="C251" i="20"/>
  <c r="Q251" i="20"/>
  <c r="C287" i="20"/>
  <c r="Q287" i="20"/>
  <c r="C167" i="20"/>
  <c r="Q167" i="20"/>
  <c r="C265" i="20"/>
  <c r="C237" i="20"/>
  <c r="Q237" i="20"/>
  <c r="C197" i="20"/>
  <c r="Q197" i="20"/>
  <c r="C211" i="20"/>
  <c r="Q211" i="20"/>
  <c r="C155" i="20"/>
  <c r="Q155" i="20"/>
  <c r="C169" i="20"/>
  <c r="Q169" i="20"/>
  <c r="C267" i="20"/>
  <c r="C239" i="20"/>
  <c r="Q239" i="20"/>
  <c r="C225" i="20"/>
  <c r="Q225" i="20"/>
  <c r="C289" i="20"/>
  <c r="Q289" i="20"/>
  <c r="C183" i="20"/>
  <c r="Q183" i="20"/>
  <c r="C253" i="20"/>
  <c r="Q253" i="20"/>
  <c r="K11" i="9"/>
  <c r="L11" i="9"/>
  <c r="J11" i="9"/>
  <c r="C270" i="20"/>
  <c r="C292" i="20"/>
  <c r="Q292" i="20"/>
  <c r="C256" i="20"/>
  <c r="Q256" i="20"/>
  <c r="C242" i="20"/>
  <c r="Q242" i="20"/>
  <c r="C228" i="20"/>
  <c r="Q228" i="20"/>
  <c r="C172" i="20"/>
  <c r="Q172" i="20"/>
  <c r="C200" i="20"/>
  <c r="Q200" i="20"/>
  <c r="C186" i="20"/>
  <c r="Q186" i="20"/>
  <c r="C214" i="20"/>
  <c r="Q214" i="20"/>
  <c r="C158" i="20"/>
  <c r="Q158" i="20"/>
  <c r="J2" i="9"/>
  <c r="L2" i="9"/>
  <c r="K2" i="9"/>
  <c r="E354" i="19"/>
  <c r="E350" i="19"/>
  <c r="G28" i="9"/>
  <c r="G31" i="9"/>
  <c r="G25" i="9"/>
  <c r="I35" i="2"/>
  <c r="C35" i="2"/>
  <c r="E35" i="2"/>
  <c r="B35" i="2"/>
  <c r="N235" i="4"/>
  <c r="C66" i="5"/>
  <c r="E66" i="5"/>
  <c r="B67" i="5"/>
  <c r="D66" i="5"/>
  <c r="C36" i="2"/>
  <c r="F36" i="2"/>
  <c r="B36" i="2"/>
  <c r="I36" i="2"/>
  <c r="E36" i="2"/>
  <c r="B103" i="4"/>
  <c r="B123" i="4"/>
  <c r="D21" i="4"/>
  <c r="B144" i="4"/>
  <c r="B65" i="4"/>
  <c r="D65" i="4"/>
  <c r="B88" i="4"/>
  <c r="B105" i="4"/>
  <c r="B113" i="4"/>
  <c r="D27" i="4"/>
  <c r="B85" i="4"/>
  <c r="D30" i="4"/>
  <c r="D23" i="4"/>
  <c r="B111" i="4"/>
  <c r="B121" i="4"/>
  <c r="B94" i="4"/>
  <c r="B75" i="4"/>
  <c r="B69" i="4"/>
  <c r="B81" i="4"/>
  <c r="B115" i="4"/>
  <c r="B84" i="4"/>
  <c r="B87" i="4"/>
  <c r="B137" i="4"/>
  <c r="D29" i="4"/>
  <c r="B98" i="4"/>
  <c r="B70" i="4"/>
  <c r="B143" i="4"/>
  <c r="B134" i="4"/>
  <c r="B125" i="4"/>
  <c r="B122" i="4"/>
  <c r="B91" i="4"/>
  <c r="B82" i="4"/>
  <c r="B112" i="4"/>
  <c r="B141" i="4"/>
  <c r="B129" i="4"/>
  <c r="B135" i="4"/>
  <c r="B142" i="4"/>
  <c r="B116" i="4"/>
  <c r="B79" i="4"/>
  <c r="B100" i="4"/>
  <c r="D22" i="4"/>
  <c r="B71" i="4"/>
  <c r="B108" i="4"/>
  <c r="D24" i="4"/>
  <c r="B77" i="4"/>
  <c r="B99" i="4"/>
  <c r="B148" i="4"/>
  <c r="B101" i="4"/>
  <c r="B83" i="4"/>
  <c r="B145" i="4"/>
  <c r="B92" i="4"/>
  <c r="B104" i="4"/>
  <c r="B126" i="4"/>
  <c r="B95" i="4"/>
  <c r="B139" i="4"/>
  <c r="B133" i="4"/>
  <c r="B132" i="4"/>
  <c r="B97" i="4"/>
  <c r="D26" i="4"/>
  <c r="B80" i="4"/>
  <c r="B136" i="4"/>
  <c r="B114" i="4"/>
  <c r="B118" i="4"/>
  <c r="B119" i="4"/>
  <c r="B110" i="4"/>
  <c r="B109" i="4"/>
  <c r="B89" i="4"/>
  <c r="B72" i="4"/>
  <c r="B15" i="4"/>
  <c r="B131" i="4"/>
  <c r="B93" i="4"/>
  <c r="B107" i="4"/>
  <c r="B124" i="4"/>
  <c r="B128" i="4"/>
  <c r="B120" i="4"/>
  <c r="B67" i="4"/>
  <c r="B86" i="4"/>
  <c r="B66" i="4"/>
  <c r="B138" i="4"/>
  <c r="B76" i="4"/>
  <c r="B90" i="4"/>
  <c r="B102" i="4"/>
  <c r="A18" i="4"/>
  <c r="B73" i="4"/>
  <c r="B106" i="4"/>
  <c r="B74" i="4"/>
  <c r="B127" i="4"/>
  <c r="B68" i="4"/>
  <c r="D25" i="4"/>
  <c r="D28" i="4"/>
  <c r="B140" i="4"/>
  <c r="B117" i="4"/>
  <c r="B96" i="4"/>
  <c r="B130" i="4"/>
  <c r="B78" i="4"/>
  <c r="Q59" i="2"/>
  <c r="R59" i="2"/>
  <c r="H20" i="19"/>
  <c r="I59" i="2"/>
  <c r="J59" i="2"/>
  <c r="D20" i="19"/>
  <c r="G59" i="2"/>
  <c r="H59" i="2"/>
  <c r="C20" i="19"/>
  <c r="O59" i="2"/>
  <c r="P59" i="2"/>
  <c r="G20" i="19"/>
  <c r="D59" i="2"/>
  <c r="K59" i="2"/>
  <c r="L59" i="2"/>
  <c r="E20" i="19"/>
  <c r="F59" i="2"/>
  <c r="C59" i="2"/>
  <c r="M59" i="2"/>
  <c r="N59" i="2"/>
  <c r="F20" i="19"/>
  <c r="C7" i="21"/>
  <c r="D7" i="21"/>
  <c r="E7" i="21"/>
  <c r="Y314" i="4"/>
  <c r="Y315" i="4"/>
  <c r="Y316" i="4"/>
  <c r="Y317" i="4"/>
  <c r="Y318" i="4"/>
  <c r="Y319" i="4"/>
  <c r="Y320" i="4"/>
  <c r="Y321" i="4"/>
  <c r="Y322" i="4"/>
  <c r="Z272" i="4"/>
  <c r="Z285" i="4"/>
  <c r="Z279" i="4"/>
  <c r="Z289" i="4"/>
  <c r="Y287" i="4"/>
  <c r="Y288" i="4"/>
  <c r="Y289" i="4"/>
  <c r="Y290" i="4"/>
  <c r="Y291" i="4"/>
  <c r="Y292" i="4"/>
  <c r="Y293" i="4"/>
  <c r="Y294" i="4"/>
  <c r="Y295" i="4"/>
  <c r="Z300" i="4"/>
  <c r="Z261" i="4"/>
  <c r="Z236" i="4"/>
  <c r="Z311" i="4"/>
  <c r="Y269" i="4"/>
  <c r="Y270" i="4"/>
  <c r="Y271" i="4"/>
  <c r="Y272" i="4"/>
  <c r="Y273" i="4"/>
  <c r="Y274" i="4"/>
  <c r="Y275" i="4"/>
  <c r="Y276" i="4"/>
  <c r="Y277" i="4"/>
  <c r="Z282" i="4"/>
  <c r="Z295" i="4"/>
  <c r="Z286" i="4"/>
  <c r="Z303" i="4"/>
  <c r="Z313" i="4"/>
  <c r="Z318" i="4"/>
  <c r="Z290" i="4"/>
  <c r="Z273" i="4"/>
  <c r="Z306" i="4"/>
  <c r="Z271" i="4"/>
  <c r="Y305" i="4"/>
  <c r="Y306" i="4"/>
  <c r="Y307" i="4"/>
  <c r="Y308" i="4"/>
  <c r="Y309" i="4"/>
  <c r="Y310" i="4"/>
  <c r="Y311" i="4"/>
  <c r="Y312" i="4"/>
  <c r="Y313" i="4"/>
  <c r="Z252" i="4"/>
  <c r="Z283" i="4"/>
  <c r="Z246" i="4"/>
  <c r="Z243" i="4"/>
  <c r="Z309" i="4"/>
  <c r="Z270" i="4"/>
  <c r="Z293" i="4"/>
  <c r="Z264" i="4"/>
  <c r="Z280" i="4"/>
  <c r="Z255" i="4"/>
  <c r="Z308" i="4"/>
  <c r="Z316" i="4"/>
  <c r="Z257" i="4"/>
  <c r="Z320" i="4"/>
  <c r="Z321" i="4"/>
  <c r="Z248" i="4"/>
  <c r="Z275" i="4"/>
  <c r="Y323" i="4"/>
  <c r="Z250" i="4"/>
  <c r="Z292" i="4"/>
  <c r="Z322" i="4"/>
  <c r="Z298" i="4"/>
  <c r="Z242" i="4"/>
  <c r="Z265" i="4"/>
  <c r="Z277" i="4"/>
  <c r="Z315" i="4"/>
  <c r="Z302" i="4"/>
  <c r="Z319" i="4"/>
  <c r="Z267" i="4"/>
  <c r="Z317" i="4"/>
  <c r="Y260" i="4"/>
  <c r="Y261" i="4"/>
  <c r="Y262" i="4"/>
  <c r="Y263" i="4"/>
  <c r="Y264" i="4"/>
  <c r="Y265" i="4"/>
  <c r="Y266" i="4"/>
  <c r="Y267" i="4"/>
  <c r="Y268" i="4"/>
  <c r="Y296" i="4"/>
  <c r="Y297" i="4"/>
  <c r="Y298" i="4"/>
  <c r="Y299" i="4"/>
  <c r="Y300" i="4"/>
  <c r="Y301" i="4"/>
  <c r="Y302" i="4"/>
  <c r="Y303" i="4"/>
  <c r="Y304" i="4"/>
  <c r="Z263" i="4"/>
  <c r="Z281" i="4"/>
  <c r="Z304" i="4"/>
  <c r="Z262" i="4"/>
  <c r="Z307" i="4"/>
  <c r="Z259" i="4"/>
  <c r="Z266" i="4"/>
  <c r="Y242" i="4"/>
  <c r="Y243" i="4"/>
  <c r="Y244" i="4"/>
  <c r="Y245" i="4"/>
  <c r="Y246" i="4"/>
  <c r="Y247" i="4"/>
  <c r="Y248" i="4"/>
  <c r="Y249" i="4"/>
  <c r="Y250" i="4"/>
  <c r="Z254" i="4"/>
  <c r="Z284" i="4"/>
  <c r="Z288" i="4"/>
  <c r="Z310" i="4"/>
  <c r="Y251" i="4"/>
  <c r="Y252" i="4"/>
  <c r="Y253" i="4"/>
  <c r="Y254" i="4"/>
  <c r="Y255" i="4"/>
  <c r="Y256" i="4"/>
  <c r="Y257" i="4"/>
  <c r="Y258" i="4"/>
  <c r="Y259" i="4"/>
  <c r="Z253" i="4"/>
  <c r="Z247" i="4"/>
  <c r="Y239" i="4"/>
  <c r="Z245" i="4"/>
  <c r="Z274" i="4"/>
  <c r="Z276" i="4"/>
  <c r="Z294" i="4"/>
  <c r="Z268" i="4"/>
  <c r="Z291" i="4"/>
  <c r="Z297" i="4"/>
  <c r="Z301" i="4"/>
  <c r="Z244" i="4"/>
  <c r="Y278" i="4"/>
  <c r="Y279" i="4"/>
  <c r="Y280" i="4"/>
  <c r="Y281" i="4"/>
  <c r="Y282" i="4"/>
  <c r="Y283" i="4"/>
  <c r="Y284" i="4"/>
  <c r="Y285" i="4"/>
  <c r="Y286" i="4"/>
  <c r="Z312" i="4"/>
  <c r="Z299" i="4"/>
  <c r="Z258" i="4"/>
  <c r="Z256" i="4"/>
  <c r="Z249" i="4"/>
  <c r="G139" i="19"/>
  <c r="F141" i="19"/>
  <c r="H140" i="19"/>
  <c r="I140" i="19"/>
  <c r="J140" i="19"/>
  <c r="K140" i="19"/>
  <c r="L140" i="19"/>
  <c r="M140" i="19"/>
  <c r="N140" i="19"/>
  <c r="O140" i="19"/>
  <c r="P140" i="19"/>
  <c r="Q140" i="19"/>
  <c r="R140" i="19"/>
  <c r="S140" i="19"/>
  <c r="H107" i="19"/>
  <c r="K9" i="9"/>
  <c r="J9" i="9"/>
  <c r="L9" i="9"/>
  <c r="L13" i="9"/>
  <c r="K13" i="9"/>
  <c r="J13" i="9"/>
  <c r="L5" i="9"/>
  <c r="J5" i="9"/>
  <c r="K5" i="9"/>
  <c r="C241" i="20"/>
  <c r="Q241" i="20"/>
  <c r="C291" i="20"/>
  <c r="Q291" i="20"/>
  <c r="C171" i="20"/>
  <c r="Q171" i="20"/>
  <c r="C213" i="20"/>
  <c r="Q213" i="20"/>
  <c r="C227" i="20"/>
  <c r="Q227" i="20"/>
  <c r="C269" i="20"/>
  <c r="C185" i="20"/>
  <c r="Q185" i="20"/>
  <c r="C199" i="20"/>
  <c r="Q199" i="20"/>
  <c r="C157" i="20"/>
  <c r="Q157" i="20"/>
  <c r="C255" i="20"/>
  <c r="Q255" i="20"/>
  <c r="G19" i="9"/>
  <c r="H35" i="9"/>
  <c r="I35" i="9"/>
  <c r="G14" i="9"/>
  <c r="H20" i="9"/>
  <c r="I20" i="9"/>
  <c r="L20" i="9"/>
  <c r="H23" i="9"/>
  <c r="I23" i="9"/>
  <c r="H15" i="9"/>
  <c r="I15" i="9"/>
  <c r="H26" i="9"/>
  <c r="I26" i="9"/>
  <c r="H34" i="9"/>
  <c r="I34" i="9"/>
  <c r="G46" i="9"/>
  <c r="G27" i="9"/>
  <c r="G21" i="9"/>
  <c r="H45" i="9"/>
  <c r="I45" i="9"/>
  <c r="J45" i="9"/>
  <c r="H59" i="9"/>
  <c r="I59" i="9"/>
  <c r="B5" i="3"/>
  <c r="B267" i="3"/>
  <c r="B171" i="3"/>
  <c r="B75" i="3"/>
  <c r="B291" i="3"/>
  <c r="B187" i="3"/>
  <c r="G33" i="9"/>
  <c r="G40" i="9"/>
  <c r="G35" i="9"/>
  <c r="H29" i="9"/>
  <c r="I29" i="9"/>
  <c r="L29" i="9"/>
  <c r="G41" i="9"/>
  <c r="H46" i="9"/>
  <c r="I46" i="9"/>
  <c r="J46" i="9"/>
  <c r="G38" i="9"/>
  <c r="G15" i="9"/>
  <c r="C9" i="21"/>
  <c r="L31" i="9"/>
  <c r="B179" i="3"/>
  <c r="B43" i="3"/>
  <c r="B155" i="3"/>
  <c r="B131" i="3"/>
  <c r="B299" i="3"/>
  <c r="B227" i="3"/>
  <c r="B323" i="3"/>
  <c r="B27" i="3"/>
  <c r="B139" i="3"/>
  <c r="B259" i="3"/>
  <c r="G20" i="9"/>
  <c r="H18" i="9"/>
  <c r="I18" i="9"/>
  <c r="K18" i="9"/>
  <c r="G50" i="9"/>
  <c r="H37" i="9"/>
  <c r="I37" i="9"/>
  <c r="J37" i="9"/>
  <c r="H32" i="9"/>
  <c r="I32" i="9"/>
  <c r="L32" i="9"/>
  <c r="G49" i="9"/>
  <c r="H41" i="9"/>
  <c r="I41" i="9"/>
  <c r="L41" i="9"/>
  <c r="H19" i="9"/>
  <c r="I19" i="9"/>
  <c r="K19" i="9"/>
  <c r="H33" i="9"/>
  <c r="I33" i="9"/>
  <c r="J33" i="9"/>
  <c r="H42" i="9"/>
  <c r="I42" i="9"/>
  <c r="J42" i="9"/>
  <c r="G18" i="9"/>
  <c r="B51" i="2"/>
  <c r="H14" i="9"/>
  <c r="I14" i="9"/>
  <c r="L14" i="9"/>
  <c r="G30" i="9"/>
  <c r="G37" i="9"/>
  <c r="H43" i="9"/>
  <c r="I43" i="9"/>
  <c r="G47" i="9"/>
  <c r="G43" i="9"/>
  <c r="H17" i="9"/>
  <c r="I17" i="9"/>
  <c r="L17" i="9"/>
  <c r="G59" i="9"/>
  <c r="C16" i="21"/>
  <c r="D10" i="21"/>
  <c r="E10" i="21"/>
  <c r="K17" i="9"/>
  <c r="Y13" i="2"/>
  <c r="W13" i="2"/>
  <c r="W16" i="2"/>
  <c r="Y16" i="2"/>
  <c r="V9" i="2"/>
  <c r="Z237" i="4"/>
  <c r="AC251" i="4"/>
  <c r="J14" i="2"/>
  <c r="Z14" i="2"/>
  <c r="J8" i="2"/>
  <c r="X8" i="2"/>
  <c r="C13" i="21"/>
  <c r="D15" i="21"/>
  <c r="E15" i="21"/>
  <c r="C14" i="21"/>
  <c r="C8" i="21"/>
  <c r="C11" i="21"/>
  <c r="J10" i="2"/>
  <c r="Z10" i="2"/>
  <c r="B43" i="2"/>
  <c r="C43" i="2"/>
  <c r="E43" i="2"/>
  <c r="G15" i="4"/>
  <c r="J11" i="2"/>
  <c r="Y11" i="2"/>
  <c r="J12" i="2"/>
  <c r="E238" i="4"/>
  <c r="J15" i="2"/>
  <c r="Y15" i="2"/>
  <c r="J27" i="9"/>
  <c r="L27" i="9"/>
  <c r="K27" i="9"/>
  <c r="D7" i="6"/>
  <c r="H36" i="9"/>
  <c r="I36" i="9"/>
  <c r="L36" i="9"/>
  <c r="G22" i="9"/>
  <c r="G48" i="9"/>
  <c r="H44" i="9"/>
  <c r="I44" i="9"/>
  <c r="J44" i="9"/>
  <c r="G24" i="9"/>
  <c r="H47" i="9"/>
  <c r="I47" i="9"/>
  <c r="H25" i="9"/>
  <c r="I25" i="9"/>
  <c r="L25" i="9"/>
  <c r="H39" i="9"/>
  <c r="I39" i="9"/>
  <c r="H21" i="9"/>
  <c r="I21" i="9"/>
  <c r="K21" i="9"/>
  <c r="G45" i="9"/>
  <c r="L19" i="9"/>
  <c r="H38" i="9"/>
  <c r="I38" i="9"/>
  <c r="H49" i="9"/>
  <c r="I49" i="9"/>
  <c r="E62" i="2"/>
  <c r="S62" i="2"/>
  <c r="E60" i="2"/>
  <c r="S60" i="2"/>
  <c r="E65" i="2"/>
  <c r="S65" i="2"/>
  <c r="E66" i="2"/>
  <c r="S66" i="2"/>
  <c r="E59" i="2"/>
  <c r="S59" i="2"/>
  <c r="E58" i="2"/>
  <c r="S58" i="2"/>
  <c r="E64" i="2"/>
  <c r="S64" i="2"/>
  <c r="E63" i="2"/>
  <c r="S63" i="2"/>
  <c r="E67" i="2"/>
  <c r="S67" i="2"/>
  <c r="E61" i="2"/>
  <c r="S61" i="2"/>
  <c r="W15" i="2"/>
  <c r="B33" i="2"/>
  <c r="D33" i="2"/>
  <c r="H33" i="2"/>
  <c r="B115" i="3"/>
  <c r="B35" i="3"/>
  <c r="B211" i="3"/>
  <c r="B212" i="3"/>
  <c r="B214" i="3"/>
  <c r="B11" i="3"/>
  <c r="B163" i="3"/>
  <c r="B315" i="3"/>
  <c r="B99" i="3"/>
  <c r="B100" i="3"/>
  <c r="B102" i="3"/>
  <c r="B19" i="3"/>
  <c r="B83" i="3"/>
  <c r="B195" i="3"/>
  <c r="B243" i="3"/>
  <c r="B244" i="3"/>
  <c r="B246" i="3"/>
  <c r="B59" i="3"/>
  <c r="B307" i="3"/>
  <c r="B123" i="3"/>
  <c r="B283" i="3"/>
  <c r="B284" i="3"/>
  <c r="B286" i="3"/>
  <c r="B67" i="3"/>
  <c r="B91" i="3"/>
  <c r="B235" i="3"/>
  <c r="B219" i="3"/>
  <c r="B220" i="3"/>
  <c r="B222" i="3"/>
  <c r="D47" i="2"/>
  <c r="B47" i="2"/>
  <c r="I1" i="6"/>
  <c r="H46" i="6"/>
  <c r="I30" i="13"/>
  <c r="Z9" i="2"/>
  <c r="L18" i="9"/>
  <c r="AA11" i="2"/>
  <c r="W10" i="2"/>
  <c r="B16" i="4"/>
  <c r="E22" i="4"/>
  <c r="E23" i="4"/>
  <c r="E24" i="4"/>
  <c r="J25" i="13"/>
  <c r="P25" i="13"/>
  <c r="J24" i="13"/>
  <c r="P24" i="13"/>
  <c r="K42" i="9"/>
  <c r="E21" i="4"/>
  <c r="K48" i="9"/>
  <c r="V10" i="2"/>
  <c r="L43" i="9"/>
  <c r="AA9" i="2"/>
  <c r="Y9" i="2"/>
  <c r="K36" i="9"/>
  <c r="K28" i="9"/>
  <c r="X9" i="2"/>
  <c r="L37" i="9"/>
  <c r="D4" i="6"/>
  <c r="D5" i="6"/>
  <c r="E11" i="6"/>
  <c r="Y12" i="2"/>
  <c r="J19" i="9"/>
  <c r="L28" i="9"/>
  <c r="Z12" i="2"/>
  <c r="X12" i="2"/>
  <c r="AA14" i="2"/>
  <c r="K37" i="9"/>
  <c r="J29" i="9"/>
  <c r="H15" i="4"/>
  <c r="I15" i="4"/>
  <c r="J31" i="9"/>
  <c r="K29" i="9"/>
  <c r="W12" i="2"/>
  <c r="Z8" i="2"/>
  <c r="H13" i="4"/>
  <c r="J14" i="9"/>
  <c r="B33" i="13"/>
  <c r="B34" i="13"/>
  <c r="K21" i="13"/>
  <c r="K20" i="13"/>
  <c r="K19" i="13"/>
  <c r="K18" i="13"/>
  <c r="J26" i="13"/>
  <c r="P26" i="13"/>
  <c r="J27" i="13"/>
  <c r="P27" i="13"/>
  <c r="J23" i="13"/>
  <c r="P23" i="13"/>
  <c r="J28" i="13"/>
  <c r="P28" i="13"/>
  <c r="J18" i="9"/>
  <c r="L40" i="9"/>
  <c r="K41" i="9"/>
  <c r="C33" i="2"/>
  <c r="K46" i="9"/>
  <c r="J41" i="9"/>
  <c r="E33" i="2"/>
  <c r="L46" i="9"/>
  <c r="K32" i="9"/>
  <c r="K40" i="9"/>
  <c r="E250" i="4"/>
  <c r="E249" i="4"/>
  <c r="E248" i="4"/>
  <c r="E247" i="4"/>
  <c r="E246" i="4"/>
  <c r="E245" i="4"/>
  <c r="E244" i="4"/>
  <c r="E243" i="4"/>
  <c r="E242" i="4"/>
  <c r="B12" i="13"/>
  <c r="B18" i="13"/>
  <c r="B19" i="13"/>
  <c r="B20" i="13"/>
  <c r="B21" i="13"/>
  <c r="B22" i="13"/>
  <c r="D22" i="13"/>
  <c r="D26" i="13"/>
  <c r="L42" i="9"/>
  <c r="Y14" i="2"/>
  <c r="W14" i="2"/>
  <c r="W8" i="2"/>
  <c r="L48" i="9"/>
  <c r="V14" i="2"/>
  <c r="X14" i="2"/>
  <c r="K14" i="9"/>
  <c r="I341" i="19"/>
  <c r="J341" i="19"/>
  <c r="K341" i="19"/>
  <c r="L341" i="19"/>
  <c r="M341" i="19"/>
  <c r="N341" i="19"/>
  <c r="O341" i="19"/>
  <c r="P341" i="19"/>
  <c r="Q341" i="19"/>
  <c r="R341" i="19"/>
  <c r="S341" i="19"/>
  <c r="V11" i="2"/>
  <c r="J50" i="9"/>
  <c r="L50" i="9"/>
  <c r="AC250" i="4"/>
  <c r="AC249" i="4"/>
  <c r="AC248" i="4"/>
  <c r="AC247" i="4"/>
  <c r="AC246" i="4"/>
  <c r="AC245" i="4"/>
  <c r="AC244" i="4"/>
  <c r="AC243" i="4"/>
  <c r="AC242" i="4"/>
  <c r="K171" i="20"/>
  <c r="I171" i="20"/>
  <c r="N171" i="20"/>
  <c r="E171" i="20"/>
  <c r="L171" i="20"/>
  <c r="O171" i="20"/>
  <c r="H171" i="20"/>
  <c r="F171" i="20"/>
  <c r="G171" i="20"/>
  <c r="M171" i="20"/>
  <c r="D171" i="20"/>
  <c r="J171" i="20"/>
  <c r="J172" i="20"/>
  <c r="K172" i="20"/>
  <c r="H172" i="20"/>
  <c r="N172" i="20"/>
  <c r="O172" i="20"/>
  <c r="M172" i="20"/>
  <c r="G172" i="20"/>
  <c r="F172" i="20"/>
  <c r="E172" i="20"/>
  <c r="I172" i="20"/>
  <c r="L172" i="20"/>
  <c r="D172" i="20"/>
  <c r="F209" i="20"/>
  <c r="O209" i="20"/>
  <c r="M209" i="20"/>
  <c r="G209" i="20"/>
  <c r="D209" i="20"/>
  <c r="K209" i="20"/>
  <c r="E209" i="20"/>
  <c r="H209" i="20"/>
  <c r="L209" i="20"/>
  <c r="J209" i="20"/>
  <c r="I209" i="20"/>
  <c r="N209" i="20"/>
  <c r="F174" i="20"/>
  <c r="K174" i="20"/>
  <c r="M174" i="20"/>
  <c r="D174" i="20"/>
  <c r="E174" i="20"/>
  <c r="J174" i="20"/>
  <c r="I174" i="20"/>
  <c r="L174" i="20"/>
  <c r="O174" i="20"/>
  <c r="N174" i="20"/>
  <c r="H174" i="20"/>
  <c r="G174" i="20"/>
  <c r="C328" i="19"/>
  <c r="D328" i="19"/>
  <c r="C324" i="19"/>
  <c r="D324" i="19"/>
  <c r="L45" i="9"/>
  <c r="G182" i="20"/>
  <c r="D182" i="20"/>
  <c r="M182" i="20"/>
  <c r="H182" i="20"/>
  <c r="L182" i="20"/>
  <c r="F182" i="20"/>
  <c r="K182" i="20"/>
  <c r="O182" i="20"/>
  <c r="N182" i="20"/>
  <c r="J182" i="20"/>
  <c r="E182" i="20"/>
  <c r="I182" i="20"/>
  <c r="G281" i="19"/>
  <c r="F283" i="19"/>
  <c r="H282" i="19"/>
  <c r="I282" i="19"/>
  <c r="J282" i="19"/>
  <c r="K282" i="19"/>
  <c r="L282" i="19"/>
  <c r="M282" i="19"/>
  <c r="N282" i="19"/>
  <c r="O282" i="19"/>
  <c r="P282" i="19"/>
  <c r="Q282" i="19"/>
  <c r="R282" i="19"/>
  <c r="S282" i="19"/>
  <c r="C2" i="29"/>
  <c r="T70" i="2"/>
  <c r="S72" i="2"/>
  <c r="B4" i="29"/>
  <c r="N67" i="2"/>
  <c r="F28" i="19"/>
  <c r="H70" i="2"/>
  <c r="F72" i="2"/>
  <c r="I70" i="2"/>
  <c r="F73" i="2"/>
  <c r="H73" i="2"/>
  <c r="I72" i="2"/>
  <c r="G70" i="2"/>
  <c r="F71" i="2"/>
  <c r="I73" i="2"/>
  <c r="G73" i="2"/>
  <c r="F70" i="2"/>
  <c r="I71" i="2"/>
  <c r="K227" i="20"/>
  <c r="E227" i="20"/>
  <c r="J227" i="20"/>
  <c r="I227" i="20"/>
  <c r="M227" i="20"/>
  <c r="N227" i="20"/>
  <c r="G227" i="20"/>
  <c r="F227" i="20"/>
  <c r="H227" i="20"/>
  <c r="D227" i="20"/>
  <c r="O227" i="20"/>
  <c r="L227" i="20"/>
  <c r="D116" i="19"/>
  <c r="C116" i="19"/>
  <c r="H21" i="4"/>
  <c r="H22" i="4"/>
  <c r="H23" i="4"/>
  <c r="H24" i="4"/>
  <c r="H25" i="4"/>
  <c r="I20" i="4"/>
  <c r="P236" i="4"/>
  <c r="Q236" i="4"/>
  <c r="N237" i="4"/>
  <c r="Q251" i="4"/>
  <c r="H186" i="20"/>
  <c r="J186" i="20"/>
  <c r="I186" i="20"/>
  <c r="N186" i="20"/>
  <c r="E186" i="20"/>
  <c r="M186" i="20"/>
  <c r="G186" i="20"/>
  <c r="O186" i="20"/>
  <c r="F186" i="20"/>
  <c r="K186" i="20"/>
  <c r="L186" i="20"/>
  <c r="D186" i="20"/>
  <c r="O242" i="20"/>
  <c r="D242" i="20"/>
  <c r="H242" i="20"/>
  <c r="J242" i="20"/>
  <c r="E242" i="20"/>
  <c r="I242" i="20"/>
  <c r="G242" i="20"/>
  <c r="M242" i="20"/>
  <c r="F242" i="20"/>
  <c r="L242" i="20"/>
  <c r="N242" i="20"/>
  <c r="K242" i="20"/>
  <c r="H183" i="20"/>
  <c r="F183" i="20"/>
  <c r="M183" i="20"/>
  <c r="I183" i="20"/>
  <c r="J183" i="20"/>
  <c r="E183" i="20"/>
  <c r="K183" i="20"/>
  <c r="G183" i="20"/>
  <c r="N183" i="20"/>
  <c r="D183" i="20"/>
  <c r="L183" i="20"/>
  <c r="O183" i="20"/>
  <c r="H197" i="20"/>
  <c r="D197" i="20"/>
  <c r="K197" i="20"/>
  <c r="E197" i="20"/>
  <c r="O197" i="20"/>
  <c r="M197" i="20"/>
  <c r="F197" i="20"/>
  <c r="L197" i="20"/>
  <c r="N197" i="20"/>
  <c r="I197" i="20"/>
  <c r="G197" i="20"/>
  <c r="J197" i="20"/>
  <c r="G287" i="20"/>
  <c r="M287" i="20"/>
  <c r="L287" i="20"/>
  <c r="D287" i="20"/>
  <c r="E287" i="20"/>
  <c r="I287" i="20"/>
  <c r="H287" i="20"/>
  <c r="K287" i="20"/>
  <c r="J287" i="20"/>
  <c r="F287" i="20"/>
  <c r="N287" i="20"/>
  <c r="O287" i="20"/>
  <c r="K181" i="20"/>
  <c r="L181" i="20"/>
  <c r="G181" i="20"/>
  <c r="D181" i="20"/>
  <c r="H181" i="20"/>
  <c r="J181" i="20"/>
  <c r="M181" i="20"/>
  <c r="N181" i="20"/>
  <c r="F181" i="20"/>
  <c r="O181" i="20"/>
  <c r="I181" i="20"/>
  <c r="E181" i="20"/>
  <c r="G342" i="19"/>
  <c r="F344" i="19"/>
  <c r="H343" i="19"/>
  <c r="I343" i="19"/>
  <c r="J343" i="19"/>
  <c r="K343" i="19"/>
  <c r="L343" i="19"/>
  <c r="M343" i="19"/>
  <c r="N343" i="19"/>
  <c r="O343" i="19"/>
  <c r="P343" i="19"/>
  <c r="Q343" i="19"/>
  <c r="R343" i="19"/>
  <c r="S343" i="19"/>
  <c r="L23" i="9"/>
  <c r="J23" i="9"/>
  <c r="K23" i="9"/>
  <c r="J26" i="9"/>
  <c r="L26" i="9"/>
  <c r="K26" i="9"/>
  <c r="G202" i="20"/>
  <c r="L202" i="20"/>
  <c r="O202" i="20"/>
  <c r="K202" i="20"/>
  <c r="M202" i="20"/>
  <c r="J202" i="20"/>
  <c r="D202" i="20"/>
  <c r="I202" i="20"/>
  <c r="F202" i="20"/>
  <c r="E202" i="20"/>
  <c r="N202" i="20"/>
  <c r="H202" i="20"/>
  <c r="G230" i="20"/>
  <c r="O230" i="20"/>
  <c r="N230" i="20"/>
  <c r="L230" i="20"/>
  <c r="K230" i="20"/>
  <c r="M230" i="20"/>
  <c r="I230" i="20"/>
  <c r="H230" i="20"/>
  <c r="E230" i="20"/>
  <c r="J230" i="20"/>
  <c r="D230" i="20"/>
  <c r="F230" i="20"/>
  <c r="D293" i="20"/>
  <c r="L293" i="20"/>
  <c r="N293" i="20"/>
  <c r="H293" i="20"/>
  <c r="M293" i="20"/>
  <c r="G293" i="20"/>
  <c r="O293" i="20"/>
  <c r="E293" i="20"/>
  <c r="K293" i="20"/>
  <c r="J293" i="20"/>
  <c r="F293" i="20"/>
  <c r="I293" i="20"/>
  <c r="M257" i="20"/>
  <c r="N257" i="20"/>
  <c r="O257" i="20"/>
  <c r="I257" i="20"/>
  <c r="G257" i="20"/>
  <c r="F257" i="20"/>
  <c r="D257" i="20"/>
  <c r="E257" i="20"/>
  <c r="J257" i="20"/>
  <c r="K257" i="20"/>
  <c r="H257" i="20"/>
  <c r="L257" i="20"/>
  <c r="D39" i="2"/>
  <c r="H39" i="2"/>
  <c r="D40" i="2"/>
  <c r="H40" i="2"/>
  <c r="C112" i="19"/>
  <c r="E112" i="19"/>
  <c r="C122" i="19"/>
  <c r="D122" i="19"/>
  <c r="J59" i="9"/>
  <c r="K59" i="9"/>
  <c r="O156" i="20"/>
  <c r="F156" i="20"/>
  <c r="H156" i="20"/>
  <c r="L156" i="20"/>
  <c r="D156" i="20"/>
  <c r="M156" i="20"/>
  <c r="J156" i="20"/>
  <c r="K156" i="20"/>
  <c r="E156" i="20"/>
  <c r="G156" i="20"/>
  <c r="N156" i="20"/>
  <c r="I156" i="20"/>
  <c r="O198" i="20"/>
  <c r="F198" i="20"/>
  <c r="K198" i="20"/>
  <c r="L198" i="20"/>
  <c r="H198" i="20"/>
  <c r="N198" i="20"/>
  <c r="M198" i="20"/>
  <c r="E198" i="20"/>
  <c r="G198" i="20"/>
  <c r="D198" i="20"/>
  <c r="J198" i="20"/>
  <c r="I198" i="20"/>
  <c r="H184" i="20"/>
  <c r="J184" i="20"/>
  <c r="E184" i="20"/>
  <c r="M184" i="20"/>
  <c r="D184" i="20"/>
  <c r="K184" i="20"/>
  <c r="F184" i="20"/>
  <c r="O184" i="20"/>
  <c r="G184" i="20"/>
  <c r="I184" i="20"/>
  <c r="N184" i="20"/>
  <c r="L184" i="20"/>
  <c r="O238" i="20"/>
  <c r="J238" i="20"/>
  <c r="F238" i="20"/>
  <c r="M238" i="20"/>
  <c r="N238" i="20"/>
  <c r="I238" i="20"/>
  <c r="L238" i="20"/>
  <c r="D238" i="20"/>
  <c r="E238" i="20"/>
  <c r="G238" i="20"/>
  <c r="K238" i="20"/>
  <c r="H238" i="20"/>
  <c r="E6" i="29"/>
  <c r="Y74" i="2"/>
  <c r="F3" i="29"/>
  <c r="W71" i="2"/>
  <c r="D2" i="29"/>
  <c r="U70" i="2"/>
  <c r="F5" i="29"/>
  <c r="W73" i="2"/>
  <c r="S71" i="2"/>
  <c r="B3" i="29"/>
  <c r="K71" i="2"/>
  <c r="H60" i="2"/>
  <c r="C21" i="19"/>
  <c r="B180" i="3"/>
  <c r="B182" i="3"/>
  <c r="C179" i="3"/>
  <c r="B44" i="3"/>
  <c r="B46" i="3"/>
  <c r="C47" i="3"/>
  <c r="C48" i="3"/>
  <c r="C49" i="3"/>
  <c r="B156" i="3"/>
  <c r="B158" i="3"/>
  <c r="B132" i="3"/>
  <c r="B134" i="3"/>
  <c r="B300" i="3"/>
  <c r="B302" i="3"/>
  <c r="B228" i="3"/>
  <c r="B230" i="3"/>
  <c r="B324" i="3"/>
  <c r="B326" i="3"/>
  <c r="B28" i="3"/>
  <c r="B30" i="3"/>
  <c r="C31" i="3"/>
  <c r="C32" i="3"/>
  <c r="C33" i="3"/>
  <c r="B140" i="3"/>
  <c r="B142" i="3"/>
  <c r="B260" i="3"/>
  <c r="B262" i="3"/>
  <c r="K83" i="20"/>
  <c r="K95" i="20"/>
  <c r="K82" i="20"/>
  <c r="K94" i="20"/>
  <c r="K84" i="20"/>
  <c r="M83" i="20"/>
  <c r="M95" i="20"/>
  <c r="M82" i="20"/>
  <c r="M94" i="20"/>
  <c r="M84" i="20"/>
  <c r="F279" i="20"/>
  <c r="AC260" i="4"/>
  <c r="K35" i="9"/>
  <c r="J35" i="9"/>
  <c r="L35" i="9"/>
  <c r="L158" i="20"/>
  <c r="K158" i="20"/>
  <c r="G158" i="20"/>
  <c r="D158" i="20"/>
  <c r="J158" i="20"/>
  <c r="I158" i="20"/>
  <c r="E158" i="20"/>
  <c r="O158" i="20"/>
  <c r="N158" i="20"/>
  <c r="H158" i="20"/>
  <c r="M158" i="20"/>
  <c r="F158" i="20"/>
  <c r="F292" i="20"/>
  <c r="J292" i="20"/>
  <c r="I292" i="20"/>
  <c r="G292" i="20"/>
  <c r="D292" i="20"/>
  <c r="N292" i="20"/>
  <c r="L292" i="20"/>
  <c r="E292" i="20"/>
  <c r="H292" i="20"/>
  <c r="O292" i="20"/>
  <c r="K292" i="20"/>
  <c r="M292" i="20"/>
  <c r="K155" i="20"/>
  <c r="J155" i="20"/>
  <c r="I155" i="20"/>
  <c r="M155" i="20"/>
  <c r="L155" i="20"/>
  <c r="D155" i="20"/>
  <c r="N155" i="20"/>
  <c r="H155" i="20"/>
  <c r="E155" i="20"/>
  <c r="O155" i="20"/>
  <c r="F155" i="20"/>
  <c r="G155" i="20"/>
  <c r="E279" i="20"/>
  <c r="M279" i="20"/>
  <c r="L279" i="20"/>
  <c r="N279" i="20"/>
  <c r="J279" i="20"/>
  <c r="K279" i="20"/>
  <c r="O279" i="20"/>
  <c r="G279" i="20"/>
  <c r="H279" i="20"/>
  <c r="D279" i="20"/>
  <c r="I279" i="20"/>
  <c r="F223" i="20"/>
  <c r="J223" i="20"/>
  <c r="M223" i="20"/>
  <c r="D223" i="20"/>
  <c r="L223" i="20"/>
  <c r="H223" i="20"/>
  <c r="N223" i="20"/>
  <c r="I223" i="20"/>
  <c r="O223" i="20"/>
  <c r="G223" i="20"/>
  <c r="E223" i="20"/>
  <c r="K223" i="20"/>
  <c r="L34" i="9"/>
  <c r="J34" i="9"/>
  <c r="K34" i="9"/>
  <c r="M294" i="20"/>
  <c r="E294" i="20"/>
  <c r="G294" i="20"/>
  <c r="K294" i="20"/>
  <c r="F294" i="20"/>
  <c r="J294" i="20"/>
  <c r="O294" i="20"/>
  <c r="L294" i="20"/>
  <c r="H294" i="20"/>
  <c r="D294" i="20"/>
  <c r="N294" i="20"/>
  <c r="I294" i="20"/>
  <c r="O215" i="20"/>
  <c r="D215" i="20"/>
  <c r="E215" i="20"/>
  <c r="H215" i="20"/>
  <c r="M215" i="20"/>
  <c r="I215" i="20"/>
  <c r="N215" i="20"/>
  <c r="L215" i="20"/>
  <c r="K215" i="20"/>
  <c r="F215" i="20"/>
  <c r="J215" i="20"/>
  <c r="G215" i="20"/>
  <c r="O68" i="2"/>
  <c r="P68" i="2"/>
  <c r="K68" i="2"/>
  <c r="L68" i="2"/>
  <c r="F68" i="2"/>
  <c r="C68" i="2"/>
  <c r="Q68" i="2"/>
  <c r="R68" i="2"/>
  <c r="D68" i="2"/>
  <c r="G68" i="2"/>
  <c r="H68" i="2"/>
  <c r="M68" i="2"/>
  <c r="N68" i="2"/>
  <c r="I68" i="2"/>
  <c r="J68" i="2"/>
  <c r="K236" i="4"/>
  <c r="K238" i="4"/>
  <c r="J236" i="4"/>
  <c r="M290" i="20"/>
  <c r="E290" i="20"/>
  <c r="O290" i="20"/>
  <c r="G290" i="20"/>
  <c r="J290" i="20"/>
  <c r="K290" i="20"/>
  <c r="F290" i="20"/>
  <c r="H290" i="20"/>
  <c r="I290" i="20"/>
  <c r="L290" i="20"/>
  <c r="N290" i="20"/>
  <c r="D290" i="20"/>
  <c r="E210" i="20"/>
  <c r="J210" i="20"/>
  <c r="N210" i="20"/>
  <c r="D210" i="20"/>
  <c r="K210" i="20"/>
  <c r="L210" i="20"/>
  <c r="H210" i="20"/>
  <c r="I210" i="20"/>
  <c r="M210" i="20"/>
  <c r="O210" i="20"/>
  <c r="F210" i="20"/>
  <c r="G210" i="20"/>
  <c r="C318" i="19"/>
  <c r="D318" i="19"/>
  <c r="K157" i="20"/>
  <c r="N157" i="20"/>
  <c r="F157" i="20"/>
  <c r="O157" i="20"/>
  <c r="D157" i="20"/>
  <c r="E157" i="20"/>
  <c r="M157" i="20"/>
  <c r="J157" i="20"/>
  <c r="G157" i="20"/>
  <c r="L157" i="20"/>
  <c r="H157" i="20"/>
  <c r="I157" i="20"/>
  <c r="L241" i="20"/>
  <c r="I241" i="20"/>
  <c r="J241" i="20"/>
  <c r="M241" i="20"/>
  <c r="H241" i="20"/>
  <c r="D241" i="20"/>
  <c r="F241" i="20"/>
  <c r="K241" i="20"/>
  <c r="O241" i="20"/>
  <c r="N241" i="20"/>
  <c r="G241" i="20"/>
  <c r="E241" i="20"/>
  <c r="I255" i="20"/>
  <c r="N255" i="20"/>
  <c r="E255" i="20"/>
  <c r="D255" i="20"/>
  <c r="F255" i="20"/>
  <c r="H255" i="20"/>
  <c r="L255" i="20"/>
  <c r="O255" i="20"/>
  <c r="M255" i="20"/>
  <c r="G255" i="20"/>
  <c r="K255" i="20"/>
  <c r="J255" i="20"/>
  <c r="K291" i="20"/>
  <c r="M291" i="20"/>
  <c r="G291" i="20"/>
  <c r="E291" i="20"/>
  <c r="N291" i="20"/>
  <c r="H291" i="20"/>
  <c r="I291" i="20"/>
  <c r="D291" i="20"/>
  <c r="J291" i="20"/>
  <c r="F291" i="20"/>
  <c r="L291" i="20"/>
  <c r="O291" i="20"/>
  <c r="C49" i="19"/>
  <c r="C84" i="19"/>
  <c r="D84" i="19"/>
  <c r="D49" i="19"/>
  <c r="D220" i="19"/>
  <c r="C220" i="19"/>
  <c r="D310" i="19"/>
  <c r="C310" i="19"/>
  <c r="L214" i="20"/>
  <c r="D214" i="20"/>
  <c r="K214" i="20"/>
  <c r="H214" i="20"/>
  <c r="M214" i="20"/>
  <c r="E214" i="20"/>
  <c r="G214" i="20"/>
  <c r="I214" i="20"/>
  <c r="O214" i="20"/>
  <c r="F214" i="20"/>
  <c r="J214" i="20"/>
  <c r="N214" i="20"/>
  <c r="E228" i="20"/>
  <c r="G228" i="20"/>
  <c r="D228" i="20"/>
  <c r="I228" i="20"/>
  <c r="O228" i="20"/>
  <c r="M228" i="20"/>
  <c r="N228" i="20"/>
  <c r="J228" i="20"/>
  <c r="K228" i="20"/>
  <c r="H228" i="20"/>
  <c r="F228" i="20"/>
  <c r="L228" i="20"/>
  <c r="K253" i="20"/>
  <c r="M253" i="20"/>
  <c r="L253" i="20"/>
  <c r="D253" i="20"/>
  <c r="N253" i="20"/>
  <c r="J253" i="20"/>
  <c r="O253" i="20"/>
  <c r="E253" i="20"/>
  <c r="G253" i="20"/>
  <c r="I253" i="20"/>
  <c r="F253" i="20"/>
  <c r="H253" i="20"/>
  <c r="G239" i="20"/>
  <c r="J239" i="20"/>
  <c r="H239" i="20"/>
  <c r="E239" i="20"/>
  <c r="I239" i="20"/>
  <c r="K239" i="20"/>
  <c r="L239" i="20"/>
  <c r="O239" i="20"/>
  <c r="D239" i="20"/>
  <c r="N239" i="20"/>
  <c r="M239" i="20"/>
  <c r="F239" i="20"/>
  <c r="J211" i="20"/>
  <c r="E211" i="20"/>
  <c r="M211" i="20"/>
  <c r="O211" i="20"/>
  <c r="N211" i="20"/>
  <c r="G211" i="20"/>
  <c r="D211" i="20"/>
  <c r="L211" i="20"/>
  <c r="F211" i="20"/>
  <c r="I211" i="20"/>
  <c r="H211" i="20"/>
  <c r="K211" i="20"/>
  <c r="G167" i="20"/>
  <c r="M167" i="20"/>
  <c r="J167" i="20"/>
  <c r="E167" i="20"/>
  <c r="K167" i="20"/>
  <c r="N167" i="20"/>
  <c r="F167" i="20"/>
  <c r="D167" i="20"/>
  <c r="H167" i="20"/>
  <c r="O167" i="20"/>
  <c r="I167" i="20"/>
  <c r="L167" i="20"/>
  <c r="N153" i="20"/>
  <c r="F153" i="20"/>
  <c r="J153" i="20"/>
  <c r="E153" i="20"/>
  <c r="M153" i="20"/>
  <c r="G153" i="20"/>
  <c r="H153" i="20"/>
  <c r="O153" i="20"/>
  <c r="K153" i="20"/>
  <c r="D153" i="20"/>
  <c r="L153" i="20"/>
  <c r="I153" i="20"/>
  <c r="W268" i="4"/>
  <c r="W267" i="4"/>
  <c r="W266" i="4"/>
  <c r="W265" i="4"/>
  <c r="W264" i="4"/>
  <c r="W263" i="4"/>
  <c r="W262" i="4"/>
  <c r="W261" i="4"/>
  <c r="W278" i="4"/>
  <c r="J22" i="9"/>
  <c r="K22" i="9"/>
  <c r="L22" i="9"/>
  <c r="M244" i="20"/>
  <c r="N244" i="20"/>
  <c r="J244" i="20"/>
  <c r="O244" i="20"/>
  <c r="H244" i="20"/>
  <c r="I244" i="20"/>
  <c r="F244" i="20"/>
  <c r="K244" i="20"/>
  <c r="L244" i="20"/>
  <c r="D244" i="20"/>
  <c r="G244" i="20"/>
  <c r="E244" i="20"/>
  <c r="M258" i="20"/>
  <c r="L258" i="20"/>
  <c r="G258" i="20"/>
  <c r="N258" i="20"/>
  <c r="I258" i="20"/>
  <c r="K258" i="20"/>
  <c r="D258" i="20"/>
  <c r="O258" i="20"/>
  <c r="F258" i="20"/>
  <c r="H258" i="20"/>
  <c r="E258" i="20"/>
  <c r="J258" i="20"/>
  <c r="O216" i="20"/>
  <c r="N216" i="20"/>
  <c r="K216" i="20"/>
  <c r="I216" i="20"/>
  <c r="L216" i="20"/>
  <c r="G216" i="20"/>
  <c r="M216" i="20"/>
  <c r="F216" i="20"/>
  <c r="E216" i="20"/>
  <c r="H216" i="20"/>
  <c r="D216" i="20"/>
  <c r="J216" i="20"/>
  <c r="M201" i="20"/>
  <c r="F201" i="20"/>
  <c r="I201" i="20"/>
  <c r="G201" i="20"/>
  <c r="H201" i="20"/>
  <c r="N201" i="20"/>
  <c r="J201" i="20"/>
  <c r="K201" i="20"/>
  <c r="E201" i="20"/>
  <c r="D201" i="20"/>
  <c r="L201" i="20"/>
  <c r="O201" i="20"/>
  <c r="O173" i="20"/>
  <c r="H173" i="20"/>
  <c r="L173" i="20"/>
  <c r="N173" i="20"/>
  <c r="K173" i="20"/>
  <c r="D173" i="20"/>
  <c r="F173" i="20"/>
  <c r="J173" i="20"/>
  <c r="I173" i="20"/>
  <c r="M173" i="20"/>
  <c r="E173" i="20"/>
  <c r="G173" i="20"/>
  <c r="D120" i="19"/>
  <c r="C120" i="19"/>
  <c r="D114" i="19"/>
  <c r="C114" i="19"/>
  <c r="D224" i="19"/>
  <c r="D59" i="19"/>
  <c r="D90" i="19"/>
  <c r="C55" i="19"/>
  <c r="D55" i="19"/>
  <c r="D214" i="19"/>
  <c r="C214" i="19"/>
  <c r="D94" i="19"/>
  <c r="C59" i="19"/>
  <c r="C90" i="19"/>
  <c r="C224" i="19"/>
  <c r="C94" i="19"/>
  <c r="G249" i="19"/>
  <c r="F251" i="19"/>
  <c r="H250" i="19"/>
  <c r="I250" i="19"/>
  <c r="J250" i="19"/>
  <c r="K250" i="19"/>
  <c r="L250" i="19"/>
  <c r="M250" i="19"/>
  <c r="N250" i="19"/>
  <c r="O250" i="19"/>
  <c r="P250" i="19"/>
  <c r="Q250" i="19"/>
  <c r="R250" i="19"/>
  <c r="S250" i="19"/>
  <c r="C108" i="19"/>
  <c r="D126" i="19"/>
  <c r="D108" i="19"/>
  <c r="C126" i="19"/>
  <c r="L30" i="9"/>
  <c r="K30" i="9"/>
  <c r="J30" i="9"/>
  <c r="I212" i="20"/>
  <c r="E212" i="20"/>
  <c r="H212" i="20"/>
  <c r="O212" i="20"/>
  <c r="J212" i="20"/>
  <c r="F212" i="20"/>
  <c r="M212" i="20"/>
  <c r="L212" i="20"/>
  <c r="K212" i="20"/>
  <c r="G212" i="20"/>
  <c r="N212" i="20"/>
  <c r="D212" i="20"/>
  <c r="O226" i="20"/>
  <c r="F226" i="20"/>
  <c r="J226" i="20"/>
  <c r="G226" i="20"/>
  <c r="D226" i="20"/>
  <c r="M226" i="20"/>
  <c r="N226" i="20"/>
  <c r="E226" i="20"/>
  <c r="K226" i="20"/>
  <c r="L226" i="20"/>
  <c r="I226" i="20"/>
  <c r="H226" i="20"/>
  <c r="G168" i="20"/>
  <c r="D168" i="20"/>
  <c r="O168" i="20"/>
  <c r="L168" i="20"/>
  <c r="N168" i="20"/>
  <c r="F168" i="20"/>
  <c r="K168" i="20"/>
  <c r="M168" i="20"/>
  <c r="J168" i="20"/>
  <c r="I168" i="20"/>
  <c r="E168" i="20"/>
  <c r="H168" i="20"/>
  <c r="O224" i="20"/>
  <c r="F224" i="20"/>
  <c r="D224" i="20"/>
  <c r="G224" i="20"/>
  <c r="K224" i="20"/>
  <c r="E224" i="20"/>
  <c r="H224" i="20"/>
  <c r="I224" i="20"/>
  <c r="L224" i="20"/>
  <c r="J224" i="20"/>
  <c r="M224" i="20"/>
  <c r="N224" i="20"/>
  <c r="F288" i="20"/>
  <c r="J288" i="20"/>
  <c r="I288" i="20"/>
  <c r="G288" i="20"/>
  <c r="E288" i="20"/>
  <c r="L288" i="20"/>
  <c r="H288" i="20"/>
  <c r="N288" i="20"/>
  <c r="K288" i="20"/>
  <c r="M288" i="20"/>
  <c r="O288" i="20"/>
  <c r="D288" i="20"/>
  <c r="X74" i="2"/>
  <c r="D5" i="29"/>
  <c r="C6" i="29"/>
  <c r="W74" i="2"/>
  <c r="V70" i="2"/>
  <c r="E2" i="29"/>
  <c r="F4" i="29"/>
  <c r="W72" i="2"/>
  <c r="P67" i="2"/>
  <c r="G28" i="19"/>
  <c r="G76" i="2"/>
  <c r="G78" i="2"/>
  <c r="F75" i="2"/>
  <c r="E78" i="2"/>
  <c r="D77" i="2"/>
  <c r="D75" i="2"/>
  <c r="G77" i="2"/>
  <c r="D76" i="2"/>
  <c r="G75" i="2"/>
  <c r="E75" i="2"/>
  <c r="D78" i="2"/>
  <c r="F78" i="2"/>
  <c r="H67" i="2"/>
  <c r="C28" i="19"/>
  <c r="L73" i="2"/>
  <c r="N71" i="2"/>
  <c r="N72" i="2"/>
  <c r="K73" i="2"/>
  <c r="N73" i="2"/>
  <c r="N70" i="2"/>
  <c r="M73" i="2"/>
  <c r="K70" i="2"/>
  <c r="L70" i="2"/>
  <c r="K72" i="2"/>
  <c r="M70" i="2"/>
  <c r="D316" i="19"/>
  <c r="C312" i="19"/>
  <c r="C316" i="19"/>
  <c r="D312" i="19"/>
  <c r="C110" i="19"/>
  <c r="D110" i="19"/>
  <c r="C124" i="19"/>
  <c r="D124" i="19"/>
  <c r="D118" i="19"/>
  <c r="C118" i="19"/>
  <c r="C230" i="19"/>
  <c r="D230" i="19"/>
  <c r="C53" i="19"/>
  <c r="D88" i="19"/>
  <c r="D53" i="19"/>
  <c r="C88" i="19"/>
  <c r="C330" i="19"/>
  <c r="D330" i="19"/>
  <c r="D322" i="19"/>
  <c r="C322" i="19"/>
  <c r="P12" i="16"/>
  <c r="O12" i="16"/>
  <c r="M13" i="16"/>
  <c r="M26" i="16"/>
  <c r="Q25" i="16"/>
  <c r="P25" i="16"/>
  <c r="O25" i="16"/>
  <c r="D61" i="19"/>
  <c r="C96" i="19"/>
  <c r="C61" i="19"/>
  <c r="C232" i="19"/>
  <c r="D96" i="19"/>
  <c r="D232" i="19"/>
  <c r="B36" i="3"/>
  <c r="B38" i="3"/>
  <c r="C39" i="3"/>
  <c r="C40" i="3"/>
  <c r="C41" i="3"/>
  <c r="B12" i="3"/>
  <c r="B14" i="3"/>
  <c r="C11" i="3"/>
  <c r="B316" i="3"/>
  <c r="B318" i="3"/>
  <c r="B20" i="3"/>
  <c r="B22" i="3"/>
  <c r="C20" i="3"/>
  <c r="B196" i="3"/>
  <c r="B198" i="3"/>
  <c r="B60" i="3"/>
  <c r="B62" i="3"/>
  <c r="C60" i="3"/>
  <c r="B124" i="3"/>
  <c r="B126" i="3"/>
  <c r="B68" i="3"/>
  <c r="B70" i="3"/>
  <c r="C71" i="3"/>
  <c r="C72" i="3"/>
  <c r="C73" i="3"/>
  <c r="B236" i="3"/>
  <c r="B238" i="3"/>
  <c r="B252" i="3"/>
  <c r="B254" i="3"/>
  <c r="O84" i="20"/>
  <c r="O83" i="20"/>
  <c r="O95" i="20"/>
  <c r="O82" i="20"/>
  <c r="O94" i="20"/>
  <c r="F82" i="20"/>
  <c r="F94" i="20"/>
  <c r="F83" i="20"/>
  <c r="F95" i="20"/>
  <c r="F84" i="20"/>
  <c r="N83" i="20"/>
  <c r="N95" i="20"/>
  <c r="N82" i="20"/>
  <c r="N94" i="20"/>
  <c r="N84" i="20"/>
  <c r="D185" i="20"/>
  <c r="E185" i="20"/>
  <c r="O185" i="20"/>
  <c r="F185" i="20"/>
  <c r="H185" i="20"/>
  <c r="I185" i="20"/>
  <c r="J185" i="20"/>
  <c r="N185" i="20"/>
  <c r="L185" i="20"/>
  <c r="K185" i="20"/>
  <c r="M185" i="20"/>
  <c r="G185" i="20"/>
  <c r="D66" i="4"/>
  <c r="D67" i="4"/>
  <c r="D68" i="4"/>
  <c r="D69" i="4"/>
  <c r="D70" i="4"/>
  <c r="D71" i="4"/>
  <c r="D72" i="4"/>
  <c r="D73" i="4"/>
  <c r="F65" i="4"/>
  <c r="H66" i="5"/>
  <c r="G66" i="5"/>
  <c r="F67" i="5"/>
  <c r="E225" i="20"/>
  <c r="K225" i="20"/>
  <c r="N225" i="20"/>
  <c r="D225" i="20"/>
  <c r="L225" i="20"/>
  <c r="F225" i="20"/>
  <c r="O225" i="20"/>
  <c r="G225" i="20"/>
  <c r="J225" i="20"/>
  <c r="I225" i="20"/>
  <c r="H225" i="20"/>
  <c r="M225" i="20"/>
  <c r="C38" i="2"/>
  <c r="I38" i="2"/>
  <c r="E38" i="2"/>
  <c r="B38" i="2"/>
  <c r="D38" i="2"/>
  <c r="H38" i="2"/>
  <c r="L15" i="9"/>
  <c r="K15" i="9"/>
  <c r="J15" i="9"/>
  <c r="I243" i="20"/>
  <c r="G243" i="20"/>
  <c r="D243" i="20"/>
  <c r="L243" i="20"/>
  <c r="F243" i="20"/>
  <c r="O243" i="20"/>
  <c r="J243" i="20"/>
  <c r="E243" i="20"/>
  <c r="K243" i="20"/>
  <c r="M243" i="20"/>
  <c r="H243" i="20"/>
  <c r="N243" i="20"/>
  <c r="C326" i="19"/>
  <c r="D320" i="19"/>
  <c r="D326" i="19"/>
  <c r="C320" i="19"/>
  <c r="L240" i="20"/>
  <c r="F240" i="20"/>
  <c r="K240" i="20"/>
  <c r="D240" i="20"/>
  <c r="E240" i="20"/>
  <c r="J240" i="20"/>
  <c r="H240" i="20"/>
  <c r="M240" i="20"/>
  <c r="N240" i="20"/>
  <c r="O240" i="20"/>
  <c r="I240" i="20"/>
  <c r="G240" i="20"/>
  <c r="L252" i="20"/>
  <c r="D252" i="20"/>
  <c r="H252" i="20"/>
  <c r="E252" i="20"/>
  <c r="I252" i="20"/>
  <c r="M252" i="20"/>
  <c r="J252" i="20"/>
  <c r="O252" i="20"/>
  <c r="F252" i="20"/>
  <c r="K252" i="20"/>
  <c r="G252" i="20"/>
  <c r="N252" i="20"/>
  <c r="C43" i="19"/>
  <c r="D47" i="19"/>
  <c r="D78" i="19"/>
  <c r="D82" i="19"/>
  <c r="C226" i="19"/>
  <c r="C212" i="19"/>
  <c r="D212" i="19"/>
  <c r="D43" i="19"/>
  <c r="D226" i="19"/>
  <c r="C47" i="19"/>
  <c r="C82" i="19"/>
  <c r="C78" i="19"/>
  <c r="B148" i="3"/>
  <c r="B150" i="3"/>
  <c r="B268" i="3"/>
  <c r="B270" i="3"/>
  <c r="B52" i="3"/>
  <c r="B54" i="3"/>
  <c r="C55" i="3"/>
  <c r="C56" i="3"/>
  <c r="C57" i="3"/>
  <c r="B172" i="3"/>
  <c r="B174" i="3"/>
  <c r="B276" i="3"/>
  <c r="B278" i="3"/>
  <c r="B76" i="3"/>
  <c r="B78" i="3"/>
  <c r="B108" i="3"/>
  <c r="B110" i="3"/>
  <c r="B292" i="3"/>
  <c r="B294" i="3"/>
  <c r="B204" i="3"/>
  <c r="B206" i="3"/>
  <c r="B188" i="3"/>
  <c r="B190" i="3"/>
  <c r="J82" i="20"/>
  <c r="J94" i="20"/>
  <c r="J83" i="20"/>
  <c r="J95" i="20"/>
  <c r="J84" i="20"/>
  <c r="L84" i="20"/>
  <c r="L83" i="20"/>
  <c r="L95" i="20"/>
  <c r="L82" i="20"/>
  <c r="L94" i="20"/>
  <c r="E84" i="20"/>
  <c r="E83" i="20"/>
  <c r="E82" i="20"/>
  <c r="E94" i="20"/>
  <c r="O199" i="20"/>
  <c r="D199" i="20"/>
  <c r="E199" i="20"/>
  <c r="L199" i="20"/>
  <c r="N199" i="20"/>
  <c r="H199" i="20"/>
  <c r="K199" i="20"/>
  <c r="G199" i="20"/>
  <c r="M199" i="20"/>
  <c r="I199" i="20"/>
  <c r="F199" i="20"/>
  <c r="J199" i="20"/>
  <c r="G213" i="20"/>
  <c r="J213" i="20"/>
  <c r="N213" i="20"/>
  <c r="F213" i="20"/>
  <c r="I213" i="20"/>
  <c r="L213" i="20"/>
  <c r="H213" i="20"/>
  <c r="K213" i="20"/>
  <c r="D213" i="20"/>
  <c r="E213" i="20"/>
  <c r="O213" i="20"/>
  <c r="M213" i="20"/>
  <c r="H142" i="19"/>
  <c r="I142" i="19"/>
  <c r="J142" i="19"/>
  <c r="K142" i="19"/>
  <c r="L142" i="19"/>
  <c r="M142" i="19"/>
  <c r="N142" i="19"/>
  <c r="O142" i="19"/>
  <c r="P142" i="19"/>
  <c r="Q142" i="19"/>
  <c r="R142" i="19"/>
  <c r="S142" i="19"/>
  <c r="G141" i="19"/>
  <c r="F143" i="19"/>
  <c r="D36" i="2"/>
  <c r="H36" i="2"/>
  <c r="D67" i="5"/>
  <c r="B68" i="5"/>
  <c r="E67" i="5"/>
  <c r="H67" i="5"/>
  <c r="D35" i="2"/>
  <c r="H35" i="2"/>
  <c r="G200" i="20"/>
  <c r="M200" i="20"/>
  <c r="J200" i="20"/>
  <c r="F200" i="20"/>
  <c r="I200" i="20"/>
  <c r="E200" i="20"/>
  <c r="D200" i="20"/>
  <c r="K200" i="20"/>
  <c r="O200" i="20"/>
  <c r="H200" i="20"/>
  <c r="N200" i="20"/>
  <c r="L200" i="20"/>
  <c r="G256" i="20"/>
  <c r="H256" i="20"/>
  <c r="J256" i="20"/>
  <c r="E256" i="20"/>
  <c r="L256" i="20"/>
  <c r="K256" i="20"/>
  <c r="I256" i="20"/>
  <c r="M256" i="20"/>
  <c r="D256" i="20"/>
  <c r="O256" i="20"/>
  <c r="N256" i="20"/>
  <c r="F256" i="20"/>
  <c r="E289" i="20"/>
  <c r="L289" i="20"/>
  <c r="M289" i="20"/>
  <c r="D289" i="20"/>
  <c r="O289" i="20"/>
  <c r="G289" i="20"/>
  <c r="F289" i="20"/>
  <c r="H289" i="20"/>
  <c r="K289" i="20"/>
  <c r="N289" i="20"/>
  <c r="I289" i="20"/>
  <c r="J289" i="20"/>
  <c r="K169" i="20"/>
  <c r="F169" i="20"/>
  <c r="J169" i="20"/>
  <c r="I169" i="20"/>
  <c r="H169" i="20"/>
  <c r="G169" i="20"/>
  <c r="E169" i="20"/>
  <c r="O169" i="20"/>
  <c r="D169" i="20"/>
  <c r="N169" i="20"/>
  <c r="M169" i="20"/>
  <c r="L169" i="20"/>
  <c r="K237" i="20"/>
  <c r="I237" i="20"/>
  <c r="J237" i="20"/>
  <c r="D237" i="20"/>
  <c r="O237" i="20"/>
  <c r="M237" i="20"/>
  <c r="E237" i="20"/>
  <c r="L237" i="20"/>
  <c r="F237" i="20"/>
  <c r="H237" i="20"/>
  <c r="N237" i="20"/>
  <c r="G237" i="20"/>
  <c r="M251" i="20"/>
  <c r="L251" i="20"/>
  <c r="N251" i="20"/>
  <c r="E251" i="20"/>
  <c r="D251" i="20"/>
  <c r="I251" i="20"/>
  <c r="F251" i="20"/>
  <c r="O251" i="20"/>
  <c r="J251" i="20"/>
  <c r="K251" i="20"/>
  <c r="H251" i="20"/>
  <c r="G251" i="20"/>
  <c r="M195" i="20"/>
  <c r="K195" i="20"/>
  <c r="F195" i="20"/>
  <c r="N195" i="20"/>
  <c r="G195" i="20"/>
  <c r="H195" i="20"/>
  <c r="D195" i="20"/>
  <c r="L195" i="20"/>
  <c r="J195" i="20"/>
  <c r="I195" i="20"/>
  <c r="O195" i="20"/>
  <c r="E195" i="20"/>
  <c r="E160" i="20"/>
  <c r="L160" i="20"/>
  <c r="O160" i="20"/>
  <c r="G160" i="20"/>
  <c r="J160" i="20"/>
  <c r="K160" i="20"/>
  <c r="N160" i="20"/>
  <c r="F160" i="20"/>
  <c r="H160" i="20"/>
  <c r="I160" i="20"/>
  <c r="M160" i="20"/>
  <c r="D160" i="20"/>
  <c r="H188" i="20"/>
  <c r="J188" i="20"/>
  <c r="M188" i="20"/>
  <c r="K188" i="20"/>
  <c r="N188" i="20"/>
  <c r="D188" i="20"/>
  <c r="G188" i="20"/>
  <c r="I188" i="20"/>
  <c r="E188" i="20"/>
  <c r="F188" i="20"/>
  <c r="O188" i="20"/>
  <c r="L188" i="20"/>
  <c r="E159" i="20"/>
  <c r="F159" i="20"/>
  <c r="N159" i="20"/>
  <c r="K159" i="20"/>
  <c r="I159" i="20"/>
  <c r="H159" i="20"/>
  <c r="L159" i="20"/>
  <c r="J159" i="20"/>
  <c r="G159" i="20"/>
  <c r="M159" i="20"/>
  <c r="D159" i="20"/>
  <c r="O159" i="20"/>
  <c r="O229" i="20"/>
  <c r="J229" i="20"/>
  <c r="N229" i="20"/>
  <c r="K229" i="20"/>
  <c r="M229" i="20"/>
  <c r="L229" i="20"/>
  <c r="D229" i="20"/>
  <c r="E229" i="20"/>
  <c r="G229" i="20"/>
  <c r="F229" i="20"/>
  <c r="H229" i="20"/>
  <c r="I229" i="20"/>
  <c r="I187" i="20"/>
  <c r="J187" i="20"/>
  <c r="L187" i="20"/>
  <c r="G187" i="20"/>
  <c r="F187" i="20"/>
  <c r="H187" i="20"/>
  <c r="O187" i="20"/>
  <c r="E187" i="20"/>
  <c r="K187" i="20"/>
  <c r="D187" i="20"/>
  <c r="N187" i="20"/>
  <c r="M187" i="20"/>
  <c r="D32" i="2"/>
  <c r="H32" i="2"/>
  <c r="C222" i="19"/>
  <c r="C51" i="19"/>
  <c r="D57" i="19"/>
  <c r="D51" i="19"/>
  <c r="C57" i="19"/>
  <c r="D92" i="19"/>
  <c r="C86" i="19"/>
  <c r="C92" i="19"/>
  <c r="C216" i="19"/>
  <c r="D216" i="19"/>
  <c r="D86" i="19"/>
  <c r="D222" i="19"/>
  <c r="D308" i="19"/>
  <c r="C314" i="19"/>
  <c r="D314" i="19"/>
  <c r="C308" i="19"/>
  <c r="D39" i="19"/>
  <c r="D45" i="19"/>
  <c r="D210" i="19"/>
  <c r="C39" i="19"/>
  <c r="D74" i="19"/>
  <c r="D80" i="19"/>
  <c r="C80" i="19"/>
  <c r="C74" i="19"/>
  <c r="C228" i="19"/>
  <c r="D228" i="19"/>
  <c r="C210" i="19"/>
  <c r="C45" i="19"/>
  <c r="L24" i="9"/>
  <c r="J24" i="9"/>
  <c r="K24" i="9"/>
  <c r="F170" i="20"/>
  <c r="L170" i="20"/>
  <c r="N170" i="20"/>
  <c r="O170" i="20"/>
  <c r="E170" i="20"/>
  <c r="H170" i="20"/>
  <c r="J170" i="20"/>
  <c r="G170" i="20"/>
  <c r="D170" i="20"/>
  <c r="M170" i="20"/>
  <c r="I170" i="20"/>
  <c r="K170" i="20"/>
  <c r="I254" i="20"/>
  <c r="H254" i="20"/>
  <c r="F254" i="20"/>
  <c r="M254" i="20"/>
  <c r="N254" i="20"/>
  <c r="D254" i="20"/>
  <c r="E254" i="20"/>
  <c r="G254" i="20"/>
  <c r="O254" i="20"/>
  <c r="J254" i="20"/>
  <c r="L254" i="20"/>
  <c r="K254" i="20"/>
  <c r="E154" i="20"/>
  <c r="F154" i="20"/>
  <c r="I154" i="20"/>
  <c r="J154" i="20"/>
  <c r="L154" i="20"/>
  <c r="K154" i="20"/>
  <c r="O154" i="20"/>
  <c r="D154" i="20"/>
  <c r="N154" i="20"/>
  <c r="M154" i="20"/>
  <c r="G154" i="20"/>
  <c r="H154" i="20"/>
  <c r="K196" i="20"/>
  <c r="G196" i="20"/>
  <c r="M196" i="20"/>
  <c r="H196" i="20"/>
  <c r="F196" i="20"/>
  <c r="L196" i="20"/>
  <c r="O196" i="20"/>
  <c r="D196" i="20"/>
  <c r="J196" i="20"/>
  <c r="N196" i="20"/>
  <c r="I196" i="20"/>
  <c r="E196" i="20"/>
  <c r="S73" i="2"/>
  <c r="B5" i="29"/>
  <c r="D41" i="19"/>
  <c r="D76" i="19"/>
  <c r="D218" i="19"/>
  <c r="C218" i="19"/>
  <c r="C41" i="19"/>
  <c r="C76" i="19"/>
  <c r="C106" i="19"/>
  <c r="D106" i="19"/>
  <c r="C128" i="19"/>
  <c r="D128" i="19"/>
  <c r="B116" i="3"/>
  <c r="B118" i="3"/>
  <c r="B164" i="3"/>
  <c r="B166" i="3"/>
  <c r="B84" i="3"/>
  <c r="B86" i="3"/>
  <c r="B308" i="3"/>
  <c r="B310" i="3"/>
  <c r="B92" i="3"/>
  <c r="B94" i="3"/>
  <c r="D82" i="20"/>
  <c r="D94" i="20"/>
  <c r="D84" i="20"/>
  <c r="D83" i="20"/>
  <c r="D95" i="20"/>
  <c r="I82" i="20"/>
  <c r="I94" i="20"/>
  <c r="I84" i="20"/>
  <c r="I83" i="20"/>
  <c r="I95" i="20"/>
  <c r="E260" i="4"/>
  <c r="K45" i="9"/>
  <c r="AA8" i="2"/>
  <c r="V8" i="2"/>
  <c r="F16" i="9"/>
  <c r="H16" i="9"/>
  <c r="I16" i="9"/>
  <c r="X11" i="2"/>
  <c r="Z11" i="2"/>
  <c r="W11" i="2"/>
  <c r="Y8" i="2"/>
  <c r="K25" i="9"/>
  <c r="J21" i="9"/>
  <c r="J17" i="9"/>
  <c r="J32" i="9"/>
  <c r="J36" i="9"/>
  <c r="K20" i="9"/>
  <c r="J20" i="9"/>
  <c r="K46" i="6"/>
  <c r="F22" i="4"/>
  <c r="F23" i="4"/>
  <c r="F24" i="4"/>
  <c r="F25" i="4"/>
  <c r="F26" i="4"/>
  <c r="F27" i="4"/>
  <c r="F28" i="4"/>
  <c r="F29" i="4"/>
  <c r="F30" i="4"/>
  <c r="I12" i="6"/>
  <c r="C27" i="6"/>
  <c r="C62" i="6"/>
  <c r="K33" i="9"/>
  <c r="L33" i="9"/>
  <c r="J43" i="9"/>
  <c r="K43" i="9"/>
  <c r="E226" i="19"/>
  <c r="G16" i="9"/>
  <c r="J25" i="9"/>
  <c r="L21" i="9"/>
  <c r="AA10" i="2"/>
  <c r="X10" i="2"/>
  <c r="Y10" i="2"/>
  <c r="F47" i="6"/>
  <c r="F12" i="6"/>
  <c r="H11" i="6"/>
  <c r="C12" i="6"/>
  <c r="B11" i="6"/>
  <c r="V15" i="2"/>
  <c r="Z15" i="2"/>
  <c r="AA15" i="2"/>
  <c r="X15" i="2"/>
  <c r="V12" i="2"/>
  <c r="AA12" i="2"/>
  <c r="K39" i="9"/>
  <c r="J39" i="9"/>
  <c r="L39" i="9"/>
  <c r="L47" i="9"/>
  <c r="J47" i="9"/>
  <c r="K47" i="9"/>
  <c r="K44" i="9"/>
  <c r="L44" i="9"/>
  <c r="J49" i="9"/>
  <c r="L49" i="9"/>
  <c r="K49" i="9"/>
  <c r="K38" i="9"/>
  <c r="J38" i="9"/>
  <c r="L38" i="9"/>
  <c r="E68" i="2"/>
  <c r="S68" i="2"/>
  <c r="F27" i="6"/>
  <c r="I27" i="6"/>
  <c r="F62" i="6"/>
  <c r="I47" i="6"/>
  <c r="C47" i="6"/>
  <c r="L47" i="6"/>
  <c r="L12" i="6"/>
  <c r="K11" i="6"/>
  <c r="L27" i="6"/>
  <c r="I62" i="6"/>
  <c r="B46" i="6"/>
  <c r="L62" i="6"/>
  <c r="E46" i="6"/>
  <c r="B14" i="13"/>
  <c r="B15" i="13"/>
  <c r="B16" i="13"/>
  <c r="B17" i="13"/>
  <c r="P30" i="13"/>
  <c r="J30" i="13"/>
  <c r="L21" i="13"/>
  <c r="E322" i="19"/>
  <c r="E324" i="19"/>
  <c r="B26" i="13"/>
  <c r="C63" i="3"/>
  <c r="C64" i="3"/>
  <c r="C65" i="3"/>
  <c r="E128" i="19"/>
  <c r="E314" i="19"/>
  <c r="E57" i="19"/>
  <c r="E212" i="19"/>
  <c r="E218" i="19"/>
  <c r="E222" i="19"/>
  <c r="E82" i="19"/>
  <c r="F245" i="20"/>
  <c r="F23" i="20"/>
  <c r="F36" i="20"/>
  <c r="O245" i="20"/>
  <c r="S236" i="20"/>
  <c r="K245" i="20"/>
  <c r="K23" i="20"/>
  <c r="K36" i="20"/>
  <c r="L270" i="20"/>
  <c r="G270" i="20"/>
  <c r="C12" i="3"/>
  <c r="C13" i="3"/>
  <c r="K268" i="20"/>
  <c r="P227" i="20"/>
  <c r="P172" i="20"/>
  <c r="P171" i="20"/>
  <c r="E214" i="19"/>
  <c r="E310" i="19"/>
  <c r="M268" i="20"/>
  <c r="E330" i="19"/>
  <c r="E88" i="19"/>
  <c r="E110" i="19"/>
  <c r="P288" i="20"/>
  <c r="P212" i="20"/>
  <c r="E108" i="19"/>
  <c r="E55" i="19"/>
  <c r="E224" i="19"/>
  <c r="E120" i="19"/>
  <c r="P290" i="20"/>
  <c r="H237" i="4"/>
  <c r="K251" i="4"/>
  <c r="G268" i="20"/>
  <c r="C316" i="3"/>
  <c r="C319" i="3"/>
  <c r="C320" i="3"/>
  <c r="C321" i="3"/>
  <c r="O268" i="20"/>
  <c r="E51" i="19"/>
  <c r="P187" i="20"/>
  <c r="I203" i="20"/>
  <c r="V203" i="20"/>
  <c r="H245" i="20"/>
  <c r="H23" i="20"/>
  <c r="H36" i="20"/>
  <c r="M245" i="20"/>
  <c r="M23" i="20"/>
  <c r="M36" i="20"/>
  <c r="I245" i="20"/>
  <c r="I23" i="20"/>
  <c r="I36" i="20"/>
  <c r="O270" i="20"/>
  <c r="K270" i="20"/>
  <c r="H270" i="20"/>
  <c r="C59" i="3"/>
  <c r="C62" i="3"/>
  <c r="C36" i="3"/>
  <c r="E53" i="19"/>
  <c r="E86" i="19"/>
  <c r="N268" i="20"/>
  <c r="I268" i="20"/>
  <c r="P170" i="20"/>
  <c r="J268" i="20"/>
  <c r="H268" i="20"/>
  <c r="J245" i="20"/>
  <c r="J23" i="20"/>
  <c r="J36" i="20"/>
  <c r="N270" i="20"/>
  <c r="J270" i="20"/>
  <c r="E49" i="19"/>
  <c r="C43" i="3"/>
  <c r="P198" i="20"/>
  <c r="E122" i="19"/>
  <c r="L268" i="20"/>
  <c r="G245" i="20"/>
  <c r="V239" i="20"/>
  <c r="F270" i="20"/>
  <c r="C183" i="3"/>
  <c r="C184" i="3"/>
  <c r="C185" i="3"/>
  <c r="P230" i="20"/>
  <c r="C243" i="3"/>
  <c r="C244" i="3"/>
  <c r="C247" i="3"/>
  <c r="C248" i="3"/>
  <c r="C279" i="3"/>
  <c r="C280" i="3"/>
  <c r="C276" i="3"/>
  <c r="C275" i="3"/>
  <c r="C283" i="3"/>
  <c r="C284" i="3"/>
  <c r="C287" i="3"/>
  <c r="C288" i="3"/>
  <c r="C99" i="3"/>
  <c r="C103" i="3"/>
  <c r="C104" i="3"/>
  <c r="C100" i="3"/>
  <c r="C187" i="3"/>
  <c r="C188" i="3"/>
  <c r="C191" i="3"/>
  <c r="C192" i="3"/>
  <c r="C76" i="3"/>
  <c r="C75" i="3"/>
  <c r="C79" i="3"/>
  <c r="C80" i="3"/>
  <c r="C271" i="3"/>
  <c r="C272" i="3"/>
  <c r="C267" i="3"/>
  <c r="C268" i="3"/>
  <c r="C124" i="3"/>
  <c r="C123" i="3"/>
  <c r="C127" i="3"/>
  <c r="C128" i="3"/>
  <c r="C260" i="3"/>
  <c r="C259" i="3"/>
  <c r="C263" i="3"/>
  <c r="C264" i="3"/>
  <c r="C228" i="3"/>
  <c r="C231" i="3"/>
  <c r="C232" i="3"/>
  <c r="C227" i="3"/>
  <c r="C212" i="3"/>
  <c r="C211" i="3"/>
  <c r="C215" i="3"/>
  <c r="C216" i="3"/>
  <c r="C164" i="3"/>
  <c r="C163" i="3"/>
  <c r="C167" i="3"/>
  <c r="C168" i="3"/>
  <c r="C151" i="3"/>
  <c r="C152" i="3"/>
  <c r="C147" i="3"/>
  <c r="C148" i="3"/>
  <c r="C252" i="3"/>
  <c r="C255" i="3"/>
  <c r="C256" i="3"/>
  <c r="C251" i="3"/>
  <c r="C91" i="3"/>
  <c r="C95" i="3"/>
  <c r="C96" i="3"/>
  <c r="C92" i="3"/>
  <c r="C87" i="3"/>
  <c r="C88" i="3"/>
  <c r="C89" i="3"/>
  <c r="C83" i="3"/>
  <c r="C84" i="3"/>
  <c r="C116" i="3"/>
  <c r="C115" i="3"/>
  <c r="C119" i="3"/>
  <c r="C120" i="3"/>
  <c r="C107" i="3"/>
  <c r="C108" i="3"/>
  <c r="C111" i="3"/>
  <c r="C112" i="3"/>
  <c r="C195" i="3"/>
  <c r="C196" i="3"/>
  <c r="C199" i="3"/>
  <c r="C200" i="3"/>
  <c r="C324" i="3"/>
  <c r="C327" i="3"/>
  <c r="C328" i="3"/>
  <c r="C323" i="3"/>
  <c r="C156" i="3"/>
  <c r="C159" i="3"/>
  <c r="C160" i="3"/>
  <c r="C155" i="3"/>
  <c r="C220" i="3"/>
  <c r="C219" i="3"/>
  <c r="C223" i="3"/>
  <c r="C224" i="3"/>
  <c r="C292" i="3"/>
  <c r="C291" i="3"/>
  <c r="C295" i="3"/>
  <c r="C296" i="3"/>
  <c r="C172" i="3"/>
  <c r="C171" i="3"/>
  <c r="C175" i="3"/>
  <c r="C176" i="3"/>
  <c r="C235" i="3"/>
  <c r="C239" i="3"/>
  <c r="C240" i="3"/>
  <c r="C236" i="3"/>
  <c r="C132" i="3"/>
  <c r="C135" i="3"/>
  <c r="C136" i="3"/>
  <c r="C131" i="3"/>
  <c r="C308" i="3"/>
  <c r="C311" i="3"/>
  <c r="C312" i="3"/>
  <c r="C307" i="3"/>
  <c r="C204" i="3"/>
  <c r="C203" i="3"/>
  <c r="C207" i="3"/>
  <c r="C208" i="3"/>
  <c r="C139" i="3"/>
  <c r="C140" i="3"/>
  <c r="C143" i="3"/>
  <c r="C144" i="3"/>
  <c r="C299" i="3"/>
  <c r="C303" i="3"/>
  <c r="C304" i="3"/>
  <c r="C300" i="3"/>
  <c r="D268" i="20"/>
  <c r="P254" i="20"/>
  <c r="P195" i="20"/>
  <c r="D203" i="20"/>
  <c r="H265" i="20"/>
  <c r="H259" i="20"/>
  <c r="N265" i="20"/>
  <c r="N259" i="20"/>
  <c r="R17" i="20"/>
  <c r="E95" i="20"/>
  <c r="K259" i="20"/>
  <c r="K266" i="20"/>
  <c r="D266" i="20"/>
  <c r="P252" i="20"/>
  <c r="Q26" i="16"/>
  <c r="O26" i="16"/>
  <c r="M27" i="16"/>
  <c r="P26" i="16"/>
  <c r="D272" i="20"/>
  <c r="P258" i="20"/>
  <c r="P167" i="20"/>
  <c r="D175" i="20"/>
  <c r="D267" i="20"/>
  <c r="P253" i="20"/>
  <c r="P255" i="20"/>
  <c r="D269" i="20"/>
  <c r="H345" i="19"/>
  <c r="I345" i="19"/>
  <c r="J345" i="19"/>
  <c r="K345" i="19"/>
  <c r="L345" i="19"/>
  <c r="M345" i="19"/>
  <c r="N345" i="19"/>
  <c r="O345" i="19"/>
  <c r="P345" i="19"/>
  <c r="Q345" i="19"/>
  <c r="R345" i="19"/>
  <c r="S345" i="19"/>
  <c r="G344" i="19"/>
  <c r="F346" i="19"/>
  <c r="F39" i="4"/>
  <c r="C38" i="4"/>
  <c r="H38" i="4"/>
  <c r="E39" i="4"/>
  <c r="E106" i="19"/>
  <c r="E74" i="19"/>
  <c r="E39" i="19"/>
  <c r="E308" i="19"/>
  <c r="P229" i="20"/>
  <c r="P159" i="20"/>
  <c r="O203" i="20"/>
  <c r="F203" i="20"/>
  <c r="F265" i="20"/>
  <c r="N245" i="20"/>
  <c r="E245" i="20"/>
  <c r="I270" i="20"/>
  <c r="P200" i="20"/>
  <c r="C51" i="3"/>
  <c r="E47" i="19"/>
  <c r="M266" i="20"/>
  <c r="E320" i="19"/>
  <c r="F66" i="4"/>
  <c r="F67" i="4"/>
  <c r="F68" i="4"/>
  <c r="F69" i="4"/>
  <c r="F70" i="4"/>
  <c r="F71" i="4"/>
  <c r="F72" i="4"/>
  <c r="F73" i="4"/>
  <c r="C68" i="3"/>
  <c r="C19" i="3"/>
  <c r="C315" i="3"/>
  <c r="C35" i="3"/>
  <c r="E96" i="19"/>
  <c r="E61" i="19"/>
  <c r="E230" i="19"/>
  <c r="E124" i="19"/>
  <c r="E312" i="19"/>
  <c r="I175" i="20"/>
  <c r="F175" i="20"/>
  <c r="P168" i="20"/>
  <c r="E90" i="19"/>
  <c r="E114" i="19"/>
  <c r="P216" i="20"/>
  <c r="E272" i="20"/>
  <c r="G272" i="20"/>
  <c r="I161" i="20"/>
  <c r="O161" i="20"/>
  <c r="E161" i="20"/>
  <c r="L175" i="20"/>
  <c r="H267" i="20"/>
  <c r="E267" i="20"/>
  <c r="P291" i="20"/>
  <c r="J269" i="20"/>
  <c r="O269" i="20"/>
  <c r="E318" i="19"/>
  <c r="P215" i="20"/>
  <c r="P294" i="20"/>
  <c r="O231" i="20"/>
  <c r="L231" i="20"/>
  <c r="F231" i="20"/>
  <c r="P158" i="20"/>
  <c r="C23" i="3"/>
  <c r="C24" i="3"/>
  <c r="C28" i="3"/>
  <c r="C44" i="3"/>
  <c r="C180" i="3"/>
  <c r="C181" i="3"/>
  <c r="P238" i="20"/>
  <c r="J271" i="20"/>
  <c r="G271" i="20"/>
  <c r="M271" i="20"/>
  <c r="P293" i="20"/>
  <c r="H189" i="20"/>
  <c r="K189" i="20"/>
  <c r="J295" i="20"/>
  <c r="U295" i="20"/>
  <c r="E295" i="20"/>
  <c r="U286" i="20"/>
  <c r="G295" i="20"/>
  <c r="V289" i="20"/>
  <c r="E328" i="19"/>
  <c r="J217" i="20"/>
  <c r="K217" i="20"/>
  <c r="O217" i="20"/>
  <c r="G265" i="20"/>
  <c r="G259" i="20"/>
  <c r="O265" i="20"/>
  <c r="O259" i="20"/>
  <c r="E265" i="20"/>
  <c r="E259" i="20"/>
  <c r="P237" i="20"/>
  <c r="D245" i="20"/>
  <c r="G278" i="4"/>
  <c r="G279" i="4"/>
  <c r="G280" i="4"/>
  <c r="G281" i="4"/>
  <c r="G282" i="4"/>
  <c r="G283" i="4"/>
  <c r="G284" i="4"/>
  <c r="G285" i="4"/>
  <c r="G286" i="4"/>
  <c r="G323" i="4"/>
  <c r="H275" i="4"/>
  <c r="H273" i="4"/>
  <c r="H312" i="4"/>
  <c r="H311" i="4"/>
  <c r="H242" i="4"/>
  <c r="G296" i="4"/>
  <c r="G297" i="4"/>
  <c r="G298" i="4"/>
  <c r="G299" i="4"/>
  <c r="G300" i="4"/>
  <c r="G301" i="4"/>
  <c r="G302" i="4"/>
  <c r="G303" i="4"/>
  <c r="G304" i="4"/>
  <c r="H271" i="4"/>
  <c r="H244" i="4"/>
  <c r="G239" i="4"/>
  <c r="H321" i="4"/>
  <c r="H246" i="4"/>
  <c r="H300" i="4"/>
  <c r="H245" i="4"/>
  <c r="H319" i="4"/>
  <c r="H268" i="4"/>
  <c r="H304" i="4"/>
  <c r="H272" i="4"/>
  <c r="H299" i="4"/>
  <c r="G260" i="4"/>
  <c r="G261" i="4"/>
  <c r="G262" i="4"/>
  <c r="G263" i="4"/>
  <c r="G264" i="4"/>
  <c r="G265" i="4"/>
  <c r="G266" i="4"/>
  <c r="G267" i="4"/>
  <c r="G268" i="4"/>
  <c r="H292" i="4"/>
  <c r="H306" i="4"/>
  <c r="H248" i="4"/>
  <c r="H320" i="4"/>
  <c r="H261" i="4"/>
  <c r="H249" i="4"/>
  <c r="H258" i="4"/>
  <c r="H274" i="4"/>
  <c r="H291" i="4"/>
  <c r="H259" i="4"/>
  <c r="H277" i="4"/>
  <c r="H247" i="4"/>
  <c r="H290" i="4"/>
  <c r="H256" i="4"/>
  <c r="G305" i="4"/>
  <c r="G306" i="4"/>
  <c r="G307" i="4"/>
  <c r="G308" i="4"/>
  <c r="G309" i="4"/>
  <c r="G310" i="4"/>
  <c r="G311" i="4"/>
  <c r="G312" i="4"/>
  <c r="G313" i="4"/>
  <c r="H257" i="4"/>
  <c r="H264" i="4"/>
  <c r="H285" i="4"/>
  <c r="H284" i="4"/>
  <c r="H298" i="4"/>
  <c r="H317" i="4"/>
  <c r="H302" i="4"/>
  <c r="H253" i="4"/>
  <c r="H262" i="4"/>
  <c r="H289" i="4"/>
  <c r="H283" i="4"/>
  <c r="H286" i="4"/>
  <c r="H243" i="4"/>
  <c r="H266" i="4"/>
  <c r="H288" i="4"/>
  <c r="H309" i="4"/>
  <c r="G314" i="4"/>
  <c r="G315" i="4"/>
  <c r="G316" i="4"/>
  <c r="G317" i="4"/>
  <c r="G318" i="4"/>
  <c r="G319" i="4"/>
  <c r="G320" i="4"/>
  <c r="G321" i="4"/>
  <c r="G322" i="4"/>
  <c r="H307" i="4"/>
  <c r="G251" i="4"/>
  <c r="G252" i="4"/>
  <c r="G253" i="4"/>
  <c r="G254" i="4"/>
  <c r="G255" i="4"/>
  <c r="G256" i="4"/>
  <c r="G257" i="4"/>
  <c r="G258" i="4"/>
  <c r="G259" i="4"/>
  <c r="H315" i="4"/>
  <c r="H297" i="4"/>
  <c r="H254" i="4"/>
  <c r="H255" i="4"/>
  <c r="H318" i="4"/>
  <c r="H308" i="4"/>
  <c r="H282" i="4"/>
  <c r="H276" i="4"/>
  <c r="H303" i="4"/>
  <c r="H293" i="4"/>
  <c r="H280" i="4"/>
  <c r="H295" i="4"/>
  <c r="H313" i="4"/>
  <c r="G287" i="4"/>
  <c r="G288" i="4"/>
  <c r="G289" i="4"/>
  <c r="G290" i="4"/>
  <c r="G291" i="4"/>
  <c r="G292" i="4"/>
  <c r="G293" i="4"/>
  <c r="G294" i="4"/>
  <c r="G295" i="4"/>
  <c r="H263" i="4"/>
  <c r="H281" i="4"/>
  <c r="G269" i="4"/>
  <c r="G270" i="4"/>
  <c r="G271" i="4"/>
  <c r="G272" i="4"/>
  <c r="G273" i="4"/>
  <c r="G274" i="4"/>
  <c r="G275" i="4"/>
  <c r="G276" i="4"/>
  <c r="G277" i="4"/>
  <c r="H310" i="4"/>
  <c r="H252" i="4"/>
  <c r="H279" i="4"/>
  <c r="H294" i="4"/>
  <c r="H270" i="4"/>
  <c r="H267" i="4"/>
  <c r="H250" i="4"/>
  <c r="H316" i="4"/>
  <c r="H265" i="4"/>
  <c r="H322" i="4"/>
  <c r="G242" i="4"/>
  <c r="G243" i="4"/>
  <c r="G244" i="4"/>
  <c r="G245" i="4"/>
  <c r="G246" i="4"/>
  <c r="G247" i="4"/>
  <c r="G248" i="4"/>
  <c r="G249" i="4"/>
  <c r="G250" i="4"/>
  <c r="K250" i="4"/>
  <c r="K249" i="4"/>
  <c r="H301" i="4"/>
  <c r="H236" i="4"/>
  <c r="AC259" i="4"/>
  <c r="AC258" i="4"/>
  <c r="AC257" i="4"/>
  <c r="AC256" i="4"/>
  <c r="AC255" i="4"/>
  <c r="AC254" i="4"/>
  <c r="AC253" i="4"/>
  <c r="AC252" i="4"/>
  <c r="AC269" i="4"/>
  <c r="N266" i="4"/>
  <c r="N310" i="4"/>
  <c r="N250" i="4"/>
  <c r="M296" i="4"/>
  <c r="M297" i="4"/>
  <c r="M298" i="4"/>
  <c r="M299" i="4"/>
  <c r="M300" i="4"/>
  <c r="M301" i="4"/>
  <c r="M302" i="4"/>
  <c r="M303" i="4"/>
  <c r="M304" i="4"/>
  <c r="N272" i="4"/>
  <c r="N253" i="4"/>
  <c r="M314" i="4"/>
  <c r="M315" i="4"/>
  <c r="M316" i="4"/>
  <c r="M317" i="4"/>
  <c r="M318" i="4"/>
  <c r="M319" i="4"/>
  <c r="M320" i="4"/>
  <c r="M321" i="4"/>
  <c r="M322" i="4"/>
  <c r="N257" i="4"/>
  <c r="N267" i="4"/>
  <c r="N245" i="4"/>
  <c r="N286" i="4"/>
  <c r="N288" i="4"/>
  <c r="M251" i="4"/>
  <c r="M252" i="4"/>
  <c r="M253" i="4"/>
  <c r="M254" i="4"/>
  <c r="M255" i="4"/>
  <c r="M256" i="4"/>
  <c r="M257" i="4"/>
  <c r="M258" i="4"/>
  <c r="M259" i="4"/>
  <c r="N302" i="4"/>
  <c r="N316" i="4"/>
  <c r="N319" i="4"/>
  <c r="N247" i="4"/>
  <c r="N295" i="4"/>
  <c r="N312" i="4"/>
  <c r="N268" i="4"/>
  <c r="N317" i="4"/>
  <c r="N256" i="4"/>
  <c r="N304" i="4"/>
  <c r="N289" i="4"/>
  <c r="N258" i="4"/>
  <c r="N242" i="4"/>
  <c r="N279" i="4"/>
  <c r="N318" i="4"/>
  <c r="M278" i="4"/>
  <c r="M279" i="4"/>
  <c r="M280" i="4"/>
  <c r="M281" i="4"/>
  <c r="M282" i="4"/>
  <c r="M283" i="4"/>
  <c r="M284" i="4"/>
  <c r="M285" i="4"/>
  <c r="M286" i="4"/>
  <c r="N307" i="4"/>
  <c r="N243" i="4"/>
  <c r="N249" i="4"/>
  <c r="N313" i="4"/>
  <c r="M239" i="4"/>
  <c r="M305" i="4"/>
  <c r="M306" i="4"/>
  <c r="M307" i="4"/>
  <c r="M308" i="4"/>
  <c r="M309" i="4"/>
  <c r="M310" i="4"/>
  <c r="M311" i="4"/>
  <c r="M312" i="4"/>
  <c r="M313" i="4"/>
  <c r="N298" i="4"/>
  <c r="N277" i="4"/>
  <c r="N263" i="4"/>
  <c r="N299" i="4"/>
  <c r="M287" i="4"/>
  <c r="M288" i="4"/>
  <c r="M289" i="4"/>
  <c r="M290" i="4"/>
  <c r="M291" i="4"/>
  <c r="M292" i="4"/>
  <c r="M293" i="4"/>
  <c r="M294" i="4"/>
  <c r="M295" i="4"/>
  <c r="N320" i="4"/>
  <c r="M269" i="4"/>
  <c r="M270" i="4"/>
  <c r="M271" i="4"/>
  <c r="M272" i="4"/>
  <c r="M273" i="4"/>
  <c r="M274" i="4"/>
  <c r="M275" i="4"/>
  <c r="M276" i="4"/>
  <c r="M277" i="4"/>
  <c r="N275" i="4"/>
  <c r="N297" i="4"/>
  <c r="N252" i="4"/>
  <c r="N264" i="4"/>
  <c r="N274" i="4"/>
  <c r="N292" i="4"/>
  <c r="M242" i="4"/>
  <c r="M243" i="4"/>
  <c r="M244" i="4"/>
  <c r="M245" i="4"/>
  <c r="M246" i="4"/>
  <c r="M247" i="4"/>
  <c r="M248" i="4"/>
  <c r="M249" i="4"/>
  <c r="M250" i="4"/>
  <c r="N315" i="4"/>
  <c r="N262" i="4"/>
  <c r="N265" i="4"/>
  <c r="N293" i="4"/>
  <c r="N280" i="4"/>
  <c r="N301" i="4"/>
  <c r="N236" i="4"/>
  <c r="N254" i="4"/>
  <c r="N273" i="4"/>
  <c r="N270" i="4"/>
  <c r="M323" i="4"/>
  <c r="N291" i="4"/>
  <c r="M260" i="4"/>
  <c r="M261" i="4"/>
  <c r="M262" i="4"/>
  <c r="M263" i="4"/>
  <c r="M264" i="4"/>
  <c r="M265" i="4"/>
  <c r="M266" i="4"/>
  <c r="M267" i="4"/>
  <c r="M268" i="4"/>
  <c r="N284" i="4"/>
  <c r="N276" i="4"/>
  <c r="N259" i="4"/>
  <c r="N244" i="4"/>
  <c r="N303" i="4"/>
  <c r="N300" i="4"/>
  <c r="N281" i="4"/>
  <c r="N311" i="4"/>
  <c r="N290" i="4"/>
  <c r="N261" i="4"/>
  <c r="N321" i="4"/>
  <c r="N282" i="4"/>
  <c r="N283" i="4"/>
  <c r="N294" i="4"/>
  <c r="N309" i="4"/>
  <c r="N306" i="4"/>
  <c r="N255" i="4"/>
  <c r="N246" i="4"/>
  <c r="N285" i="4"/>
  <c r="N271" i="4"/>
  <c r="N308" i="4"/>
  <c r="N322" i="4"/>
  <c r="N248" i="4"/>
  <c r="E41" i="19"/>
  <c r="E268" i="20"/>
  <c r="F268" i="20"/>
  <c r="E228" i="19"/>
  <c r="E80" i="19"/>
  <c r="E45" i="19"/>
  <c r="E216" i="19"/>
  <c r="E92" i="19"/>
  <c r="P160" i="20"/>
  <c r="E203" i="20"/>
  <c r="L203" i="20"/>
  <c r="N203" i="20"/>
  <c r="L245" i="20"/>
  <c r="P289" i="20"/>
  <c r="M270" i="20"/>
  <c r="E270" i="20"/>
  <c r="P213" i="20"/>
  <c r="C52" i="3"/>
  <c r="E78" i="19"/>
  <c r="G266" i="20"/>
  <c r="J266" i="20"/>
  <c r="H266" i="20"/>
  <c r="E326" i="19"/>
  <c r="P243" i="20"/>
  <c r="C67" i="3"/>
  <c r="E232" i="19"/>
  <c r="E118" i="19"/>
  <c r="E316" i="19"/>
  <c r="P224" i="20"/>
  <c r="E175" i="20"/>
  <c r="K175" i="20"/>
  <c r="O175" i="20"/>
  <c r="E126" i="19"/>
  <c r="E94" i="19"/>
  <c r="J272" i="20"/>
  <c r="O272" i="20"/>
  <c r="N272" i="20"/>
  <c r="K161" i="20"/>
  <c r="M161" i="20"/>
  <c r="N161" i="20"/>
  <c r="H175" i="20"/>
  <c r="G175" i="20"/>
  <c r="P239" i="20"/>
  <c r="G267" i="20"/>
  <c r="N267" i="20"/>
  <c r="K267" i="20"/>
  <c r="E220" i="19"/>
  <c r="M269" i="20"/>
  <c r="F269" i="20"/>
  <c r="I269" i="20"/>
  <c r="P157" i="20"/>
  <c r="G231" i="20"/>
  <c r="H231" i="20"/>
  <c r="J231" i="20"/>
  <c r="P292" i="20"/>
  <c r="P184" i="20"/>
  <c r="P156" i="20"/>
  <c r="K271" i="20"/>
  <c r="F271" i="20"/>
  <c r="N271" i="20"/>
  <c r="O189" i="20"/>
  <c r="J189" i="20"/>
  <c r="L189" i="20"/>
  <c r="F295" i="20"/>
  <c r="V286" i="20"/>
  <c r="I295" i="20"/>
  <c r="V295" i="20"/>
  <c r="M295" i="20"/>
  <c r="S292" i="20"/>
  <c r="P197" i="20"/>
  <c r="P183" i="20"/>
  <c r="P242" i="20"/>
  <c r="E116" i="19"/>
  <c r="I217" i="20"/>
  <c r="E217" i="20"/>
  <c r="M217" i="20"/>
  <c r="E259" i="4"/>
  <c r="E258" i="4"/>
  <c r="E257" i="4"/>
  <c r="E256" i="4"/>
  <c r="E255" i="4"/>
  <c r="E254" i="4"/>
  <c r="E253" i="4"/>
  <c r="E252" i="4"/>
  <c r="E269" i="4"/>
  <c r="J265" i="20"/>
  <c r="J259" i="20"/>
  <c r="P251" i="20"/>
  <c r="D265" i="20"/>
  <c r="D259" i="20"/>
  <c r="M265" i="20"/>
  <c r="M259" i="20"/>
  <c r="P256" i="20"/>
  <c r="D270" i="20"/>
  <c r="D68" i="5"/>
  <c r="E68" i="5"/>
  <c r="H68" i="5"/>
  <c r="B69" i="5"/>
  <c r="H144" i="19"/>
  <c r="I144" i="19"/>
  <c r="J144" i="19"/>
  <c r="K144" i="19"/>
  <c r="L144" i="19"/>
  <c r="M144" i="19"/>
  <c r="N144" i="19"/>
  <c r="O144" i="19"/>
  <c r="P144" i="19"/>
  <c r="Q144" i="19"/>
  <c r="R144" i="19"/>
  <c r="S144" i="19"/>
  <c r="G143" i="19"/>
  <c r="F145" i="19"/>
  <c r="H252" i="19"/>
  <c r="I252" i="19"/>
  <c r="J252" i="19"/>
  <c r="K252" i="19"/>
  <c r="L252" i="19"/>
  <c r="M252" i="19"/>
  <c r="N252" i="19"/>
  <c r="O252" i="19"/>
  <c r="P252" i="19"/>
  <c r="Q252" i="19"/>
  <c r="R252" i="19"/>
  <c r="S252" i="19"/>
  <c r="G251" i="19"/>
  <c r="F253" i="19"/>
  <c r="W287" i="4"/>
  <c r="W277" i="4"/>
  <c r="W276" i="4"/>
  <c r="W275" i="4"/>
  <c r="W274" i="4"/>
  <c r="W273" i="4"/>
  <c r="W272" i="4"/>
  <c r="W271" i="4"/>
  <c r="W270" i="4"/>
  <c r="P153" i="20"/>
  <c r="D161" i="20"/>
  <c r="E25" i="4"/>
  <c r="E26" i="4"/>
  <c r="E27" i="4"/>
  <c r="E28" i="4"/>
  <c r="E29" i="4"/>
  <c r="E30" i="4"/>
  <c r="C65" i="4"/>
  <c r="E65" i="4"/>
  <c r="D271" i="20"/>
  <c r="P257" i="20"/>
  <c r="H284" i="19"/>
  <c r="I284" i="19"/>
  <c r="J284" i="19"/>
  <c r="K284" i="19"/>
  <c r="L284" i="19"/>
  <c r="M284" i="19"/>
  <c r="N284" i="19"/>
  <c r="O284" i="19"/>
  <c r="P284" i="19"/>
  <c r="Q284" i="19"/>
  <c r="R284" i="19"/>
  <c r="S284" i="19"/>
  <c r="G283" i="19"/>
  <c r="F285" i="19"/>
  <c r="E76" i="19"/>
  <c r="P196" i="20"/>
  <c r="P154" i="20"/>
  <c r="E210" i="19"/>
  <c r="J203" i="20"/>
  <c r="G203" i="20"/>
  <c r="M203" i="20"/>
  <c r="P169" i="20"/>
  <c r="P199" i="20"/>
  <c r="E43" i="19"/>
  <c r="N266" i="20"/>
  <c r="O266" i="20"/>
  <c r="E266" i="20"/>
  <c r="P240" i="20"/>
  <c r="P225" i="20"/>
  <c r="G67" i="5"/>
  <c r="F68" i="5"/>
  <c r="F272" i="20"/>
  <c r="I272" i="20"/>
  <c r="M272" i="20"/>
  <c r="G161" i="20"/>
  <c r="F161" i="20"/>
  <c r="N175" i="20"/>
  <c r="M175" i="20"/>
  <c r="I267" i="20"/>
  <c r="J267" i="20"/>
  <c r="M267" i="20"/>
  <c r="P214" i="20"/>
  <c r="G269" i="20"/>
  <c r="H269" i="20"/>
  <c r="N269" i="20"/>
  <c r="P241" i="20"/>
  <c r="P210" i="20"/>
  <c r="E231" i="20"/>
  <c r="N231" i="20"/>
  <c r="M231" i="20"/>
  <c r="P155" i="20"/>
  <c r="H271" i="20"/>
  <c r="O271" i="20"/>
  <c r="P202" i="20"/>
  <c r="I189" i="20"/>
  <c r="M189" i="20"/>
  <c r="G189" i="20"/>
  <c r="N295" i="20"/>
  <c r="S289" i="20"/>
  <c r="H295" i="20"/>
  <c r="V292" i="20"/>
  <c r="L295" i="20"/>
  <c r="S295" i="20"/>
  <c r="N189" i="20"/>
  <c r="P174" i="20"/>
  <c r="N217" i="20"/>
  <c r="H217" i="20"/>
  <c r="G217" i="20"/>
  <c r="J16" i="9"/>
  <c r="K16" i="9"/>
  <c r="L16" i="9"/>
  <c r="I265" i="20"/>
  <c r="I259" i="20"/>
  <c r="L265" i="20"/>
  <c r="L259" i="20"/>
  <c r="F259" i="20"/>
  <c r="F266" i="20"/>
  <c r="P13" i="16"/>
  <c r="M14" i="16"/>
  <c r="O13" i="16"/>
  <c r="P223" i="20"/>
  <c r="D231" i="20"/>
  <c r="P181" i="20"/>
  <c r="D189" i="20"/>
  <c r="P287" i="20"/>
  <c r="D295" i="20"/>
  <c r="H26" i="4"/>
  <c r="H27" i="4"/>
  <c r="H28" i="4"/>
  <c r="H29" i="4"/>
  <c r="L20" i="4"/>
  <c r="K21" i="4"/>
  <c r="K22" i="4"/>
  <c r="K23" i="4"/>
  <c r="K24" i="4"/>
  <c r="K25" i="4"/>
  <c r="K26" i="4"/>
  <c r="K27" i="4"/>
  <c r="P209" i="20"/>
  <c r="D217" i="20"/>
  <c r="P188" i="20"/>
  <c r="H203" i="20"/>
  <c r="K203" i="20"/>
  <c r="K265" i="20"/>
  <c r="I266" i="20"/>
  <c r="L266" i="20"/>
  <c r="P185" i="20"/>
  <c r="P226" i="20"/>
  <c r="E59" i="19"/>
  <c r="P173" i="20"/>
  <c r="P201" i="20"/>
  <c r="H272" i="20"/>
  <c r="K272" i="20"/>
  <c r="L272" i="20"/>
  <c r="P244" i="20"/>
  <c r="L161" i="20"/>
  <c r="H161" i="20"/>
  <c r="J161" i="20"/>
  <c r="J175" i="20"/>
  <c r="P211" i="20"/>
  <c r="F267" i="20"/>
  <c r="O267" i="20"/>
  <c r="L267" i="20"/>
  <c r="P228" i="20"/>
  <c r="E84" i="19"/>
  <c r="K269" i="20"/>
  <c r="L269" i="20"/>
  <c r="E269" i="20"/>
  <c r="K231" i="20"/>
  <c r="I231" i="20"/>
  <c r="C15" i="3"/>
  <c r="C27" i="3"/>
  <c r="L271" i="20"/>
  <c r="E271" i="20"/>
  <c r="I271" i="20"/>
  <c r="E189" i="20"/>
  <c r="O295" i="20"/>
  <c r="S286" i="20"/>
  <c r="K295" i="20"/>
  <c r="T295" i="20"/>
  <c r="P186" i="20"/>
  <c r="Q238" i="4"/>
  <c r="F189" i="20"/>
  <c r="P182" i="20"/>
  <c r="L217" i="20"/>
  <c r="F217" i="20"/>
  <c r="I21" i="4"/>
  <c r="Q260" i="4"/>
  <c r="Q269" i="4"/>
  <c r="Q250" i="4"/>
  <c r="E40" i="4"/>
  <c r="E42" i="4"/>
  <c r="K248" i="4"/>
  <c r="K247" i="4"/>
  <c r="K246" i="4"/>
  <c r="K245" i="4"/>
  <c r="K244" i="4"/>
  <c r="K243" i="4"/>
  <c r="K242" i="4"/>
  <c r="S242" i="20"/>
  <c r="D63" i="3"/>
  <c r="D64" i="3"/>
  <c r="D65" i="3"/>
  <c r="V236" i="20"/>
  <c r="T245" i="20"/>
  <c r="C46" i="3"/>
  <c r="D47" i="3"/>
  <c r="D48" i="3"/>
  <c r="D49" i="3"/>
  <c r="I20" i="20"/>
  <c r="I33" i="20"/>
  <c r="C53" i="3"/>
  <c r="G23" i="20"/>
  <c r="G36" i="20"/>
  <c r="U245" i="20"/>
  <c r="O23" i="20"/>
  <c r="O36" i="20"/>
  <c r="C61" i="3"/>
  <c r="D60" i="3"/>
  <c r="C14" i="3"/>
  <c r="V242" i="20"/>
  <c r="C117" i="3"/>
  <c r="C261" i="3"/>
  <c r="C277" i="3"/>
  <c r="C37" i="3"/>
  <c r="C101" i="3"/>
  <c r="C149" i="3"/>
  <c r="C45" i="3"/>
  <c r="V245" i="20"/>
  <c r="C317" i="3"/>
  <c r="C197" i="3"/>
  <c r="C85" i="3"/>
  <c r="C285" i="3"/>
  <c r="K260" i="4"/>
  <c r="K259" i="4"/>
  <c r="K258" i="4"/>
  <c r="K257" i="4"/>
  <c r="K256" i="4"/>
  <c r="K255" i="4"/>
  <c r="K254" i="4"/>
  <c r="K253" i="4"/>
  <c r="K252" i="4"/>
  <c r="C157" i="3"/>
  <c r="C93" i="3"/>
  <c r="K276" i="20"/>
  <c r="I276" i="20"/>
  <c r="C109" i="3"/>
  <c r="C269" i="3"/>
  <c r="C301" i="3"/>
  <c r="C141" i="3"/>
  <c r="C173" i="3"/>
  <c r="C245" i="3"/>
  <c r="J276" i="20"/>
  <c r="C309" i="3"/>
  <c r="C237" i="3"/>
  <c r="C293" i="3"/>
  <c r="C213" i="3"/>
  <c r="V180" i="20"/>
  <c r="F19" i="20"/>
  <c r="F32" i="20"/>
  <c r="H17" i="20"/>
  <c r="H30" i="20"/>
  <c r="V158" i="20"/>
  <c r="V155" i="20"/>
  <c r="G17" i="20"/>
  <c r="G30" i="20"/>
  <c r="G20" i="20"/>
  <c r="G33" i="20"/>
  <c r="V197" i="20"/>
  <c r="G65" i="4"/>
  <c r="G66" i="4"/>
  <c r="G67" i="4"/>
  <c r="G68" i="4"/>
  <c r="G69" i="4"/>
  <c r="G70" i="4"/>
  <c r="G71" i="4"/>
  <c r="G72" i="4"/>
  <c r="G73" i="4"/>
  <c r="G74" i="4"/>
  <c r="E74" i="4"/>
  <c r="D74" i="4"/>
  <c r="F74" i="4"/>
  <c r="W296" i="4"/>
  <c r="W286" i="4"/>
  <c r="W285" i="4"/>
  <c r="W284" i="4"/>
  <c r="W283" i="4"/>
  <c r="W282" i="4"/>
  <c r="W281" i="4"/>
  <c r="W280" i="4"/>
  <c r="W279" i="4"/>
  <c r="S155" i="20"/>
  <c r="N17" i="20"/>
  <c r="N30" i="20"/>
  <c r="S166" i="20"/>
  <c r="O18" i="20"/>
  <c r="O31" i="20"/>
  <c r="C70" i="3"/>
  <c r="D71" i="3"/>
  <c r="D72" i="3"/>
  <c r="D73" i="3"/>
  <c r="L20" i="20"/>
  <c r="L33" i="20"/>
  <c r="S203" i="20"/>
  <c r="K19" i="20"/>
  <c r="K32" i="20"/>
  <c r="T189" i="20"/>
  <c r="F22" i="20"/>
  <c r="F35" i="20"/>
  <c r="V222" i="20"/>
  <c r="U152" i="20"/>
  <c r="E17" i="20"/>
  <c r="E30" i="20"/>
  <c r="C38" i="3"/>
  <c r="D39" i="3"/>
  <c r="D40" i="3"/>
  <c r="D41" i="3"/>
  <c r="V194" i="20"/>
  <c r="F20" i="20"/>
  <c r="F33" i="20"/>
  <c r="G308" i="19"/>
  <c r="F310" i="19"/>
  <c r="I309" i="19"/>
  <c r="J309" i="19"/>
  <c r="K309" i="19"/>
  <c r="L309" i="19"/>
  <c r="M309" i="19"/>
  <c r="N309" i="19"/>
  <c r="O309" i="19"/>
  <c r="P309" i="19"/>
  <c r="Q309" i="19"/>
  <c r="R309" i="19"/>
  <c r="S309" i="19"/>
  <c r="C137" i="3"/>
  <c r="C238" i="3"/>
  <c r="C297" i="3"/>
  <c r="C222" i="3"/>
  <c r="C201" i="3"/>
  <c r="C257" i="3"/>
  <c r="C153" i="3"/>
  <c r="C217" i="3"/>
  <c r="C233" i="3"/>
  <c r="C77" i="3"/>
  <c r="C78" i="3"/>
  <c r="C190" i="3"/>
  <c r="C289" i="3"/>
  <c r="C246" i="3"/>
  <c r="O276" i="20"/>
  <c r="P267" i="20"/>
  <c r="P272" i="20"/>
  <c r="P266" i="20"/>
  <c r="N276" i="20"/>
  <c r="C205" i="3"/>
  <c r="C182" i="3"/>
  <c r="D183" i="3"/>
  <c r="D184" i="3"/>
  <c r="O14" i="16"/>
  <c r="P14" i="16"/>
  <c r="M15" i="16"/>
  <c r="I24" i="20"/>
  <c r="I37" i="20"/>
  <c r="V259" i="20"/>
  <c r="I273" i="20"/>
  <c r="V214" i="20"/>
  <c r="H21" i="20"/>
  <c r="H34" i="20"/>
  <c r="S186" i="20"/>
  <c r="M19" i="20"/>
  <c r="M32" i="20"/>
  <c r="U222" i="20"/>
  <c r="E22" i="20"/>
  <c r="E35" i="20"/>
  <c r="V152" i="20"/>
  <c r="F17" i="20"/>
  <c r="F30" i="20"/>
  <c r="S200" i="20"/>
  <c r="M20" i="20"/>
  <c r="M33" i="20"/>
  <c r="D69" i="5"/>
  <c r="E69" i="5"/>
  <c r="B70" i="5"/>
  <c r="U259" i="20"/>
  <c r="J24" i="20"/>
  <c r="J37" i="20"/>
  <c r="J273" i="20"/>
  <c r="M21" i="20"/>
  <c r="M34" i="20"/>
  <c r="S214" i="20"/>
  <c r="S180" i="20"/>
  <c r="O19" i="20"/>
  <c r="O32" i="20"/>
  <c r="H22" i="20"/>
  <c r="H35" i="20"/>
  <c r="V228" i="20"/>
  <c r="H18" i="20"/>
  <c r="H31" i="20"/>
  <c r="V172" i="20"/>
  <c r="N20" i="20"/>
  <c r="N33" i="20"/>
  <c r="S197" i="20"/>
  <c r="AC278" i="4"/>
  <c r="AC268" i="4"/>
  <c r="AC267" i="4"/>
  <c r="AC266" i="4"/>
  <c r="AC265" i="4"/>
  <c r="AC264" i="4"/>
  <c r="AC263" i="4"/>
  <c r="AC262" i="4"/>
  <c r="AC261" i="4"/>
  <c r="O24" i="20"/>
  <c r="O37" i="20"/>
  <c r="S250" i="20"/>
  <c r="O273" i="20"/>
  <c r="J21" i="20"/>
  <c r="J34" i="20"/>
  <c r="U217" i="20"/>
  <c r="S175" i="20"/>
  <c r="L18" i="20"/>
  <c r="L31" i="20"/>
  <c r="G106" i="19"/>
  <c r="F108" i="19"/>
  <c r="I107" i="19"/>
  <c r="J107" i="19"/>
  <c r="K107" i="19"/>
  <c r="L107" i="19"/>
  <c r="M107" i="19"/>
  <c r="N107" i="19"/>
  <c r="O107" i="19"/>
  <c r="P107" i="19"/>
  <c r="Q107" i="19"/>
  <c r="R107" i="19"/>
  <c r="S107" i="19"/>
  <c r="G346" i="19"/>
  <c r="F348" i="19"/>
  <c r="H347" i="19"/>
  <c r="I347" i="19"/>
  <c r="J347" i="19"/>
  <c r="K347" i="19"/>
  <c r="L347" i="19"/>
  <c r="M347" i="19"/>
  <c r="N347" i="19"/>
  <c r="O347" i="19"/>
  <c r="P347" i="19"/>
  <c r="Q347" i="19"/>
  <c r="R347" i="19"/>
  <c r="S347" i="19"/>
  <c r="S253" i="20"/>
  <c r="N24" i="20"/>
  <c r="N37" i="20"/>
  <c r="N273" i="20"/>
  <c r="D20" i="20"/>
  <c r="D33" i="20"/>
  <c r="P203" i="20"/>
  <c r="T197" i="20"/>
  <c r="T194" i="20"/>
  <c r="C145" i="3"/>
  <c r="C206" i="3"/>
  <c r="C134" i="3"/>
  <c r="C241" i="3"/>
  <c r="C225" i="3"/>
  <c r="C161" i="3"/>
  <c r="C113" i="3"/>
  <c r="C118" i="3"/>
  <c r="C254" i="3"/>
  <c r="C150" i="3"/>
  <c r="C230" i="3"/>
  <c r="C262" i="3"/>
  <c r="C81" i="3"/>
  <c r="C102" i="3"/>
  <c r="C278" i="3"/>
  <c r="P271" i="20"/>
  <c r="M276" i="20"/>
  <c r="C69" i="3"/>
  <c r="F276" i="20"/>
  <c r="C325" i="3"/>
  <c r="C165" i="3"/>
  <c r="C125" i="3"/>
  <c r="C189" i="3"/>
  <c r="K28" i="4"/>
  <c r="K29" i="4"/>
  <c r="D19" i="20"/>
  <c r="D32" i="20"/>
  <c r="T180" i="20"/>
  <c r="P189" i="20"/>
  <c r="T183" i="20"/>
  <c r="V250" i="20"/>
  <c r="F24" i="20"/>
  <c r="F37" i="20"/>
  <c r="F273" i="20"/>
  <c r="N19" i="20"/>
  <c r="N32" i="20"/>
  <c r="S183" i="20"/>
  <c r="V183" i="20"/>
  <c r="G19" i="20"/>
  <c r="G32" i="20"/>
  <c r="N22" i="20"/>
  <c r="N35" i="20"/>
  <c r="S225" i="20"/>
  <c r="G210" i="19"/>
  <c r="F212" i="19"/>
  <c r="I211" i="19"/>
  <c r="J211" i="19"/>
  <c r="K211" i="19"/>
  <c r="L211" i="19"/>
  <c r="M211" i="19"/>
  <c r="N211" i="19"/>
  <c r="O211" i="19"/>
  <c r="P211" i="19"/>
  <c r="Q211" i="19"/>
  <c r="R211" i="19"/>
  <c r="S211" i="19"/>
  <c r="G285" i="19"/>
  <c r="F287" i="19"/>
  <c r="H286" i="19"/>
  <c r="I286" i="19"/>
  <c r="J286" i="19"/>
  <c r="K286" i="19"/>
  <c r="L286" i="19"/>
  <c r="M286" i="19"/>
  <c r="N286" i="19"/>
  <c r="O286" i="19"/>
  <c r="P286" i="19"/>
  <c r="Q286" i="19"/>
  <c r="R286" i="19"/>
  <c r="S286" i="19"/>
  <c r="I40" i="4"/>
  <c r="I22" i="4"/>
  <c r="I23" i="4"/>
  <c r="I24" i="4"/>
  <c r="I25" i="4"/>
  <c r="I32" i="4"/>
  <c r="M24" i="20"/>
  <c r="M37" i="20"/>
  <c r="M273" i="20"/>
  <c r="S256" i="20"/>
  <c r="U189" i="20"/>
  <c r="J19" i="20"/>
  <c r="J32" i="20"/>
  <c r="J22" i="20"/>
  <c r="J35" i="20"/>
  <c r="U231" i="20"/>
  <c r="V169" i="20"/>
  <c r="G18" i="20"/>
  <c r="G31" i="20"/>
  <c r="T161" i="20"/>
  <c r="K17" i="20"/>
  <c r="K30" i="20"/>
  <c r="U166" i="20"/>
  <c r="E18" i="20"/>
  <c r="E31" i="20"/>
  <c r="S245" i="20"/>
  <c r="L23" i="20"/>
  <c r="L36" i="20"/>
  <c r="T217" i="20"/>
  <c r="K21" i="20"/>
  <c r="K34" i="20"/>
  <c r="C25" i="3"/>
  <c r="O22" i="20"/>
  <c r="O35" i="20"/>
  <c r="S222" i="20"/>
  <c r="I17" i="20"/>
  <c r="I30" i="20"/>
  <c r="V161" i="20"/>
  <c r="V175" i="20"/>
  <c r="I18" i="20"/>
  <c r="I31" i="20"/>
  <c r="C21" i="3"/>
  <c r="C22" i="3"/>
  <c r="C54" i="3"/>
  <c r="D55" i="3"/>
  <c r="D56" i="3"/>
  <c r="D57" i="3"/>
  <c r="S239" i="20"/>
  <c r="N23" i="20"/>
  <c r="I75" i="19"/>
  <c r="J75" i="19"/>
  <c r="K75" i="19"/>
  <c r="L75" i="19"/>
  <c r="M75" i="19"/>
  <c r="N75" i="19"/>
  <c r="O75" i="19"/>
  <c r="P75" i="19"/>
  <c r="Q75" i="19"/>
  <c r="R75" i="19"/>
  <c r="S75" i="19"/>
  <c r="G74" i="19"/>
  <c r="F76" i="19"/>
  <c r="H77" i="19"/>
  <c r="I77" i="19"/>
  <c r="J77" i="19"/>
  <c r="K77" i="19"/>
  <c r="L77" i="19"/>
  <c r="M77" i="19"/>
  <c r="N77" i="19"/>
  <c r="O77" i="19"/>
  <c r="P77" i="19"/>
  <c r="Q77" i="19"/>
  <c r="R77" i="19"/>
  <c r="S77" i="19"/>
  <c r="M28" i="16"/>
  <c r="O27" i="16"/>
  <c r="P27" i="16"/>
  <c r="Q27" i="16"/>
  <c r="T259" i="20"/>
  <c r="K24" i="20"/>
  <c r="K37" i="20"/>
  <c r="K273" i="20"/>
  <c r="C302" i="3"/>
  <c r="C209" i="3"/>
  <c r="C313" i="3"/>
  <c r="C174" i="3"/>
  <c r="C158" i="3"/>
  <c r="C329" i="3"/>
  <c r="C198" i="3"/>
  <c r="C121" i="3"/>
  <c r="C86" i="3"/>
  <c r="D87" i="3"/>
  <c r="D88" i="3"/>
  <c r="D89" i="3"/>
  <c r="C94" i="3"/>
  <c r="C166" i="3"/>
  <c r="C265" i="3"/>
  <c r="C126" i="3"/>
  <c r="C273" i="3"/>
  <c r="C193" i="3"/>
  <c r="C105" i="3"/>
  <c r="C286" i="3"/>
  <c r="C249" i="3"/>
  <c r="G68" i="5"/>
  <c r="F69" i="5"/>
  <c r="P270" i="20"/>
  <c r="E276" i="20"/>
  <c r="G276" i="20"/>
  <c r="H276" i="20"/>
  <c r="P268" i="20"/>
  <c r="K22" i="20"/>
  <c r="K35" i="20"/>
  <c r="T231" i="20"/>
  <c r="D21" i="20"/>
  <c r="D34" i="20"/>
  <c r="T208" i="20"/>
  <c r="P217" i="20"/>
  <c r="T211" i="20"/>
  <c r="T286" i="20"/>
  <c r="P295" i="20"/>
  <c r="T289" i="20"/>
  <c r="D22" i="20"/>
  <c r="D35" i="20"/>
  <c r="T222" i="20"/>
  <c r="P231" i="20"/>
  <c r="T225" i="20"/>
  <c r="S211" i="20"/>
  <c r="N21" i="20"/>
  <c r="N34" i="20"/>
  <c r="V189" i="20"/>
  <c r="I19" i="20"/>
  <c r="I32" i="20"/>
  <c r="D24" i="20"/>
  <c r="D37" i="20"/>
  <c r="T250" i="20"/>
  <c r="P259" i="20"/>
  <c r="T253" i="20"/>
  <c r="D273" i="20"/>
  <c r="E21" i="20"/>
  <c r="E34" i="20"/>
  <c r="U208" i="20"/>
  <c r="V225" i="20"/>
  <c r="G22" i="20"/>
  <c r="G35" i="20"/>
  <c r="I22" i="20"/>
  <c r="I35" i="20"/>
  <c r="V231" i="20"/>
  <c r="J17" i="20"/>
  <c r="J30" i="20"/>
  <c r="U161" i="20"/>
  <c r="S217" i="20"/>
  <c r="L21" i="20"/>
  <c r="L34" i="20"/>
  <c r="C16" i="3"/>
  <c r="U175" i="20"/>
  <c r="J18" i="20"/>
  <c r="J31" i="20"/>
  <c r="H20" i="20"/>
  <c r="H33" i="20"/>
  <c r="V200" i="20"/>
  <c r="V211" i="20"/>
  <c r="G21" i="20"/>
  <c r="G34" i="20"/>
  <c r="S169" i="20"/>
  <c r="N18" i="20"/>
  <c r="N31" i="20"/>
  <c r="F21" i="20"/>
  <c r="F34" i="20"/>
  <c r="V208" i="20"/>
  <c r="U180" i="20"/>
  <c r="E19" i="20"/>
  <c r="E32" i="20"/>
  <c r="C30" i="3"/>
  <c r="D31" i="3"/>
  <c r="D32" i="3"/>
  <c r="D33" i="3"/>
  <c r="S161" i="20"/>
  <c r="L17" i="20"/>
  <c r="L30" i="20"/>
  <c r="T203" i="20"/>
  <c r="K20" i="20"/>
  <c r="K33" i="20"/>
  <c r="S259" i="20"/>
  <c r="L273" i="20"/>
  <c r="L24" i="20"/>
  <c r="L37" i="20"/>
  <c r="S228" i="20"/>
  <c r="M22" i="20"/>
  <c r="M35" i="20"/>
  <c r="S172" i="20"/>
  <c r="M18" i="20"/>
  <c r="M31" i="20"/>
  <c r="U203" i="20"/>
  <c r="J20" i="20"/>
  <c r="J33" i="20"/>
  <c r="D17" i="20"/>
  <c r="D30" i="20"/>
  <c r="P161" i="20"/>
  <c r="T155" i="20"/>
  <c r="T152" i="20"/>
  <c r="H254" i="19"/>
  <c r="I254" i="19"/>
  <c r="J254" i="19"/>
  <c r="K254" i="19"/>
  <c r="L254" i="19"/>
  <c r="M254" i="19"/>
  <c r="N254" i="19"/>
  <c r="O254" i="19"/>
  <c r="P254" i="19"/>
  <c r="Q254" i="19"/>
  <c r="R254" i="19"/>
  <c r="S254" i="19"/>
  <c r="G253" i="19"/>
  <c r="F255" i="19"/>
  <c r="G145" i="19"/>
  <c r="F147" i="19"/>
  <c r="H146" i="19"/>
  <c r="I146" i="19"/>
  <c r="J146" i="19"/>
  <c r="K146" i="19"/>
  <c r="L146" i="19"/>
  <c r="M146" i="19"/>
  <c r="N146" i="19"/>
  <c r="O146" i="19"/>
  <c r="P146" i="19"/>
  <c r="Q146" i="19"/>
  <c r="R146" i="19"/>
  <c r="S146" i="19"/>
  <c r="P265" i="20"/>
  <c r="D276" i="20"/>
  <c r="E278" i="4"/>
  <c r="E268" i="4"/>
  <c r="E267" i="4"/>
  <c r="E266" i="4"/>
  <c r="E265" i="4"/>
  <c r="E264" i="4"/>
  <c r="E263" i="4"/>
  <c r="E262" i="4"/>
  <c r="E261" i="4"/>
  <c r="V217" i="20"/>
  <c r="I21" i="20"/>
  <c r="I34" i="20"/>
  <c r="S189" i="20"/>
  <c r="L19" i="20"/>
  <c r="L32" i="20"/>
  <c r="M17" i="20"/>
  <c r="M30" i="20"/>
  <c r="S158" i="20"/>
  <c r="T175" i="20"/>
  <c r="K18" i="20"/>
  <c r="K31" i="20"/>
  <c r="U194" i="20"/>
  <c r="E20" i="20"/>
  <c r="E33" i="20"/>
  <c r="T236" i="20"/>
  <c r="D23" i="20"/>
  <c r="D36" i="20"/>
  <c r="P245" i="20"/>
  <c r="T239" i="20"/>
  <c r="U250" i="20"/>
  <c r="E273" i="20"/>
  <c r="E24" i="20"/>
  <c r="E37" i="20"/>
  <c r="G24" i="20"/>
  <c r="G37" i="20"/>
  <c r="G273" i="20"/>
  <c r="V253" i="20"/>
  <c r="S208" i="20"/>
  <c r="O21" i="20"/>
  <c r="O34" i="20"/>
  <c r="H19" i="20"/>
  <c r="H32" i="20"/>
  <c r="V186" i="20"/>
  <c r="S231" i="20"/>
  <c r="L22" i="20"/>
  <c r="L35" i="20"/>
  <c r="S152" i="20"/>
  <c r="O17" i="20"/>
  <c r="O30" i="20"/>
  <c r="F18" i="20"/>
  <c r="F31" i="20"/>
  <c r="V166" i="20"/>
  <c r="C318" i="3"/>
  <c r="D319" i="3"/>
  <c r="D320" i="3"/>
  <c r="D321" i="3"/>
  <c r="E23" i="20"/>
  <c r="U236" i="20"/>
  <c r="O20" i="20"/>
  <c r="O33" i="20"/>
  <c r="S194" i="20"/>
  <c r="G39" i="19"/>
  <c r="F41" i="19"/>
  <c r="I40" i="19"/>
  <c r="J40" i="19"/>
  <c r="K40" i="19"/>
  <c r="L40" i="19"/>
  <c r="M40" i="19"/>
  <c r="N40" i="19"/>
  <c r="O40" i="19"/>
  <c r="P40" i="19"/>
  <c r="Q40" i="19"/>
  <c r="R40" i="19"/>
  <c r="S40" i="19"/>
  <c r="P39" i="4"/>
  <c r="J39" i="4"/>
  <c r="D18" i="20"/>
  <c r="D31" i="20"/>
  <c r="T166" i="20"/>
  <c r="P175" i="20"/>
  <c r="T169" i="20"/>
  <c r="H24" i="20"/>
  <c r="H37" i="20"/>
  <c r="H273" i="20"/>
  <c r="V256" i="20"/>
  <c r="C305" i="3"/>
  <c r="C142" i="3"/>
  <c r="C310" i="3"/>
  <c r="C177" i="3"/>
  <c r="C294" i="3"/>
  <c r="C326" i="3"/>
  <c r="C110" i="3"/>
  <c r="C97" i="3"/>
  <c r="C169" i="3"/>
  <c r="C214" i="3"/>
  <c r="C129" i="3"/>
  <c r="C270" i="3"/>
  <c r="C281" i="3"/>
  <c r="L276" i="20"/>
  <c r="Q249" i="4"/>
  <c r="Q248" i="4"/>
  <c r="Q247" i="4"/>
  <c r="Q246" i="4"/>
  <c r="Q245" i="4"/>
  <c r="Q244" i="4"/>
  <c r="Q243" i="4"/>
  <c r="Q242" i="4"/>
  <c r="C29" i="3"/>
  <c r="P269" i="20"/>
  <c r="C133" i="3"/>
  <c r="C221" i="3"/>
  <c r="C253" i="3"/>
  <c r="C229" i="3"/>
  <c r="P31" i="20"/>
  <c r="M4" i="33"/>
  <c r="P37" i="20"/>
  <c r="M10" i="33"/>
  <c r="P34" i="20"/>
  <c r="M7" i="33"/>
  <c r="P33" i="20"/>
  <c r="M6" i="33"/>
  <c r="P30" i="20"/>
  <c r="M3" i="33"/>
  <c r="P35" i="20"/>
  <c r="M8" i="33"/>
  <c r="P32" i="20"/>
  <c r="M5" i="33"/>
  <c r="I58" i="20"/>
  <c r="I47" i="20"/>
  <c r="E36" i="20"/>
  <c r="N69" i="20"/>
  <c r="N36" i="20"/>
  <c r="K269" i="4"/>
  <c r="L39" i="4"/>
  <c r="Q259" i="4"/>
  <c r="Q258" i="4"/>
  <c r="Q257" i="4"/>
  <c r="Q256" i="4"/>
  <c r="Q255" i="4"/>
  <c r="Q254" i="4"/>
  <c r="Q253" i="4"/>
  <c r="Q252" i="4"/>
  <c r="K39" i="4"/>
  <c r="I39" i="4"/>
  <c r="G40" i="4"/>
  <c r="D44" i="3"/>
  <c r="I41" i="4"/>
  <c r="L41" i="4"/>
  <c r="N41" i="4"/>
  <c r="O39" i="4"/>
  <c r="M39" i="4"/>
  <c r="N39" i="4"/>
  <c r="F40" i="4"/>
  <c r="L20" i="13"/>
  <c r="G76" i="19"/>
  <c r="F78" i="19"/>
  <c r="H79" i="19"/>
  <c r="I79" i="19"/>
  <c r="J79" i="19"/>
  <c r="K79" i="19"/>
  <c r="L79" i="19"/>
  <c r="M79" i="19"/>
  <c r="N79" i="19"/>
  <c r="O79" i="19"/>
  <c r="P79" i="19"/>
  <c r="Q79" i="19"/>
  <c r="R79" i="19"/>
  <c r="S79" i="19"/>
  <c r="G69" i="5"/>
  <c r="F70" i="5"/>
  <c r="D79" i="3"/>
  <c r="D80" i="3"/>
  <c r="D81" i="3"/>
  <c r="M41" i="4"/>
  <c r="K41" i="4"/>
  <c r="J41" i="4"/>
  <c r="P41" i="4"/>
  <c r="O41" i="4"/>
  <c r="G42" i="4"/>
  <c r="D59" i="3"/>
  <c r="D61" i="3"/>
  <c r="K58" i="20"/>
  <c r="K47" i="20"/>
  <c r="G58" i="20"/>
  <c r="G47" i="20"/>
  <c r="G80" i="20"/>
  <c r="G92" i="20"/>
  <c r="D167" i="3"/>
  <c r="D168" i="3"/>
  <c r="D169" i="3"/>
  <c r="J58" i="20"/>
  <c r="J47" i="20"/>
  <c r="D43" i="3"/>
  <c r="G69" i="20"/>
  <c r="O69" i="20"/>
  <c r="K69" i="20"/>
  <c r="O58" i="20"/>
  <c r="O47" i="20"/>
  <c r="D111" i="3"/>
  <c r="D112" i="3"/>
  <c r="D113" i="3"/>
  <c r="I55" i="20"/>
  <c r="I44" i="20"/>
  <c r="D179" i="3"/>
  <c r="D23" i="3"/>
  <c r="D24" i="3"/>
  <c r="D25" i="3"/>
  <c r="D292" i="3"/>
  <c r="D299" i="3"/>
  <c r="D52" i="3"/>
  <c r="D251" i="3"/>
  <c r="D276" i="3"/>
  <c r="D123" i="3"/>
  <c r="E277" i="20"/>
  <c r="D187" i="3"/>
  <c r="D215" i="3"/>
  <c r="D216" i="3"/>
  <c r="D217" i="3"/>
  <c r="D244" i="3"/>
  <c r="D84" i="3"/>
  <c r="H58" i="20"/>
  <c r="H47" i="20"/>
  <c r="H80" i="20"/>
  <c r="H92" i="20"/>
  <c r="D259" i="3"/>
  <c r="D116" i="3"/>
  <c r="D51" i="3"/>
  <c r="D255" i="3"/>
  <c r="D256" i="3"/>
  <c r="D257" i="3"/>
  <c r="D324" i="3"/>
  <c r="D140" i="3"/>
  <c r="G277" i="20"/>
  <c r="G278" i="20"/>
  <c r="D268" i="3"/>
  <c r="D219" i="3"/>
  <c r="D271" i="3"/>
  <c r="D272" i="3"/>
  <c r="D273" i="3"/>
  <c r="D151" i="3"/>
  <c r="D152" i="3"/>
  <c r="D153" i="3"/>
  <c r="D155" i="3"/>
  <c r="D132" i="3"/>
  <c r="D287" i="3"/>
  <c r="D288" i="3"/>
  <c r="D289" i="3"/>
  <c r="D199" i="3"/>
  <c r="D200" i="3"/>
  <c r="D201" i="3"/>
  <c r="L277" i="20"/>
  <c r="L278" i="20"/>
  <c r="D212" i="3"/>
  <c r="F69" i="20"/>
  <c r="D62" i="3"/>
  <c r="E63" i="3"/>
  <c r="E64" i="3"/>
  <c r="E65" i="3"/>
  <c r="D99" i="3"/>
  <c r="D204" i="3"/>
  <c r="F277" i="20"/>
  <c r="D235" i="3"/>
  <c r="D92" i="3"/>
  <c r="D172" i="3"/>
  <c r="D228" i="3"/>
  <c r="D27" i="3"/>
  <c r="I277" i="20"/>
  <c r="D127" i="3"/>
  <c r="D128" i="3"/>
  <c r="D129" i="3"/>
  <c r="D211" i="3"/>
  <c r="F58" i="20"/>
  <c r="F47" i="20"/>
  <c r="F80" i="20"/>
  <c r="D191" i="3"/>
  <c r="D192" i="3"/>
  <c r="D193" i="3"/>
  <c r="D159" i="3"/>
  <c r="D160" i="3"/>
  <c r="D161" i="3"/>
  <c r="D231" i="3"/>
  <c r="D232" i="3"/>
  <c r="D233" i="3"/>
  <c r="D135" i="3"/>
  <c r="D136" i="3"/>
  <c r="D137" i="3"/>
  <c r="D267" i="3"/>
  <c r="D270" i="3"/>
  <c r="D307" i="3"/>
  <c r="D239" i="3"/>
  <c r="D240" i="3"/>
  <c r="D241" i="3"/>
  <c r="D36" i="3"/>
  <c r="D108" i="3"/>
  <c r="D283" i="3"/>
  <c r="D19" i="3"/>
  <c r="D68" i="3"/>
  <c r="D207" i="3"/>
  <c r="D208" i="3"/>
  <c r="D209" i="3"/>
  <c r="D76" i="3"/>
  <c r="D107" i="3"/>
  <c r="D291" i="3"/>
  <c r="D139" i="3"/>
  <c r="D156" i="3"/>
  <c r="D188" i="3"/>
  <c r="J277" i="20"/>
  <c r="J278" i="20"/>
  <c r="D223" i="3"/>
  <c r="D224" i="3"/>
  <c r="D225" i="3"/>
  <c r="J55" i="20"/>
  <c r="J44" i="20"/>
  <c r="M57" i="20"/>
  <c r="M46" i="20"/>
  <c r="I65" i="20"/>
  <c r="E65" i="20"/>
  <c r="E54" i="20"/>
  <c r="E43" i="20"/>
  <c r="M65" i="20"/>
  <c r="N53" i="20"/>
  <c r="N42" i="20"/>
  <c r="O57" i="20"/>
  <c r="O46" i="20"/>
  <c r="G57" i="20"/>
  <c r="G46" i="20"/>
  <c r="G79" i="20"/>
  <c r="K68" i="20"/>
  <c r="O68" i="20"/>
  <c r="G68" i="20"/>
  <c r="T264" i="20"/>
  <c r="P273" i="20"/>
  <c r="T267" i="20"/>
  <c r="D274" i="20"/>
  <c r="F67" i="20"/>
  <c r="N56" i="20"/>
  <c r="N45" i="20"/>
  <c r="H68" i="20"/>
  <c r="P22" i="20"/>
  <c r="L68" i="20"/>
  <c r="D57" i="20"/>
  <c r="D46" i="20"/>
  <c r="D68" i="20"/>
  <c r="K59" i="20"/>
  <c r="K48" i="20"/>
  <c r="N58" i="20"/>
  <c r="N47" i="20"/>
  <c r="I52" i="20"/>
  <c r="I41" i="20"/>
  <c r="I26" i="20"/>
  <c r="I25" i="20"/>
  <c r="V25" i="20"/>
  <c r="J57" i="20"/>
  <c r="J46" i="20"/>
  <c r="S270" i="20"/>
  <c r="M274" i="20"/>
  <c r="M275" i="20"/>
  <c r="G212" i="19"/>
  <c r="F214" i="19"/>
  <c r="H213" i="19"/>
  <c r="I213" i="19"/>
  <c r="J213" i="19"/>
  <c r="K213" i="19"/>
  <c r="L213" i="19"/>
  <c r="M213" i="19"/>
  <c r="N213" i="19"/>
  <c r="O213" i="19"/>
  <c r="P213" i="19"/>
  <c r="Q213" i="19"/>
  <c r="R213" i="19"/>
  <c r="S213" i="19"/>
  <c r="L66" i="20"/>
  <c r="D66" i="20"/>
  <c r="H66" i="20"/>
  <c r="D55" i="20"/>
  <c r="D44" i="20"/>
  <c r="P20" i="20"/>
  <c r="D64" i="20"/>
  <c r="L53" i="20"/>
  <c r="L42" i="20"/>
  <c r="S264" i="20"/>
  <c r="O274" i="20"/>
  <c r="O275" i="20"/>
  <c r="AC287" i="4"/>
  <c r="AC277" i="4"/>
  <c r="AC276" i="4"/>
  <c r="AC275" i="4"/>
  <c r="AC274" i="4"/>
  <c r="AC273" i="4"/>
  <c r="AC272" i="4"/>
  <c r="AC271" i="4"/>
  <c r="AC270" i="4"/>
  <c r="H53" i="20"/>
  <c r="H42" i="20"/>
  <c r="H75" i="20"/>
  <c r="J59" i="20"/>
  <c r="J48" i="20"/>
  <c r="B71" i="5"/>
  <c r="E70" i="5"/>
  <c r="D70" i="5"/>
  <c r="K54" i="20"/>
  <c r="K43" i="20"/>
  <c r="N52" i="20"/>
  <c r="N41" i="20"/>
  <c r="N25" i="20"/>
  <c r="S19" i="20"/>
  <c r="N26" i="20"/>
  <c r="E83" i="4"/>
  <c r="D75" i="4"/>
  <c r="D76" i="4"/>
  <c r="D77" i="4"/>
  <c r="D78" i="4"/>
  <c r="D79" i="4"/>
  <c r="D80" i="4"/>
  <c r="D81" i="4"/>
  <c r="D82" i="4"/>
  <c r="K63" i="20"/>
  <c r="G25" i="20"/>
  <c r="V19" i="20"/>
  <c r="G63" i="20"/>
  <c r="O63" i="20"/>
  <c r="G26" i="20"/>
  <c r="G52" i="20"/>
  <c r="G41" i="20"/>
  <c r="G74" i="20"/>
  <c r="H52" i="20"/>
  <c r="H41" i="20"/>
  <c r="H74" i="20"/>
  <c r="H25" i="20"/>
  <c r="V22" i="20"/>
  <c r="D95" i="3"/>
  <c r="D96" i="3"/>
  <c r="D97" i="3"/>
  <c r="D263" i="3"/>
  <c r="D264" i="3"/>
  <c r="D265" i="3"/>
  <c r="D164" i="3"/>
  <c r="D327" i="3"/>
  <c r="D328" i="3"/>
  <c r="D329" i="3"/>
  <c r="D311" i="3"/>
  <c r="D312" i="3"/>
  <c r="D275" i="3"/>
  <c r="D100" i="3"/>
  <c r="D260" i="3"/>
  <c r="D227" i="3"/>
  <c r="D115" i="3"/>
  <c r="D131" i="3"/>
  <c r="D143" i="3"/>
  <c r="D144" i="3"/>
  <c r="O277" i="20"/>
  <c r="O278" i="20"/>
  <c r="D243" i="3"/>
  <c r="D67" i="3"/>
  <c r="F53" i="20"/>
  <c r="F42" i="20"/>
  <c r="F64" i="20"/>
  <c r="J64" i="20"/>
  <c r="I70" i="20"/>
  <c r="E59" i="20"/>
  <c r="E48" i="20"/>
  <c r="E70" i="20"/>
  <c r="M70" i="20"/>
  <c r="D26" i="20"/>
  <c r="D69" i="20"/>
  <c r="P23" i="20"/>
  <c r="L69" i="20"/>
  <c r="D58" i="20"/>
  <c r="D47" i="20"/>
  <c r="H69" i="20"/>
  <c r="K53" i="20"/>
  <c r="K42" i="20"/>
  <c r="D65" i="20"/>
  <c r="L54" i="20"/>
  <c r="L43" i="20"/>
  <c r="G78" i="19"/>
  <c r="F80" i="19"/>
  <c r="H59" i="20"/>
  <c r="H48" i="20"/>
  <c r="H81" i="20"/>
  <c r="H42" i="19"/>
  <c r="I42" i="19"/>
  <c r="J42" i="19"/>
  <c r="K42" i="19"/>
  <c r="L42" i="19"/>
  <c r="M42" i="19"/>
  <c r="N42" i="19"/>
  <c r="O42" i="19"/>
  <c r="P42" i="19"/>
  <c r="Q42" i="19"/>
  <c r="R42" i="19"/>
  <c r="S42" i="19"/>
  <c r="G41" i="19"/>
  <c r="F43" i="19"/>
  <c r="E58" i="20"/>
  <c r="E47" i="20"/>
  <c r="M69" i="20"/>
  <c r="I69" i="20"/>
  <c r="E69" i="20"/>
  <c r="H57" i="20"/>
  <c r="H46" i="20"/>
  <c r="H79" i="20"/>
  <c r="H91" i="20"/>
  <c r="L57" i="20"/>
  <c r="L46" i="20"/>
  <c r="O56" i="20"/>
  <c r="O45" i="20"/>
  <c r="G59" i="20"/>
  <c r="G48" i="20"/>
  <c r="G81" i="20"/>
  <c r="O70" i="20"/>
  <c r="K70" i="20"/>
  <c r="G70" i="20"/>
  <c r="M26" i="20"/>
  <c r="M52" i="20"/>
  <c r="M41" i="20"/>
  <c r="M25" i="20"/>
  <c r="S22" i="20"/>
  <c r="H256" i="19"/>
  <c r="I256" i="19"/>
  <c r="J256" i="19"/>
  <c r="K256" i="19"/>
  <c r="L256" i="19"/>
  <c r="M256" i="19"/>
  <c r="N256" i="19"/>
  <c r="O256" i="19"/>
  <c r="P256" i="19"/>
  <c r="Q256" i="19"/>
  <c r="R256" i="19"/>
  <c r="S256" i="19"/>
  <c r="G255" i="19"/>
  <c r="F257" i="19"/>
  <c r="H63" i="20"/>
  <c r="D52" i="20"/>
  <c r="D41" i="20"/>
  <c r="P17" i="20"/>
  <c r="D63" i="20"/>
  <c r="D25" i="20"/>
  <c r="L274" i="20"/>
  <c r="L275" i="20"/>
  <c r="S273" i="20"/>
  <c r="L63" i="20"/>
  <c r="L26" i="20"/>
  <c r="L52" i="20"/>
  <c r="L41" i="20"/>
  <c r="L25" i="20"/>
  <c r="S25" i="20"/>
  <c r="F56" i="20"/>
  <c r="F45" i="20"/>
  <c r="J67" i="20"/>
  <c r="N67" i="20"/>
  <c r="I57" i="20"/>
  <c r="I46" i="20"/>
  <c r="E67" i="20"/>
  <c r="M67" i="20"/>
  <c r="E56" i="20"/>
  <c r="E45" i="20"/>
  <c r="L70" i="20"/>
  <c r="P24" i="20"/>
  <c r="H70" i="20"/>
  <c r="D59" i="20"/>
  <c r="D48" i="20"/>
  <c r="K57" i="20"/>
  <c r="K46" i="20"/>
  <c r="T273" i="20"/>
  <c r="K274" i="20"/>
  <c r="L58" i="20"/>
  <c r="L47" i="20"/>
  <c r="K26" i="20"/>
  <c r="K25" i="20"/>
  <c r="T25" i="20"/>
  <c r="K52" i="20"/>
  <c r="K41" i="20"/>
  <c r="L21" i="4"/>
  <c r="I26" i="4"/>
  <c r="I27" i="4"/>
  <c r="I28" i="4"/>
  <c r="I29" i="4"/>
  <c r="I30" i="4"/>
  <c r="G54" i="20"/>
  <c r="G43" i="20"/>
  <c r="G76" i="20"/>
  <c r="K65" i="20"/>
  <c r="O65" i="20"/>
  <c r="G65" i="20"/>
  <c r="N70" i="20"/>
  <c r="J70" i="20"/>
  <c r="F70" i="20"/>
  <c r="F59" i="20"/>
  <c r="F48" i="20"/>
  <c r="D54" i="20"/>
  <c r="D43" i="20"/>
  <c r="P19" i="20"/>
  <c r="L65" i="20"/>
  <c r="H65" i="20"/>
  <c r="G108" i="19"/>
  <c r="F110" i="19"/>
  <c r="H109" i="19"/>
  <c r="I109" i="19"/>
  <c r="J109" i="19"/>
  <c r="K109" i="19"/>
  <c r="L109" i="19"/>
  <c r="M109" i="19"/>
  <c r="N109" i="19"/>
  <c r="O109" i="19"/>
  <c r="P109" i="19"/>
  <c r="Q109" i="19"/>
  <c r="R109" i="19"/>
  <c r="S109" i="19"/>
  <c r="J56" i="20"/>
  <c r="J45" i="20"/>
  <c r="O54" i="20"/>
  <c r="O43" i="20"/>
  <c r="U273" i="20"/>
  <c r="J274" i="20"/>
  <c r="K278" i="4"/>
  <c r="K268" i="4"/>
  <c r="K267" i="4"/>
  <c r="K266" i="4"/>
  <c r="K265" i="4"/>
  <c r="K264" i="4"/>
  <c r="K263" i="4"/>
  <c r="K262" i="4"/>
  <c r="K261" i="4"/>
  <c r="J63" i="20"/>
  <c r="F26" i="20"/>
  <c r="N63" i="20"/>
  <c r="F52" i="20"/>
  <c r="F41" i="20"/>
  <c r="F25" i="20"/>
  <c r="V16" i="20"/>
  <c r="F63" i="20"/>
  <c r="M54" i="20"/>
  <c r="M43" i="20"/>
  <c r="I274" i="20"/>
  <c r="V273" i="20"/>
  <c r="G75" i="4"/>
  <c r="E44" i="4"/>
  <c r="F42" i="4"/>
  <c r="I63" i="20"/>
  <c r="E25" i="20"/>
  <c r="U16" i="20"/>
  <c r="E52" i="20"/>
  <c r="E41" i="20"/>
  <c r="E63" i="20"/>
  <c r="M63" i="20"/>
  <c r="E26" i="20"/>
  <c r="W305" i="4"/>
  <c r="W295" i="4"/>
  <c r="W294" i="4"/>
  <c r="W293" i="4"/>
  <c r="W292" i="4"/>
  <c r="W291" i="4"/>
  <c r="W290" i="4"/>
  <c r="W289" i="4"/>
  <c r="W288" i="4"/>
  <c r="G55" i="20"/>
  <c r="G44" i="20"/>
  <c r="G77" i="20"/>
  <c r="O66" i="20"/>
  <c r="K66" i="20"/>
  <c r="D279" i="3"/>
  <c r="D280" i="3"/>
  <c r="D281" i="3"/>
  <c r="D323" i="3"/>
  <c r="D175" i="3"/>
  <c r="D176" i="3"/>
  <c r="D177" i="3"/>
  <c r="D308" i="3"/>
  <c r="D303" i="3"/>
  <c r="D304" i="3"/>
  <c r="P276" i="20"/>
  <c r="M58" i="20"/>
  <c r="M47" i="20"/>
  <c r="D28" i="3"/>
  <c r="D103" i="3"/>
  <c r="D104" i="3"/>
  <c r="D105" i="3"/>
  <c r="D124" i="3"/>
  <c r="D163" i="3"/>
  <c r="D91" i="3"/>
  <c r="D119" i="3"/>
  <c r="D120" i="3"/>
  <c r="D121" i="3"/>
  <c r="D196" i="3"/>
  <c r="D171" i="3"/>
  <c r="D20" i="3"/>
  <c r="D148" i="3"/>
  <c r="D203" i="3"/>
  <c r="N277" i="20"/>
  <c r="N278" i="20"/>
  <c r="D75" i="3"/>
  <c r="D295" i="3"/>
  <c r="D296" i="3"/>
  <c r="D236" i="3"/>
  <c r="D180" i="3"/>
  <c r="V270" i="20"/>
  <c r="H274" i="20"/>
  <c r="H275" i="20"/>
  <c r="H54" i="20"/>
  <c r="H43" i="20"/>
  <c r="H76" i="20"/>
  <c r="G274" i="20"/>
  <c r="G275" i="20"/>
  <c r="V267" i="20"/>
  <c r="I66" i="20"/>
  <c r="E55" i="20"/>
  <c r="E44" i="20"/>
  <c r="M66" i="20"/>
  <c r="E66" i="20"/>
  <c r="I67" i="20"/>
  <c r="I56" i="20"/>
  <c r="I45" i="20"/>
  <c r="H148" i="19"/>
  <c r="I148" i="19"/>
  <c r="J148" i="19"/>
  <c r="K148" i="19"/>
  <c r="L148" i="19"/>
  <c r="M148" i="19"/>
  <c r="N148" i="19"/>
  <c r="O148" i="19"/>
  <c r="P148" i="19"/>
  <c r="Q148" i="19"/>
  <c r="R148" i="19"/>
  <c r="S148" i="19"/>
  <c r="G147" i="19"/>
  <c r="F149" i="19"/>
  <c r="M53" i="20"/>
  <c r="M42" i="20"/>
  <c r="D70" i="20"/>
  <c r="L59" i="20"/>
  <c r="L48" i="20"/>
  <c r="O67" i="20"/>
  <c r="G56" i="20"/>
  <c r="G45" i="20"/>
  <c r="G78" i="20"/>
  <c r="K67" i="20"/>
  <c r="G67" i="20"/>
  <c r="N64" i="20"/>
  <c r="J53" i="20"/>
  <c r="J42" i="20"/>
  <c r="L56" i="20"/>
  <c r="L45" i="20"/>
  <c r="I54" i="20"/>
  <c r="I43" i="20"/>
  <c r="G287" i="19"/>
  <c r="F289" i="19"/>
  <c r="H288" i="19"/>
  <c r="I288" i="19"/>
  <c r="J288" i="19"/>
  <c r="K288" i="19"/>
  <c r="L288" i="19"/>
  <c r="M288" i="19"/>
  <c r="N288" i="19"/>
  <c r="O288" i="19"/>
  <c r="P288" i="19"/>
  <c r="Q288" i="19"/>
  <c r="R288" i="19"/>
  <c r="S288" i="19"/>
  <c r="N54" i="20"/>
  <c r="N43" i="20"/>
  <c r="F274" i="20"/>
  <c r="V264" i="20"/>
  <c r="N59" i="20"/>
  <c r="N48" i="20"/>
  <c r="O59" i="20"/>
  <c r="O48" i="20"/>
  <c r="N55" i="20"/>
  <c r="N44" i="20"/>
  <c r="M56" i="20"/>
  <c r="M45" i="20"/>
  <c r="P15" i="16"/>
  <c r="O15" i="16"/>
  <c r="M16" i="16"/>
  <c r="J66" i="20"/>
  <c r="F55" i="20"/>
  <c r="F44" i="20"/>
  <c r="F66" i="20"/>
  <c r="N66" i="20"/>
  <c r="N68" i="20"/>
  <c r="F57" i="20"/>
  <c r="F46" i="20"/>
  <c r="J68" i="20"/>
  <c r="F68" i="20"/>
  <c r="L55" i="20"/>
  <c r="L44" i="20"/>
  <c r="O53" i="20"/>
  <c r="O42" i="20"/>
  <c r="D316" i="3"/>
  <c r="D277" i="20"/>
  <c r="J69" i="20"/>
  <c r="H277" i="20"/>
  <c r="H278" i="20"/>
  <c r="D247" i="3"/>
  <c r="D248" i="3"/>
  <c r="D249" i="3"/>
  <c r="D284" i="3"/>
  <c r="D83" i="3"/>
  <c r="D195" i="3"/>
  <c r="D300" i="3"/>
  <c r="N57" i="20"/>
  <c r="N46" i="20"/>
  <c r="D147" i="3"/>
  <c r="D252" i="3"/>
  <c r="K277" i="20"/>
  <c r="D220" i="3"/>
  <c r="D35" i="3"/>
  <c r="P18" i="20"/>
  <c r="D53" i="20"/>
  <c r="D42" i="20"/>
  <c r="H64" i="20"/>
  <c r="L64" i="20"/>
  <c r="O55" i="20"/>
  <c r="O44" i="20"/>
  <c r="O26" i="20"/>
  <c r="O52" i="20"/>
  <c r="O41" i="20"/>
  <c r="O25" i="20"/>
  <c r="S16" i="20"/>
  <c r="U264" i="20"/>
  <c r="E274" i="20"/>
  <c r="E277" i="4"/>
  <c r="E276" i="4"/>
  <c r="E275" i="4"/>
  <c r="E274" i="4"/>
  <c r="E273" i="4"/>
  <c r="E272" i="4"/>
  <c r="E271" i="4"/>
  <c r="E270" i="4"/>
  <c r="E287" i="4"/>
  <c r="G66" i="20"/>
  <c r="K55" i="20"/>
  <c r="K44" i="20"/>
  <c r="H55" i="20"/>
  <c r="H44" i="20"/>
  <c r="H77" i="20"/>
  <c r="I7" i="3"/>
  <c r="C17" i="3"/>
  <c r="I5" i="3"/>
  <c r="I6" i="3"/>
  <c r="J25" i="20"/>
  <c r="U25" i="20"/>
  <c r="J26" i="20"/>
  <c r="J52" i="20"/>
  <c r="J41" i="20"/>
  <c r="Q268" i="4"/>
  <c r="Q267" i="4"/>
  <c r="Q266" i="4"/>
  <c r="Q265" i="4"/>
  <c r="Q264" i="4"/>
  <c r="Q263" i="4"/>
  <c r="Q262" i="4"/>
  <c r="Q261" i="4"/>
  <c r="Q278" i="4"/>
  <c r="D67" i="20"/>
  <c r="D56" i="20"/>
  <c r="D45" i="20"/>
  <c r="L67" i="20"/>
  <c r="P21" i="20"/>
  <c r="H67" i="20"/>
  <c r="P28" i="16"/>
  <c r="O28" i="16"/>
  <c r="Q28" i="16"/>
  <c r="M29" i="16"/>
  <c r="I53" i="20"/>
  <c r="I42" i="20"/>
  <c r="K56" i="20"/>
  <c r="K45" i="20"/>
  <c r="E53" i="20"/>
  <c r="E42" i="20"/>
  <c r="E64" i="20"/>
  <c r="M64" i="20"/>
  <c r="I64" i="20"/>
  <c r="O64" i="20"/>
  <c r="G53" i="20"/>
  <c r="G42" i="20"/>
  <c r="G75" i="20"/>
  <c r="K64" i="20"/>
  <c r="G64" i="20"/>
  <c r="J54" i="20"/>
  <c r="J43" i="20"/>
  <c r="M59" i="20"/>
  <c r="M48" i="20"/>
  <c r="S267" i="20"/>
  <c r="N274" i="20"/>
  <c r="N275" i="20"/>
  <c r="G348" i="19"/>
  <c r="F350" i="19"/>
  <c r="H349" i="19"/>
  <c r="I349" i="19"/>
  <c r="J349" i="19"/>
  <c r="K349" i="19"/>
  <c r="L349" i="19"/>
  <c r="M349" i="19"/>
  <c r="N349" i="19"/>
  <c r="O349" i="19"/>
  <c r="P349" i="19"/>
  <c r="Q349" i="19"/>
  <c r="R349" i="19"/>
  <c r="S349" i="19"/>
  <c r="H69" i="5"/>
  <c r="M55" i="20"/>
  <c r="M44" i="20"/>
  <c r="E57" i="20"/>
  <c r="E46" i="20"/>
  <c r="E68" i="20"/>
  <c r="M68" i="20"/>
  <c r="I68" i="20"/>
  <c r="H26" i="20"/>
  <c r="H56" i="20"/>
  <c r="H45" i="20"/>
  <c r="H78" i="20"/>
  <c r="I59" i="20"/>
  <c r="I48" i="20"/>
  <c r="D185" i="3"/>
  <c r="G310" i="19"/>
  <c r="F312" i="19"/>
  <c r="H311" i="19"/>
  <c r="I311" i="19"/>
  <c r="J311" i="19"/>
  <c r="K311" i="19"/>
  <c r="L311" i="19"/>
  <c r="M311" i="19"/>
  <c r="N311" i="19"/>
  <c r="O311" i="19"/>
  <c r="P311" i="19"/>
  <c r="Q311" i="19"/>
  <c r="R311" i="19"/>
  <c r="S311" i="19"/>
  <c r="F54" i="20"/>
  <c r="F43" i="20"/>
  <c r="F65" i="20"/>
  <c r="N65" i="20"/>
  <c r="J65" i="20"/>
  <c r="D315" i="3"/>
  <c r="M277" i="20"/>
  <c r="M278" i="20"/>
  <c r="P36" i="20"/>
  <c r="I31" i="4"/>
  <c r="J40" i="4"/>
  <c r="K40" i="4"/>
  <c r="L40" i="4"/>
  <c r="M40" i="4"/>
  <c r="N40" i="4"/>
  <c r="O40" i="4"/>
  <c r="P40" i="4"/>
  <c r="Q40" i="4"/>
  <c r="J20" i="4"/>
  <c r="G70" i="5"/>
  <c r="F71" i="5"/>
  <c r="D45" i="3"/>
  <c r="K17" i="13"/>
  <c r="K28" i="13"/>
  <c r="K27" i="13"/>
  <c r="K26" i="13"/>
  <c r="K25" i="13"/>
  <c r="K24" i="13"/>
  <c r="K23" i="13"/>
  <c r="K22" i="13"/>
  <c r="L19" i="13"/>
  <c r="F75" i="4"/>
  <c r="F76" i="4"/>
  <c r="F77" i="4"/>
  <c r="F78" i="4"/>
  <c r="F79" i="4"/>
  <c r="F80" i="4"/>
  <c r="F81" i="4"/>
  <c r="F82" i="4"/>
  <c r="J106" i="20"/>
  <c r="G106" i="20"/>
  <c r="E80" i="20"/>
  <c r="D106" i="20"/>
  <c r="D80" i="20"/>
  <c r="D92" i="20"/>
  <c r="D46" i="3"/>
  <c r="E47" i="3"/>
  <c r="E48" i="3"/>
  <c r="E49" i="3"/>
  <c r="D277" i="3"/>
  <c r="E278" i="20"/>
  <c r="L80" i="20"/>
  <c r="L92" i="20"/>
  <c r="M75" i="20"/>
  <c r="M87" i="20"/>
  <c r="F278" i="20"/>
  <c r="D301" i="3"/>
  <c r="D181" i="3"/>
  <c r="D173" i="3"/>
  <c r="J76" i="20"/>
  <c r="J88" i="20"/>
  <c r="D253" i="3"/>
  <c r="D293" i="3"/>
  <c r="D117" i="3"/>
  <c r="J74" i="20"/>
  <c r="J86" i="20"/>
  <c r="E271" i="3"/>
  <c r="E272" i="3"/>
  <c r="E273" i="3"/>
  <c r="D125" i="3"/>
  <c r="D53" i="3"/>
  <c r="D261" i="3"/>
  <c r="D221" i="3"/>
  <c r="I80" i="20"/>
  <c r="I92" i="20"/>
  <c r="D133" i="3"/>
  <c r="F77" i="20"/>
  <c r="F89" i="20"/>
  <c r="D325" i="3"/>
  <c r="K74" i="20"/>
  <c r="K86" i="20"/>
  <c r="D101" i="3"/>
  <c r="D37" i="3"/>
  <c r="K80" i="20"/>
  <c r="F106" i="20"/>
  <c r="E77" i="20"/>
  <c r="D103" i="20"/>
  <c r="D76" i="20"/>
  <c r="D88" i="20"/>
  <c r="M74" i="20"/>
  <c r="M86" i="20"/>
  <c r="K106" i="20"/>
  <c r="D189" i="3"/>
  <c r="D110" i="3"/>
  <c r="E111" i="3"/>
  <c r="E112" i="3"/>
  <c r="E113" i="3"/>
  <c r="D157" i="3"/>
  <c r="D21" i="3"/>
  <c r="D286" i="3"/>
  <c r="E287" i="3"/>
  <c r="E288" i="3"/>
  <c r="E289" i="3"/>
  <c r="D142" i="3"/>
  <c r="D54" i="3"/>
  <c r="E55" i="3"/>
  <c r="E56" i="3"/>
  <c r="E57" i="3"/>
  <c r="J80" i="20"/>
  <c r="J92" i="20"/>
  <c r="D158" i="3"/>
  <c r="E159" i="3"/>
  <c r="E160" i="3"/>
  <c r="E161" i="3"/>
  <c r="D29" i="3"/>
  <c r="D309" i="3"/>
  <c r="J78" i="20"/>
  <c r="J90" i="20"/>
  <c r="E60" i="3"/>
  <c r="I75" i="20"/>
  <c r="I87" i="20"/>
  <c r="O74" i="20"/>
  <c r="O86" i="20"/>
  <c r="I78" i="20"/>
  <c r="I90" i="20"/>
  <c r="D69" i="3"/>
  <c r="D77" i="3"/>
  <c r="F74" i="20"/>
  <c r="E100" i="20"/>
  <c r="L79" i="20"/>
  <c r="L91" i="20"/>
  <c r="D294" i="3"/>
  <c r="D214" i="3"/>
  <c r="E215" i="3"/>
  <c r="E216" i="3"/>
  <c r="E217" i="3"/>
  <c r="N79" i="20"/>
  <c r="N91" i="20"/>
  <c r="D285" i="3"/>
  <c r="O75" i="20"/>
  <c r="O87" i="20"/>
  <c r="F79" i="20"/>
  <c r="F91" i="20"/>
  <c r="D237" i="3"/>
  <c r="D141" i="3"/>
  <c r="D269" i="3"/>
  <c r="E268" i="3"/>
  <c r="E79" i="20"/>
  <c r="D105" i="20"/>
  <c r="D78" i="20"/>
  <c r="D90" i="20"/>
  <c r="K77" i="20"/>
  <c r="F103" i="20"/>
  <c r="D213" i="3"/>
  <c r="N76" i="20"/>
  <c r="N88" i="20"/>
  <c r="O80" i="20"/>
  <c r="O92" i="20"/>
  <c r="D229" i="3"/>
  <c r="D190" i="3"/>
  <c r="E191" i="3"/>
  <c r="E192" i="3"/>
  <c r="E193" i="3"/>
  <c r="L78" i="20"/>
  <c r="L90" i="20"/>
  <c r="K79" i="20"/>
  <c r="F105" i="20"/>
  <c r="M77" i="20"/>
  <c r="H103" i="20"/>
  <c r="M78" i="20"/>
  <c r="M90" i="20"/>
  <c r="G76" i="4"/>
  <c r="G77" i="4"/>
  <c r="G78" i="4"/>
  <c r="G79" i="4"/>
  <c r="G80" i="4"/>
  <c r="G81" i="4"/>
  <c r="G82" i="4"/>
  <c r="G83" i="4"/>
  <c r="E59" i="3"/>
  <c r="J81" i="20"/>
  <c r="J93" i="20"/>
  <c r="D222" i="3"/>
  <c r="E223" i="3"/>
  <c r="E224" i="3"/>
  <c r="E225" i="3"/>
  <c r="N81" i="20"/>
  <c r="N93" i="20"/>
  <c r="I42" i="4"/>
  <c r="I44" i="4"/>
  <c r="D238" i="3"/>
  <c r="E239" i="3"/>
  <c r="E240" i="3"/>
  <c r="E241" i="3"/>
  <c r="D102" i="3"/>
  <c r="I77" i="20"/>
  <c r="I89" i="20"/>
  <c r="E75" i="20"/>
  <c r="E87" i="20"/>
  <c r="I33" i="4"/>
  <c r="I34" i="4"/>
  <c r="I35" i="4"/>
  <c r="D30" i="3"/>
  <c r="E31" i="3"/>
  <c r="E32" i="3"/>
  <c r="E33" i="3"/>
  <c r="D109" i="3"/>
  <c r="G87" i="20"/>
  <c r="G101" i="20"/>
  <c r="J101" i="20"/>
  <c r="D12" i="3"/>
  <c r="D11" i="3"/>
  <c r="L77" i="20"/>
  <c r="L89" i="20"/>
  <c r="O77" i="20"/>
  <c r="O89" i="20"/>
  <c r="D86" i="3"/>
  <c r="E87" i="3"/>
  <c r="E88" i="3"/>
  <c r="E89" i="3"/>
  <c r="D305" i="3"/>
  <c r="W304" i="4"/>
  <c r="W303" i="4"/>
  <c r="W302" i="4"/>
  <c r="W301" i="4"/>
  <c r="W300" i="4"/>
  <c r="W299" i="4"/>
  <c r="W298" i="4"/>
  <c r="W297" i="4"/>
  <c r="W314" i="4"/>
  <c r="G110" i="19"/>
  <c r="F112" i="19"/>
  <c r="H111" i="19"/>
  <c r="I111" i="19"/>
  <c r="J111" i="19"/>
  <c r="K111" i="19"/>
  <c r="L111" i="19"/>
  <c r="M111" i="19"/>
  <c r="N111" i="19"/>
  <c r="O111" i="19"/>
  <c r="P111" i="19"/>
  <c r="Q111" i="19"/>
  <c r="R111" i="19"/>
  <c r="S111" i="19"/>
  <c r="T16" i="20"/>
  <c r="P25" i="20"/>
  <c r="T19" i="20"/>
  <c r="D75" i="20"/>
  <c r="D87" i="20"/>
  <c r="K75" i="20"/>
  <c r="D246" i="3"/>
  <c r="E247" i="3"/>
  <c r="E248" i="3"/>
  <c r="E249" i="3"/>
  <c r="H70" i="5"/>
  <c r="D38" i="3"/>
  <c r="E39" i="3"/>
  <c r="E40" i="3"/>
  <c r="D150" i="3"/>
  <c r="E151" i="3"/>
  <c r="E152" i="3"/>
  <c r="E153" i="3"/>
  <c r="K278" i="20"/>
  <c r="D278" i="20"/>
  <c r="H290" i="19"/>
  <c r="I290" i="19"/>
  <c r="J290" i="19"/>
  <c r="K290" i="19"/>
  <c r="L290" i="19"/>
  <c r="M290" i="19"/>
  <c r="N290" i="19"/>
  <c r="O290" i="19"/>
  <c r="P290" i="19"/>
  <c r="Q290" i="19"/>
  <c r="R290" i="19"/>
  <c r="S290" i="19"/>
  <c r="G289" i="19"/>
  <c r="F291" i="19"/>
  <c r="H150" i="19"/>
  <c r="I150" i="19"/>
  <c r="J150" i="19"/>
  <c r="K150" i="19"/>
  <c r="L150" i="19"/>
  <c r="M150" i="19"/>
  <c r="N150" i="19"/>
  <c r="O150" i="19"/>
  <c r="P150" i="19"/>
  <c r="Q150" i="19"/>
  <c r="R150" i="19"/>
  <c r="S150" i="19"/>
  <c r="G149" i="19"/>
  <c r="F151" i="19"/>
  <c r="D297" i="3"/>
  <c r="G89" i="20"/>
  <c r="J103" i="20"/>
  <c r="G103" i="20"/>
  <c r="K277" i="4"/>
  <c r="K276" i="4"/>
  <c r="K275" i="4"/>
  <c r="K274" i="4"/>
  <c r="K273" i="4"/>
  <c r="K272" i="4"/>
  <c r="K271" i="4"/>
  <c r="K270" i="4"/>
  <c r="K287" i="4"/>
  <c r="J102" i="20"/>
  <c r="G88" i="20"/>
  <c r="G102" i="20"/>
  <c r="D145" i="3"/>
  <c r="D275" i="20"/>
  <c r="K275" i="20"/>
  <c r="J105" i="20"/>
  <c r="G91" i="20"/>
  <c r="G105" i="20"/>
  <c r="I278" i="20"/>
  <c r="D85" i="3"/>
  <c r="D149" i="3"/>
  <c r="E148" i="3"/>
  <c r="D197" i="3"/>
  <c r="I79" i="20"/>
  <c r="I91" i="20"/>
  <c r="P26" i="20"/>
  <c r="O78" i="20"/>
  <c r="O90" i="20"/>
  <c r="K76" i="20"/>
  <c r="D77" i="20"/>
  <c r="D89" i="20"/>
  <c r="J79" i="20"/>
  <c r="J91" i="20"/>
  <c r="I74" i="20"/>
  <c r="I86" i="20"/>
  <c r="D79" i="20"/>
  <c r="D91" i="20"/>
  <c r="N75" i="20"/>
  <c r="N87" i="20"/>
  <c r="M79" i="20"/>
  <c r="D78" i="3"/>
  <c r="E79" i="3"/>
  <c r="E80" i="3"/>
  <c r="E81" i="3"/>
  <c r="D302" i="3"/>
  <c r="G350" i="19"/>
  <c r="F352" i="19"/>
  <c r="H351" i="19"/>
  <c r="I351" i="19"/>
  <c r="J351" i="19"/>
  <c r="K351" i="19"/>
  <c r="L351" i="19"/>
  <c r="M351" i="19"/>
  <c r="N351" i="19"/>
  <c r="O351" i="19"/>
  <c r="P351" i="19"/>
  <c r="Q351" i="19"/>
  <c r="R351" i="19"/>
  <c r="S351" i="19"/>
  <c r="H89" i="20"/>
  <c r="K103" i="20"/>
  <c r="D174" i="3"/>
  <c r="E175" i="3"/>
  <c r="E176" i="3"/>
  <c r="E177" i="3"/>
  <c r="D318" i="3"/>
  <c r="E319" i="3"/>
  <c r="E320" i="3"/>
  <c r="E321" i="3"/>
  <c r="G312" i="19"/>
  <c r="F314" i="19"/>
  <c r="H313" i="19"/>
  <c r="I313" i="19"/>
  <c r="J313" i="19"/>
  <c r="K313" i="19"/>
  <c r="L313" i="19"/>
  <c r="M313" i="19"/>
  <c r="N313" i="19"/>
  <c r="O313" i="19"/>
  <c r="P313" i="19"/>
  <c r="Q313" i="19"/>
  <c r="R313" i="19"/>
  <c r="S313" i="19"/>
  <c r="K104" i="20"/>
  <c r="H90" i="20"/>
  <c r="O29" i="16"/>
  <c r="M30" i="16"/>
  <c r="Q29" i="16"/>
  <c r="P29" i="16"/>
  <c r="Q277" i="4"/>
  <c r="Q276" i="4"/>
  <c r="Q275" i="4"/>
  <c r="Q274" i="4"/>
  <c r="Q273" i="4"/>
  <c r="Q272" i="4"/>
  <c r="Q271" i="4"/>
  <c r="Q270" i="4"/>
  <c r="Q287" i="4"/>
  <c r="K105" i="20"/>
  <c r="E286" i="4"/>
  <c r="E285" i="4"/>
  <c r="E284" i="4"/>
  <c r="E283" i="4"/>
  <c r="E282" i="4"/>
  <c r="E281" i="4"/>
  <c r="E280" i="4"/>
  <c r="E279" i="4"/>
  <c r="E296" i="4"/>
  <c r="F76" i="20"/>
  <c r="I76" i="20"/>
  <c r="I88" i="20"/>
  <c r="G90" i="20"/>
  <c r="G104" i="20"/>
  <c r="J104" i="20"/>
  <c r="O81" i="20"/>
  <c r="O93" i="20"/>
  <c r="L81" i="20"/>
  <c r="L93" i="20"/>
  <c r="H88" i="20"/>
  <c r="K102" i="20"/>
  <c r="D206" i="3"/>
  <c r="E207" i="3"/>
  <c r="E208" i="3"/>
  <c r="D166" i="3"/>
  <c r="E167" i="3"/>
  <c r="E168" i="3"/>
  <c r="E169" i="3"/>
  <c r="F44" i="4"/>
  <c r="E46" i="4"/>
  <c r="L43" i="4"/>
  <c r="O43" i="4"/>
  <c r="J43" i="4"/>
  <c r="G44" i="4"/>
  <c r="N43" i="4"/>
  <c r="I43" i="4"/>
  <c r="K43" i="4"/>
  <c r="M43" i="4"/>
  <c r="P43" i="4"/>
  <c r="H258" i="19"/>
  <c r="I258" i="19"/>
  <c r="J258" i="19"/>
  <c r="K258" i="19"/>
  <c r="L258" i="19"/>
  <c r="M258" i="19"/>
  <c r="N258" i="19"/>
  <c r="O258" i="19"/>
  <c r="P258" i="19"/>
  <c r="Q258" i="19"/>
  <c r="R258" i="19"/>
  <c r="S258" i="19"/>
  <c r="G257" i="19"/>
  <c r="F259" i="19"/>
  <c r="H44" i="19"/>
  <c r="I44" i="19"/>
  <c r="J44" i="19"/>
  <c r="K44" i="19"/>
  <c r="L44" i="19"/>
  <c r="M44" i="19"/>
  <c r="N44" i="19"/>
  <c r="O44" i="19"/>
  <c r="P44" i="19"/>
  <c r="Q44" i="19"/>
  <c r="R44" i="19"/>
  <c r="S44" i="19"/>
  <c r="G43" i="19"/>
  <c r="F45" i="19"/>
  <c r="H93" i="20"/>
  <c r="K107" i="20"/>
  <c r="G80" i="19"/>
  <c r="F82" i="19"/>
  <c r="H81" i="19"/>
  <c r="I81" i="19"/>
  <c r="J81" i="19"/>
  <c r="K81" i="19"/>
  <c r="L81" i="19"/>
  <c r="M81" i="19"/>
  <c r="N81" i="19"/>
  <c r="O81" i="19"/>
  <c r="P81" i="19"/>
  <c r="Q81" i="19"/>
  <c r="R81" i="19"/>
  <c r="S81" i="19"/>
  <c r="D230" i="3"/>
  <c r="E231" i="3"/>
  <c r="E232" i="3"/>
  <c r="E233" i="3"/>
  <c r="D313" i="3"/>
  <c r="H86" i="20"/>
  <c r="K100" i="20"/>
  <c r="E71" i="5"/>
  <c r="H71" i="5"/>
  <c r="B72" i="5"/>
  <c r="D71" i="5"/>
  <c r="AC286" i="4"/>
  <c r="AC285" i="4"/>
  <c r="AC284" i="4"/>
  <c r="AC283" i="4"/>
  <c r="AC282" i="4"/>
  <c r="AC281" i="4"/>
  <c r="AC280" i="4"/>
  <c r="AC279" i="4"/>
  <c r="AC296" i="4"/>
  <c r="M80" i="20"/>
  <c r="N80" i="20"/>
  <c r="N92" i="20"/>
  <c r="K78" i="20"/>
  <c r="M81" i="20"/>
  <c r="D15" i="3"/>
  <c r="N77" i="20"/>
  <c r="N89" i="20"/>
  <c r="F275" i="20"/>
  <c r="E74" i="20"/>
  <c r="I275" i="20"/>
  <c r="E78" i="20"/>
  <c r="F78" i="20"/>
  <c r="L74" i="20"/>
  <c r="L86" i="20"/>
  <c r="E81" i="20"/>
  <c r="D83" i="4"/>
  <c r="D84" i="4"/>
  <c r="D85" i="4"/>
  <c r="D86" i="4"/>
  <c r="D87" i="4"/>
  <c r="D88" i="4"/>
  <c r="D89" i="4"/>
  <c r="D90" i="4"/>
  <c r="D91" i="4"/>
  <c r="L75" i="20"/>
  <c r="L87" i="20"/>
  <c r="E76" i="20"/>
  <c r="J77" i="20"/>
  <c r="J89" i="20"/>
  <c r="D126" i="3"/>
  <c r="E127" i="3"/>
  <c r="E128" i="3"/>
  <c r="E129" i="3"/>
  <c r="D310" i="3"/>
  <c r="D205" i="3"/>
  <c r="D94" i="3"/>
  <c r="E95" i="3"/>
  <c r="E96" i="3"/>
  <c r="E97" i="3"/>
  <c r="L32" i="4"/>
  <c r="L22" i="4"/>
  <c r="L23" i="4"/>
  <c r="L24" i="4"/>
  <c r="L25" i="4"/>
  <c r="L26" i="4"/>
  <c r="L27" i="4"/>
  <c r="D118" i="3"/>
  <c r="E119" i="3"/>
  <c r="E120" i="3"/>
  <c r="E121" i="3"/>
  <c r="D278" i="3"/>
  <c r="E279" i="3"/>
  <c r="E280" i="3"/>
  <c r="J42" i="4"/>
  <c r="K42" i="4"/>
  <c r="L42" i="4"/>
  <c r="M42" i="4"/>
  <c r="N42" i="4"/>
  <c r="O42" i="4"/>
  <c r="P42" i="4"/>
  <c r="Q42" i="4"/>
  <c r="F81" i="20"/>
  <c r="I81" i="20"/>
  <c r="I93" i="20"/>
  <c r="J275" i="20"/>
  <c r="E275" i="20"/>
  <c r="D198" i="3"/>
  <c r="E199" i="3"/>
  <c r="E200" i="3"/>
  <c r="E201" i="3"/>
  <c r="P16" i="16"/>
  <c r="M17" i="16"/>
  <c r="O16" i="16"/>
  <c r="D326" i="3"/>
  <c r="E327" i="3"/>
  <c r="E328" i="3"/>
  <c r="E329" i="3"/>
  <c r="L76" i="20"/>
  <c r="L88" i="20"/>
  <c r="O76" i="20"/>
  <c r="O88" i="20"/>
  <c r="K81" i="20"/>
  <c r="D81" i="20"/>
  <c r="D93" i="20"/>
  <c r="F92" i="20"/>
  <c r="E106" i="20"/>
  <c r="G93" i="20"/>
  <c r="G107" i="20"/>
  <c r="J107" i="20"/>
  <c r="D70" i="3"/>
  <c r="E71" i="3"/>
  <c r="E72" i="3"/>
  <c r="E73" i="3"/>
  <c r="D134" i="3"/>
  <c r="E135" i="3"/>
  <c r="E136" i="3"/>
  <c r="E137" i="3"/>
  <c r="G100" i="20"/>
  <c r="G86" i="20"/>
  <c r="J100" i="20"/>
  <c r="K101" i="20"/>
  <c r="H87" i="20"/>
  <c r="G214" i="19"/>
  <c r="F216" i="19"/>
  <c r="H215" i="19"/>
  <c r="I215" i="19"/>
  <c r="J215" i="19"/>
  <c r="K215" i="19"/>
  <c r="L215" i="19"/>
  <c r="M215" i="19"/>
  <c r="N215" i="19"/>
  <c r="O215" i="19"/>
  <c r="P215" i="19"/>
  <c r="Q215" i="19"/>
  <c r="R215" i="19"/>
  <c r="S215" i="19"/>
  <c r="M76" i="20"/>
  <c r="D182" i="3"/>
  <c r="E183" i="3"/>
  <c r="E184" i="3"/>
  <c r="E185" i="3"/>
  <c r="N78" i="20"/>
  <c r="N90" i="20"/>
  <c r="D317" i="3"/>
  <c r="J75" i="20"/>
  <c r="J87" i="20"/>
  <c r="D74" i="20"/>
  <c r="D86" i="20"/>
  <c r="F75" i="20"/>
  <c r="D165" i="3"/>
  <c r="N74" i="20"/>
  <c r="N86" i="20"/>
  <c r="O79" i="20"/>
  <c r="O91" i="20"/>
  <c r="D93" i="3"/>
  <c r="D22" i="3"/>
  <c r="D245" i="3"/>
  <c r="D262" i="3"/>
  <c r="E263" i="3"/>
  <c r="E264" i="3"/>
  <c r="E265" i="3"/>
  <c r="D254" i="3"/>
  <c r="P38" i="20"/>
  <c r="M9" i="33"/>
  <c r="M11" i="33"/>
  <c r="O20" i="4"/>
  <c r="N21" i="4"/>
  <c r="N22" i="4"/>
  <c r="N23" i="4"/>
  <c r="N24" i="4"/>
  <c r="N25" i="4"/>
  <c r="N26" i="4"/>
  <c r="N27" i="4"/>
  <c r="N28" i="4"/>
  <c r="N29" i="4"/>
  <c r="L18" i="13"/>
  <c r="I106" i="20"/>
  <c r="E92" i="20"/>
  <c r="E103" i="20"/>
  <c r="E91" i="20"/>
  <c r="E43" i="3"/>
  <c r="E44" i="3"/>
  <c r="H101" i="20"/>
  <c r="E100" i="3"/>
  <c r="E155" i="3"/>
  <c r="F100" i="20"/>
  <c r="E284" i="3"/>
  <c r="H100" i="20"/>
  <c r="E105" i="20"/>
  <c r="I105" i="20"/>
  <c r="E51" i="3"/>
  <c r="E52" i="3"/>
  <c r="I103" i="20"/>
  <c r="E89" i="20"/>
  <c r="E19" i="3"/>
  <c r="K92" i="20"/>
  <c r="E107" i="3"/>
  <c r="E204" i="3"/>
  <c r="E219" i="3"/>
  <c r="F86" i="20"/>
  <c r="H104" i="20"/>
  <c r="K91" i="20"/>
  <c r="E76" i="3"/>
  <c r="E108" i="3"/>
  <c r="E156" i="3"/>
  <c r="E157" i="3"/>
  <c r="E283" i="3"/>
  <c r="K89" i="20"/>
  <c r="E212" i="3"/>
  <c r="E275" i="3"/>
  <c r="E303" i="3"/>
  <c r="E304" i="3"/>
  <c r="E305" i="3"/>
  <c r="I101" i="20"/>
  <c r="D13" i="3"/>
  <c r="M89" i="20"/>
  <c r="E61" i="3"/>
  <c r="E243" i="3"/>
  <c r="E103" i="3"/>
  <c r="E104" i="3"/>
  <c r="E105" i="3"/>
  <c r="E267" i="3"/>
  <c r="E269" i="3"/>
  <c r="E187" i="3"/>
  <c r="E220" i="3"/>
  <c r="E164" i="3"/>
  <c r="E276" i="3"/>
  <c r="E27" i="3"/>
  <c r="E99" i="3"/>
  <c r="E311" i="3"/>
  <c r="E312" i="3"/>
  <c r="E313" i="3"/>
  <c r="D101" i="20"/>
  <c r="E211" i="3"/>
  <c r="E236" i="3"/>
  <c r="E62" i="3"/>
  <c r="F63" i="3"/>
  <c r="F64" i="3"/>
  <c r="F65" i="3"/>
  <c r="E315" i="3"/>
  <c r="G71" i="5"/>
  <c r="F72" i="5"/>
  <c r="E84" i="3"/>
  <c r="E188" i="3"/>
  <c r="E67" i="3"/>
  <c r="E172" i="3"/>
  <c r="E36" i="3"/>
  <c r="E68" i="3"/>
  <c r="E307" i="3"/>
  <c r="E171" i="3"/>
  <c r="E35" i="3"/>
  <c r="E235" i="3"/>
  <c r="E28" i="3"/>
  <c r="E227" i="3"/>
  <c r="K93" i="20"/>
  <c r="F107" i="20"/>
  <c r="P17" i="16"/>
  <c r="M18" i="16"/>
  <c r="O17" i="16"/>
  <c r="AC295" i="4"/>
  <c r="AC294" i="4"/>
  <c r="AC293" i="4"/>
  <c r="AC292" i="4"/>
  <c r="AC291" i="4"/>
  <c r="AC290" i="4"/>
  <c r="AC289" i="4"/>
  <c r="AC288" i="4"/>
  <c r="AC305" i="4"/>
  <c r="E255" i="3"/>
  <c r="E256" i="3"/>
  <c r="E252" i="3"/>
  <c r="F87" i="20"/>
  <c r="E101" i="20"/>
  <c r="G216" i="19"/>
  <c r="F218" i="19"/>
  <c r="H217" i="19"/>
  <c r="I217" i="19"/>
  <c r="J217" i="19"/>
  <c r="K217" i="19"/>
  <c r="L217" i="19"/>
  <c r="M217" i="19"/>
  <c r="N217" i="19"/>
  <c r="O217" i="19"/>
  <c r="P217" i="19"/>
  <c r="Q217" i="19"/>
  <c r="R217" i="19"/>
  <c r="S217" i="19"/>
  <c r="E281" i="3"/>
  <c r="L28" i="4"/>
  <c r="L29" i="4"/>
  <c r="L30" i="4"/>
  <c r="E88" i="20"/>
  <c r="I102" i="20"/>
  <c r="D102" i="20"/>
  <c r="E86" i="20"/>
  <c r="I100" i="20"/>
  <c r="D100" i="20"/>
  <c r="H107" i="20"/>
  <c r="M93" i="20"/>
  <c r="G259" i="19"/>
  <c r="F261" i="19"/>
  <c r="H260" i="19"/>
  <c r="I260" i="19"/>
  <c r="J260" i="19"/>
  <c r="K260" i="19"/>
  <c r="L260" i="19"/>
  <c r="M260" i="19"/>
  <c r="N260" i="19"/>
  <c r="O260" i="19"/>
  <c r="P260" i="19"/>
  <c r="Q260" i="19"/>
  <c r="R260" i="19"/>
  <c r="S260" i="19"/>
  <c r="E305" i="4"/>
  <c r="E295" i="4"/>
  <c r="E294" i="4"/>
  <c r="E293" i="4"/>
  <c r="E292" i="4"/>
  <c r="E291" i="4"/>
  <c r="E290" i="4"/>
  <c r="E289" i="4"/>
  <c r="E288" i="4"/>
  <c r="Q296" i="4"/>
  <c r="Q286" i="4"/>
  <c r="Q285" i="4"/>
  <c r="Q284" i="4"/>
  <c r="Q283" i="4"/>
  <c r="Q282" i="4"/>
  <c r="Q281" i="4"/>
  <c r="Q280" i="4"/>
  <c r="Q279" i="4"/>
  <c r="O30" i="16"/>
  <c r="Q30" i="16"/>
  <c r="M31" i="16"/>
  <c r="P30" i="16"/>
  <c r="G151" i="19"/>
  <c r="F153" i="19"/>
  <c r="H152" i="19"/>
  <c r="I152" i="19"/>
  <c r="J152" i="19"/>
  <c r="K152" i="19"/>
  <c r="L152" i="19"/>
  <c r="M152" i="19"/>
  <c r="N152" i="19"/>
  <c r="O152" i="19"/>
  <c r="P152" i="19"/>
  <c r="Q152" i="19"/>
  <c r="R152" i="19"/>
  <c r="S152" i="19"/>
  <c r="G112" i="19"/>
  <c r="F114" i="19"/>
  <c r="H113" i="19"/>
  <c r="I113" i="19"/>
  <c r="J113" i="19"/>
  <c r="K113" i="19"/>
  <c r="L113" i="19"/>
  <c r="M113" i="19"/>
  <c r="N113" i="19"/>
  <c r="O113" i="19"/>
  <c r="P113" i="19"/>
  <c r="Q113" i="19"/>
  <c r="R113" i="19"/>
  <c r="S113" i="19"/>
  <c r="E115" i="3"/>
  <c r="E91" i="3"/>
  <c r="E132" i="3"/>
  <c r="E323" i="3"/>
  <c r="E195" i="3"/>
  <c r="E116" i="3"/>
  <c r="E228" i="3"/>
  <c r="E163" i="3"/>
  <c r="E203" i="3"/>
  <c r="E316" i="3"/>
  <c r="E147" i="3"/>
  <c r="E149" i="3"/>
  <c r="E244" i="3"/>
  <c r="E299" i="3"/>
  <c r="E300" i="3"/>
  <c r="E308" i="3"/>
  <c r="E23" i="3"/>
  <c r="E24" i="3"/>
  <c r="E25" i="3"/>
  <c r="E20" i="3"/>
  <c r="J44" i="4"/>
  <c r="K44" i="4"/>
  <c r="L44" i="4"/>
  <c r="M44" i="4"/>
  <c r="N44" i="4"/>
  <c r="O44" i="4"/>
  <c r="P44" i="4"/>
  <c r="Q44" i="4"/>
  <c r="I46" i="4"/>
  <c r="E93" i="20"/>
  <c r="D107" i="20"/>
  <c r="I107" i="20"/>
  <c r="D16" i="3"/>
  <c r="D17" i="3"/>
  <c r="H83" i="19"/>
  <c r="I83" i="19"/>
  <c r="J83" i="19"/>
  <c r="K83" i="19"/>
  <c r="L83" i="19"/>
  <c r="M83" i="19"/>
  <c r="N83" i="19"/>
  <c r="O83" i="19"/>
  <c r="P83" i="19"/>
  <c r="Q83" i="19"/>
  <c r="R83" i="19"/>
  <c r="S83" i="19"/>
  <c r="G82" i="19"/>
  <c r="F84" i="19"/>
  <c r="F88" i="20"/>
  <c r="E102" i="20"/>
  <c r="H353" i="19"/>
  <c r="I353" i="19"/>
  <c r="J353" i="19"/>
  <c r="K353" i="19"/>
  <c r="L353" i="19"/>
  <c r="M353" i="19"/>
  <c r="N353" i="19"/>
  <c r="O353" i="19"/>
  <c r="P353" i="19"/>
  <c r="Q353" i="19"/>
  <c r="R353" i="19"/>
  <c r="S353" i="19"/>
  <c r="G352" i="19"/>
  <c r="F354" i="19"/>
  <c r="E291" i="3"/>
  <c r="E292" i="3"/>
  <c r="E131" i="3"/>
  <c r="E196" i="3"/>
  <c r="E92" i="3"/>
  <c r="E124" i="3"/>
  <c r="E92" i="4"/>
  <c r="E83" i="3"/>
  <c r="E180" i="3"/>
  <c r="K90" i="20"/>
  <c r="F104" i="20"/>
  <c r="E209" i="3"/>
  <c r="M91" i="20"/>
  <c r="H105" i="20"/>
  <c r="F102" i="20"/>
  <c r="K88" i="20"/>
  <c r="E140" i="3"/>
  <c r="E139" i="3"/>
  <c r="G291" i="19"/>
  <c r="F293" i="19"/>
  <c r="H292" i="19"/>
  <c r="I292" i="19"/>
  <c r="J292" i="19"/>
  <c r="K292" i="19"/>
  <c r="L292" i="19"/>
  <c r="M292" i="19"/>
  <c r="N292" i="19"/>
  <c r="O292" i="19"/>
  <c r="P292" i="19"/>
  <c r="Q292" i="19"/>
  <c r="R292" i="19"/>
  <c r="S292" i="19"/>
  <c r="K87" i="20"/>
  <c r="F101" i="20"/>
  <c r="D14" i="3"/>
  <c r="E295" i="3"/>
  <c r="E296" i="3"/>
  <c r="E297" i="3"/>
  <c r="E123" i="3"/>
  <c r="E259" i="3"/>
  <c r="F93" i="20"/>
  <c r="E107" i="20"/>
  <c r="I104" i="20"/>
  <c r="E90" i="20"/>
  <c r="D104" i="20"/>
  <c r="G45" i="19"/>
  <c r="F47" i="19"/>
  <c r="H46" i="19"/>
  <c r="I46" i="19"/>
  <c r="J46" i="19"/>
  <c r="K46" i="19"/>
  <c r="L46" i="19"/>
  <c r="M46" i="19"/>
  <c r="N46" i="19"/>
  <c r="O46" i="19"/>
  <c r="P46" i="19"/>
  <c r="Q46" i="19"/>
  <c r="R46" i="19"/>
  <c r="S46" i="19"/>
  <c r="M88" i="20"/>
  <c r="H102" i="20"/>
  <c r="F90" i="20"/>
  <c r="E104" i="20"/>
  <c r="M92" i="20"/>
  <c r="H106" i="20"/>
  <c r="E72" i="5"/>
  <c r="H72" i="5"/>
  <c r="D72" i="5"/>
  <c r="B73" i="5"/>
  <c r="E48" i="4"/>
  <c r="F46" i="4"/>
  <c r="G46" i="4"/>
  <c r="L45" i="4"/>
  <c r="M45" i="4"/>
  <c r="O45" i="4"/>
  <c r="J45" i="4"/>
  <c r="N45" i="4"/>
  <c r="K45" i="4"/>
  <c r="P45" i="4"/>
  <c r="I45" i="4"/>
  <c r="G314" i="19"/>
  <c r="F316" i="19"/>
  <c r="H315" i="19"/>
  <c r="I315" i="19"/>
  <c r="J315" i="19"/>
  <c r="K315" i="19"/>
  <c r="L315" i="19"/>
  <c r="M315" i="19"/>
  <c r="N315" i="19"/>
  <c r="O315" i="19"/>
  <c r="P315" i="19"/>
  <c r="Q315" i="19"/>
  <c r="R315" i="19"/>
  <c r="S315" i="19"/>
  <c r="K296" i="4"/>
  <c r="K286" i="4"/>
  <c r="K285" i="4"/>
  <c r="K284" i="4"/>
  <c r="K283" i="4"/>
  <c r="K282" i="4"/>
  <c r="K281" i="4"/>
  <c r="K280" i="4"/>
  <c r="K279" i="4"/>
  <c r="E41" i="3"/>
  <c r="W323" i="4"/>
  <c r="W322" i="4"/>
  <c r="W321" i="4"/>
  <c r="W320" i="4"/>
  <c r="W319" i="4"/>
  <c r="W318" i="4"/>
  <c r="W317" i="4"/>
  <c r="W316" i="4"/>
  <c r="W315" i="4"/>
  <c r="W313" i="4"/>
  <c r="W312" i="4"/>
  <c r="W311" i="4"/>
  <c r="W310" i="4"/>
  <c r="W309" i="4"/>
  <c r="W308" i="4"/>
  <c r="W307" i="4"/>
  <c r="W306" i="4"/>
  <c r="E324" i="3"/>
  <c r="E179" i="3"/>
  <c r="F83" i="4"/>
  <c r="F84" i="4"/>
  <c r="F85" i="4"/>
  <c r="F86" i="4"/>
  <c r="F87" i="4"/>
  <c r="F88" i="4"/>
  <c r="F89" i="4"/>
  <c r="F90" i="4"/>
  <c r="F91" i="4"/>
  <c r="E143" i="3"/>
  <c r="E144" i="3"/>
  <c r="E145" i="3"/>
  <c r="E260" i="3"/>
  <c r="E75" i="3"/>
  <c r="E251" i="3"/>
  <c r="E277" i="3"/>
  <c r="L31" i="4"/>
  <c r="L33" i="4"/>
  <c r="L34" i="4"/>
  <c r="L35" i="4"/>
  <c r="M20" i="4"/>
  <c r="R20" i="4"/>
  <c r="Q21" i="4"/>
  <c r="Q22" i="4"/>
  <c r="Q23" i="4"/>
  <c r="Q24" i="4"/>
  <c r="Q25" i="4"/>
  <c r="Q26" i="4"/>
  <c r="Q27" i="4"/>
  <c r="Q28" i="4"/>
  <c r="Q29" i="4"/>
  <c r="O21" i="4"/>
  <c r="O32" i="4"/>
  <c r="L17" i="13"/>
  <c r="O106" i="20"/>
  <c r="P106" i="20"/>
  <c r="Q106" i="20"/>
  <c r="O103" i="20"/>
  <c r="P103" i="20"/>
  <c r="Q103" i="20"/>
  <c r="E30" i="3"/>
  <c r="F31" i="3"/>
  <c r="F32" i="3"/>
  <c r="F33" i="3"/>
  <c r="E45" i="3"/>
  <c r="E46" i="3"/>
  <c r="F47" i="3"/>
  <c r="F48" i="3"/>
  <c r="E101" i="3"/>
  <c r="E53" i="3"/>
  <c r="P91" i="20"/>
  <c r="E54" i="3"/>
  <c r="F55" i="3"/>
  <c r="F56" i="3"/>
  <c r="F57" i="3"/>
  <c r="E158" i="3"/>
  <c r="F159" i="3"/>
  <c r="F160" i="3"/>
  <c r="F161" i="3"/>
  <c r="E286" i="3"/>
  <c r="F287" i="3"/>
  <c r="F288" i="3"/>
  <c r="F289" i="3"/>
  <c r="E38" i="3"/>
  <c r="F39" i="3"/>
  <c r="F40" i="3"/>
  <c r="F41" i="3"/>
  <c r="O105" i="20"/>
  <c r="P105" i="20"/>
  <c r="Q105" i="20"/>
  <c r="E21" i="3"/>
  <c r="E222" i="3"/>
  <c r="F223" i="3"/>
  <c r="F224" i="3"/>
  <c r="F225" i="3"/>
  <c r="E110" i="3"/>
  <c r="F111" i="3"/>
  <c r="F112" i="3"/>
  <c r="F113" i="3"/>
  <c r="E214" i="3"/>
  <c r="F215" i="3"/>
  <c r="F216" i="3"/>
  <c r="F217" i="3"/>
  <c r="P92" i="20"/>
  <c r="E317" i="3"/>
  <c r="O101" i="20"/>
  <c r="P101" i="20"/>
  <c r="Q101" i="20"/>
  <c r="P86" i="20"/>
  <c r="E77" i="3"/>
  <c r="E109" i="3"/>
  <c r="E221" i="3"/>
  <c r="E270" i="3"/>
  <c r="F271" i="3"/>
  <c r="F272" i="3"/>
  <c r="F273" i="3"/>
  <c r="P89" i="20"/>
  <c r="Q115" i="20"/>
  <c r="E285" i="3"/>
  <c r="E29" i="3"/>
  <c r="E237" i="3"/>
  <c r="E102" i="3"/>
  <c r="F103" i="3"/>
  <c r="F104" i="3"/>
  <c r="F105" i="3"/>
  <c r="E261" i="3"/>
  <c r="E278" i="3"/>
  <c r="E245" i="3"/>
  <c r="E238" i="3"/>
  <c r="F239" i="3"/>
  <c r="F240" i="3"/>
  <c r="F241" i="3"/>
  <c r="E229" i="3"/>
  <c r="E70" i="3"/>
  <c r="F71" i="3"/>
  <c r="F72" i="3"/>
  <c r="F73" i="3"/>
  <c r="E190" i="3"/>
  <c r="F191" i="3"/>
  <c r="F192" i="3"/>
  <c r="F193" i="3"/>
  <c r="E325" i="3"/>
  <c r="E230" i="3"/>
  <c r="F231" i="3"/>
  <c r="F232" i="3"/>
  <c r="F233" i="3"/>
  <c r="F279" i="3"/>
  <c r="F280" i="3"/>
  <c r="F281" i="3"/>
  <c r="E309" i="3"/>
  <c r="E189" i="3"/>
  <c r="E69" i="3"/>
  <c r="E174" i="3"/>
  <c r="F175" i="3"/>
  <c r="F176" i="3"/>
  <c r="F177" i="3"/>
  <c r="E173" i="3"/>
  <c r="E293" i="3"/>
  <c r="E12" i="3"/>
  <c r="F60" i="3"/>
  <c r="E197" i="3"/>
  <c r="E133" i="3"/>
  <c r="F59" i="3"/>
  <c r="E213" i="3"/>
  <c r="E318" i="3"/>
  <c r="F319" i="3"/>
  <c r="F320" i="3"/>
  <c r="F321" i="3"/>
  <c r="E37" i="3"/>
  <c r="P93" i="20"/>
  <c r="E117" i="3"/>
  <c r="P88" i="20"/>
  <c r="O102" i="20"/>
  <c r="P102" i="20"/>
  <c r="Q102" i="20"/>
  <c r="O104" i="20"/>
  <c r="P104" i="20"/>
  <c r="Q104" i="20"/>
  <c r="E15" i="3"/>
  <c r="E16" i="3"/>
  <c r="E17" i="3"/>
  <c r="P87" i="20"/>
  <c r="E301" i="3"/>
  <c r="E254" i="3"/>
  <c r="D92" i="4"/>
  <c r="D93" i="4"/>
  <c r="D94" i="4"/>
  <c r="D95" i="4"/>
  <c r="D96" i="4"/>
  <c r="D97" i="4"/>
  <c r="D98" i="4"/>
  <c r="D99" i="4"/>
  <c r="E294" i="3"/>
  <c r="F295" i="3"/>
  <c r="F296" i="3"/>
  <c r="F297" i="3"/>
  <c r="J46" i="4"/>
  <c r="K46" i="4"/>
  <c r="L46" i="4"/>
  <c r="M46" i="4"/>
  <c r="N46" i="4"/>
  <c r="O46" i="4"/>
  <c r="P46" i="4"/>
  <c r="Q46" i="4"/>
  <c r="I48" i="4"/>
  <c r="E166" i="3"/>
  <c r="F167" i="3"/>
  <c r="F168" i="3"/>
  <c r="F169" i="3"/>
  <c r="E198" i="3"/>
  <c r="F199" i="3"/>
  <c r="F200" i="3"/>
  <c r="F201" i="3"/>
  <c r="M19" i="16"/>
  <c r="O18" i="16"/>
  <c r="P18" i="16"/>
  <c r="P90" i="20"/>
  <c r="E141" i="3"/>
  <c r="E253" i="3"/>
  <c r="E126" i="3"/>
  <c r="F127" i="3"/>
  <c r="F128" i="3"/>
  <c r="F129" i="3"/>
  <c r="E142" i="3"/>
  <c r="F143" i="3"/>
  <c r="F144" i="3"/>
  <c r="F145" i="3"/>
  <c r="E86" i="3"/>
  <c r="F87" i="3"/>
  <c r="F88" i="3"/>
  <c r="F89" i="3"/>
  <c r="E206" i="3"/>
  <c r="F207" i="3"/>
  <c r="F208" i="3"/>
  <c r="F209" i="3"/>
  <c r="H154" i="19"/>
  <c r="I154" i="19"/>
  <c r="J154" i="19"/>
  <c r="K154" i="19"/>
  <c r="L154" i="19"/>
  <c r="M154" i="19"/>
  <c r="N154" i="19"/>
  <c r="O154" i="19"/>
  <c r="P154" i="19"/>
  <c r="Q154" i="19"/>
  <c r="R154" i="19"/>
  <c r="S154" i="19"/>
  <c r="G153" i="19"/>
  <c r="F155" i="19"/>
  <c r="Q295" i="4"/>
  <c r="Q294" i="4"/>
  <c r="Q293" i="4"/>
  <c r="Q292" i="4"/>
  <c r="Q291" i="4"/>
  <c r="Q290" i="4"/>
  <c r="Q289" i="4"/>
  <c r="Q288" i="4"/>
  <c r="Q305" i="4"/>
  <c r="G47" i="19"/>
  <c r="F49" i="19"/>
  <c r="H48" i="19"/>
  <c r="I48" i="19"/>
  <c r="J48" i="19"/>
  <c r="K48" i="19"/>
  <c r="L48" i="19"/>
  <c r="M48" i="19"/>
  <c r="N48" i="19"/>
  <c r="O48" i="19"/>
  <c r="P48" i="19"/>
  <c r="Q48" i="19"/>
  <c r="R48" i="19"/>
  <c r="S48" i="19"/>
  <c r="E262" i="3"/>
  <c r="F263" i="3"/>
  <c r="F264" i="3"/>
  <c r="F265" i="3"/>
  <c r="G293" i="19"/>
  <c r="F295" i="19"/>
  <c r="H294" i="19"/>
  <c r="I294" i="19"/>
  <c r="J294" i="19"/>
  <c r="K294" i="19"/>
  <c r="L294" i="19"/>
  <c r="M294" i="19"/>
  <c r="N294" i="19"/>
  <c r="O294" i="19"/>
  <c r="P294" i="19"/>
  <c r="Q294" i="19"/>
  <c r="R294" i="19"/>
  <c r="S294" i="19"/>
  <c r="E150" i="3"/>
  <c r="F151" i="3"/>
  <c r="F152" i="3"/>
  <c r="F153" i="3"/>
  <c r="E326" i="3"/>
  <c r="F327" i="3"/>
  <c r="F328" i="3"/>
  <c r="F329" i="3"/>
  <c r="G72" i="5"/>
  <c r="F73" i="5"/>
  <c r="G84" i="4"/>
  <c r="G85" i="4"/>
  <c r="G86" i="4"/>
  <c r="G87" i="4"/>
  <c r="G88" i="4"/>
  <c r="G89" i="4"/>
  <c r="G90" i="4"/>
  <c r="G91" i="4"/>
  <c r="G92" i="4"/>
  <c r="O107" i="20"/>
  <c r="P107" i="20"/>
  <c r="Q107" i="20"/>
  <c r="O100" i="20"/>
  <c r="P100" i="20"/>
  <c r="Q100" i="20"/>
  <c r="E310" i="3"/>
  <c r="E165" i="3"/>
  <c r="E22" i="3"/>
  <c r="E94" i="3"/>
  <c r="F95" i="3"/>
  <c r="F96" i="3"/>
  <c r="F97" i="3"/>
  <c r="E93" i="3"/>
  <c r="M32" i="16"/>
  <c r="O31" i="16"/>
  <c r="P31" i="16"/>
  <c r="Q31" i="16"/>
  <c r="H262" i="19"/>
  <c r="I262" i="19"/>
  <c r="J262" i="19"/>
  <c r="K262" i="19"/>
  <c r="L262" i="19"/>
  <c r="M262" i="19"/>
  <c r="N262" i="19"/>
  <c r="O262" i="19"/>
  <c r="P262" i="19"/>
  <c r="Q262" i="19"/>
  <c r="R262" i="19"/>
  <c r="S262" i="19"/>
  <c r="G261" i="19"/>
  <c r="F263" i="19"/>
  <c r="G316" i="19"/>
  <c r="F318" i="19"/>
  <c r="H317" i="19"/>
  <c r="I317" i="19"/>
  <c r="J317" i="19"/>
  <c r="K317" i="19"/>
  <c r="L317" i="19"/>
  <c r="M317" i="19"/>
  <c r="N317" i="19"/>
  <c r="O317" i="19"/>
  <c r="P317" i="19"/>
  <c r="Q317" i="19"/>
  <c r="R317" i="19"/>
  <c r="S317" i="19"/>
  <c r="E78" i="3"/>
  <c r="F79" i="3"/>
  <c r="F80" i="3"/>
  <c r="F81" i="3"/>
  <c r="E182" i="3"/>
  <c r="F183" i="3"/>
  <c r="F184" i="3"/>
  <c r="K305" i="4"/>
  <c r="K295" i="4"/>
  <c r="K294" i="4"/>
  <c r="K293" i="4"/>
  <c r="K292" i="4"/>
  <c r="K291" i="4"/>
  <c r="K290" i="4"/>
  <c r="K289" i="4"/>
  <c r="K288" i="4"/>
  <c r="E50" i="4"/>
  <c r="F48" i="4"/>
  <c r="K47" i="4"/>
  <c r="P47" i="4"/>
  <c r="G48" i="4"/>
  <c r="I47" i="4"/>
  <c r="O47" i="4"/>
  <c r="L47" i="4"/>
  <c r="J47" i="4"/>
  <c r="M47" i="4"/>
  <c r="N47" i="4"/>
  <c r="E73" i="5"/>
  <c r="H73" i="5"/>
  <c r="B74" i="5"/>
  <c r="D73" i="5"/>
  <c r="E134" i="3"/>
  <c r="F135" i="3"/>
  <c r="F136" i="3"/>
  <c r="F137" i="3"/>
  <c r="H355" i="19"/>
  <c r="I355" i="19"/>
  <c r="J355" i="19"/>
  <c r="K355" i="19"/>
  <c r="L355" i="19"/>
  <c r="M355" i="19"/>
  <c r="N355" i="19"/>
  <c r="O355" i="19"/>
  <c r="P355" i="19"/>
  <c r="Q355" i="19"/>
  <c r="R355" i="19"/>
  <c r="S355" i="19"/>
  <c r="G354" i="19"/>
  <c r="F356" i="19"/>
  <c r="G84" i="19"/>
  <c r="F86" i="19"/>
  <c r="H85" i="19"/>
  <c r="I85" i="19"/>
  <c r="J85" i="19"/>
  <c r="K85" i="19"/>
  <c r="L85" i="19"/>
  <c r="M85" i="19"/>
  <c r="N85" i="19"/>
  <c r="O85" i="19"/>
  <c r="P85" i="19"/>
  <c r="Q85" i="19"/>
  <c r="R85" i="19"/>
  <c r="S85" i="19"/>
  <c r="E302" i="3"/>
  <c r="F303" i="3"/>
  <c r="F304" i="3"/>
  <c r="F305" i="3"/>
  <c r="E118" i="3"/>
  <c r="F119" i="3"/>
  <c r="F120" i="3"/>
  <c r="F121" i="3"/>
  <c r="H115" i="19"/>
  <c r="I115" i="19"/>
  <c r="J115" i="19"/>
  <c r="K115" i="19"/>
  <c r="L115" i="19"/>
  <c r="M115" i="19"/>
  <c r="N115" i="19"/>
  <c r="O115" i="19"/>
  <c r="P115" i="19"/>
  <c r="Q115" i="19"/>
  <c r="R115" i="19"/>
  <c r="S115" i="19"/>
  <c r="G114" i="19"/>
  <c r="F116" i="19"/>
  <c r="E304" i="4"/>
  <c r="E303" i="4"/>
  <c r="E302" i="4"/>
  <c r="E301" i="4"/>
  <c r="E300" i="4"/>
  <c r="E299" i="4"/>
  <c r="E298" i="4"/>
  <c r="E297" i="4"/>
  <c r="E314" i="4"/>
  <c r="O22" i="4"/>
  <c r="O23" i="4"/>
  <c r="O24" i="4"/>
  <c r="O25" i="4"/>
  <c r="O26" i="4"/>
  <c r="O27" i="4"/>
  <c r="O28" i="4"/>
  <c r="G218" i="19"/>
  <c r="F220" i="19"/>
  <c r="H219" i="19"/>
  <c r="I219" i="19"/>
  <c r="J219" i="19"/>
  <c r="K219" i="19"/>
  <c r="L219" i="19"/>
  <c r="M219" i="19"/>
  <c r="N219" i="19"/>
  <c r="O219" i="19"/>
  <c r="P219" i="19"/>
  <c r="Q219" i="19"/>
  <c r="R219" i="19"/>
  <c r="S219" i="19"/>
  <c r="E257" i="3"/>
  <c r="AC314" i="4"/>
  <c r="AC304" i="4"/>
  <c r="AC303" i="4"/>
  <c r="AC302" i="4"/>
  <c r="AC301" i="4"/>
  <c r="AC300" i="4"/>
  <c r="AC299" i="4"/>
  <c r="AC298" i="4"/>
  <c r="AC297" i="4"/>
  <c r="E85" i="3"/>
  <c r="E11" i="3"/>
  <c r="E181" i="3"/>
  <c r="E125" i="3"/>
  <c r="E246" i="3"/>
  <c r="E205" i="3"/>
  <c r="F276" i="3"/>
  <c r="L28" i="13"/>
  <c r="F28" i="3"/>
  <c r="Q118" i="20"/>
  <c r="K118" i="20"/>
  <c r="F44" i="3"/>
  <c r="F51" i="3"/>
  <c r="F52" i="3"/>
  <c r="F43" i="3"/>
  <c r="Q117" i="20"/>
  <c r="N117" i="20"/>
  <c r="F36" i="3"/>
  <c r="F255" i="3"/>
  <c r="F256" i="3"/>
  <c r="F257" i="3"/>
  <c r="F155" i="3"/>
  <c r="F267" i="3"/>
  <c r="F156" i="3"/>
  <c r="F283" i="3"/>
  <c r="F220" i="3"/>
  <c r="F236" i="3"/>
  <c r="F235" i="3"/>
  <c r="J115" i="20"/>
  <c r="L115" i="20"/>
  <c r="F123" i="3"/>
  <c r="F275" i="3"/>
  <c r="F27" i="3"/>
  <c r="F29" i="3"/>
  <c r="F107" i="3"/>
  <c r="L117" i="20"/>
  <c r="Q113" i="20"/>
  <c r="E113" i="20"/>
  <c r="F219" i="3"/>
  <c r="F99" i="3"/>
  <c r="E13" i="3"/>
  <c r="Q119" i="20"/>
  <c r="E119" i="20"/>
  <c r="F284" i="3"/>
  <c r="F286" i="3"/>
  <c r="G287" i="3"/>
  <c r="G288" i="3"/>
  <c r="G289" i="3"/>
  <c r="F299" i="3"/>
  <c r="F75" i="3"/>
  <c r="F115" i="20"/>
  <c r="M115" i="20"/>
  <c r="F108" i="3"/>
  <c r="H115" i="20"/>
  <c r="D115" i="20"/>
  <c r="Q112" i="20"/>
  <c r="I112" i="20"/>
  <c r="G115" i="20"/>
  <c r="F268" i="3"/>
  <c r="F83" i="3"/>
  <c r="Q116" i="20"/>
  <c r="H116" i="20"/>
  <c r="F67" i="3"/>
  <c r="F228" i="3"/>
  <c r="F68" i="3"/>
  <c r="F171" i="3"/>
  <c r="F188" i="3"/>
  <c r="F204" i="3"/>
  <c r="F163" i="3"/>
  <c r="I115" i="20"/>
  <c r="E115" i="20"/>
  <c r="N115" i="20"/>
  <c r="F187" i="3"/>
  <c r="Q114" i="20"/>
  <c r="L114" i="20"/>
  <c r="Q125" i="20"/>
  <c r="Q135" i="20"/>
  <c r="O115" i="20"/>
  <c r="K115" i="20"/>
  <c r="F100" i="3"/>
  <c r="F324" i="3"/>
  <c r="F196" i="3"/>
  <c r="F323" i="3"/>
  <c r="F316" i="3"/>
  <c r="F62" i="3"/>
  <c r="G63" i="3"/>
  <c r="G64" i="3"/>
  <c r="G65" i="3"/>
  <c r="F315" i="3"/>
  <c r="F227" i="3"/>
  <c r="F92" i="3"/>
  <c r="F35" i="3"/>
  <c r="F61" i="3"/>
  <c r="F92" i="4"/>
  <c r="F93" i="4"/>
  <c r="F94" i="4"/>
  <c r="F95" i="4"/>
  <c r="F96" i="4"/>
  <c r="F97" i="4"/>
  <c r="F98" i="4"/>
  <c r="F99" i="4"/>
  <c r="F148" i="4"/>
  <c r="H148" i="4"/>
  <c r="F211" i="3"/>
  <c r="F212" i="3"/>
  <c r="F172" i="3"/>
  <c r="F300" i="3"/>
  <c r="F179" i="3"/>
  <c r="F76" i="3"/>
  <c r="F259" i="3"/>
  <c r="F140" i="3"/>
  <c r="F260" i="3"/>
  <c r="F252" i="3"/>
  <c r="F247" i="3"/>
  <c r="F248" i="3"/>
  <c r="F249" i="3"/>
  <c r="F243" i="3"/>
  <c r="F185" i="3"/>
  <c r="F311" i="3"/>
  <c r="F312" i="3"/>
  <c r="F313" i="3"/>
  <c r="F308" i="3"/>
  <c r="G356" i="19"/>
  <c r="F358" i="19"/>
  <c r="H357" i="19"/>
  <c r="I357" i="19"/>
  <c r="J357" i="19"/>
  <c r="K357" i="19"/>
  <c r="L357" i="19"/>
  <c r="M357" i="19"/>
  <c r="N357" i="19"/>
  <c r="O357" i="19"/>
  <c r="P357" i="19"/>
  <c r="Q357" i="19"/>
  <c r="R357" i="19"/>
  <c r="S357" i="19"/>
  <c r="K304" i="4"/>
  <c r="K303" i="4"/>
  <c r="K302" i="4"/>
  <c r="K301" i="4"/>
  <c r="K300" i="4"/>
  <c r="K299" i="4"/>
  <c r="K298" i="4"/>
  <c r="K297" i="4"/>
  <c r="K314" i="4"/>
  <c r="G318" i="19"/>
  <c r="F320" i="19"/>
  <c r="H319" i="19"/>
  <c r="I319" i="19"/>
  <c r="J319" i="19"/>
  <c r="K319" i="19"/>
  <c r="L319" i="19"/>
  <c r="M319" i="19"/>
  <c r="N319" i="19"/>
  <c r="O319" i="19"/>
  <c r="P319" i="19"/>
  <c r="Q319" i="19"/>
  <c r="R319" i="19"/>
  <c r="S319" i="19"/>
  <c r="M33" i="16"/>
  <c r="Q32" i="16"/>
  <c r="P32" i="16"/>
  <c r="O32" i="16"/>
  <c r="F49" i="3"/>
  <c r="H50" i="19"/>
  <c r="I50" i="19"/>
  <c r="J50" i="19"/>
  <c r="K50" i="19"/>
  <c r="L50" i="19"/>
  <c r="M50" i="19"/>
  <c r="N50" i="19"/>
  <c r="O50" i="19"/>
  <c r="P50" i="19"/>
  <c r="Q50" i="19"/>
  <c r="R50" i="19"/>
  <c r="S50" i="19"/>
  <c r="G49" i="19"/>
  <c r="F51" i="19"/>
  <c r="Q304" i="4"/>
  <c r="Q303" i="4"/>
  <c r="Q302" i="4"/>
  <c r="Q301" i="4"/>
  <c r="Q300" i="4"/>
  <c r="Q299" i="4"/>
  <c r="Q298" i="4"/>
  <c r="Q297" i="4"/>
  <c r="Q314" i="4"/>
  <c r="F131" i="3"/>
  <c r="F147" i="3"/>
  <c r="F84" i="3"/>
  <c r="F139" i="3"/>
  <c r="E101" i="4"/>
  <c r="E313" i="4"/>
  <c r="E312" i="4"/>
  <c r="E311" i="4"/>
  <c r="E310" i="4"/>
  <c r="E309" i="4"/>
  <c r="E308" i="4"/>
  <c r="E307" i="4"/>
  <c r="E306" i="4"/>
  <c r="E323" i="4"/>
  <c r="E322" i="4"/>
  <c r="E321" i="4"/>
  <c r="E320" i="4"/>
  <c r="E319" i="4"/>
  <c r="E318" i="4"/>
  <c r="E317" i="4"/>
  <c r="E316" i="4"/>
  <c r="E315" i="4"/>
  <c r="O29" i="4"/>
  <c r="O30" i="4"/>
  <c r="R21" i="4"/>
  <c r="H117" i="19"/>
  <c r="I117" i="19"/>
  <c r="J117" i="19"/>
  <c r="K117" i="19"/>
  <c r="L117" i="19"/>
  <c r="M117" i="19"/>
  <c r="N117" i="19"/>
  <c r="O117" i="19"/>
  <c r="P117" i="19"/>
  <c r="Q117" i="19"/>
  <c r="R117" i="19"/>
  <c r="S117" i="19"/>
  <c r="G116" i="19"/>
  <c r="F118" i="19"/>
  <c r="G86" i="19"/>
  <c r="F88" i="19"/>
  <c r="H87" i="19"/>
  <c r="I87" i="19"/>
  <c r="J87" i="19"/>
  <c r="K87" i="19"/>
  <c r="L87" i="19"/>
  <c r="M87" i="19"/>
  <c r="N87" i="19"/>
  <c r="O87" i="19"/>
  <c r="P87" i="19"/>
  <c r="Q87" i="19"/>
  <c r="R87" i="19"/>
  <c r="S87" i="19"/>
  <c r="G263" i="19"/>
  <c r="F265" i="19"/>
  <c r="H264" i="19"/>
  <c r="I264" i="19"/>
  <c r="J264" i="19"/>
  <c r="K264" i="19"/>
  <c r="L264" i="19"/>
  <c r="M264" i="19"/>
  <c r="N264" i="19"/>
  <c r="O264" i="19"/>
  <c r="P264" i="19"/>
  <c r="Q264" i="19"/>
  <c r="R264" i="19"/>
  <c r="S264" i="19"/>
  <c r="F23" i="3"/>
  <c r="F24" i="3"/>
  <c r="F25" i="3"/>
  <c r="F19" i="3"/>
  <c r="H296" i="19"/>
  <c r="I296" i="19"/>
  <c r="J296" i="19"/>
  <c r="K296" i="19"/>
  <c r="L296" i="19"/>
  <c r="M296" i="19"/>
  <c r="N296" i="19"/>
  <c r="O296" i="19"/>
  <c r="P296" i="19"/>
  <c r="Q296" i="19"/>
  <c r="R296" i="19"/>
  <c r="S296" i="19"/>
  <c r="G295" i="19"/>
  <c r="F297" i="19"/>
  <c r="I50" i="4"/>
  <c r="J48" i="4"/>
  <c r="K48" i="4"/>
  <c r="L48" i="4"/>
  <c r="M48" i="4"/>
  <c r="N48" i="4"/>
  <c r="O48" i="4"/>
  <c r="P48" i="4"/>
  <c r="Q48" i="4"/>
  <c r="F116" i="3"/>
  <c r="F132" i="3"/>
  <c r="F180" i="3"/>
  <c r="G73" i="5"/>
  <c r="F74" i="5"/>
  <c r="F148" i="3"/>
  <c r="F124" i="3"/>
  <c r="F195" i="3"/>
  <c r="F292" i="3"/>
  <c r="F307" i="3"/>
  <c r="E14" i="3"/>
  <c r="F15" i="3"/>
  <c r="AC313" i="4"/>
  <c r="AC312" i="4"/>
  <c r="AC311" i="4"/>
  <c r="AC310" i="4"/>
  <c r="AC309" i="4"/>
  <c r="AC308" i="4"/>
  <c r="AC307" i="4"/>
  <c r="AC306" i="4"/>
  <c r="AC323" i="4"/>
  <c r="AC322" i="4"/>
  <c r="AC321" i="4"/>
  <c r="AC320" i="4"/>
  <c r="AC319" i="4"/>
  <c r="AC318" i="4"/>
  <c r="AC317" i="4"/>
  <c r="AC316" i="4"/>
  <c r="AC315" i="4"/>
  <c r="H221" i="19"/>
  <c r="I221" i="19"/>
  <c r="J221" i="19"/>
  <c r="K221" i="19"/>
  <c r="L221" i="19"/>
  <c r="M221" i="19"/>
  <c r="N221" i="19"/>
  <c r="O221" i="19"/>
  <c r="P221" i="19"/>
  <c r="Q221" i="19"/>
  <c r="R221" i="19"/>
  <c r="S221" i="19"/>
  <c r="G220" i="19"/>
  <c r="F222" i="19"/>
  <c r="D74" i="5"/>
  <c r="E74" i="5"/>
  <c r="H74" i="5"/>
  <c r="B75" i="5"/>
  <c r="F50" i="4"/>
  <c r="E52" i="4"/>
  <c r="G50" i="4"/>
  <c r="J49" i="4"/>
  <c r="I49" i="4"/>
  <c r="K49" i="4"/>
  <c r="O49" i="4"/>
  <c r="L49" i="4"/>
  <c r="P49" i="4"/>
  <c r="M49" i="4"/>
  <c r="N49" i="4"/>
  <c r="H156" i="19"/>
  <c r="I156" i="19"/>
  <c r="J156" i="19"/>
  <c r="K156" i="19"/>
  <c r="L156" i="19"/>
  <c r="M156" i="19"/>
  <c r="N156" i="19"/>
  <c r="O156" i="19"/>
  <c r="P156" i="19"/>
  <c r="Q156" i="19"/>
  <c r="R156" i="19"/>
  <c r="S156" i="19"/>
  <c r="G155" i="19"/>
  <c r="F157" i="19"/>
  <c r="F115" i="3"/>
  <c r="F203" i="3"/>
  <c r="F164" i="3"/>
  <c r="F291" i="3"/>
  <c r="F251" i="3"/>
  <c r="F244" i="3"/>
  <c r="F20" i="3"/>
  <c r="P19" i="16"/>
  <c r="M20" i="16"/>
  <c r="O19" i="16"/>
  <c r="D100" i="4"/>
  <c r="D148" i="4"/>
  <c r="F91" i="3"/>
  <c r="F278" i="3"/>
  <c r="G279" i="3"/>
  <c r="G280" i="3"/>
  <c r="G281" i="3"/>
  <c r="O31" i="4"/>
  <c r="O33" i="4"/>
  <c r="O34" i="4"/>
  <c r="O35" i="4"/>
  <c r="P20" i="4"/>
  <c r="U20" i="4"/>
  <c r="T21" i="4"/>
  <c r="T22" i="4"/>
  <c r="T23" i="4"/>
  <c r="T24" i="4"/>
  <c r="T25" i="4"/>
  <c r="T26" i="4"/>
  <c r="T27" i="4"/>
  <c r="T28" i="4"/>
  <c r="T29" i="4"/>
  <c r="L27" i="13"/>
  <c r="F100" i="4"/>
  <c r="O118" i="20"/>
  <c r="L118" i="20"/>
  <c r="M118" i="20"/>
  <c r="G118" i="20"/>
  <c r="E118" i="20"/>
  <c r="H118" i="20"/>
  <c r="D118" i="20"/>
  <c r="J118" i="20"/>
  <c r="Q128" i="20"/>
  <c r="J128" i="20"/>
  <c r="N118" i="20"/>
  <c r="F118" i="20"/>
  <c r="I118" i="20"/>
  <c r="F53" i="3"/>
  <c r="D119" i="20"/>
  <c r="O117" i="20"/>
  <c r="F45" i="3"/>
  <c r="F46" i="3"/>
  <c r="G47" i="3"/>
  <c r="G48" i="3"/>
  <c r="G49" i="3"/>
  <c r="F54" i="3"/>
  <c r="G55" i="3"/>
  <c r="G56" i="3"/>
  <c r="G57" i="3"/>
  <c r="E117" i="20"/>
  <c r="I117" i="20"/>
  <c r="G117" i="20"/>
  <c r="F117" i="20"/>
  <c r="K117" i="20"/>
  <c r="Q127" i="20"/>
  <c r="K127" i="20"/>
  <c r="M117" i="20"/>
  <c r="D117" i="20"/>
  <c r="H117" i="20"/>
  <c r="J117" i="20"/>
  <c r="F37" i="3"/>
  <c r="F269" i="3"/>
  <c r="F157" i="3"/>
  <c r="L113" i="20"/>
  <c r="Q123" i="20"/>
  <c r="J123" i="20"/>
  <c r="F277" i="3"/>
  <c r="G275" i="3"/>
  <c r="J113" i="20"/>
  <c r="F158" i="3"/>
  <c r="G159" i="3"/>
  <c r="G160" i="3"/>
  <c r="G161" i="3"/>
  <c r="N113" i="20"/>
  <c r="F238" i="3"/>
  <c r="G239" i="3"/>
  <c r="G240" i="3"/>
  <c r="G241" i="3"/>
  <c r="G93" i="4"/>
  <c r="G94" i="4"/>
  <c r="G95" i="4"/>
  <c r="G96" i="4"/>
  <c r="G97" i="4"/>
  <c r="G98" i="4"/>
  <c r="G99" i="4"/>
  <c r="H113" i="20"/>
  <c r="F237" i="3"/>
  <c r="I113" i="20"/>
  <c r="K113" i="20"/>
  <c r="F221" i="3"/>
  <c r="F85" i="3"/>
  <c r="F30" i="3"/>
  <c r="G31" i="3"/>
  <c r="G32" i="3"/>
  <c r="G33" i="3"/>
  <c r="O114" i="20"/>
  <c r="N119" i="20"/>
  <c r="F301" i="3"/>
  <c r="G114" i="20"/>
  <c r="F222" i="3"/>
  <c r="G223" i="3"/>
  <c r="G224" i="3"/>
  <c r="G225" i="3"/>
  <c r="F119" i="20"/>
  <c r="F125" i="3"/>
  <c r="F318" i="3"/>
  <c r="G319" i="3"/>
  <c r="G320" i="3"/>
  <c r="G321" i="3"/>
  <c r="F102" i="3"/>
  <c r="G103" i="3"/>
  <c r="G104" i="3"/>
  <c r="G105" i="3"/>
  <c r="F70" i="3"/>
  <c r="G71" i="3"/>
  <c r="G72" i="3"/>
  <c r="G73" i="3"/>
  <c r="I125" i="20"/>
  <c r="F189" i="3"/>
  <c r="F165" i="3"/>
  <c r="M113" i="20"/>
  <c r="F113" i="20"/>
  <c r="O113" i="20"/>
  <c r="F109" i="3"/>
  <c r="K116" i="20"/>
  <c r="N125" i="20"/>
  <c r="N112" i="20"/>
  <c r="D113" i="20"/>
  <c r="G113" i="20"/>
  <c r="F77" i="3"/>
  <c r="I114" i="20"/>
  <c r="F302" i="3"/>
  <c r="G303" i="3"/>
  <c r="G304" i="3"/>
  <c r="G305" i="3"/>
  <c r="F230" i="3"/>
  <c r="G231" i="3"/>
  <c r="G232" i="3"/>
  <c r="G233" i="3"/>
  <c r="F190" i="3"/>
  <c r="F181" i="3"/>
  <c r="F69" i="3"/>
  <c r="F285" i="3"/>
  <c r="G284" i="3"/>
  <c r="G112" i="20"/>
  <c r="J112" i="20"/>
  <c r="J119" i="20"/>
  <c r="H119" i="20"/>
  <c r="G119" i="20"/>
  <c r="O116" i="20"/>
  <c r="M112" i="20"/>
  <c r="O119" i="20"/>
  <c r="M119" i="20"/>
  <c r="Q129" i="20"/>
  <c r="J129" i="20"/>
  <c r="L119" i="20"/>
  <c r="E112" i="20"/>
  <c r="L112" i="20"/>
  <c r="I119" i="20"/>
  <c r="K119" i="20"/>
  <c r="F325" i="3"/>
  <c r="F21" i="3"/>
  <c r="L116" i="20"/>
  <c r="F114" i="20"/>
  <c r="F110" i="3"/>
  <c r="G111" i="3"/>
  <c r="G112" i="3"/>
  <c r="G113" i="3"/>
  <c r="D112" i="20"/>
  <c r="K112" i="20"/>
  <c r="F112" i="20"/>
  <c r="H112" i="20"/>
  <c r="F317" i="3"/>
  <c r="F270" i="3"/>
  <c r="G271" i="3"/>
  <c r="G272" i="3"/>
  <c r="G273" i="3"/>
  <c r="F38" i="3"/>
  <c r="G39" i="3"/>
  <c r="G40" i="3"/>
  <c r="G41" i="3"/>
  <c r="N114" i="20"/>
  <c r="M114" i="20"/>
  <c r="D125" i="20"/>
  <c r="O112" i="20"/>
  <c r="Q122" i="20"/>
  <c r="I122" i="20"/>
  <c r="F326" i="3"/>
  <c r="G327" i="3"/>
  <c r="G328" i="3"/>
  <c r="G329" i="3"/>
  <c r="J125" i="20"/>
  <c r="H125" i="20"/>
  <c r="O125" i="20"/>
  <c r="L125" i="20"/>
  <c r="F78" i="3"/>
  <c r="G79" i="3"/>
  <c r="G80" i="3"/>
  <c r="G81" i="3"/>
  <c r="G116" i="20"/>
  <c r="E116" i="20"/>
  <c r="F116" i="20"/>
  <c r="I116" i="20"/>
  <c r="M116" i="20"/>
  <c r="J116" i="20"/>
  <c r="Q126" i="20"/>
  <c r="N126" i="20"/>
  <c r="D116" i="20"/>
  <c r="N116" i="20"/>
  <c r="F125" i="20"/>
  <c r="K125" i="20"/>
  <c r="G125" i="20"/>
  <c r="F174" i="3"/>
  <c r="G175" i="3"/>
  <c r="G176" i="3"/>
  <c r="G177" i="3"/>
  <c r="F214" i="3"/>
  <c r="G215" i="3"/>
  <c r="G216" i="3"/>
  <c r="G217" i="3"/>
  <c r="F197" i="3"/>
  <c r="E125" i="20"/>
  <c r="M125" i="20"/>
  <c r="Q124" i="20"/>
  <c r="L124" i="20"/>
  <c r="H114" i="20"/>
  <c r="D114" i="20"/>
  <c r="F101" i="3"/>
  <c r="J114" i="20"/>
  <c r="E114" i="20"/>
  <c r="K114" i="20"/>
  <c r="F11" i="3"/>
  <c r="F245" i="3"/>
  <c r="F261" i="3"/>
  <c r="F173" i="3"/>
  <c r="F229" i="3"/>
  <c r="F262" i="3"/>
  <c r="F149" i="3"/>
  <c r="F141" i="3"/>
  <c r="F213" i="3"/>
  <c r="G60" i="3"/>
  <c r="G59" i="3"/>
  <c r="F166" i="3"/>
  <c r="G167" i="3"/>
  <c r="G168" i="3"/>
  <c r="G169" i="3"/>
  <c r="F254" i="3"/>
  <c r="G255" i="3"/>
  <c r="G256" i="3"/>
  <c r="G257" i="3"/>
  <c r="F206" i="3"/>
  <c r="G207" i="3"/>
  <c r="G208" i="3"/>
  <c r="G209" i="3"/>
  <c r="F294" i="3"/>
  <c r="G295" i="3"/>
  <c r="G296" i="3"/>
  <c r="G297" i="3"/>
  <c r="F118" i="3"/>
  <c r="G119" i="3"/>
  <c r="G120" i="3"/>
  <c r="G121" i="3"/>
  <c r="H158" i="19"/>
  <c r="I158" i="19"/>
  <c r="J158" i="19"/>
  <c r="K158" i="19"/>
  <c r="L158" i="19"/>
  <c r="M158" i="19"/>
  <c r="N158" i="19"/>
  <c r="O158" i="19"/>
  <c r="P158" i="19"/>
  <c r="Q158" i="19"/>
  <c r="R158" i="19"/>
  <c r="S158" i="19"/>
  <c r="G157" i="19"/>
  <c r="F159" i="19"/>
  <c r="F52" i="4"/>
  <c r="E54" i="4"/>
  <c r="L51" i="4"/>
  <c r="P51" i="4"/>
  <c r="J51" i="4"/>
  <c r="M51" i="4"/>
  <c r="G52" i="4"/>
  <c r="K51" i="4"/>
  <c r="I51" i="4"/>
  <c r="N51" i="4"/>
  <c r="O51" i="4"/>
  <c r="H89" i="19"/>
  <c r="I89" i="19"/>
  <c r="J89" i="19"/>
  <c r="K89" i="19"/>
  <c r="L89" i="19"/>
  <c r="M89" i="19"/>
  <c r="N89" i="19"/>
  <c r="O89" i="19"/>
  <c r="P89" i="19"/>
  <c r="Q89" i="19"/>
  <c r="R89" i="19"/>
  <c r="S89" i="19"/>
  <c r="G88" i="19"/>
  <c r="F90" i="19"/>
  <c r="R32" i="4"/>
  <c r="R22" i="4"/>
  <c r="R23" i="4"/>
  <c r="R24" i="4"/>
  <c r="R25" i="4"/>
  <c r="R26" i="4"/>
  <c r="R27" i="4"/>
  <c r="F150" i="3"/>
  <c r="G151" i="3"/>
  <c r="G152" i="3"/>
  <c r="G153" i="3"/>
  <c r="M34" i="16"/>
  <c r="O33" i="16"/>
  <c r="Q33" i="16"/>
  <c r="P33" i="16"/>
  <c r="F205" i="3"/>
  <c r="F126" i="3"/>
  <c r="G127" i="3"/>
  <c r="G128" i="3"/>
  <c r="G129" i="3"/>
  <c r="F310" i="3"/>
  <c r="G311" i="3"/>
  <c r="G312" i="3"/>
  <c r="F22" i="3"/>
  <c r="G23" i="3"/>
  <c r="G24" i="3"/>
  <c r="G25" i="3"/>
  <c r="F134" i="3"/>
  <c r="G135" i="3"/>
  <c r="G136" i="3"/>
  <c r="G137" i="3"/>
  <c r="Q313" i="4"/>
  <c r="Q312" i="4"/>
  <c r="Q311" i="4"/>
  <c r="Q310" i="4"/>
  <c r="Q309" i="4"/>
  <c r="Q308" i="4"/>
  <c r="Q307" i="4"/>
  <c r="Q306" i="4"/>
  <c r="Q323" i="4"/>
  <c r="Q322" i="4"/>
  <c r="Q321" i="4"/>
  <c r="Q320" i="4"/>
  <c r="Q319" i="4"/>
  <c r="Q318" i="4"/>
  <c r="Q317" i="4"/>
  <c r="Q316" i="4"/>
  <c r="Q315" i="4"/>
  <c r="D75" i="5"/>
  <c r="B76" i="5"/>
  <c r="E75" i="5"/>
  <c r="H75" i="5"/>
  <c r="F16" i="3"/>
  <c r="F17" i="3"/>
  <c r="F198" i="3"/>
  <c r="G199" i="3"/>
  <c r="G200" i="3"/>
  <c r="E135" i="20"/>
  <c r="I135" i="20"/>
  <c r="J135" i="20"/>
  <c r="D135" i="20"/>
  <c r="N135" i="20"/>
  <c r="F135" i="20"/>
  <c r="L135" i="20"/>
  <c r="K135" i="20"/>
  <c r="H135" i="20"/>
  <c r="M135" i="20"/>
  <c r="G135" i="20"/>
  <c r="O135" i="20"/>
  <c r="H266" i="19"/>
  <c r="I266" i="19"/>
  <c r="J266" i="19"/>
  <c r="K266" i="19"/>
  <c r="L266" i="19"/>
  <c r="M266" i="19"/>
  <c r="N266" i="19"/>
  <c r="O266" i="19"/>
  <c r="P266" i="19"/>
  <c r="Q266" i="19"/>
  <c r="R266" i="19"/>
  <c r="S266" i="19"/>
  <c r="G265" i="19"/>
  <c r="F267" i="19"/>
  <c r="F142" i="3"/>
  <c r="G143" i="3"/>
  <c r="G144" i="3"/>
  <c r="G145" i="3"/>
  <c r="H321" i="19"/>
  <c r="I321" i="19"/>
  <c r="J321" i="19"/>
  <c r="K321" i="19"/>
  <c r="L321" i="19"/>
  <c r="M321" i="19"/>
  <c r="N321" i="19"/>
  <c r="O321" i="19"/>
  <c r="P321" i="19"/>
  <c r="Q321" i="19"/>
  <c r="R321" i="19"/>
  <c r="S321" i="19"/>
  <c r="G320" i="19"/>
  <c r="F322" i="19"/>
  <c r="H359" i="19"/>
  <c r="I359" i="19"/>
  <c r="J359" i="19"/>
  <c r="K359" i="19"/>
  <c r="L359" i="19"/>
  <c r="M359" i="19"/>
  <c r="N359" i="19"/>
  <c r="O359" i="19"/>
  <c r="P359" i="19"/>
  <c r="Q359" i="19"/>
  <c r="R359" i="19"/>
  <c r="S359" i="19"/>
  <c r="G358" i="19"/>
  <c r="F360" i="19"/>
  <c r="G74" i="5"/>
  <c r="F75" i="5"/>
  <c r="F309" i="3"/>
  <c r="F117" i="3"/>
  <c r="F86" i="3"/>
  <c r="G87" i="3"/>
  <c r="G88" i="3"/>
  <c r="G89" i="3"/>
  <c r="F182" i="3"/>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J148" i="4"/>
  <c r="K313" i="4"/>
  <c r="K312" i="4"/>
  <c r="K311" i="4"/>
  <c r="K310" i="4"/>
  <c r="K309" i="4"/>
  <c r="K308" i="4"/>
  <c r="K307" i="4"/>
  <c r="K306" i="4"/>
  <c r="K323" i="4"/>
  <c r="K322" i="4"/>
  <c r="K321" i="4"/>
  <c r="K320" i="4"/>
  <c r="K319" i="4"/>
  <c r="K318" i="4"/>
  <c r="K317" i="4"/>
  <c r="K316" i="4"/>
  <c r="K315" i="4"/>
  <c r="F93" i="3"/>
  <c r="F94" i="3"/>
  <c r="G95" i="3"/>
  <c r="G96" i="3"/>
  <c r="G97" i="3"/>
  <c r="M21" i="16"/>
  <c r="P20" i="16"/>
  <c r="O20" i="16"/>
  <c r="G222" i="19"/>
  <c r="F224" i="19"/>
  <c r="H223" i="19"/>
  <c r="I223" i="19"/>
  <c r="J223" i="19"/>
  <c r="K223" i="19"/>
  <c r="L223" i="19"/>
  <c r="M223" i="19"/>
  <c r="N223" i="19"/>
  <c r="O223" i="19"/>
  <c r="P223" i="19"/>
  <c r="Q223" i="19"/>
  <c r="R223" i="19"/>
  <c r="S223" i="19"/>
  <c r="J50" i="4"/>
  <c r="K50" i="4"/>
  <c r="L50" i="4"/>
  <c r="M50" i="4"/>
  <c r="N50" i="4"/>
  <c r="O50" i="4"/>
  <c r="P50" i="4"/>
  <c r="Q50" i="4"/>
  <c r="I52" i="4"/>
  <c r="G297" i="19"/>
  <c r="F299" i="19"/>
  <c r="H298" i="19"/>
  <c r="I298" i="19"/>
  <c r="J298" i="19"/>
  <c r="K298" i="19"/>
  <c r="L298" i="19"/>
  <c r="M298" i="19"/>
  <c r="N298" i="19"/>
  <c r="O298" i="19"/>
  <c r="P298" i="19"/>
  <c r="Q298" i="19"/>
  <c r="R298" i="19"/>
  <c r="S298" i="19"/>
  <c r="G118" i="19"/>
  <c r="F120" i="19"/>
  <c r="H119" i="19"/>
  <c r="I119" i="19"/>
  <c r="J119" i="19"/>
  <c r="K119" i="19"/>
  <c r="L119" i="19"/>
  <c r="M119" i="19"/>
  <c r="N119" i="19"/>
  <c r="O119" i="19"/>
  <c r="P119" i="19"/>
  <c r="Q119" i="19"/>
  <c r="R119" i="19"/>
  <c r="S119" i="19"/>
  <c r="D101" i="4"/>
  <c r="D102" i="4"/>
  <c r="D103" i="4"/>
  <c r="D104" i="4"/>
  <c r="D105" i="4"/>
  <c r="D106" i="4"/>
  <c r="D107" i="4"/>
  <c r="D108" i="4"/>
  <c r="D109" i="4"/>
  <c r="H52" i="19"/>
  <c r="I52" i="19"/>
  <c r="J52" i="19"/>
  <c r="K52" i="19"/>
  <c r="L52" i="19"/>
  <c r="M52" i="19"/>
  <c r="N52" i="19"/>
  <c r="O52" i="19"/>
  <c r="P52" i="19"/>
  <c r="Q52" i="19"/>
  <c r="R52" i="19"/>
  <c r="S52" i="19"/>
  <c r="G51" i="19"/>
  <c r="F53" i="19"/>
  <c r="F246" i="3"/>
  <c r="G247" i="3"/>
  <c r="G248" i="3"/>
  <c r="G249" i="3"/>
  <c r="F12" i="3"/>
  <c r="F293" i="3"/>
  <c r="F133" i="3"/>
  <c r="F253" i="3"/>
  <c r="L26" i="13"/>
  <c r="E128" i="20"/>
  <c r="J127" i="20"/>
  <c r="O127" i="20"/>
  <c r="G128" i="20"/>
  <c r="K128" i="20"/>
  <c r="D128" i="20"/>
  <c r="F128" i="20"/>
  <c r="H128" i="20"/>
  <c r="Q138" i="20"/>
  <c r="I138" i="20"/>
  <c r="G43" i="3"/>
  <c r="N128" i="20"/>
  <c r="O128" i="20"/>
  <c r="I128" i="20"/>
  <c r="L128" i="20"/>
  <c r="M128" i="20"/>
  <c r="G44" i="3"/>
  <c r="G51" i="3"/>
  <c r="G52" i="3"/>
  <c r="H127" i="20"/>
  <c r="D127" i="20"/>
  <c r="G127" i="20"/>
  <c r="G156" i="3"/>
  <c r="N127" i="20"/>
  <c r="I127" i="20"/>
  <c r="E127" i="20"/>
  <c r="I123" i="20"/>
  <c r="L127" i="20"/>
  <c r="F127" i="20"/>
  <c r="Q137" i="20"/>
  <c r="L137" i="20"/>
  <c r="M127" i="20"/>
  <c r="F123" i="20"/>
  <c r="Q133" i="20"/>
  <c r="F133" i="20"/>
  <c r="D123" i="20"/>
  <c r="M123" i="20"/>
  <c r="L123" i="20"/>
  <c r="G123" i="20"/>
  <c r="O123" i="20"/>
  <c r="H123" i="20"/>
  <c r="N123" i="20"/>
  <c r="K123" i="20"/>
  <c r="E123" i="20"/>
  <c r="G35" i="3"/>
  <c r="G68" i="3"/>
  <c r="G155" i="3"/>
  <c r="G122" i="20"/>
  <c r="G27" i="3"/>
  <c r="G28" i="3"/>
  <c r="G276" i="3"/>
  <c r="G277" i="3"/>
  <c r="G235" i="3"/>
  <c r="G236" i="3"/>
  <c r="G100" i="4"/>
  <c r="G101" i="4"/>
  <c r="G148" i="4"/>
  <c r="I148" i="4"/>
  <c r="K148" i="4"/>
  <c r="M148" i="4"/>
  <c r="G220" i="3"/>
  <c r="K129" i="20"/>
  <c r="I126" i="20"/>
  <c r="G219" i="3"/>
  <c r="L126" i="20"/>
  <c r="D122" i="20"/>
  <c r="G299" i="3"/>
  <c r="G67" i="3"/>
  <c r="G107" i="3"/>
  <c r="G163" i="3"/>
  <c r="O122" i="20"/>
  <c r="G300" i="3"/>
  <c r="G75" i="3"/>
  <c r="D129" i="20"/>
  <c r="H124" i="20"/>
  <c r="G316" i="3"/>
  <c r="G315" i="3"/>
  <c r="I129" i="20"/>
  <c r="G36" i="3"/>
  <c r="N124" i="20"/>
  <c r="O124" i="20"/>
  <c r="D126" i="20"/>
  <c r="J126" i="20"/>
  <c r="Q136" i="20"/>
  <c r="D136" i="20"/>
  <c r="F122" i="20"/>
  <c r="J122" i="20"/>
  <c r="H122" i="20"/>
  <c r="G126" i="20"/>
  <c r="E126" i="20"/>
  <c r="F126" i="20"/>
  <c r="K122" i="20"/>
  <c r="E122" i="20"/>
  <c r="Q132" i="20"/>
  <c r="M132" i="20"/>
  <c r="G251" i="3"/>
  <c r="G108" i="3"/>
  <c r="K126" i="20"/>
  <c r="M126" i="20"/>
  <c r="N122" i="20"/>
  <c r="M122" i="20"/>
  <c r="L122" i="20"/>
  <c r="G227" i="3"/>
  <c r="G283" i="3"/>
  <c r="G285" i="3"/>
  <c r="G191" i="3"/>
  <c r="G192" i="3"/>
  <c r="G193" i="3"/>
  <c r="G188" i="3"/>
  <c r="G187" i="3"/>
  <c r="E129" i="20"/>
  <c r="F124" i="20"/>
  <c r="G124" i="20"/>
  <c r="E124" i="20"/>
  <c r="F129" i="20"/>
  <c r="O129" i="20"/>
  <c r="Q139" i="20"/>
  <c r="L139" i="20"/>
  <c r="F13" i="3"/>
  <c r="H129" i="20"/>
  <c r="M129" i="20"/>
  <c r="G129" i="20"/>
  <c r="N129" i="20"/>
  <c r="L129" i="20"/>
  <c r="G124" i="3"/>
  <c r="G76" i="3"/>
  <c r="K124" i="20"/>
  <c r="J124" i="20"/>
  <c r="I124" i="20"/>
  <c r="Q134" i="20"/>
  <c r="N134" i="20"/>
  <c r="G267" i="3"/>
  <c r="M124" i="20"/>
  <c r="D124" i="20"/>
  <c r="G324" i="3"/>
  <c r="G259" i="3"/>
  <c r="G323" i="3"/>
  <c r="G268" i="3"/>
  <c r="G228" i="3"/>
  <c r="H126" i="20"/>
  <c r="O126" i="20"/>
  <c r="G132" i="3"/>
  <c r="G100" i="3"/>
  <c r="G99" i="3"/>
  <c r="G291" i="3"/>
  <c r="G308" i="3"/>
  <c r="G20" i="3"/>
  <c r="G61" i="3"/>
  <c r="G19" i="3"/>
  <c r="G172" i="3"/>
  <c r="G171" i="3"/>
  <c r="G116" i="3"/>
  <c r="G195" i="3"/>
  <c r="G92" i="3"/>
  <c r="G204" i="3"/>
  <c r="G212" i="3"/>
  <c r="G211" i="3"/>
  <c r="G263" i="3"/>
  <c r="G264" i="3"/>
  <c r="G265" i="3"/>
  <c r="G260" i="3"/>
  <c r="G243" i="3"/>
  <c r="G244" i="3"/>
  <c r="G91" i="3"/>
  <c r="G62" i="3"/>
  <c r="H63" i="3"/>
  <c r="H64" i="3"/>
  <c r="H65" i="3"/>
  <c r="E110" i="4"/>
  <c r="F101" i="4"/>
  <c r="F102" i="4"/>
  <c r="F103" i="4"/>
  <c r="F104" i="4"/>
  <c r="F105" i="4"/>
  <c r="F106" i="4"/>
  <c r="F107" i="4"/>
  <c r="F108" i="4"/>
  <c r="F109" i="4"/>
  <c r="G84" i="3"/>
  <c r="G164" i="3"/>
  <c r="G224" i="19"/>
  <c r="F226" i="19"/>
  <c r="H225" i="19"/>
  <c r="I225" i="19"/>
  <c r="J225" i="19"/>
  <c r="K225" i="19"/>
  <c r="L225" i="19"/>
  <c r="M225" i="19"/>
  <c r="N225" i="19"/>
  <c r="O225" i="19"/>
  <c r="P225" i="19"/>
  <c r="Q225" i="19"/>
  <c r="R225" i="19"/>
  <c r="S225" i="19"/>
  <c r="H160" i="19"/>
  <c r="I160" i="19"/>
  <c r="J160" i="19"/>
  <c r="K160" i="19"/>
  <c r="L160" i="19"/>
  <c r="M160" i="19"/>
  <c r="N160" i="19"/>
  <c r="O160" i="19"/>
  <c r="P160" i="19"/>
  <c r="Q160" i="19"/>
  <c r="R160" i="19"/>
  <c r="S160" i="19"/>
  <c r="G159" i="19"/>
  <c r="F161" i="19"/>
  <c r="J52" i="4"/>
  <c r="K52" i="4"/>
  <c r="L52" i="4"/>
  <c r="M52" i="4"/>
  <c r="N52" i="4"/>
  <c r="O52" i="4"/>
  <c r="P52" i="4"/>
  <c r="Q52" i="4"/>
  <c r="I54" i="4"/>
  <c r="H300" i="19"/>
  <c r="I300" i="19"/>
  <c r="J300" i="19"/>
  <c r="K300" i="19"/>
  <c r="L300" i="19"/>
  <c r="M300" i="19"/>
  <c r="N300" i="19"/>
  <c r="O300" i="19"/>
  <c r="P300" i="19"/>
  <c r="Q300" i="19"/>
  <c r="R300" i="19"/>
  <c r="S300" i="19"/>
  <c r="G299" i="19"/>
  <c r="P21" i="16"/>
  <c r="O21" i="16"/>
  <c r="H361" i="19"/>
  <c r="I361" i="19"/>
  <c r="J361" i="19"/>
  <c r="K361" i="19"/>
  <c r="L361" i="19"/>
  <c r="M361" i="19"/>
  <c r="N361" i="19"/>
  <c r="O361" i="19"/>
  <c r="P361" i="19"/>
  <c r="Q361" i="19"/>
  <c r="R361" i="19"/>
  <c r="S361" i="19"/>
  <c r="G360" i="19"/>
  <c r="F362" i="19"/>
  <c r="G201" i="3"/>
  <c r="R28" i="4"/>
  <c r="R29" i="4"/>
  <c r="R30" i="4"/>
  <c r="U21" i="4"/>
  <c r="F54" i="4"/>
  <c r="E56" i="4"/>
  <c r="G54" i="4"/>
  <c r="J53" i="4"/>
  <c r="N53" i="4"/>
  <c r="I53" i="4"/>
  <c r="K53" i="4"/>
  <c r="P53" i="4"/>
  <c r="O53" i="4"/>
  <c r="L53" i="4"/>
  <c r="M53" i="4"/>
  <c r="G307" i="3"/>
  <c r="G203" i="3"/>
  <c r="D110" i="4"/>
  <c r="G139" i="3"/>
  <c r="G131" i="3"/>
  <c r="G83" i="3"/>
  <c r="G292" i="3"/>
  <c r="G180" i="3"/>
  <c r="G183" i="3"/>
  <c r="G184" i="3"/>
  <c r="G185" i="3"/>
  <c r="H323" i="19"/>
  <c r="I323" i="19"/>
  <c r="J323" i="19"/>
  <c r="K323" i="19"/>
  <c r="L323" i="19"/>
  <c r="M323" i="19"/>
  <c r="N323" i="19"/>
  <c r="O323" i="19"/>
  <c r="P323" i="19"/>
  <c r="Q323" i="19"/>
  <c r="R323" i="19"/>
  <c r="S323" i="19"/>
  <c r="G322" i="19"/>
  <c r="F324" i="19"/>
  <c r="G267" i="19"/>
  <c r="H268" i="19"/>
  <c r="I268" i="19"/>
  <c r="J268" i="19"/>
  <c r="K268" i="19"/>
  <c r="L268" i="19"/>
  <c r="M268" i="19"/>
  <c r="N268" i="19"/>
  <c r="O268" i="19"/>
  <c r="P268" i="19"/>
  <c r="Q268" i="19"/>
  <c r="R268" i="19"/>
  <c r="S268" i="19"/>
  <c r="E76" i="5"/>
  <c r="H76" i="5"/>
  <c r="B77" i="5"/>
  <c r="D76" i="5"/>
  <c r="P34" i="16"/>
  <c r="O34" i="16"/>
  <c r="Q34" i="16"/>
  <c r="G90" i="19"/>
  <c r="F92" i="19"/>
  <c r="H91" i="19"/>
  <c r="I91" i="19"/>
  <c r="J91" i="19"/>
  <c r="K91" i="19"/>
  <c r="L91" i="19"/>
  <c r="M91" i="19"/>
  <c r="N91" i="19"/>
  <c r="O91" i="19"/>
  <c r="P91" i="19"/>
  <c r="Q91" i="19"/>
  <c r="R91" i="19"/>
  <c r="S91" i="19"/>
  <c r="G75" i="5"/>
  <c r="F76" i="5"/>
  <c r="G196" i="3"/>
  <c r="G148" i="3"/>
  <c r="F14" i="3"/>
  <c r="G15" i="3"/>
  <c r="G115" i="3"/>
  <c r="G252" i="3"/>
  <c r="G123" i="3"/>
  <c r="G120" i="19"/>
  <c r="F122" i="19"/>
  <c r="H121" i="19"/>
  <c r="I121" i="19"/>
  <c r="J121" i="19"/>
  <c r="K121" i="19"/>
  <c r="L121" i="19"/>
  <c r="M121" i="19"/>
  <c r="N121" i="19"/>
  <c r="O121" i="19"/>
  <c r="P121" i="19"/>
  <c r="Q121" i="19"/>
  <c r="R121" i="19"/>
  <c r="S121" i="19"/>
  <c r="H54" i="19"/>
  <c r="I54" i="19"/>
  <c r="J54" i="19"/>
  <c r="K54" i="19"/>
  <c r="L54" i="19"/>
  <c r="M54" i="19"/>
  <c r="N54" i="19"/>
  <c r="O54" i="19"/>
  <c r="P54" i="19"/>
  <c r="Q54" i="19"/>
  <c r="R54" i="19"/>
  <c r="S54" i="19"/>
  <c r="G53" i="19"/>
  <c r="F55" i="19"/>
  <c r="L148" i="4"/>
  <c r="J149" i="4"/>
  <c r="J150" i="4"/>
  <c r="J151" i="4"/>
  <c r="J152" i="4"/>
  <c r="J153" i="4"/>
  <c r="J154" i="4"/>
  <c r="J155" i="4"/>
  <c r="J156" i="4"/>
  <c r="F138" i="20"/>
  <c r="G313" i="3"/>
  <c r="G140" i="3"/>
  <c r="K157" i="4"/>
  <c r="G147" i="3"/>
  <c r="G179" i="3"/>
  <c r="R31" i="4"/>
  <c r="R33" i="4"/>
  <c r="R34" i="4"/>
  <c r="R35" i="4"/>
  <c r="S20" i="4"/>
  <c r="F110" i="4"/>
  <c r="L25" i="13"/>
  <c r="M149" i="4"/>
  <c r="L149" i="4"/>
  <c r="G102" i="4"/>
  <c r="G103" i="4"/>
  <c r="G104" i="4"/>
  <c r="G105" i="4"/>
  <c r="G106" i="4"/>
  <c r="G107" i="4"/>
  <c r="G108" i="4"/>
  <c r="G109" i="4"/>
  <c r="G110" i="4"/>
  <c r="N138" i="20"/>
  <c r="O138" i="20"/>
  <c r="E138" i="20"/>
  <c r="J138" i="20"/>
  <c r="M138" i="20"/>
  <c r="L138" i="20"/>
  <c r="K138" i="20"/>
  <c r="G138" i="20"/>
  <c r="D138" i="20"/>
  <c r="H138" i="20"/>
  <c r="G46" i="3"/>
  <c r="H47" i="3"/>
  <c r="H48" i="3"/>
  <c r="H49" i="3"/>
  <c r="G45" i="3"/>
  <c r="G53" i="3"/>
  <c r="G54" i="3"/>
  <c r="H55" i="3"/>
  <c r="H56" i="3"/>
  <c r="H57" i="3"/>
  <c r="J133" i="20"/>
  <c r="H133" i="20"/>
  <c r="G94" i="3"/>
  <c r="H95" i="3"/>
  <c r="H96" i="3"/>
  <c r="H97" i="3"/>
  <c r="H137" i="20"/>
  <c r="O137" i="20"/>
  <c r="G137" i="20"/>
  <c r="G158" i="3"/>
  <c r="H159" i="3"/>
  <c r="H160" i="3"/>
  <c r="H161" i="3"/>
  <c r="F137" i="20"/>
  <c r="M137" i="20"/>
  <c r="N137" i="20"/>
  <c r="I137" i="20"/>
  <c r="D137" i="20"/>
  <c r="E137" i="20"/>
  <c r="J137" i="20"/>
  <c r="K137" i="20"/>
  <c r="O133" i="20"/>
  <c r="I133" i="20"/>
  <c r="K133" i="20"/>
  <c r="M133" i="20"/>
  <c r="E133" i="20"/>
  <c r="L133" i="20"/>
  <c r="D133" i="20"/>
  <c r="N133" i="20"/>
  <c r="G133" i="20"/>
  <c r="G69" i="3"/>
  <c r="G238" i="3"/>
  <c r="H239" i="3"/>
  <c r="H240" i="3"/>
  <c r="H241" i="3"/>
  <c r="G157" i="3"/>
  <c r="H156" i="3"/>
  <c r="G38" i="3"/>
  <c r="H39" i="3"/>
  <c r="H40" i="3"/>
  <c r="H41" i="3"/>
  <c r="G278" i="3"/>
  <c r="H279" i="3"/>
  <c r="H280" i="3"/>
  <c r="H281" i="3"/>
  <c r="G30" i="3"/>
  <c r="H31" i="3"/>
  <c r="H32" i="3"/>
  <c r="H33" i="3"/>
  <c r="F136" i="20"/>
  <c r="F139" i="20"/>
  <c r="H136" i="20"/>
  <c r="G29" i="3"/>
  <c r="H28" i="3"/>
  <c r="G222" i="3"/>
  <c r="H223" i="3"/>
  <c r="H224" i="3"/>
  <c r="H225" i="3"/>
  <c r="K136" i="20"/>
  <c r="H132" i="20"/>
  <c r="G237" i="3"/>
  <c r="G286" i="3"/>
  <c r="H287" i="3"/>
  <c r="H288" i="3"/>
  <c r="H289" i="3"/>
  <c r="G165" i="3"/>
  <c r="G221" i="3"/>
  <c r="F132" i="20"/>
  <c r="G125" i="3"/>
  <c r="G136" i="20"/>
  <c r="J139" i="20"/>
  <c r="G269" i="3"/>
  <c r="G70" i="3"/>
  <c r="H71" i="3"/>
  <c r="H72" i="3"/>
  <c r="H73" i="3"/>
  <c r="G302" i="3"/>
  <c r="H303" i="3"/>
  <c r="H304" i="3"/>
  <c r="H305" i="3"/>
  <c r="O136" i="20"/>
  <c r="I136" i="20"/>
  <c r="H139" i="20"/>
  <c r="M136" i="20"/>
  <c r="L136" i="20"/>
  <c r="E136" i="20"/>
  <c r="E139" i="20"/>
  <c r="G326" i="3"/>
  <c r="H327" i="3"/>
  <c r="H328" i="3"/>
  <c r="H329" i="3"/>
  <c r="G77" i="3"/>
  <c r="G190" i="3"/>
  <c r="H191" i="3"/>
  <c r="H192" i="3"/>
  <c r="H193" i="3"/>
  <c r="N132" i="20"/>
  <c r="G293" i="3"/>
  <c r="G37" i="3"/>
  <c r="J136" i="20"/>
  <c r="N136" i="20"/>
  <c r="D132" i="20"/>
  <c r="I132" i="20"/>
  <c r="K139" i="20"/>
  <c r="G261" i="3"/>
  <c r="G110" i="3"/>
  <c r="H111" i="3"/>
  <c r="H112" i="3"/>
  <c r="H113" i="3"/>
  <c r="G318" i="3"/>
  <c r="H319" i="3"/>
  <c r="H320" i="3"/>
  <c r="H321" i="3"/>
  <c r="G301" i="3"/>
  <c r="D134" i="20"/>
  <c r="K134" i="20"/>
  <c r="G317" i="3"/>
  <c r="M134" i="20"/>
  <c r="G109" i="3"/>
  <c r="O132" i="20"/>
  <c r="D139" i="20"/>
  <c r="G309" i="3"/>
  <c r="G78" i="3"/>
  <c r="H79" i="3"/>
  <c r="H80" i="3"/>
  <c r="H81" i="3"/>
  <c r="J132" i="20"/>
  <c r="K132" i="20"/>
  <c r="G132" i="20"/>
  <c r="G166" i="3"/>
  <c r="H167" i="3"/>
  <c r="H168" i="3"/>
  <c r="H169" i="3"/>
  <c r="O139" i="20"/>
  <c r="I139" i="20"/>
  <c r="M139" i="20"/>
  <c r="G229" i="3"/>
  <c r="G253" i="3"/>
  <c r="L132" i="20"/>
  <c r="E132" i="20"/>
  <c r="G139" i="20"/>
  <c r="N139" i="20"/>
  <c r="G189" i="3"/>
  <c r="G134" i="20"/>
  <c r="I134" i="20"/>
  <c r="E134" i="20"/>
  <c r="G93" i="3"/>
  <c r="J134" i="20"/>
  <c r="L134" i="20"/>
  <c r="F134" i="20"/>
  <c r="O134" i="20"/>
  <c r="H134" i="20"/>
  <c r="G325" i="3"/>
  <c r="G21" i="3"/>
  <c r="G230" i="3"/>
  <c r="H231" i="3"/>
  <c r="H232" i="3"/>
  <c r="H233" i="3"/>
  <c r="G141" i="3"/>
  <c r="G117" i="3"/>
  <c r="G270" i="3"/>
  <c r="G245" i="3"/>
  <c r="G101" i="3"/>
  <c r="G197" i="3"/>
  <c r="G22" i="3"/>
  <c r="H23" i="3"/>
  <c r="H24" i="3"/>
  <c r="H25" i="3"/>
  <c r="G102" i="3"/>
  <c r="H103" i="3"/>
  <c r="H104" i="3"/>
  <c r="H105" i="3"/>
  <c r="G174" i="3"/>
  <c r="H175" i="3"/>
  <c r="H176" i="3"/>
  <c r="H177" i="3"/>
  <c r="G173" i="3"/>
  <c r="H60" i="3"/>
  <c r="G214" i="3"/>
  <c r="H215" i="3"/>
  <c r="H216" i="3"/>
  <c r="H217" i="3"/>
  <c r="G262" i="3"/>
  <c r="H263" i="3"/>
  <c r="H264" i="3"/>
  <c r="H265" i="3"/>
  <c r="G246" i="3"/>
  <c r="G213" i="3"/>
  <c r="H59" i="3"/>
  <c r="G182" i="3"/>
  <c r="H183" i="3"/>
  <c r="H184" i="3"/>
  <c r="H185" i="3"/>
  <c r="G142" i="3"/>
  <c r="H143" i="3"/>
  <c r="H144" i="3"/>
  <c r="H145" i="3"/>
  <c r="E119" i="4"/>
  <c r="D111" i="4"/>
  <c r="D112" i="4"/>
  <c r="D113" i="4"/>
  <c r="D114" i="4"/>
  <c r="D115" i="4"/>
  <c r="D116" i="4"/>
  <c r="D117" i="4"/>
  <c r="D118" i="4"/>
  <c r="E58" i="4"/>
  <c r="F56" i="4"/>
  <c r="G56" i="4"/>
  <c r="K55" i="4"/>
  <c r="O55" i="4"/>
  <c r="I55" i="4"/>
  <c r="P55" i="4"/>
  <c r="L55" i="4"/>
  <c r="M55" i="4"/>
  <c r="J55" i="4"/>
  <c r="N55" i="4"/>
  <c r="G161" i="19"/>
  <c r="H162" i="19"/>
  <c r="I162" i="19"/>
  <c r="J162" i="19"/>
  <c r="K162" i="19"/>
  <c r="L162" i="19"/>
  <c r="M162" i="19"/>
  <c r="N162" i="19"/>
  <c r="O162" i="19"/>
  <c r="P162" i="19"/>
  <c r="Q162" i="19"/>
  <c r="R162" i="19"/>
  <c r="S162" i="19"/>
  <c r="J157" i="4"/>
  <c r="J158" i="4"/>
  <c r="J159" i="4"/>
  <c r="J160" i="4"/>
  <c r="J161" i="4"/>
  <c r="J162" i="4"/>
  <c r="J163" i="4"/>
  <c r="J164" i="4"/>
  <c r="J165" i="4"/>
  <c r="G149" i="3"/>
  <c r="G181" i="3"/>
  <c r="G11" i="3"/>
  <c r="G150" i="3"/>
  <c r="H151" i="3"/>
  <c r="H152" i="3"/>
  <c r="H153" i="3"/>
  <c r="G134" i="3"/>
  <c r="H135" i="3"/>
  <c r="H136" i="3"/>
  <c r="H137" i="3"/>
  <c r="G206" i="3"/>
  <c r="H207" i="3"/>
  <c r="H208" i="3"/>
  <c r="H209" i="3"/>
  <c r="G226" i="19"/>
  <c r="F228" i="19"/>
  <c r="H227" i="19"/>
  <c r="I227" i="19"/>
  <c r="J227" i="19"/>
  <c r="K227" i="19"/>
  <c r="L227" i="19"/>
  <c r="M227" i="19"/>
  <c r="N227" i="19"/>
  <c r="O227" i="19"/>
  <c r="P227" i="19"/>
  <c r="Q227" i="19"/>
  <c r="R227" i="19"/>
  <c r="S227" i="19"/>
  <c r="G55" i="19"/>
  <c r="F57" i="19"/>
  <c r="H56" i="19"/>
  <c r="I56" i="19"/>
  <c r="J56" i="19"/>
  <c r="K56" i="19"/>
  <c r="L56" i="19"/>
  <c r="M56" i="19"/>
  <c r="N56" i="19"/>
  <c r="O56" i="19"/>
  <c r="P56" i="19"/>
  <c r="Q56" i="19"/>
  <c r="R56" i="19"/>
  <c r="S56" i="19"/>
  <c r="G126" i="3"/>
  <c r="H127" i="3"/>
  <c r="H128" i="3"/>
  <c r="H129" i="3"/>
  <c r="G16" i="3"/>
  <c r="G86" i="3"/>
  <c r="H87" i="3"/>
  <c r="H88" i="3"/>
  <c r="H89" i="3"/>
  <c r="U22" i="4"/>
  <c r="U23" i="4"/>
  <c r="U24" i="4"/>
  <c r="U25" i="4"/>
  <c r="U26" i="4"/>
  <c r="U27" i="4"/>
  <c r="U28" i="4"/>
  <c r="U29" i="4"/>
  <c r="U30" i="4"/>
  <c r="U32" i="4"/>
  <c r="J54" i="4"/>
  <c r="K54" i="4"/>
  <c r="L54" i="4"/>
  <c r="M54" i="4"/>
  <c r="N54" i="4"/>
  <c r="O54" i="4"/>
  <c r="P54" i="4"/>
  <c r="Q54" i="4"/>
  <c r="I56" i="4"/>
  <c r="G133" i="3"/>
  <c r="G198" i="3"/>
  <c r="G85" i="3"/>
  <c r="G254" i="3"/>
  <c r="G122" i="19"/>
  <c r="F124" i="19"/>
  <c r="H123" i="19"/>
  <c r="I123" i="19"/>
  <c r="J123" i="19"/>
  <c r="K123" i="19"/>
  <c r="L123" i="19"/>
  <c r="M123" i="19"/>
  <c r="N123" i="19"/>
  <c r="O123" i="19"/>
  <c r="P123" i="19"/>
  <c r="Q123" i="19"/>
  <c r="R123" i="19"/>
  <c r="S123" i="19"/>
  <c r="G118" i="3"/>
  <c r="H119" i="3"/>
  <c r="H120" i="3"/>
  <c r="H121" i="3"/>
  <c r="G92" i="19"/>
  <c r="F94" i="19"/>
  <c r="H93" i="19"/>
  <c r="I93" i="19"/>
  <c r="J93" i="19"/>
  <c r="K93" i="19"/>
  <c r="L93" i="19"/>
  <c r="M93" i="19"/>
  <c r="N93" i="19"/>
  <c r="O93" i="19"/>
  <c r="P93" i="19"/>
  <c r="Q93" i="19"/>
  <c r="R93" i="19"/>
  <c r="S93" i="19"/>
  <c r="E77" i="5"/>
  <c r="H77" i="5"/>
  <c r="B78" i="5"/>
  <c r="D77" i="5"/>
  <c r="G324" i="19"/>
  <c r="F326" i="19"/>
  <c r="H325" i="19"/>
  <c r="I325" i="19"/>
  <c r="J325" i="19"/>
  <c r="K325" i="19"/>
  <c r="L325" i="19"/>
  <c r="M325" i="19"/>
  <c r="N325" i="19"/>
  <c r="O325" i="19"/>
  <c r="P325" i="19"/>
  <c r="Q325" i="19"/>
  <c r="R325" i="19"/>
  <c r="S325" i="19"/>
  <c r="G310" i="3"/>
  <c r="H311" i="3"/>
  <c r="H312" i="3"/>
  <c r="H313" i="3"/>
  <c r="G362" i="19"/>
  <c r="H363" i="19"/>
  <c r="I363" i="19"/>
  <c r="J363" i="19"/>
  <c r="K363" i="19"/>
  <c r="L363" i="19"/>
  <c r="M363" i="19"/>
  <c r="N363" i="19"/>
  <c r="O363" i="19"/>
  <c r="P363" i="19"/>
  <c r="Q363" i="19"/>
  <c r="R363" i="19"/>
  <c r="S363" i="19"/>
  <c r="G76" i="5"/>
  <c r="F77" i="5"/>
  <c r="G205" i="3"/>
  <c r="G12" i="3"/>
  <c r="G294" i="3"/>
  <c r="H295" i="3"/>
  <c r="H296" i="3"/>
  <c r="H297" i="3"/>
  <c r="U31" i="4"/>
  <c r="V20" i="4"/>
  <c r="M150" i="4"/>
  <c r="L150" i="4"/>
  <c r="H236" i="3"/>
  <c r="H316" i="3"/>
  <c r="F111" i="4"/>
  <c r="F112" i="4"/>
  <c r="F113" i="4"/>
  <c r="F114" i="4"/>
  <c r="F115" i="4"/>
  <c r="F116" i="4"/>
  <c r="F117" i="4"/>
  <c r="F118" i="4"/>
  <c r="G111" i="4"/>
  <c r="L24" i="13"/>
  <c r="H43" i="3"/>
  <c r="H44" i="3"/>
  <c r="H211" i="3"/>
  <c r="H155" i="3"/>
  <c r="H158" i="3"/>
  <c r="H52" i="3"/>
  <c r="H51" i="3"/>
  <c r="H92" i="3"/>
  <c r="H35" i="3"/>
  <c r="H27" i="3"/>
  <c r="H30" i="3"/>
  <c r="H36" i="3"/>
  <c r="H219" i="3"/>
  <c r="H276" i="3"/>
  <c r="H275" i="3"/>
  <c r="H235" i="3"/>
  <c r="H220" i="3"/>
  <c r="H222" i="3"/>
  <c r="H315" i="3"/>
  <c r="H284" i="3"/>
  <c r="H283" i="3"/>
  <c r="H108" i="3"/>
  <c r="H107" i="3"/>
  <c r="H91" i="3"/>
  <c r="H68" i="3"/>
  <c r="H67" i="3"/>
  <c r="H323" i="3"/>
  <c r="H300" i="3"/>
  <c r="H324" i="3"/>
  <c r="H75" i="3"/>
  <c r="H299" i="3"/>
  <c r="H179" i="3"/>
  <c r="H164" i="3"/>
  <c r="H243" i="3"/>
  <c r="H76" i="3"/>
  <c r="H163" i="3"/>
  <c r="H187" i="3"/>
  <c r="H188" i="3"/>
  <c r="H228" i="3"/>
  <c r="H271" i="3"/>
  <c r="H272" i="3"/>
  <c r="H273" i="3"/>
  <c r="H268" i="3"/>
  <c r="H267" i="3"/>
  <c r="H227" i="3"/>
  <c r="H171" i="3"/>
  <c r="H19" i="3"/>
  <c r="H100" i="3"/>
  <c r="H99" i="3"/>
  <c r="H20" i="3"/>
  <c r="H131" i="3"/>
  <c r="H172" i="3"/>
  <c r="H84" i="3"/>
  <c r="H61" i="3"/>
  <c r="H307" i="3"/>
  <c r="H116" i="3"/>
  <c r="H247" i="3"/>
  <c r="H248" i="3"/>
  <c r="H249" i="3"/>
  <c r="H244" i="3"/>
  <c r="H212" i="3"/>
  <c r="H204" i="3"/>
  <c r="H62" i="3"/>
  <c r="H308" i="3"/>
  <c r="H83" i="3"/>
  <c r="H148" i="3"/>
  <c r="H260" i="3"/>
  <c r="H259" i="3"/>
  <c r="H132" i="3"/>
  <c r="H115" i="3"/>
  <c r="H203" i="3"/>
  <c r="M151" i="4"/>
  <c r="L151" i="4"/>
  <c r="G124" i="19"/>
  <c r="F126" i="19"/>
  <c r="H125" i="19"/>
  <c r="I125" i="19"/>
  <c r="J125" i="19"/>
  <c r="K125" i="19"/>
  <c r="L125" i="19"/>
  <c r="M125" i="19"/>
  <c r="N125" i="19"/>
  <c r="O125" i="19"/>
  <c r="P125" i="19"/>
  <c r="Q125" i="19"/>
  <c r="R125" i="19"/>
  <c r="S125" i="19"/>
  <c r="I58" i="4"/>
  <c r="J56" i="4"/>
  <c r="K56" i="4"/>
  <c r="L56" i="4"/>
  <c r="M56" i="4"/>
  <c r="N56" i="4"/>
  <c r="O56" i="4"/>
  <c r="P56" i="4"/>
  <c r="Q56" i="4"/>
  <c r="G17" i="3"/>
  <c r="H95" i="19"/>
  <c r="I95" i="19"/>
  <c r="J95" i="19"/>
  <c r="K95" i="19"/>
  <c r="L95" i="19"/>
  <c r="M95" i="19"/>
  <c r="N95" i="19"/>
  <c r="O95" i="19"/>
  <c r="P95" i="19"/>
  <c r="Q95" i="19"/>
  <c r="R95" i="19"/>
  <c r="S95" i="19"/>
  <c r="G94" i="19"/>
  <c r="F96" i="19"/>
  <c r="H327" i="19"/>
  <c r="I327" i="19"/>
  <c r="J327" i="19"/>
  <c r="K327" i="19"/>
  <c r="L327" i="19"/>
  <c r="M327" i="19"/>
  <c r="N327" i="19"/>
  <c r="O327" i="19"/>
  <c r="P327" i="19"/>
  <c r="Q327" i="19"/>
  <c r="R327" i="19"/>
  <c r="S327" i="19"/>
  <c r="G326" i="19"/>
  <c r="F328" i="19"/>
  <c r="H195" i="3"/>
  <c r="H199" i="3"/>
  <c r="H200" i="3"/>
  <c r="H201" i="3"/>
  <c r="H291" i="3"/>
  <c r="G13" i="3"/>
  <c r="U33" i="4"/>
  <c r="U34" i="4"/>
  <c r="U35" i="4"/>
  <c r="H123" i="3"/>
  <c r="H147" i="3"/>
  <c r="K166" i="4"/>
  <c r="H180" i="3"/>
  <c r="H196" i="3"/>
  <c r="H58" i="19"/>
  <c r="I58" i="19"/>
  <c r="J58" i="19"/>
  <c r="K58" i="19"/>
  <c r="L58" i="19"/>
  <c r="M58" i="19"/>
  <c r="N58" i="19"/>
  <c r="O58" i="19"/>
  <c r="P58" i="19"/>
  <c r="Q58" i="19"/>
  <c r="R58" i="19"/>
  <c r="S58" i="19"/>
  <c r="G57" i="19"/>
  <c r="F59" i="19"/>
  <c r="D78" i="5"/>
  <c r="B79" i="5"/>
  <c r="E78" i="5"/>
  <c r="H78" i="5"/>
  <c r="G14" i="3"/>
  <c r="G77" i="5"/>
  <c r="F78" i="5"/>
  <c r="D119" i="4"/>
  <c r="D120" i="4"/>
  <c r="D121" i="4"/>
  <c r="D122" i="4"/>
  <c r="D123" i="4"/>
  <c r="D124" i="4"/>
  <c r="D125" i="4"/>
  <c r="D126" i="4"/>
  <c r="D127" i="4"/>
  <c r="H140" i="3"/>
  <c r="H255" i="3"/>
  <c r="H256" i="3"/>
  <c r="H257" i="3"/>
  <c r="H251" i="3"/>
  <c r="H229" i="19"/>
  <c r="I229" i="19"/>
  <c r="J229" i="19"/>
  <c r="K229" i="19"/>
  <c r="L229" i="19"/>
  <c r="M229" i="19"/>
  <c r="N229" i="19"/>
  <c r="O229" i="19"/>
  <c r="P229" i="19"/>
  <c r="Q229" i="19"/>
  <c r="R229" i="19"/>
  <c r="S229" i="19"/>
  <c r="G228" i="19"/>
  <c r="F230" i="19"/>
  <c r="F58" i="4"/>
  <c r="E60" i="4"/>
  <c r="O57" i="4"/>
  <c r="M57" i="4"/>
  <c r="P57" i="4"/>
  <c r="L57" i="4"/>
  <c r="N57" i="4"/>
  <c r="I57" i="4"/>
  <c r="K57" i="4"/>
  <c r="G58" i="4"/>
  <c r="J57" i="4"/>
  <c r="H292" i="3"/>
  <c r="H124" i="3"/>
  <c r="H139" i="3"/>
  <c r="H252" i="3"/>
  <c r="G112" i="4"/>
  <c r="G113" i="4"/>
  <c r="G114" i="4"/>
  <c r="G115" i="4"/>
  <c r="G116" i="4"/>
  <c r="G117" i="4"/>
  <c r="G118" i="4"/>
  <c r="G119" i="4"/>
  <c r="H238" i="3"/>
  <c r="H318" i="3"/>
  <c r="L22" i="13"/>
  <c r="L23" i="13"/>
  <c r="H157" i="3"/>
  <c r="H45" i="3"/>
  <c r="H46" i="3"/>
  <c r="H213" i="3"/>
  <c r="H53" i="3"/>
  <c r="H54" i="3"/>
  <c r="H221" i="3"/>
  <c r="H93" i="3"/>
  <c r="H38" i="3"/>
  <c r="H29" i="3"/>
  <c r="H278" i="3"/>
  <c r="H37" i="3"/>
  <c r="H277" i="3"/>
  <c r="H285" i="3"/>
  <c r="H77" i="3"/>
  <c r="H237" i="3"/>
  <c r="H317" i="3"/>
  <c r="H286" i="3"/>
  <c r="H110" i="3"/>
  <c r="H109" i="3"/>
  <c r="H302" i="3"/>
  <c r="H94" i="3"/>
  <c r="H245" i="3"/>
  <c r="H78" i="3"/>
  <c r="H325" i="3"/>
  <c r="H326" i="3"/>
  <c r="H70" i="3"/>
  <c r="H69" i="3"/>
  <c r="H301" i="3"/>
  <c r="H165" i="3"/>
  <c r="H166" i="3"/>
  <c r="H181" i="3"/>
  <c r="H15" i="3"/>
  <c r="H16" i="3"/>
  <c r="H17" i="3"/>
  <c r="H190" i="3"/>
  <c r="H12" i="3"/>
  <c r="H205" i="3"/>
  <c r="H189" i="3"/>
  <c r="H270" i="3"/>
  <c r="H229" i="3"/>
  <c r="H173" i="3"/>
  <c r="H102" i="3"/>
  <c r="H230" i="3"/>
  <c r="H134" i="3"/>
  <c r="H310" i="3"/>
  <c r="H22" i="3"/>
  <c r="H269" i="3"/>
  <c r="H253" i="3"/>
  <c r="H118" i="3"/>
  <c r="H101" i="3"/>
  <c r="H206" i="3"/>
  <c r="H21" i="3"/>
  <c r="H142" i="3"/>
  <c r="H133" i="3"/>
  <c r="H150" i="3"/>
  <c r="H262" i="3"/>
  <c r="H86" i="3"/>
  <c r="H174" i="3"/>
  <c r="H117" i="3"/>
  <c r="H85" i="3"/>
  <c r="H246" i="3"/>
  <c r="H293" i="3"/>
  <c r="F119" i="4"/>
  <c r="F120" i="4"/>
  <c r="F121" i="4"/>
  <c r="F122" i="4"/>
  <c r="F123" i="4"/>
  <c r="F124" i="4"/>
  <c r="F125" i="4"/>
  <c r="F126" i="4"/>
  <c r="F127" i="4"/>
  <c r="H11" i="3"/>
  <c r="H125" i="3"/>
  <c r="H309" i="3"/>
  <c r="H261" i="3"/>
  <c r="H214" i="3"/>
  <c r="E128" i="4"/>
  <c r="D128" i="4"/>
  <c r="D129" i="4"/>
  <c r="D130" i="4"/>
  <c r="D131" i="4"/>
  <c r="D132" i="4"/>
  <c r="D133" i="4"/>
  <c r="D134" i="4"/>
  <c r="D135" i="4"/>
  <c r="D136" i="4"/>
  <c r="H197" i="3"/>
  <c r="I60" i="4"/>
  <c r="J58" i="4"/>
  <c r="K58" i="4"/>
  <c r="L58" i="4"/>
  <c r="M58" i="4"/>
  <c r="N58" i="4"/>
  <c r="O58" i="4"/>
  <c r="P58" i="4"/>
  <c r="Q58" i="4"/>
  <c r="F60" i="4"/>
  <c r="E62" i="4"/>
  <c r="J59" i="4"/>
  <c r="K59" i="4"/>
  <c r="I59" i="4"/>
  <c r="M59" i="4"/>
  <c r="N59" i="4"/>
  <c r="P59" i="4"/>
  <c r="L59" i="4"/>
  <c r="G60" i="4"/>
  <c r="O59" i="4"/>
  <c r="E79" i="5"/>
  <c r="H79" i="5"/>
  <c r="D79" i="5"/>
  <c r="B80" i="5"/>
  <c r="H254" i="3"/>
  <c r="H141" i="3"/>
  <c r="H149" i="3"/>
  <c r="H182" i="3"/>
  <c r="G230" i="19"/>
  <c r="F232" i="19"/>
  <c r="H231" i="19"/>
  <c r="I231" i="19"/>
  <c r="J231" i="19"/>
  <c r="K231" i="19"/>
  <c r="L231" i="19"/>
  <c r="M231" i="19"/>
  <c r="N231" i="19"/>
  <c r="O231" i="19"/>
  <c r="P231" i="19"/>
  <c r="Q231" i="19"/>
  <c r="R231" i="19"/>
  <c r="S231" i="19"/>
  <c r="G59" i="19"/>
  <c r="F61" i="19"/>
  <c r="H60" i="19"/>
  <c r="I60" i="19"/>
  <c r="J60" i="19"/>
  <c r="K60" i="19"/>
  <c r="L60" i="19"/>
  <c r="M60" i="19"/>
  <c r="N60" i="19"/>
  <c r="O60" i="19"/>
  <c r="P60" i="19"/>
  <c r="Q60" i="19"/>
  <c r="R60" i="19"/>
  <c r="S60" i="19"/>
  <c r="J166" i="4"/>
  <c r="J167" i="4"/>
  <c r="J168" i="4"/>
  <c r="J169" i="4"/>
  <c r="J170" i="4"/>
  <c r="J171" i="4"/>
  <c r="J172" i="4"/>
  <c r="J173" i="4"/>
  <c r="J174" i="4"/>
  <c r="G328" i="19"/>
  <c r="F330" i="19"/>
  <c r="H329" i="19"/>
  <c r="I329" i="19"/>
  <c r="J329" i="19"/>
  <c r="K329" i="19"/>
  <c r="L329" i="19"/>
  <c r="M329" i="19"/>
  <c r="N329" i="19"/>
  <c r="O329" i="19"/>
  <c r="P329" i="19"/>
  <c r="Q329" i="19"/>
  <c r="R329" i="19"/>
  <c r="S329" i="19"/>
  <c r="H97" i="19"/>
  <c r="I97" i="19"/>
  <c r="J97" i="19"/>
  <c r="K97" i="19"/>
  <c r="L97" i="19"/>
  <c r="M97" i="19"/>
  <c r="N97" i="19"/>
  <c r="O97" i="19"/>
  <c r="P97" i="19"/>
  <c r="Q97" i="19"/>
  <c r="R97" i="19"/>
  <c r="S97" i="19"/>
  <c r="G96" i="19"/>
  <c r="G78" i="5"/>
  <c r="F79" i="5"/>
  <c r="G126" i="19"/>
  <c r="F128" i="19"/>
  <c r="H127" i="19"/>
  <c r="I127" i="19"/>
  <c r="J127" i="19"/>
  <c r="K127" i="19"/>
  <c r="L127" i="19"/>
  <c r="M127" i="19"/>
  <c r="N127" i="19"/>
  <c r="O127" i="19"/>
  <c r="P127" i="19"/>
  <c r="Q127" i="19"/>
  <c r="R127" i="19"/>
  <c r="S127" i="19"/>
  <c r="M152" i="4"/>
  <c r="L152" i="4"/>
  <c r="H126" i="3"/>
  <c r="H294" i="3"/>
  <c r="H198" i="3"/>
  <c r="G120" i="4"/>
  <c r="G121" i="4"/>
  <c r="G122" i="4"/>
  <c r="G123" i="4"/>
  <c r="G124" i="4"/>
  <c r="G125" i="4"/>
  <c r="G126" i="4"/>
  <c r="G127" i="4"/>
  <c r="G128" i="4"/>
  <c r="H13" i="3"/>
  <c r="I15" i="3"/>
  <c r="H14" i="3"/>
  <c r="G79" i="5"/>
  <c r="F80" i="5"/>
  <c r="K175" i="4"/>
  <c r="J175" i="4"/>
  <c r="M153" i="4"/>
  <c r="L153" i="4"/>
  <c r="G128" i="19"/>
  <c r="H129" i="19"/>
  <c r="I129" i="19"/>
  <c r="J129" i="19"/>
  <c r="K129" i="19"/>
  <c r="L129" i="19"/>
  <c r="M129" i="19"/>
  <c r="N129" i="19"/>
  <c r="O129" i="19"/>
  <c r="P129" i="19"/>
  <c r="Q129" i="19"/>
  <c r="R129" i="19"/>
  <c r="S129" i="19"/>
  <c r="H233" i="19"/>
  <c r="I233" i="19"/>
  <c r="J233" i="19"/>
  <c r="K233" i="19"/>
  <c r="L233" i="19"/>
  <c r="M233" i="19"/>
  <c r="N233" i="19"/>
  <c r="O233" i="19"/>
  <c r="P233" i="19"/>
  <c r="Q233" i="19"/>
  <c r="R233" i="19"/>
  <c r="S233" i="19"/>
  <c r="G232" i="19"/>
  <c r="H331" i="19"/>
  <c r="I331" i="19"/>
  <c r="J331" i="19"/>
  <c r="K331" i="19"/>
  <c r="L331" i="19"/>
  <c r="M331" i="19"/>
  <c r="N331" i="19"/>
  <c r="O331" i="19"/>
  <c r="P331" i="19"/>
  <c r="Q331" i="19"/>
  <c r="R331" i="19"/>
  <c r="S331" i="19"/>
  <c r="G330" i="19"/>
  <c r="G61" i="19"/>
  <c r="H62" i="19"/>
  <c r="I62" i="19"/>
  <c r="J62" i="19"/>
  <c r="K62" i="19"/>
  <c r="L62" i="19"/>
  <c r="M62" i="19"/>
  <c r="N62" i="19"/>
  <c r="O62" i="19"/>
  <c r="P62" i="19"/>
  <c r="Q62" i="19"/>
  <c r="R62" i="19"/>
  <c r="S62" i="19"/>
  <c r="E80" i="5"/>
  <c r="H80" i="5"/>
  <c r="B81" i="5"/>
  <c r="D80" i="5"/>
  <c r="F62" i="4"/>
  <c r="J61" i="4"/>
  <c r="I61" i="4"/>
  <c r="N61" i="4"/>
  <c r="L61" i="4"/>
  <c r="K61" i="4"/>
  <c r="G62" i="4"/>
  <c r="M61" i="4"/>
  <c r="O61" i="4"/>
  <c r="P61" i="4"/>
  <c r="I62" i="4"/>
  <c r="J62" i="4"/>
  <c r="K62" i="4"/>
  <c r="L62" i="4"/>
  <c r="M62" i="4"/>
  <c r="N62" i="4"/>
  <c r="O62" i="4"/>
  <c r="P62" i="4"/>
  <c r="Q62" i="4"/>
  <c r="J60" i="4"/>
  <c r="K60" i="4"/>
  <c r="L60" i="4"/>
  <c r="M60" i="4"/>
  <c r="N60" i="4"/>
  <c r="O60" i="4"/>
  <c r="P60" i="4"/>
  <c r="Q60" i="4"/>
  <c r="E137" i="4"/>
  <c r="D137" i="4"/>
  <c r="D138" i="4"/>
  <c r="D139" i="4"/>
  <c r="D140" i="4"/>
  <c r="D141" i="4"/>
  <c r="D142" i="4"/>
  <c r="D143" i="4"/>
  <c r="D144" i="4"/>
  <c r="D145" i="4"/>
  <c r="F128" i="4"/>
  <c r="F129" i="4"/>
  <c r="F130" i="4"/>
  <c r="F131" i="4"/>
  <c r="F132" i="4"/>
  <c r="F133" i="4"/>
  <c r="F134" i="4"/>
  <c r="F135" i="4"/>
  <c r="F136" i="4"/>
  <c r="F137" i="4"/>
  <c r="F138" i="4"/>
  <c r="F139" i="4"/>
  <c r="F140" i="4"/>
  <c r="F141" i="4"/>
  <c r="F142" i="4"/>
  <c r="F143" i="4"/>
  <c r="F144" i="4"/>
  <c r="F145" i="4"/>
  <c r="J176" i="4"/>
  <c r="J177" i="4"/>
  <c r="J178" i="4"/>
  <c r="J179" i="4"/>
  <c r="J180" i="4"/>
  <c r="J181" i="4"/>
  <c r="J182" i="4"/>
  <c r="J183" i="4"/>
  <c r="K184" i="4"/>
  <c r="G80" i="5"/>
  <c r="F81" i="5"/>
  <c r="G129" i="4"/>
  <c r="G130" i="4"/>
  <c r="G131" i="4"/>
  <c r="G132" i="4"/>
  <c r="G133" i="4"/>
  <c r="G134" i="4"/>
  <c r="G135" i="4"/>
  <c r="G136" i="4"/>
  <c r="G137" i="4"/>
  <c r="G138" i="4"/>
  <c r="G139" i="4"/>
  <c r="G140" i="4"/>
  <c r="G141" i="4"/>
  <c r="G142" i="4"/>
  <c r="G143" i="4"/>
  <c r="G144" i="4"/>
  <c r="G145" i="4"/>
  <c r="E81" i="5"/>
  <c r="H81" i="5"/>
  <c r="B82" i="5"/>
  <c r="D81" i="5"/>
  <c r="M154" i="4"/>
  <c r="L154" i="4"/>
  <c r="J184" i="4"/>
  <c r="J185" i="4"/>
  <c r="J186" i="4"/>
  <c r="J187" i="4"/>
  <c r="J188" i="4"/>
  <c r="J189" i="4"/>
  <c r="J190" i="4"/>
  <c r="J191" i="4"/>
  <c r="J192" i="4"/>
  <c r="M155" i="4"/>
  <c r="L155" i="4"/>
  <c r="G81" i="5"/>
  <c r="F82" i="5"/>
  <c r="E82" i="5"/>
  <c r="H82" i="5"/>
  <c r="B83" i="5"/>
  <c r="D82" i="5"/>
  <c r="K193" i="4"/>
  <c r="J193" i="4"/>
  <c r="J194" i="4"/>
  <c r="J195" i="4"/>
  <c r="J196" i="4"/>
  <c r="J197" i="4"/>
  <c r="J198" i="4"/>
  <c r="J199" i="4"/>
  <c r="J200" i="4"/>
  <c r="J201" i="4"/>
  <c r="M156" i="4"/>
  <c r="B84" i="5"/>
  <c r="D83" i="5"/>
  <c r="E83" i="5"/>
  <c r="H83" i="5"/>
  <c r="G82" i="5"/>
  <c r="F83" i="5"/>
  <c r="G83" i="5"/>
  <c r="F84" i="5"/>
  <c r="K202" i="4"/>
  <c r="J202" i="4"/>
  <c r="J203" i="4"/>
  <c r="J204" i="4"/>
  <c r="J205" i="4"/>
  <c r="J206" i="4"/>
  <c r="J207" i="4"/>
  <c r="J208" i="4"/>
  <c r="J209" i="4"/>
  <c r="J210" i="4"/>
  <c r="L156" i="4"/>
  <c r="M157" i="4"/>
  <c r="B85" i="5"/>
  <c r="D84" i="5"/>
  <c r="E84" i="5"/>
  <c r="H84" i="5"/>
  <c r="K211" i="4"/>
  <c r="J211" i="4"/>
  <c r="J212" i="4"/>
  <c r="J213" i="4"/>
  <c r="J214" i="4"/>
  <c r="J215" i="4"/>
  <c r="J216" i="4"/>
  <c r="J217" i="4"/>
  <c r="J218" i="4"/>
  <c r="J219" i="4"/>
  <c r="L157" i="4"/>
  <c r="M158" i="4"/>
  <c r="D85" i="5"/>
  <c r="B86" i="5"/>
  <c r="E85" i="5"/>
  <c r="H85" i="5"/>
  <c r="G84" i="5"/>
  <c r="F85" i="5"/>
  <c r="K220" i="4"/>
  <c r="J220" i="4"/>
  <c r="J221" i="4"/>
  <c r="J222" i="4"/>
  <c r="J223" i="4"/>
  <c r="J224" i="4"/>
  <c r="J225" i="4"/>
  <c r="J226" i="4"/>
  <c r="J227" i="4"/>
  <c r="J228" i="4"/>
  <c r="G85" i="5"/>
  <c r="F86" i="5"/>
  <c r="L158" i="4"/>
  <c r="M159" i="4"/>
  <c r="D86" i="5"/>
  <c r="E86" i="5"/>
  <c r="H86" i="5"/>
  <c r="B87" i="5"/>
  <c r="L159" i="4"/>
  <c r="M160" i="4"/>
  <c r="B88" i="5"/>
  <c r="E87" i="5"/>
  <c r="H87" i="5"/>
  <c r="D87" i="5"/>
  <c r="G86" i="5"/>
  <c r="F87" i="5"/>
  <c r="G87" i="5"/>
  <c r="F88" i="5"/>
  <c r="L160" i="4"/>
  <c r="B89" i="5"/>
  <c r="D88" i="5"/>
  <c r="E88" i="5"/>
  <c r="H88" i="5"/>
  <c r="M161" i="4"/>
  <c r="B90" i="5"/>
  <c r="E89" i="5"/>
  <c r="H89" i="5"/>
  <c r="D89" i="5"/>
  <c r="G88" i="5"/>
  <c r="F89" i="5"/>
  <c r="G89" i="5"/>
  <c r="F90" i="5"/>
  <c r="D90" i="5"/>
  <c r="B91" i="5"/>
  <c r="E90" i="5"/>
  <c r="H90" i="5"/>
  <c r="L161" i="4"/>
  <c r="M162" i="4"/>
  <c r="G90" i="5"/>
  <c r="F91" i="5"/>
  <c r="E91" i="5"/>
  <c r="H91" i="5"/>
  <c r="B92" i="5"/>
  <c r="D91" i="5"/>
  <c r="L162" i="4"/>
  <c r="G91" i="5"/>
  <c r="F92" i="5"/>
  <c r="D92" i="5"/>
  <c r="B93" i="5"/>
  <c r="E92" i="5"/>
  <c r="H92" i="5"/>
  <c r="M163" i="4"/>
  <c r="L163" i="4"/>
  <c r="G92" i="5"/>
  <c r="F93" i="5"/>
  <c r="M164" i="4"/>
  <c r="N62" i="5"/>
  <c r="N66" i="5"/>
  <c r="B94" i="5"/>
  <c r="E93" i="5"/>
  <c r="H93" i="5"/>
  <c r="J62" i="5"/>
  <c r="J66" i="5"/>
  <c r="D93" i="5"/>
  <c r="L62" i="5"/>
  <c r="M63" i="5"/>
  <c r="M62" i="5"/>
  <c r="K66" i="5"/>
  <c r="K67" i="5"/>
  <c r="K68" i="5"/>
  <c r="K69" i="5"/>
  <c r="K70" i="5"/>
  <c r="K71" i="5"/>
  <c r="K72" i="5"/>
  <c r="K73" i="5"/>
  <c r="K74" i="5"/>
  <c r="K75" i="5"/>
  <c r="K76" i="5"/>
  <c r="E94" i="5"/>
  <c r="H94" i="5"/>
  <c r="B95" i="5"/>
  <c r="D94" i="5"/>
  <c r="J67" i="5"/>
  <c r="L66" i="5"/>
  <c r="M66" i="5"/>
  <c r="O66" i="5"/>
  <c r="N67" i="5"/>
  <c r="L164" i="4"/>
  <c r="M165" i="4"/>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S62" i="5"/>
  <c r="G93" i="5"/>
  <c r="F94" i="5"/>
  <c r="D95" i="5"/>
  <c r="E95" i="5"/>
  <c r="H95" i="5"/>
  <c r="B96" i="5"/>
  <c r="G94" i="5"/>
  <c r="F95" i="5"/>
  <c r="L67" i="5"/>
  <c r="M67" i="5"/>
  <c r="O67" i="5"/>
  <c r="N68" i="5"/>
  <c r="J68" i="5"/>
  <c r="L165" i="4"/>
  <c r="M166" i="4"/>
  <c r="G95" i="5"/>
  <c r="F96" i="5"/>
  <c r="J69" i="5"/>
  <c r="M68" i="5"/>
  <c r="O68" i="5"/>
  <c r="N69" i="5"/>
  <c r="L68" i="5"/>
  <c r="E96" i="5"/>
  <c r="H96" i="5"/>
  <c r="B97" i="5"/>
  <c r="D96" i="5"/>
  <c r="L166" i="4"/>
  <c r="G96" i="5"/>
  <c r="F97" i="5"/>
  <c r="D97" i="5"/>
  <c r="E97" i="5"/>
  <c r="H97" i="5"/>
  <c r="B98" i="5"/>
  <c r="L69" i="5"/>
  <c r="J70" i="5"/>
  <c r="M69" i="5"/>
  <c r="O69" i="5"/>
  <c r="N70" i="5"/>
  <c r="M167" i="4"/>
  <c r="L167" i="4"/>
  <c r="G97" i="5"/>
  <c r="F98" i="5"/>
  <c r="M168" i="4"/>
  <c r="B99" i="5"/>
  <c r="E98" i="5"/>
  <c r="H98" i="5"/>
  <c r="D98" i="5"/>
  <c r="L70" i="5"/>
  <c r="J71" i="5"/>
  <c r="M70" i="5"/>
  <c r="O70" i="5"/>
  <c r="N71" i="5"/>
  <c r="G98" i="5"/>
  <c r="F99" i="5"/>
  <c r="L71" i="5"/>
  <c r="P67" i="5"/>
  <c r="M71" i="5"/>
  <c r="O71" i="5"/>
  <c r="N72" i="5"/>
  <c r="J72" i="5"/>
  <c r="E99" i="5"/>
  <c r="H99" i="5"/>
  <c r="B100" i="5"/>
  <c r="D99" i="5"/>
  <c r="L168" i="4"/>
  <c r="M169" i="4"/>
  <c r="P66" i="5"/>
  <c r="G99" i="5"/>
  <c r="F100" i="5"/>
  <c r="L169" i="4"/>
  <c r="M170" i="4"/>
  <c r="E100" i="5"/>
  <c r="H100" i="5"/>
  <c r="D100" i="5"/>
  <c r="B101" i="5"/>
  <c r="J73" i="5"/>
  <c r="L72" i="5"/>
  <c r="M72" i="5"/>
  <c r="O72" i="5"/>
  <c r="N73" i="5"/>
  <c r="G100" i="5"/>
  <c r="F101" i="5"/>
  <c r="M73" i="5"/>
  <c r="O73" i="5"/>
  <c r="N74" i="5"/>
  <c r="L73" i="5"/>
  <c r="J74" i="5"/>
  <c r="B102" i="5"/>
  <c r="D101" i="5"/>
  <c r="E101" i="5"/>
  <c r="H101" i="5"/>
  <c r="L170" i="4"/>
  <c r="M171" i="4"/>
  <c r="P68" i="5"/>
  <c r="P69" i="5"/>
  <c r="M74" i="5"/>
  <c r="O74" i="5"/>
  <c r="N75" i="5"/>
  <c r="L74" i="5"/>
  <c r="P70" i="5"/>
  <c r="J75" i="5"/>
  <c r="B103" i="5"/>
  <c r="E102" i="5"/>
  <c r="H102" i="5"/>
  <c r="D102" i="5"/>
  <c r="G101" i="5"/>
  <c r="F102" i="5"/>
  <c r="L171" i="4"/>
  <c r="M172" i="4"/>
  <c r="G102" i="5"/>
  <c r="F103" i="5"/>
  <c r="M75" i="5"/>
  <c r="O75" i="5"/>
  <c r="N76" i="5"/>
  <c r="V62" i="5"/>
  <c r="V66" i="5"/>
  <c r="L75" i="5"/>
  <c r="J76" i="5"/>
  <c r="E103" i="5"/>
  <c r="H103" i="5"/>
  <c r="B104" i="5"/>
  <c r="D103" i="5"/>
  <c r="L172" i="4"/>
  <c r="M173" i="4"/>
  <c r="L173" i="4"/>
  <c r="E104" i="5"/>
  <c r="H104" i="5"/>
  <c r="B105" i="5"/>
  <c r="D104" i="5"/>
  <c r="P71" i="5"/>
  <c r="J77" i="5"/>
  <c r="M76" i="5"/>
  <c r="O76" i="5"/>
  <c r="L76" i="5"/>
  <c r="P72" i="5"/>
  <c r="R62" i="5"/>
  <c r="R66" i="5"/>
  <c r="G103" i="5"/>
  <c r="F104" i="5"/>
  <c r="N77" i="5"/>
  <c r="W62" i="5"/>
  <c r="M174" i="4"/>
  <c r="T62" i="5"/>
  <c r="U63" i="5"/>
  <c r="U62"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R67" i="5"/>
  <c r="T66" i="5"/>
  <c r="M77" i="5"/>
  <c r="L77" i="5"/>
  <c r="J78" i="5"/>
  <c r="E105" i="5"/>
  <c r="H105" i="5"/>
  <c r="D105" i="5"/>
  <c r="B106" i="5"/>
  <c r="G104" i="5"/>
  <c r="F105" i="5"/>
  <c r="G105" i="5"/>
  <c r="F106" i="5"/>
  <c r="D106" i="5"/>
  <c r="E106" i="5"/>
  <c r="H106" i="5"/>
  <c r="B107" i="5"/>
  <c r="T67" i="5"/>
  <c r="U67" i="5"/>
  <c r="R68" i="5"/>
  <c r="L174" i="4"/>
  <c r="M175" i="4"/>
  <c r="U66" i="5"/>
  <c r="W66" i="5"/>
  <c r="V67" i="5"/>
  <c r="O77" i="5"/>
  <c r="N78" i="5"/>
  <c r="L78" i="5"/>
  <c r="M78" i="5"/>
  <c r="J79" i="5"/>
  <c r="P73" i="5"/>
  <c r="G106" i="5"/>
  <c r="F107" i="5"/>
  <c r="W67" i="5"/>
  <c r="V68" i="5"/>
  <c r="J80" i="5"/>
  <c r="M79" i="5"/>
  <c r="L79" i="5"/>
  <c r="P75" i="5"/>
  <c r="P74" i="5"/>
  <c r="U68" i="5"/>
  <c r="R69" i="5"/>
  <c r="T68" i="5"/>
  <c r="B108" i="5"/>
  <c r="E107" i="5"/>
  <c r="H107" i="5"/>
  <c r="D107" i="5"/>
  <c r="O78" i="5"/>
  <c r="N79" i="5"/>
  <c r="L175" i="4"/>
  <c r="W68" i="5"/>
  <c r="V69" i="5"/>
  <c r="G107" i="5"/>
  <c r="F108" i="5"/>
  <c r="D108" i="5"/>
  <c r="E108" i="5"/>
  <c r="H108" i="5"/>
  <c r="B109" i="5"/>
  <c r="O79" i="5"/>
  <c r="N80" i="5"/>
  <c r="J81" i="5"/>
  <c r="M80" i="5"/>
  <c r="L80" i="5"/>
  <c r="M176" i="4"/>
  <c r="U69" i="5"/>
  <c r="W69" i="5"/>
  <c r="V70" i="5"/>
  <c r="T69" i="5"/>
  <c r="R70" i="5"/>
  <c r="O80" i="5"/>
  <c r="N81" i="5"/>
  <c r="B110" i="5"/>
  <c r="D109" i="5"/>
  <c r="E109" i="5"/>
  <c r="H109" i="5"/>
  <c r="R71" i="5"/>
  <c r="U70" i="5"/>
  <c r="W70" i="5"/>
  <c r="V71" i="5"/>
  <c r="T70" i="5"/>
  <c r="M81" i="5"/>
  <c r="L81" i="5"/>
  <c r="P77" i="5"/>
  <c r="J82" i="5"/>
  <c r="P76" i="5"/>
  <c r="L176" i="4"/>
  <c r="G108" i="5"/>
  <c r="F109" i="5"/>
  <c r="O81" i="5"/>
  <c r="N82" i="5"/>
  <c r="D110" i="5"/>
  <c r="B111" i="5"/>
  <c r="E110" i="5"/>
  <c r="H110" i="5"/>
  <c r="U71" i="5"/>
  <c r="W71" i="5"/>
  <c r="V72" i="5"/>
  <c r="T71" i="5"/>
  <c r="R72" i="5"/>
  <c r="M82" i="5"/>
  <c r="J83" i="5"/>
  <c r="L82" i="5"/>
  <c r="P78" i="5"/>
  <c r="G109" i="5"/>
  <c r="F110" i="5"/>
  <c r="M177" i="4"/>
  <c r="O82" i="5"/>
  <c r="N83" i="5"/>
  <c r="G110" i="5"/>
  <c r="F111" i="5"/>
  <c r="R73" i="5"/>
  <c r="T72" i="5"/>
  <c r="U72" i="5"/>
  <c r="W72" i="5"/>
  <c r="V73" i="5"/>
  <c r="L83" i="5"/>
  <c r="P79" i="5"/>
  <c r="M83" i="5"/>
  <c r="O83" i="5"/>
  <c r="N84" i="5"/>
  <c r="J84" i="5"/>
  <c r="E111" i="5"/>
  <c r="H111" i="5"/>
  <c r="D111" i="5"/>
  <c r="B112" i="5"/>
  <c r="L177" i="4"/>
  <c r="M84" i="5"/>
  <c r="O84" i="5"/>
  <c r="N85" i="5"/>
  <c r="L84" i="5"/>
  <c r="P80" i="5"/>
  <c r="J85" i="5"/>
  <c r="M178" i="4"/>
  <c r="L178" i="4"/>
  <c r="R74" i="5"/>
  <c r="U73" i="5"/>
  <c r="W73" i="5"/>
  <c r="V74" i="5"/>
  <c r="T73" i="5"/>
  <c r="E112" i="5"/>
  <c r="H112" i="5"/>
  <c r="B113" i="5"/>
  <c r="D112" i="5"/>
  <c r="G111" i="5"/>
  <c r="F112" i="5"/>
  <c r="G112" i="5"/>
  <c r="F113" i="5"/>
  <c r="E113" i="5"/>
  <c r="H113" i="5"/>
  <c r="D113" i="5"/>
  <c r="B114" i="5"/>
  <c r="R75" i="5"/>
  <c r="U74" i="5"/>
  <c r="W74" i="5"/>
  <c r="V75" i="5"/>
  <c r="T74" i="5"/>
  <c r="M179" i="4"/>
  <c r="L85" i="5"/>
  <c r="J86" i="5"/>
  <c r="M85" i="5"/>
  <c r="O85" i="5"/>
  <c r="N86" i="5"/>
  <c r="G113" i="5"/>
  <c r="F114" i="5"/>
  <c r="J87" i="5"/>
  <c r="L86" i="5"/>
  <c r="P82" i="5"/>
  <c r="M86" i="5"/>
  <c r="O86" i="5"/>
  <c r="N87" i="5"/>
  <c r="B115" i="5"/>
  <c r="E114" i="5"/>
  <c r="H114" i="5"/>
  <c r="D114" i="5"/>
  <c r="P81" i="5"/>
  <c r="L179" i="4"/>
  <c r="M180" i="4"/>
  <c r="T75" i="5"/>
  <c r="U75" i="5"/>
  <c r="W75" i="5"/>
  <c r="V76" i="5"/>
  <c r="R76" i="5"/>
  <c r="G114" i="5"/>
  <c r="F115" i="5"/>
  <c r="L87" i="5"/>
  <c r="M87" i="5"/>
  <c r="O87" i="5"/>
  <c r="N88" i="5"/>
  <c r="J88" i="5"/>
  <c r="L180" i="4"/>
  <c r="T76" i="5"/>
  <c r="U76" i="5"/>
  <c r="W76" i="5"/>
  <c r="V77" i="5"/>
  <c r="R77" i="5"/>
  <c r="D115" i="5"/>
  <c r="E115" i="5"/>
  <c r="H115" i="5"/>
  <c r="B116" i="5"/>
  <c r="M181" i="4"/>
  <c r="L181" i="4"/>
  <c r="P83" i="5"/>
  <c r="E116" i="5"/>
  <c r="H116" i="5"/>
  <c r="B117" i="5"/>
  <c r="D116" i="5"/>
  <c r="J89" i="5"/>
  <c r="M88" i="5"/>
  <c r="O88" i="5"/>
  <c r="N89" i="5"/>
  <c r="L88" i="5"/>
  <c r="P84" i="5"/>
  <c r="T77" i="5"/>
  <c r="U77" i="5"/>
  <c r="W77" i="5"/>
  <c r="V78" i="5"/>
  <c r="R78" i="5"/>
  <c r="G115" i="5"/>
  <c r="F116" i="5"/>
  <c r="G116" i="5"/>
  <c r="F117" i="5"/>
  <c r="M182" i="4"/>
  <c r="L182" i="4"/>
  <c r="M89" i="5"/>
  <c r="O89" i="5"/>
  <c r="N90" i="5"/>
  <c r="L89" i="5"/>
  <c r="P85" i="5"/>
  <c r="J90" i="5"/>
  <c r="T78" i="5"/>
  <c r="R79" i="5"/>
  <c r="U78" i="5"/>
  <c r="W78" i="5"/>
  <c r="V79" i="5"/>
  <c r="E117" i="5"/>
  <c r="H117" i="5"/>
  <c r="B118" i="5"/>
  <c r="D117" i="5"/>
  <c r="G117" i="5"/>
  <c r="F118" i="5"/>
  <c r="M183" i="4"/>
  <c r="M90" i="5"/>
  <c r="O90" i="5"/>
  <c r="N91" i="5"/>
  <c r="L90" i="5"/>
  <c r="J91" i="5"/>
  <c r="B119" i="5"/>
  <c r="E118" i="5"/>
  <c r="H118" i="5"/>
  <c r="D118" i="5"/>
  <c r="R80" i="5"/>
  <c r="T79" i="5"/>
  <c r="U79" i="5"/>
  <c r="W79" i="5"/>
  <c r="V80" i="5"/>
  <c r="G118" i="5"/>
  <c r="F119" i="5"/>
  <c r="L183" i="4"/>
  <c r="M184" i="4"/>
  <c r="R81" i="5"/>
  <c r="T80" i="5"/>
  <c r="U80" i="5"/>
  <c r="W80" i="5"/>
  <c r="V81" i="5"/>
  <c r="L91" i="5"/>
  <c r="P87" i="5"/>
  <c r="M91" i="5"/>
  <c r="O91" i="5"/>
  <c r="N92" i="5"/>
  <c r="J92" i="5"/>
  <c r="B120" i="5"/>
  <c r="D119" i="5"/>
  <c r="E119" i="5"/>
  <c r="H119" i="5"/>
  <c r="P86" i="5"/>
  <c r="G119" i="5"/>
  <c r="F120" i="5"/>
  <c r="L184" i="4"/>
  <c r="M185" i="4"/>
  <c r="L92" i="5"/>
  <c r="J93" i="5"/>
  <c r="M92" i="5"/>
  <c r="O92" i="5"/>
  <c r="N93" i="5"/>
  <c r="E120" i="5"/>
  <c r="H120" i="5"/>
  <c r="D120" i="5"/>
  <c r="B121" i="5"/>
  <c r="U81" i="5"/>
  <c r="W81" i="5"/>
  <c r="V82" i="5"/>
  <c r="R82" i="5"/>
  <c r="T81" i="5"/>
  <c r="G120" i="5"/>
  <c r="F121" i="5"/>
  <c r="L185" i="4"/>
  <c r="P88" i="5"/>
  <c r="B122" i="5"/>
  <c r="E121" i="5"/>
  <c r="H121" i="5"/>
  <c r="D121" i="5"/>
  <c r="U82" i="5"/>
  <c r="W82" i="5"/>
  <c r="V83" i="5"/>
  <c r="T82" i="5"/>
  <c r="R83" i="5"/>
  <c r="M93" i="5"/>
  <c r="O93" i="5"/>
  <c r="N94" i="5"/>
  <c r="J94" i="5"/>
  <c r="L93" i="5"/>
  <c r="G121" i="5"/>
  <c r="F122" i="5"/>
  <c r="T83" i="5"/>
  <c r="R84" i="5"/>
  <c r="U83" i="5"/>
  <c r="W83" i="5"/>
  <c r="V84" i="5"/>
  <c r="P89" i="5"/>
  <c r="D122" i="5"/>
  <c r="B123" i="5"/>
  <c r="E122" i="5"/>
  <c r="H122" i="5"/>
  <c r="M186" i="4"/>
  <c r="L186" i="4"/>
  <c r="J95" i="5"/>
  <c r="L94" i="5"/>
  <c r="M94" i="5"/>
  <c r="O94" i="5"/>
  <c r="N95" i="5"/>
  <c r="P90" i="5"/>
  <c r="J96" i="5"/>
  <c r="M95" i="5"/>
  <c r="O95" i="5"/>
  <c r="N96" i="5"/>
  <c r="L95" i="5"/>
  <c r="R85" i="5"/>
  <c r="U84" i="5"/>
  <c r="W84" i="5"/>
  <c r="V85" i="5"/>
  <c r="T84" i="5"/>
  <c r="B124" i="5"/>
  <c r="E123" i="5"/>
  <c r="H123" i="5"/>
  <c r="D123" i="5"/>
  <c r="M187" i="4"/>
  <c r="G122" i="5"/>
  <c r="F123" i="5"/>
  <c r="G123" i="5"/>
  <c r="F124" i="5"/>
  <c r="T85" i="5"/>
  <c r="R86" i="5"/>
  <c r="U85" i="5"/>
  <c r="W85" i="5"/>
  <c r="V86" i="5"/>
  <c r="L187" i="4"/>
  <c r="M188" i="4"/>
  <c r="M96" i="5"/>
  <c r="O96" i="5"/>
  <c r="N97" i="5"/>
  <c r="J97" i="5"/>
  <c r="L96" i="5"/>
  <c r="E124" i="5"/>
  <c r="H124" i="5"/>
  <c r="D124" i="5"/>
  <c r="B125" i="5"/>
  <c r="P91" i="5"/>
  <c r="L188" i="4"/>
  <c r="M189" i="4"/>
  <c r="P92" i="5"/>
  <c r="T86" i="5"/>
  <c r="U86" i="5"/>
  <c r="W86" i="5"/>
  <c r="V87" i="5"/>
  <c r="R87" i="5"/>
  <c r="D125" i="5"/>
  <c r="E125" i="5"/>
  <c r="H125" i="5"/>
  <c r="B126" i="5"/>
  <c r="L97" i="5"/>
  <c r="M97" i="5"/>
  <c r="O97" i="5"/>
  <c r="N98" i="5"/>
  <c r="J98" i="5"/>
  <c r="G124" i="5"/>
  <c r="F125" i="5"/>
  <c r="M98" i="5"/>
  <c r="O98" i="5"/>
  <c r="N99" i="5"/>
  <c r="L98" i="5"/>
  <c r="P94" i="5"/>
  <c r="J99" i="5"/>
  <c r="L189" i="4"/>
  <c r="M190" i="4"/>
  <c r="D126" i="5"/>
  <c r="B127" i="5"/>
  <c r="E126" i="5"/>
  <c r="H126" i="5"/>
  <c r="R88" i="5"/>
  <c r="T87" i="5"/>
  <c r="U87" i="5"/>
  <c r="W87" i="5"/>
  <c r="V88" i="5"/>
  <c r="G125" i="5"/>
  <c r="F126" i="5"/>
  <c r="P93" i="5"/>
  <c r="L190" i="4"/>
  <c r="M191" i="4"/>
  <c r="G126" i="5"/>
  <c r="F127" i="5"/>
  <c r="T88" i="5"/>
  <c r="U88" i="5"/>
  <c r="W88" i="5"/>
  <c r="V89" i="5"/>
  <c r="R89" i="5"/>
  <c r="E127" i="5"/>
  <c r="H127" i="5"/>
  <c r="B128" i="5"/>
  <c r="D127" i="5"/>
  <c r="M99" i="5"/>
  <c r="O99" i="5"/>
  <c r="N100" i="5"/>
  <c r="J100" i="5"/>
  <c r="L99" i="5"/>
  <c r="T89" i="5"/>
  <c r="U89" i="5"/>
  <c r="W89" i="5"/>
  <c r="V90" i="5"/>
  <c r="R90" i="5"/>
  <c r="J101" i="5"/>
  <c r="L100" i="5"/>
  <c r="M100" i="5"/>
  <c r="O100" i="5"/>
  <c r="N101" i="5"/>
  <c r="G127" i="5"/>
  <c r="F128" i="5"/>
  <c r="D128" i="5"/>
  <c r="E128" i="5"/>
  <c r="H128" i="5"/>
  <c r="P95" i="5"/>
  <c r="L191" i="4"/>
  <c r="M192" i="4"/>
  <c r="L192" i="4"/>
  <c r="J102" i="5"/>
  <c r="M101" i="5"/>
  <c r="O101" i="5"/>
  <c r="N102" i="5"/>
  <c r="L101" i="5"/>
  <c r="P96" i="5"/>
  <c r="T90" i="5"/>
  <c r="U90" i="5"/>
  <c r="W90" i="5"/>
  <c r="V91" i="5"/>
  <c r="R91" i="5"/>
  <c r="G128" i="5"/>
  <c r="M193" i="4"/>
  <c r="L193" i="4"/>
  <c r="T91" i="5"/>
  <c r="R92" i="5"/>
  <c r="U91" i="5"/>
  <c r="W91" i="5"/>
  <c r="V92" i="5"/>
  <c r="M102" i="5"/>
  <c r="O102" i="5"/>
  <c r="N103" i="5"/>
  <c r="J103" i="5"/>
  <c r="L102" i="5"/>
  <c r="P98" i="5"/>
  <c r="P97" i="5"/>
  <c r="M103" i="5"/>
  <c r="O103" i="5"/>
  <c r="N104" i="5"/>
  <c r="L103" i="5"/>
  <c r="P99" i="5"/>
  <c r="J104" i="5"/>
  <c r="M194" i="4"/>
  <c r="L194" i="4"/>
  <c r="R93" i="5"/>
  <c r="U92" i="5"/>
  <c r="W92" i="5"/>
  <c r="V93" i="5"/>
  <c r="T92" i="5"/>
  <c r="M195" i="4"/>
  <c r="U93" i="5"/>
  <c r="W93" i="5"/>
  <c r="V94" i="5"/>
  <c r="R94" i="5"/>
  <c r="T93" i="5"/>
  <c r="J105" i="5"/>
  <c r="L104" i="5"/>
  <c r="M104" i="5"/>
  <c r="O104" i="5"/>
  <c r="N105" i="5"/>
  <c r="L105" i="5"/>
  <c r="P101" i="5"/>
  <c r="M105" i="5"/>
  <c r="O105" i="5"/>
  <c r="N106" i="5"/>
  <c r="J106" i="5"/>
  <c r="P100" i="5"/>
  <c r="U94" i="5"/>
  <c r="W94" i="5"/>
  <c r="V95" i="5"/>
  <c r="R95" i="5"/>
  <c r="T94" i="5"/>
  <c r="L195" i="4"/>
  <c r="M196" i="4"/>
  <c r="U95" i="5"/>
  <c r="W95" i="5"/>
  <c r="T95" i="5"/>
  <c r="J107" i="5"/>
  <c r="L106" i="5"/>
  <c r="M106" i="5"/>
  <c r="O106" i="5"/>
  <c r="N107" i="5"/>
  <c r="L196" i="4"/>
  <c r="M197" i="4"/>
  <c r="J108" i="5"/>
  <c r="L107" i="5"/>
  <c r="M107" i="5"/>
  <c r="O107" i="5"/>
  <c r="N108" i="5"/>
  <c r="P102" i="5"/>
  <c r="L197" i="4"/>
  <c r="L108" i="5"/>
  <c r="M108" i="5"/>
  <c r="O108" i="5"/>
  <c r="N109" i="5"/>
  <c r="J109" i="5"/>
  <c r="M198" i="4"/>
  <c r="L198" i="4"/>
  <c r="P103" i="5"/>
  <c r="P104" i="5"/>
  <c r="M109" i="5"/>
  <c r="O109" i="5"/>
  <c r="N110" i="5"/>
  <c r="J110" i="5"/>
  <c r="L109" i="5"/>
  <c r="M199" i="4"/>
  <c r="L199" i="4"/>
  <c r="P105" i="5"/>
  <c r="L110" i="5"/>
  <c r="P106" i="5"/>
  <c r="J111" i="5"/>
  <c r="M110" i="5"/>
  <c r="O110" i="5"/>
  <c r="N111" i="5"/>
  <c r="M200" i="4"/>
  <c r="L200" i="4"/>
  <c r="L111" i="5"/>
  <c r="P107" i="5"/>
  <c r="M111" i="5"/>
  <c r="O111" i="5"/>
  <c r="N112" i="5"/>
  <c r="J112" i="5"/>
  <c r="M201" i="4"/>
  <c r="L112" i="5"/>
  <c r="M112" i="5"/>
  <c r="O112" i="5"/>
  <c r="N113" i="5"/>
  <c r="J113" i="5"/>
  <c r="L201" i="4"/>
  <c r="M202" i="4"/>
  <c r="L202" i="4"/>
  <c r="M203" i="4"/>
  <c r="P108" i="5"/>
  <c r="L113" i="5"/>
  <c r="P109" i="5"/>
  <c r="J114" i="5"/>
  <c r="M113" i="5"/>
  <c r="O113" i="5"/>
  <c r="N114" i="5"/>
  <c r="L203" i="4"/>
  <c r="M114" i="5"/>
  <c r="O114" i="5"/>
  <c r="N115" i="5"/>
  <c r="J115" i="5"/>
  <c r="L114" i="5"/>
  <c r="M204" i="4"/>
  <c r="J116" i="5"/>
  <c r="L115" i="5"/>
  <c r="M115" i="5"/>
  <c r="O115" i="5"/>
  <c r="N116" i="5"/>
  <c r="P110" i="5"/>
  <c r="L204" i="4"/>
  <c r="M205" i="4"/>
  <c r="M116" i="5"/>
  <c r="O116" i="5"/>
  <c r="N117" i="5"/>
  <c r="L116" i="5"/>
  <c r="J117" i="5"/>
  <c r="P111" i="5"/>
  <c r="L205" i="4"/>
  <c r="M206" i="4"/>
  <c r="P112" i="5"/>
  <c r="L117" i="5"/>
  <c r="M117" i="5"/>
  <c r="O117" i="5"/>
  <c r="N118" i="5"/>
  <c r="J118" i="5"/>
  <c r="L206" i="4"/>
  <c r="M207" i="4"/>
  <c r="L207" i="4"/>
  <c r="P113" i="5"/>
  <c r="J119" i="5"/>
  <c r="M118" i="5"/>
  <c r="O118" i="5"/>
  <c r="N119" i="5"/>
  <c r="L118" i="5"/>
  <c r="P114" i="5"/>
  <c r="M208" i="4"/>
  <c r="L208" i="4"/>
  <c r="M119" i="5"/>
  <c r="O119" i="5"/>
  <c r="N120" i="5"/>
  <c r="J120" i="5"/>
  <c r="L119" i="5"/>
  <c r="M209" i="4"/>
  <c r="L209" i="4"/>
  <c r="P115" i="5"/>
  <c r="M120" i="5"/>
  <c r="O120" i="5"/>
  <c r="N121" i="5"/>
  <c r="J121" i="5"/>
  <c r="L120" i="5"/>
  <c r="P116" i="5"/>
  <c r="M210" i="4"/>
  <c r="L210" i="4"/>
  <c r="J122" i="5"/>
  <c r="L121" i="5"/>
  <c r="P117" i="5"/>
  <c r="M121" i="5"/>
  <c r="O121" i="5"/>
  <c r="N122" i="5"/>
  <c r="M211" i="4"/>
  <c r="L211" i="4"/>
  <c r="J123" i="5"/>
  <c r="L122" i="5"/>
  <c r="M122" i="5"/>
  <c r="O122" i="5"/>
  <c r="N123" i="5"/>
  <c r="M212" i="4"/>
  <c r="L212" i="4"/>
  <c r="M123" i="5"/>
  <c r="O123" i="5"/>
  <c r="N124" i="5"/>
  <c r="L123" i="5"/>
  <c r="P119" i="5"/>
  <c r="J124" i="5"/>
  <c r="P118" i="5"/>
  <c r="M213" i="4"/>
  <c r="L213" i="4"/>
  <c r="M124" i="5"/>
  <c r="O124" i="5"/>
  <c r="N125" i="5"/>
  <c r="J125" i="5"/>
  <c r="L124" i="5"/>
  <c r="P120" i="5"/>
  <c r="M214" i="4"/>
  <c r="L214" i="4"/>
  <c r="M125" i="5"/>
  <c r="O125" i="5"/>
  <c r="N126" i="5"/>
  <c r="J126" i="5"/>
  <c r="L125" i="5"/>
  <c r="M215" i="4"/>
  <c r="L215" i="4"/>
  <c r="M126" i="5"/>
  <c r="O126" i="5"/>
  <c r="N127" i="5"/>
  <c r="J127" i="5"/>
  <c r="L126" i="5"/>
  <c r="P121" i="5"/>
  <c r="M216" i="4"/>
  <c r="L216" i="4"/>
  <c r="J128" i="5"/>
  <c r="M127" i="5"/>
  <c r="O127" i="5"/>
  <c r="N128" i="5"/>
  <c r="L127" i="5"/>
  <c r="P122" i="5"/>
  <c r="M217" i="4"/>
  <c r="L217" i="4"/>
  <c r="J129" i="5"/>
  <c r="M128" i="5"/>
  <c r="O128" i="5"/>
  <c r="N129" i="5"/>
  <c r="L128" i="5"/>
  <c r="P123" i="5"/>
  <c r="M218" i="4"/>
  <c r="L218" i="4"/>
  <c r="M129" i="5"/>
  <c r="O129" i="5"/>
  <c r="L129" i="5"/>
  <c r="P128" i="5"/>
  <c r="P124" i="5"/>
  <c r="P126" i="5"/>
  <c r="M219" i="4"/>
  <c r="L219" i="4"/>
  <c r="P129" i="5"/>
  <c r="P125" i="5"/>
  <c r="P127" i="5"/>
  <c r="M220" i="4"/>
  <c r="L220" i="4"/>
  <c r="M221" i="4"/>
  <c r="L221" i="4"/>
  <c r="M222" i="4"/>
  <c r="L222" i="4"/>
  <c r="M223" i="4"/>
  <c r="L223" i="4"/>
  <c r="M224" i="4"/>
  <c r="L224" i="4"/>
  <c r="M225" i="4"/>
  <c r="L225" i="4"/>
  <c r="M226" i="4"/>
  <c r="L226" i="4"/>
  <c r="M227" i="4"/>
  <c r="L227" i="4"/>
  <c r="M228" i="4"/>
  <c r="L228" i="4"/>
  <c r="M229" i="4"/>
  <c r="O11"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100-000001000000}">
      <text>
        <r>
          <rPr>
            <sz val="8"/>
            <color indexed="8"/>
            <rFont val="Calibri"/>
            <family val="2"/>
          </rPr>
          <t xml:space="preserve">Help: Use this Excel sheet to calculate upto 5 Vimsottari Dasas. All portions in Bold and Italic  are input cells. Use these cells to input chart information like Planet Postions and Date of Birth are Vimosottari Dasa beginning parameter.
</t>
        </r>
      </text>
    </comment>
    <comment ref="J7" authorId="0" shapeId="0" xr:uid="{00000000-0006-0000-0100-000002000000}">
      <text>
        <r>
          <rPr>
            <sz val="8"/>
            <color indexed="8"/>
            <rFont val="Calibri"/>
            <family val="2"/>
          </rPr>
          <t xml:space="preserve">Enter the Planet names and positions in these cells. Use Only the Yellow Cell. For sign Postions use Ar,Ta etc Symbols.
Format is like 12 Cn 39 for 12^39" Cancer
</t>
        </r>
        <r>
          <rPr>
            <sz val="8"/>
            <color indexed="8"/>
            <rFont val="Arial"/>
            <family val="2"/>
          </rPr>
          <t xml:space="preserve">
</t>
        </r>
        <r>
          <rPr>
            <sz val="8"/>
            <color indexed="8"/>
            <rFont val="Calibri"/>
            <family val="2"/>
          </rPr>
          <t xml:space="preserve">Tip:You can Paste these from JHL. 
   In JHL. Copy Calculations as text and Paste the chart into a Notepad. Select only Planet positions lines from Ascdt to Gulika. Copy them to clip board Ctrl-C. Select the Yellow Portions in the Excel Sheet press Delete Key and then paste i.e Ctrl-V. Select from menu Data;Text to Columns. to convert them to cells.
</t>
        </r>
        <r>
          <rPr>
            <sz val="8"/>
            <color indexed="8"/>
            <rFont val="Arial"/>
            <family val="2"/>
          </rPr>
          <t xml:space="preserve">
</t>
        </r>
        <r>
          <rPr>
            <sz val="8"/>
            <color indexed="8"/>
            <rFont val="Calibri"/>
            <family val="2"/>
          </rPr>
          <t xml:space="preserve">    </t>
        </r>
      </text>
    </comment>
    <comment ref="G31" authorId="0" shapeId="0" xr:uid="{00000000-0006-0000-0100-000003000000}">
      <text>
        <r>
          <rPr>
            <sz val="8"/>
            <color indexed="8"/>
            <rFont val="Calibri"/>
            <family val="2"/>
          </rPr>
          <t xml:space="preserve">Find the constellation occupied by natal Moon. Find the fraction traversed by
Moon in that constellation. Find the same fraction of the zodiac (360 degrees).
Add that to natal lagna. The result is called "Sree Lagna" (SL). Sree means
"prosperous" and it also stands for "Goddess Lakshmi", who is in charge of money
in Hindu mythology.
</t>
        </r>
      </text>
    </comment>
    <comment ref="A32" authorId="0" shapeId="0" xr:uid="{00000000-0006-0000-0100-000004000000}">
      <text>
        <r>
          <rPr>
            <sz val="8"/>
            <color indexed="8"/>
            <rFont val="Calibri"/>
            <family val="2"/>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G32" authorId="0" shapeId="0" xr:uid="{00000000-0006-0000-0100-000005000000}">
      <text>
        <r>
          <rPr>
            <sz val="8"/>
            <color indexed="8"/>
            <rFont val="Calibri"/>
            <family val="2"/>
          </rPr>
          <t xml:space="preserve">Take the longitudes of lagna and horalagna (HL). If one of them is in an even sign, subtract the longitude from 360 deg. Add the two longitudes if lagna and HL are in the sign of same oddity (odd-odd or even-even). If one is in an odd sign and the
other in an even sign, take the difference instead. If lagna is in an even sign, subtract this result from 360 deg. The final result gives the longitude of VL.
</t>
        </r>
      </text>
    </comment>
    <comment ref="A33" authorId="0" shapeId="0" xr:uid="{00000000-0006-0000-0100-000006000000}">
      <text>
        <r>
          <rPr>
            <sz val="8"/>
            <color indexed="8"/>
            <rFont val="Calibri"/>
            <family val="2"/>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Prabhakaran, Sanjay</author>
  </authors>
  <commentList>
    <comment ref="P2" authorId="0" shapeId="0" xr:uid="{00000000-0006-0000-0300-000001000000}">
      <text>
        <r>
          <rPr>
            <b/>
            <sz val="9"/>
            <color indexed="81"/>
            <rFont val="Tahoma"/>
          </rPr>
          <t>Prabhakaran, Sanjay:</t>
        </r>
        <r>
          <rPr>
            <sz val="9"/>
            <color indexed="81"/>
            <rFont val="Tahoma"/>
          </rPr>
          <t xml:space="preserve">
Staana Gunanka
Exaltation 3
Moolatrikona 2
Own 3/2
Adimitra 4/3
Friend 6/5
Enemy ½
Adishatru 2/5
Neutral 1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Sanjay Prabhakaran</author>
  </authors>
  <commentList>
    <comment ref="D4" authorId="0" shapeId="0" xr:uid="{00000000-0006-0000-0700-000001000000}">
      <text>
        <r>
          <rPr>
            <b/>
            <sz val="9"/>
            <color indexed="81"/>
            <rFont val="Tahoma"/>
            <family val="2"/>
          </rPr>
          <t>Sanjay Prabhakaran:</t>
        </r>
        <r>
          <rPr>
            <sz val="9"/>
            <color indexed="81"/>
            <rFont val="Tahoma"/>
            <family val="2"/>
          </rPr>
          <t xml:space="preserve">
Black is Kriitaadi 
Bold mean 4x3 group</t>
        </r>
      </text>
    </comment>
    <comment ref="D6" authorId="0" shapeId="0" xr:uid="{00000000-0006-0000-0700-000002000000}">
      <text>
        <r>
          <rPr>
            <b/>
            <sz val="9"/>
            <color indexed="81"/>
            <rFont val="Tahoma"/>
            <family val="2"/>
          </rPr>
          <t>Sanjay Prabhakaran:</t>
        </r>
        <r>
          <rPr>
            <sz val="9"/>
            <color indexed="81"/>
            <rFont val="Tahoma"/>
            <family val="2"/>
          </rPr>
          <t xml:space="preserve">
Red is Ashiwinaadi 
Under like can be 4x3 or 3x4</t>
        </r>
      </text>
    </comment>
    <comment ref="D8" authorId="0" shapeId="0" xr:uid="{00000000-0006-0000-0700-000003000000}">
      <text>
        <r>
          <rPr>
            <b/>
            <sz val="9"/>
            <color indexed="81"/>
            <rFont val="Tahoma"/>
            <family val="2"/>
          </rPr>
          <t>Sanjay Prabhakaran:
Italics means 3x4</t>
        </r>
      </text>
    </comment>
    <comment ref="D10" authorId="0" shapeId="0" xr:uid="{00000000-0006-0000-0700-000004000000}">
      <text>
        <r>
          <rPr>
            <b/>
            <sz val="9"/>
            <color indexed="81"/>
            <rFont val="Tahoma"/>
            <family val="2"/>
          </rPr>
          <t>Sanjay Prabhakaran:</t>
        </r>
        <r>
          <rPr>
            <sz val="9"/>
            <color indexed="81"/>
            <rFont val="Tahoma"/>
            <family val="2"/>
          </rPr>
          <t xml:space="preserve">
Under can be both 3 or 4 start</t>
        </r>
      </text>
    </comment>
    <comment ref="D16" authorId="0" shapeId="0" xr:uid="{00000000-0006-0000-0700-000005000000}">
      <text>
        <r>
          <rPr>
            <b/>
            <sz val="9"/>
            <color indexed="81"/>
            <rFont val="Tahoma"/>
            <family val="2"/>
          </rPr>
          <t>Sanjay Prabhakaran:</t>
        </r>
        <r>
          <rPr>
            <sz val="9"/>
            <color indexed="81"/>
            <rFont val="Tahoma"/>
            <family val="2"/>
          </rPr>
          <t xml:space="preserve">
Grey Italoic Kriitaadi Reverse 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Sanjay Prabhakaran</author>
  </authors>
  <commentList>
    <comment ref="A3" authorId="0" shapeId="0" xr:uid="{00000000-0006-0000-0900-000001000000}">
      <text>
        <r>
          <rPr>
            <sz val="8"/>
            <color indexed="8"/>
            <rFont val="Calibri"/>
            <family val="2"/>
          </rPr>
          <t>Ashtakavraga Sheet Made By Sanjay Jaggia@Indorama
In Egroup Timing of Event Group</t>
        </r>
      </text>
    </comment>
    <comment ref="X159" authorId="1" shapeId="0" xr:uid="{00000000-0006-0000-0900-000002000000}">
      <text>
        <r>
          <rPr>
            <sz val="11"/>
            <color indexed="81"/>
            <rFont val="Tahoma"/>
            <family val="2"/>
          </rPr>
          <t xml:space="preserve">22-23. Saturn in his passage through the various houses reckoned from the
Moon, will produce the following effects :—
1st - Diseases and performance of funeral rites.
2nd - Loss of wealth and children.
3rd - Gain of position or employment and acqusition of wealth and servants.
4th - Loss of wife, relations and wealth.
5th - Diminishing of wealth, loss of children and confusion of mind.
6th - Happiness all round.
7th - Suffering to wife and danger during journeys.
8th - Loss of children, cattle, friends and wealth, and suffering from diseases.
9th - Loss of wealth, obstacles to the performance of good deeds, death of an elderly relative equal to father and perpetual sorrow.
10th - Indulgence in sinful actions, loss of honour and suffering from diseases.
11th - All kinds of happiness, gain of wealth and receipt of unique honour.
12th - Engagement in a business bringing no gains, loss of wealth through
enemies, and sickness to wife and son.
</t>
        </r>
      </text>
    </comment>
    <comment ref="X173" authorId="1" shapeId="0" xr:uid="{00000000-0006-0000-0900-000003000000}">
      <text>
        <r>
          <rPr>
            <sz val="11"/>
            <color indexed="81"/>
            <rFont val="Tahoma"/>
            <family val="2"/>
          </rPr>
          <t xml:space="preserve">21. The effects of the transit of Venus through the various houses reckoned
from the Moon be as follows: -
1st - Conferment of all kinds of enjoyments.
2nd - Gain of wealth.
3rd - Prosperity.
4th - Increase in happiness and friends.
5th - Birth of children.
6th - Accidents.
7th - Trouble to wife.
8th - Acqusition of wealth.
9th - Happiness.
10th - Quarrels.
11th - Safety.
12th - Acquisition of wealth.:
</t>
        </r>
      </text>
    </comment>
    <comment ref="AK174" authorId="0" shapeId="0" xr:uid="{00000000-0006-0000-0900-000004000000}">
      <text>
        <r>
          <rPr>
            <sz val="11"/>
            <color indexed="8"/>
            <rFont val="Calibri"/>
            <family val="2"/>
          </rPr>
          <t>Not mentioned in BPHS Karana prada section?</t>
        </r>
      </text>
    </comment>
    <comment ref="X187" authorId="1" shapeId="0" xr:uid="{00000000-0006-0000-0900-000005000000}">
      <text>
        <r>
          <rPr>
            <sz val="11"/>
            <color indexed="81"/>
            <rFont val="Tahoma"/>
            <family val="2"/>
          </rPr>
          <t>18-20 The effects of the transit of Jupiter through the various houses
reckoned from the Moon will be as given below:-
1st - Departure Irom the native place, heavy expenditure and ill will towards others.
2nd - Acquisition of wealth, domestic happiness and influence over others.
3rd - Loss of position, separation from friends, obstacles in business and diseases.
4th - Sorrow through relations, humiliation and danger from quadrupeds.
5th - Birth of children, association with noble persons and royal favour.
6th - Trouble from enemies and cousins and diseases.
7th - Journey for an auspicious work, happiness with wife and acquisition of children.
8th -Tiresome journeys resulting in fatigue, unlucky, misery and loss of wealth.
9th - Prosperity all round.
10th - Danger to property, position and children.
11th - Birth of children, gain of new position and honour.
12th - Grief, fear caused through property.</t>
        </r>
        <r>
          <rPr>
            <b/>
            <sz val="11"/>
            <color indexed="81"/>
            <rFont val="Tahoma"/>
            <family val="2"/>
          </rPr>
          <t xml:space="preserve">
</t>
        </r>
      </text>
    </comment>
    <comment ref="X201" authorId="1" shapeId="0" xr:uid="{00000000-0006-0000-0900-000006000000}">
      <text>
        <r>
          <rPr>
            <sz val="11"/>
            <color indexed="81"/>
            <rFont val="Tahoma"/>
            <family val="2"/>
          </rPr>
          <t>17. The following effects will be realised by the passage of Mercury through the various houses reckoned from the Moon:-
1st - Loss of wealth
2nd - Gain of wealth
3rd - Fear from enemies
4th - Accrual of wealth
5th - Quarrel with wife and children
6th - Success
7th - Misunderstandings
8th - Gain of wealth and birth of children
9th - Destruction in undertakings
10th - Happiness all round
11th - Increase in prosperity
12th - Fear of humiliation</t>
        </r>
        <r>
          <rPr>
            <sz val="11"/>
            <color indexed="81"/>
            <rFont val="Tahoma"/>
            <family val="2"/>
          </rPr>
          <t xml:space="preserve">
</t>
        </r>
      </text>
    </comment>
    <comment ref="AD209" authorId="0" shapeId="0" xr:uid="{00000000-0006-0000-0900-000007000000}">
      <text>
        <r>
          <rPr>
            <sz val="11"/>
            <color indexed="8"/>
            <rFont val="Calibri"/>
            <family val="2"/>
          </rPr>
          <t>Not mentioned in BPHS</t>
        </r>
      </text>
    </comment>
    <comment ref="X215" authorId="1" shapeId="0" xr:uid="{00000000-0006-0000-0900-000008000000}">
      <text>
        <r>
          <rPr>
            <sz val="11"/>
            <color indexed="81"/>
            <rFont val="Tahoma"/>
            <family val="2"/>
          </rPr>
          <t>13-16. The following effects will be realised from Mars' transit through the various houses reckoned from the Moon:-
1st - Mental Depression, separation from relations and diseases caused by impurity of blood, bile and heat.
2nd - Fear, exchange of hot words and loss, of wealth.
3rd - Success in all undertakings, acquistiorj of gold ornaments and, happiness caused thereby.
4th - Loss of position, stomach disorders and sorrow through relations.
5th - Fever, unnecessary desires, mental agony through son, quarrel with relations. .
6th - End of strife and withdrawal of enemies, freedom from diseases, victory, gain of wealth and success in all undertakings.
7th - Misunderstanding with wife, eye diseases, stomach-ache and similar disorders.
8th - Fever, anaemia, loss of wealth and honour.
9th - Humiliation through of wealth, difficulty in walking due to weakness and wastage in the several constituent elements of body.
10th - Misbehaviour, failure in efforts and exhaustion.
11th - Gain of wealth, freedom from diseases and increase in landed property.
12th - Loss of wealth, sickness caused by exessive heat
अन्तः शोकं स्वजनविरहं रक्तपित्तोष्णरोगं लग्ने वित्ते भयमपि गिरां दोषमर्थक्षयं च।
धैरे भौमो जनयति जयं स्वर्णभूषंप्रमोदं स्थानभ्रंशं रुजमुदरजां बन्धुदुःखं चतुर्थे॥ १३॥
ज्वरमनुचितचिन्तां पुत्रहेतुव्यथां वा कलयति कलहंस्वैः पञ्चमे भूमिपुत्रः।
रिपुकलहनिवृत्तिं रोगशान्तिं च षष्ठे विजयमथ धनाप्तिं सर्वकार्यानुकूल्यम्॥ १४॥
कलत्रकलहाक्षिरुग्जठररोगकृत्सप्तमे ज्वरक्षतजरूक्षितो विगतवित्तमानोऽष्टमे।
कुजे नवमसंस्थिते परिभवोऽर्थनाशादिभि-विलम्बितगतिर्भवत्यबलदेहधातुक्षयैः॥ १५॥
दुश्चेष्टा वा कर्मविघ्नः श्रमः खे द्रव्यारोग्यक्षेत्रवृद्धिश्च लाभे।
भौमः खेटो गोचरे द्वादशस्थो द्रव्यच्छेदस्ताप उष्णामयाद्यैः॥ १६॥</t>
        </r>
        <r>
          <rPr>
            <b/>
            <sz val="11"/>
            <color indexed="81"/>
            <rFont val="Tahoma"/>
            <family val="2"/>
          </rPr>
          <t xml:space="preserve">
</t>
        </r>
      </text>
    </comment>
    <comment ref="AA216" authorId="0" shapeId="0" xr:uid="{00000000-0006-0000-0900-000009000000}">
      <text>
        <r>
          <rPr>
            <sz val="11"/>
            <color indexed="8"/>
            <rFont val="Calibri"/>
            <family val="2"/>
          </rPr>
          <t>Not in BPHS</t>
        </r>
      </text>
    </comment>
    <comment ref="X229" authorId="1" shapeId="0" xr:uid="{00000000-0006-0000-0900-00000A000000}">
      <text>
        <r>
          <rPr>
            <sz val="9"/>
            <color indexed="81"/>
            <rFont val="Tahoma"/>
            <family val="2"/>
          </rPr>
          <t>1st - Dawn of fortune
2nd - Loss of wealth
3rd - Success
4th - Fear
5th - Sorrow
6th - Freedom from diseases
7th - Happiness
8th - Unhappy and troublesome events.
9th - Sickness
10th - Fulfilment of ambitions
11th – Joy
12th - Expenditure
क्रमेण भाग्योदयमर्थहातिं जयं श्लोकमरोगतां च।
सुखान्यनिष्टं गदमिष्टसिद्धिं मोदं व्ययं च प्रददाति चन्द्रः॥ १२॥</t>
        </r>
      </text>
    </comment>
    <comment ref="X243" authorId="1" shapeId="0" xr:uid="{00000000-0006-0000-0900-00000B000000}">
      <text>
        <r>
          <rPr>
            <sz val="11"/>
            <color indexed="81"/>
            <rFont val="Tahoma"/>
            <family val="2"/>
          </rPr>
          <t>1st - wearisome journey, fatigue, diseases.
2nd - Loss of wealth, unhappiness, obstinacy andvictim of deceit by others.
3rd - Acquistion of a new position, gain of wealth, happiness, freedom from diseases and destruction of enemies.
4th - Diseases, impediments to sexual enjoyments.
5th - Mental anguish, ill health, humiliation in all possible ways.
6th - Freedom from diseases, destruction of enemies, removal of sorrows and anxieties.
7th - Wearisome jorneys, stomach disorders, trouble in the anus and suffering humiliation.
8th - Fear, diseases, quarrels, royal displeasure, suffering from excessive heat.
9th - Danger, humiliation, separation from close relations and mental depression.
10th - Success in a great and important undertaking.
11th - New position, honour, wealth and freedom from diseases.
12th - Sorrow, toss of wealth, quarrels with friends and fever.
आसुताष्टमतपोव्ययायगो विद्ध आस्फुजिदशोभनः स्मृतः।
नैधनास्ततनुकर्मधर्मधीलाभवरिसहजस्थखेचरैः॥ ८॥
जन्मन्यायासदाता क्षपयति विभवान् क्रोधरोगाध्वदाता
वित्तभ्रंशं द्वितीये दिशति न सुखदो पञ्चनामाग्रहं च।
स्थानप्राप्तिं तृतीये धननिचयमुदाकल्यकृच्चारिहन्ता
रोगाण् दत्ते चतुर्थे जनयति च मुहुः स्रग्धराभोगविघ्नम्॥ ९॥
वित्तक्षोभं सुतस्थो वितरति बहुशो रोगमोहादिदाता
षष्ठेऽर्को हन्ति रोगान् क्षपयति च रिपूञ्छोकमोहान्प्रमाष्टिं।
आध्वानं सप्तमस्थो जठरगुदभयं दैन्यभावं च तस्मै
रुक्त्रासावष्टमस्थः कलयति कलहं राजभीतिं च तापम्॥ १०॥
आपद्दैन्यं तपसि विरहं चित्तचेष्टानिरोधं
प्राप्तोन्युग्रां दशमगृहगे कर्मसिद्धिं दिनेशे।
स्थानं मानं विभवमपि चैकादशे रोगनाशं
क्लेशं वित्तक्षयमपि सुहृद्वैरमन्त्ये ज्वरं च॥ ११॥</t>
        </r>
      </text>
    </comment>
    <comment ref="Z243" authorId="1" shapeId="0" xr:uid="{00000000-0006-0000-0900-00000C000000}">
      <text>
        <r>
          <rPr>
            <sz val="14"/>
            <color indexed="81"/>
            <rFont val="Arial Unicode MS"/>
            <family val="2"/>
          </rPr>
          <t>1st - wearisome journey, fatigue, diseases.</t>
        </r>
      </text>
    </comment>
    <comment ref="AA243" authorId="1" shapeId="0" xr:uid="{00000000-0006-0000-0900-00000D000000}">
      <text>
        <r>
          <rPr>
            <b/>
            <sz val="11"/>
            <color indexed="81"/>
            <rFont val="Tahoma"/>
            <family val="2"/>
          </rPr>
          <t>वित्तभ्रंशं द्वितीये दिशति न सुखदो पञ्चनामाग्रहं च।</t>
        </r>
        <r>
          <rPr>
            <sz val="9"/>
            <color indexed="81"/>
            <rFont val="Tahoma"/>
            <family val="2"/>
          </rPr>
          <t xml:space="preserve">
</t>
        </r>
      </text>
    </comment>
    <comment ref="AB243" authorId="1" shapeId="0" xr:uid="{00000000-0006-0000-0900-00000E000000}">
      <text>
        <r>
          <rPr>
            <b/>
            <sz val="9"/>
            <color indexed="81"/>
            <rFont val="Tahoma"/>
            <family val="2"/>
          </rPr>
          <t>3rd - Acquistion of a new position, gain of wealth, happiness, freedom from
diseases and destruction of enemies</t>
        </r>
        <r>
          <rPr>
            <sz val="9"/>
            <color indexed="81"/>
            <rFont val="Tahoma"/>
            <family val="2"/>
          </rPr>
          <t xml:space="preserve">
</t>
        </r>
      </text>
    </comment>
    <comment ref="X285" authorId="1" shapeId="0" xr:uid="{00000000-0006-0000-0900-00000F000000}">
      <text>
        <r>
          <rPr>
            <b/>
            <sz val="11"/>
            <color indexed="81"/>
            <rFont val="Tahoma"/>
            <family val="2"/>
          </rPr>
          <t>Sanjay Prabhakaran:</t>
        </r>
        <r>
          <rPr>
            <sz val="11"/>
            <color indexed="81"/>
            <rFont val="Tahoma"/>
            <family val="2"/>
          </rPr>
          <t xml:space="preserve">
Ashtakavarga by Mukunda Daivangya translated by PS Shastri
1-13</t>
        </r>
      </text>
    </comment>
    <comment ref="AF289" authorId="1" shapeId="0" xr:uid="{00000000-0006-0000-0900-000010000000}">
      <text>
        <r>
          <rPr>
            <b/>
            <sz val="11"/>
            <color indexed="81"/>
            <rFont val="Tahoma"/>
            <family val="2"/>
          </rPr>
          <t>Sanjay Prabhakaran:</t>
        </r>
        <r>
          <rPr>
            <sz val="11"/>
            <color indexed="81"/>
            <rFont val="Tahoma"/>
            <family val="2"/>
          </rPr>
          <t xml:space="preserve">
Shambu Hora adds 7 for mars
</t>
        </r>
      </text>
    </comment>
    <comment ref="X293" authorId="1" shapeId="0" xr:uid="{00000000-0006-0000-0900-000011000000}">
      <text>
        <r>
          <rPr>
            <sz val="11"/>
            <color indexed="81"/>
            <rFont val="Tahoma"/>
            <family val="2"/>
          </rPr>
          <t xml:space="preserve">24. Rahu in the course of his passage through the various houses will cause
the following effects :—
1st - Sickness or death. 2nd - Loss of wealth. </t>
        </r>
        <r>
          <rPr>
            <b/>
            <sz val="11"/>
            <color indexed="81"/>
            <rFont val="Tahoma"/>
            <family val="2"/>
          </rPr>
          <t xml:space="preserve">3rd - Happiness. </t>
        </r>
        <r>
          <rPr>
            <sz val="11"/>
            <color indexed="81"/>
            <rFont val="Tahoma"/>
            <family val="2"/>
          </rPr>
          <t xml:space="preserve">4th - Sorrow. 5th - Financial loss. </t>
        </r>
        <r>
          <rPr>
            <b/>
            <sz val="11"/>
            <color indexed="81"/>
            <rFont val="Tahoma"/>
            <family val="2"/>
          </rPr>
          <t xml:space="preserve">6th – Happiness. </t>
        </r>
        <r>
          <rPr>
            <sz val="11"/>
            <color indexed="81"/>
            <rFont val="Tahoma"/>
            <family val="2"/>
          </rPr>
          <t xml:space="preserve">7th - Losses (of wealth). 8th - Danger to life. 9th - Losses (of wealth). </t>
        </r>
        <r>
          <rPr>
            <b/>
            <sz val="11"/>
            <color indexed="81"/>
            <rFont val="Tahoma"/>
            <family val="2"/>
          </rPr>
          <t xml:space="preserve">10th - Gains (of wealth). 11th - Happiness. </t>
        </r>
        <r>
          <rPr>
            <sz val="11"/>
            <color indexed="81"/>
            <rFont val="Tahoma"/>
            <family val="2"/>
          </rPr>
          <t>12th -Expenditure.</t>
        </r>
      </text>
    </comment>
    <comment ref="AD293" authorId="1" shapeId="0" xr:uid="{00000000-0006-0000-0900-000012000000}">
      <text>
        <r>
          <rPr>
            <b/>
            <sz val="11"/>
            <color indexed="81"/>
            <rFont val="Tahoma"/>
            <family val="2"/>
          </rPr>
          <t>Sanjay Prabhakaran:</t>
        </r>
        <r>
          <rPr>
            <sz val="11"/>
            <color indexed="81"/>
            <rFont val="Tahoma"/>
            <family val="2"/>
          </rPr>
          <t xml:space="preserve">
Shambu Hora give 4 instead of 5 for Moon</t>
        </r>
      </text>
    </comment>
    <comment ref="Y295" authorId="1" shapeId="0" xr:uid="{00000000-0006-0000-0900-000013000000}">
      <text>
        <r>
          <rPr>
            <b/>
            <sz val="11"/>
            <color indexed="81"/>
            <rFont val="Tahoma"/>
            <family val="2"/>
          </rPr>
          <t>Sanjay Prabhakaran:</t>
        </r>
        <r>
          <rPr>
            <sz val="11"/>
            <color indexed="81"/>
            <rFont val="Tahoma"/>
            <family val="2"/>
          </rPr>
          <t xml:space="preserve">
Shambu Hora add 1 to make it 44</t>
        </r>
      </text>
    </comment>
    <comment ref="A301" authorId="1" shapeId="0" xr:uid="{00000000-0006-0000-0900-000014000000}">
      <text>
        <r>
          <rPr>
            <b/>
            <sz val="9"/>
            <color indexed="81"/>
            <rFont val="Tahoma"/>
            <family val="2"/>
          </rPr>
          <t>Example:When Sun Transits 1st House from Moon, and any other graha in 1st house has a vedha
Fundamentals of Astrology
 By M. Ramakrishna Bhat</t>
        </r>
        <r>
          <rPr>
            <sz val="9"/>
            <color indexed="81"/>
            <rFont val="Tahoma"/>
            <family val="2"/>
          </rPr>
          <t xml:space="preserve">
No Vedha between Son and Father like Su-Sa, Mo-Me</t>
        </r>
      </text>
    </comment>
    <comment ref="A309" authorId="1" shapeId="0" xr:uid="{00000000-0006-0000-0900-000015000000}">
      <text>
        <r>
          <rPr>
            <b/>
            <sz val="9"/>
            <color indexed="81"/>
            <rFont val="Tahoma"/>
            <family val="2"/>
          </rPr>
          <t>Vedha of Sat &amp; Ketu like Mars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Sanjay Prabhakaran</author>
  </authors>
  <commentList>
    <comment ref="F15" authorId="0" shapeId="0" xr:uid="{00000000-0006-0000-0A00-000001000000}">
      <text>
        <r>
          <rPr>
            <b/>
            <sz val="8"/>
            <color indexed="8"/>
            <rFont val="Calibri"/>
            <family val="2"/>
          </rPr>
          <t xml:space="preserve">SR:" If a planet is in Kreta
Yuga it gives excellent results very easily whereas one in Treta needs some
effort, one in Dwapara will need a lot of the strength like Rudra's might to
do the work and give results while onee is Kali is most disinclined to do
anything and results will be tough to obtain.
</t>
        </r>
        <r>
          <rPr>
            <sz val="8"/>
            <color indexed="8"/>
            <rFont val="Arial"/>
            <family val="2"/>
          </rPr>
          <t xml:space="preserve">
</t>
        </r>
      </text>
    </comment>
    <comment ref="B29" authorId="1" shapeId="0" xr:uid="{00000000-0006-0000-0A00-000002000000}">
      <text>
        <r>
          <rPr>
            <b/>
            <sz val="9"/>
            <color indexed="81"/>
            <rFont val="Tahoma"/>
            <family val="2"/>
          </rPr>
          <t>. Ebenezer Burgess, who translated Surya Siddhanta in English, as on January 1, 1860, the number of days, past from the beginning of Creation are 714,404,108,573</t>
        </r>
        <r>
          <rPr>
            <sz val="9"/>
            <color indexed="81"/>
            <rFont val="Tahoma"/>
            <family val="2"/>
          </rPr>
          <t xml:space="preserve">
</t>
        </r>
      </text>
    </comment>
    <comment ref="U39" authorId="1" shapeId="0" xr:uid="{00000000-0006-0000-0A00-000003000000}">
      <text>
        <r>
          <rPr>
            <b/>
            <sz val="9"/>
            <color indexed="81"/>
            <rFont val="Tahoma"/>
            <family val="2"/>
          </rPr>
          <t>Sanjay Prabhakaran:</t>
        </r>
        <r>
          <rPr>
            <sz val="9"/>
            <color indexed="81"/>
            <rFont val="Tahoma"/>
            <family val="2"/>
          </rPr>
          <t xml:space="preserve">
The rulership of the Tatwa (elements) have already been indicated in the Table A7-4. For example, if the Badhakesh is in Leo ruled by the Sun, the Fire element is vitiated. If this also happens to be the 8th house, then the lamp has to be offered to the deity (Bhoota Bali) or the Holy Fire has to be worshipped with the relevant mantra like “Om Hum Rum Chaitanyayai Namah” (Bhoota Pooja).</t>
        </r>
      </text>
    </comment>
    <comment ref="F47" authorId="1" shapeId="0" xr:uid="{00000000-0006-0000-0A00-000004000000}">
      <text>
        <r>
          <rPr>
            <b/>
            <sz val="9"/>
            <color indexed="81"/>
            <rFont val="Tahoma"/>
            <family val="2"/>
          </rPr>
          <t>Prashna Marga : 21.47</t>
        </r>
      </text>
    </comment>
    <comment ref="S47" authorId="1" shapeId="0" xr:uid="{00000000-0006-0000-0A00-000005000000}">
      <text>
        <r>
          <rPr>
            <b/>
            <sz val="9"/>
            <color indexed="81"/>
            <rFont val="Tahoma"/>
            <family val="2"/>
          </rPr>
          <t>PrashnaMarga, ch 8.30</t>
        </r>
      </text>
    </comment>
    <comment ref="AH47" authorId="1" shapeId="0" xr:uid="{00000000-0006-0000-0A00-000006000000}">
      <text>
        <r>
          <rPr>
            <b/>
            <sz val="9"/>
            <color indexed="81"/>
            <rFont val="Tahoma"/>
            <family val="2"/>
          </rPr>
          <t>Sanjay Prabhakaran:</t>
        </r>
        <r>
          <rPr>
            <sz val="9"/>
            <color indexed="81"/>
            <rFont val="Tahoma"/>
            <family val="2"/>
          </rPr>
          <t xml:space="preserve">
Duration in 24 Hours How to use it?</t>
        </r>
      </text>
    </comment>
    <comment ref="AJ47" authorId="1" shapeId="0" xr:uid="{00000000-0006-0000-0A00-000007000000}">
      <text>
        <r>
          <rPr>
            <b/>
            <sz val="9"/>
            <color indexed="81"/>
            <rFont val="Tahoma"/>
            <family val="2"/>
          </rPr>
          <t>Srath,Cova</t>
        </r>
      </text>
    </comment>
    <comment ref="AK47" authorId="1" shapeId="0" xr:uid="{00000000-0006-0000-0A00-000008000000}">
      <text>
        <r>
          <rPr>
            <b/>
            <sz val="9"/>
            <color indexed="81"/>
            <rFont val="Tahoma"/>
            <family val="2"/>
          </rPr>
          <t>Prashna Marga: Ch21.37
http://thillairaj.blogspot.in/
 சீருடைய அசுபதி நேர்ஐந்தும் வல்லுறு
சிறப்பான ஆதிரை நேர் ஆறும் ஆந்தை
பேருடைய உத்திர நேர் ஐந்தும் காகம்
பெலமான அநுடம் நேர் ஆறும் கோழி
நேருடைய அவிட்டம் நேர் ஐந்தும் கொண்ட
நிதி மயிலேயுலகிடை யாய் ஜெனித்த யாவும்
பேருடைய விவ்வகையே பட்சிரூபம் பேசிடுவாய்
மறைவிதித்த பெலமிதே.</t>
        </r>
      </text>
    </comment>
    <comment ref="AL47" authorId="1" shapeId="0" xr:uid="{00000000-0006-0000-0A00-000009000000}">
      <text>
        <r>
          <rPr>
            <b/>
            <sz val="9"/>
            <color indexed="81"/>
            <rFont val="Tahoma"/>
            <family val="2"/>
          </rPr>
          <t>Sanjay Prabhakaran:</t>
        </r>
        <r>
          <rPr>
            <sz val="9"/>
            <color indexed="81"/>
            <rFont val="Tahoma"/>
            <family val="2"/>
          </rPr>
          <t xml:space="preserve">
http://thillairaj.blogspot.in/</t>
        </r>
      </text>
    </comment>
    <comment ref="AO47" authorId="1" shapeId="0" xr:uid="{00000000-0006-0000-0A00-00000A000000}">
      <text>
        <r>
          <rPr>
            <b/>
            <sz val="9"/>
            <color indexed="81"/>
            <rFont val="Tahoma"/>
            <family val="2"/>
          </rPr>
          <t>BrNx: Utpaata food is for Rakshasa, Mrityu food for Asura, Kaana for Pitru, Sama is safe.</t>
        </r>
      </text>
    </comment>
    <comment ref="AQ47" authorId="1" shapeId="0" xr:uid="{00000000-0006-0000-0A00-00000B000000}">
      <text>
        <r>
          <rPr>
            <sz val="9"/>
            <color indexed="81"/>
            <rFont val="Tahoma"/>
            <family val="2"/>
          </rPr>
          <t>The lasts for 4 Gh. Also called Varjyam, Tyajyam</t>
        </r>
      </text>
    </comment>
    <comment ref="AR47" authorId="1" shapeId="0" xr:uid="{00000000-0006-0000-0A00-00000C000000}">
      <text>
        <r>
          <rPr>
            <b/>
            <sz val="9"/>
            <color indexed="81"/>
            <rFont val="Tahoma"/>
            <family val="2"/>
          </rPr>
          <t>4Gh same as VishaGhatika Duration</t>
        </r>
      </text>
    </comment>
    <comment ref="AV47" authorId="1" shapeId="0" xr:uid="{00000000-0006-0000-0A00-00000D000000}">
      <text>
        <r>
          <rPr>
            <b/>
            <sz val="9"/>
            <color indexed="81"/>
            <rFont val="Tahoma"/>
            <family val="2"/>
          </rPr>
          <t>BPHS,Kaalachakra</t>
        </r>
      </text>
    </comment>
    <comment ref="AX47" authorId="1" shapeId="0" xr:uid="{00000000-0006-0000-0A00-00000E000000}">
      <text>
        <r>
          <rPr>
            <b/>
            <sz val="9"/>
            <color indexed="81"/>
            <rFont val="Tahoma"/>
            <family val="2"/>
          </rPr>
          <t>Narada Teaching, Brihad Nakshatra Pg 303. SRath</t>
        </r>
      </text>
    </comment>
    <comment ref="C193" authorId="0" shapeId="0" xr:uid="{00000000-0006-0000-0A00-00000F000000}">
      <text>
        <r>
          <rPr>
            <sz val="8"/>
            <color indexed="8"/>
            <rFont val="Calibri"/>
            <family val="2"/>
          </rPr>
          <t>Dina Kuta: If the Nakshatra of the man is 0, 2, 4, 6 or 8 Nakshatras from the Nakshatra of the woman 3 points will be given. If the number is 9 or more it is divided by 9 and we work with the remainder. Let us say the Nakshatra of the man is 14 Nakshatras from the Nakshatra of the woman 14/9=1 and the remainder is 5. Because the remainder is 5 no points are being given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C36" authorId="0" shapeId="0" xr:uid="{00000000-0006-0000-0C00-000001000000}">
      <text>
        <r>
          <rPr>
            <b/>
            <sz val="8"/>
            <color indexed="8"/>
            <rFont val="Calibri"/>
            <family val="2"/>
          </rPr>
          <t xml:space="preserve">Decide the Initiating Narayana Dasa and Type it Here
</t>
        </r>
      </text>
    </comment>
    <comment ref="H39" authorId="0" shapeId="0" xr:uid="{00000000-0006-0000-0C00-000002000000}">
      <text>
        <r>
          <rPr>
            <sz val="8"/>
            <color indexed="8"/>
            <rFont val="Calibri"/>
            <family val="2"/>
          </rPr>
          <t xml:space="preserve">Type the Starting Narayana Antardasa in these cells.
Open the Group '+' symbol on the left to view th Nar-AntarDasa periods
</t>
        </r>
      </text>
    </comment>
    <comment ref="H41" authorId="0" shapeId="0" xr:uid="{00000000-0006-0000-0C00-000003000000}">
      <text>
        <r>
          <rPr>
            <sz val="8"/>
            <color indexed="8"/>
            <rFont val="Calibri"/>
            <family val="2"/>
          </rPr>
          <t xml:space="preserve">Type the Starting Narayana Antardasa in these cells.
Open the Group '+' symbol on the left to view th Nar-AntarDasa periods
</t>
        </r>
      </text>
    </comment>
    <comment ref="H43" authorId="0" shapeId="0" xr:uid="{00000000-0006-0000-0C00-000004000000}">
      <text>
        <r>
          <rPr>
            <sz val="8"/>
            <color indexed="8"/>
            <rFont val="Calibri"/>
            <family val="2"/>
          </rPr>
          <t xml:space="preserve">Type the Starting Narayana Antardasa in these cells.
Open the Group '+' symbol on the left to view th Nar-AntarDasa periods
</t>
        </r>
      </text>
    </comment>
    <comment ref="H45" authorId="0" shapeId="0" xr:uid="{00000000-0006-0000-0C00-000005000000}">
      <text>
        <r>
          <rPr>
            <sz val="8"/>
            <color indexed="8"/>
            <rFont val="Calibri"/>
            <family val="2"/>
          </rPr>
          <t xml:space="preserve">Type the Starting Narayana Antardasa in these cells.
Open the Group '+' symbol on the left to view th Nar-AntarDasa periods
</t>
        </r>
      </text>
    </comment>
    <comment ref="H55" authorId="0" shapeId="0" xr:uid="{00000000-0006-0000-0C00-000006000000}">
      <text>
        <r>
          <rPr>
            <sz val="8"/>
            <color indexed="8"/>
            <rFont val="Calibri"/>
            <family val="2"/>
          </rPr>
          <t xml:space="preserve">Type the Starting Narayana Antardasa in these cells.
Open the Group '+' symbol on the left to view th Nar-AntarDasa periods
</t>
        </r>
      </text>
    </comment>
    <comment ref="H57" authorId="0" shapeId="0" xr:uid="{00000000-0006-0000-0C00-000007000000}">
      <text>
        <r>
          <rPr>
            <sz val="8"/>
            <color indexed="8"/>
            <rFont val="Calibri"/>
            <family val="2"/>
          </rPr>
          <t xml:space="preserve">Type the Starting Narayana Antardasa in these cells.
Open the Group '+' symbol on the left to view th Nar-AntarDasa periods
</t>
        </r>
      </text>
    </comment>
    <comment ref="H59" authorId="0" shapeId="0" xr:uid="{00000000-0006-0000-0C00-000008000000}">
      <text>
        <r>
          <rPr>
            <sz val="8"/>
            <color indexed="8"/>
            <rFont val="Calibri"/>
            <family val="2"/>
          </rPr>
          <t xml:space="preserve">Type the Starting Narayana Antardasa in these cells.
Open the Group '+' symbol on the left to view th Nar-AntarDasa periods
</t>
        </r>
      </text>
    </comment>
    <comment ref="H61" authorId="0" shapeId="0" xr:uid="{00000000-0006-0000-0C00-000009000000}">
      <text>
        <r>
          <rPr>
            <sz val="8"/>
            <color indexed="8"/>
            <rFont val="Calibri"/>
            <family val="2"/>
          </rPr>
          <t xml:space="preserve">Type the Starting Narayana Antardasa in these cells.
Open the Group '+' symbol on the left to view th Nar-AntarDasa periods
</t>
        </r>
      </text>
    </comment>
    <comment ref="C71" authorId="0" shapeId="0" xr:uid="{00000000-0006-0000-0C00-00000A000000}">
      <text>
        <r>
          <rPr>
            <b/>
            <sz val="8"/>
            <color indexed="8"/>
            <rFont val="Calibri"/>
            <family val="2"/>
          </rPr>
          <t xml:space="preserve">Decide the Initiating Narayana Dasa and Type it Here
</t>
        </r>
      </text>
    </comment>
    <comment ref="H74" authorId="0" shapeId="0" xr:uid="{00000000-0006-0000-0C00-00000B000000}">
      <text>
        <r>
          <rPr>
            <sz val="8"/>
            <color indexed="8"/>
            <rFont val="Calibri"/>
            <family val="2"/>
          </rPr>
          <t xml:space="preserve">Type the Starting Narayana Antardasa in these cells.
Open the Group '+' symbol on the left to view th Nar-AntarDasa periods
</t>
        </r>
      </text>
    </comment>
    <comment ref="H76" authorId="0" shapeId="0" xr:uid="{00000000-0006-0000-0C00-00000C000000}">
      <text>
        <r>
          <rPr>
            <sz val="8"/>
            <color indexed="8"/>
            <rFont val="Calibri"/>
            <family val="2"/>
          </rPr>
          <t xml:space="preserve">Type the Starting Narayana Antardasa in these cells.
Open the Group '+' symbol on the left to view th Nar-AntarDasa periods
</t>
        </r>
      </text>
    </comment>
    <comment ref="H78" authorId="0" shapeId="0" xr:uid="{00000000-0006-0000-0C00-00000D000000}">
      <text>
        <r>
          <rPr>
            <sz val="8"/>
            <color indexed="8"/>
            <rFont val="Calibri"/>
            <family val="2"/>
          </rPr>
          <t xml:space="preserve">Type the Starting Narayana Antardasa in these cells.
Open the Group '+' symbol on the left to view th Nar-AntarDasa periods
</t>
        </r>
      </text>
    </comment>
    <comment ref="H80" authorId="0" shapeId="0" xr:uid="{00000000-0006-0000-0C00-00000E000000}">
      <text>
        <r>
          <rPr>
            <sz val="8"/>
            <color indexed="8"/>
            <rFont val="Calibri"/>
            <family val="2"/>
          </rPr>
          <t xml:space="preserve">Type the Starting Narayana Antardasa in these cells.
Open the Group '+' symbol on the left to view th Nar-AntarDasa periods
</t>
        </r>
      </text>
    </comment>
    <comment ref="H90" authorId="0" shapeId="0" xr:uid="{00000000-0006-0000-0C00-00000F000000}">
      <text>
        <r>
          <rPr>
            <sz val="8"/>
            <color indexed="8"/>
            <rFont val="Calibri"/>
            <family val="2"/>
          </rPr>
          <t xml:space="preserve">Type the Starting Narayana Antardasa in these cells.
Open the Group '+' symbol on the left to view th Nar-AntarDasa periods
</t>
        </r>
      </text>
    </comment>
    <comment ref="H92" authorId="0" shapeId="0" xr:uid="{00000000-0006-0000-0C00-000010000000}">
      <text>
        <r>
          <rPr>
            <sz val="8"/>
            <color indexed="8"/>
            <rFont val="Calibri"/>
            <family val="2"/>
          </rPr>
          <t xml:space="preserve">Type the Starting Narayana Antardasa in these cells.
Open the Group '+' symbol on the left to view th Nar-AntarDasa periods
</t>
        </r>
      </text>
    </comment>
    <comment ref="H94" authorId="0" shapeId="0" xr:uid="{00000000-0006-0000-0C00-000011000000}">
      <text>
        <r>
          <rPr>
            <sz val="8"/>
            <color indexed="8"/>
            <rFont val="Calibri"/>
            <family val="2"/>
          </rPr>
          <t xml:space="preserve">Type the Starting Narayana Antardasa in these cells.
Open the Group '+' symbol on the left to view th Nar-AntarDasa periods
</t>
        </r>
      </text>
    </comment>
    <comment ref="H96" authorId="0" shapeId="0" xr:uid="{00000000-0006-0000-0C00-000012000000}">
      <text>
        <r>
          <rPr>
            <sz val="8"/>
            <color indexed="8"/>
            <rFont val="Calibri"/>
            <family val="2"/>
          </rPr>
          <t xml:space="preserve">Type the Starting Narayana Antardasa in these cells.
Open the Group '+' symbol on the left to view th Nar-AntarDasa periods
</t>
        </r>
      </text>
    </comment>
    <comment ref="C103" authorId="0" shapeId="0" xr:uid="{00000000-0006-0000-0C00-000013000000}">
      <text>
        <r>
          <rPr>
            <b/>
            <sz val="8"/>
            <color indexed="8"/>
            <rFont val="Calibri"/>
            <family val="2"/>
          </rPr>
          <t xml:space="preserve">Decide the Initiating Narayana Dasa and Type it Here
</t>
        </r>
      </text>
    </comment>
    <comment ref="H106" authorId="0" shapeId="0" xr:uid="{00000000-0006-0000-0C00-000014000000}">
      <text>
        <r>
          <rPr>
            <sz val="8"/>
            <color indexed="8"/>
            <rFont val="Calibri"/>
            <family val="2"/>
          </rPr>
          <t xml:space="preserve">Type the Starting Narayana Antardasa in these cells.
Open the Group '+' symbol on the left to view th Nar-AntarDasa periods
</t>
        </r>
      </text>
    </comment>
    <comment ref="H108" authorId="0" shapeId="0" xr:uid="{00000000-0006-0000-0C00-000015000000}">
      <text>
        <r>
          <rPr>
            <sz val="8"/>
            <color indexed="8"/>
            <rFont val="Calibri"/>
            <family val="2"/>
          </rPr>
          <t xml:space="preserve">Type the Starting Narayana Antardasa in these cells.
Open the Group '+' symbol on the left to view th Nar-AntarDasa periods
</t>
        </r>
      </text>
    </comment>
    <comment ref="H110" authorId="0" shapeId="0" xr:uid="{00000000-0006-0000-0C00-000016000000}">
      <text>
        <r>
          <rPr>
            <sz val="8"/>
            <color indexed="8"/>
            <rFont val="Calibri"/>
            <family val="2"/>
          </rPr>
          <t xml:space="preserve">Type the Starting Narayana Antardasa in these cells.
Open the Group '+' symbol on the left to view th Nar-AntarDasa periods
</t>
        </r>
      </text>
    </comment>
    <comment ref="H112" authorId="0" shapeId="0" xr:uid="{00000000-0006-0000-0C00-000017000000}">
      <text>
        <r>
          <rPr>
            <sz val="8"/>
            <color indexed="8"/>
            <rFont val="Calibri"/>
            <family val="2"/>
          </rPr>
          <t xml:space="preserve">Type the Starting Narayana Antardasa in these cells.
Open the Group '+' symbol on the left to view th Nar-AntarDasa periods
</t>
        </r>
      </text>
    </comment>
    <comment ref="H122" authorId="0" shapeId="0" xr:uid="{00000000-0006-0000-0C00-000018000000}">
      <text>
        <r>
          <rPr>
            <sz val="8"/>
            <color indexed="8"/>
            <rFont val="Calibri"/>
            <family val="2"/>
          </rPr>
          <t xml:space="preserve">Type the Starting Narayana Antardasa in these cells.
Open the Group '+' symbol on the left to view th Nar-AntarDasa periods
</t>
        </r>
      </text>
    </comment>
    <comment ref="H124" authorId="0" shapeId="0" xr:uid="{00000000-0006-0000-0C00-000019000000}">
      <text>
        <r>
          <rPr>
            <sz val="8"/>
            <color indexed="8"/>
            <rFont val="Calibri"/>
            <family val="2"/>
          </rPr>
          <t xml:space="preserve">Type the Starting Narayana Antardasa in these cells.
Open the Group '+' symbol on the left to view th Nar-AntarDasa periods
</t>
        </r>
      </text>
    </comment>
    <comment ref="H126" authorId="0" shapeId="0" xr:uid="{00000000-0006-0000-0C00-00001A000000}">
      <text>
        <r>
          <rPr>
            <sz val="8"/>
            <color indexed="8"/>
            <rFont val="Calibri"/>
            <family val="2"/>
          </rPr>
          <t xml:space="preserve">Type the Starting Narayana Antardasa in these cells.
Open the Group '+' symbol on the left to view th Nar-AntarDasa periods
</t>
        </r>
      </text>
    </comment>
    <comment ref="H128" authorId="0" shapeId="0" xr:uid="{00000000-0006-0000-0C00-00001B000000}">
      <text>
        <r>
          <rPr>
            <sz val="8"/>
            <color indexed="8"/>
            <rFont val="Calibri"/>
            <family val="2"/>
          </rPr>
          <t xml:space="preserve">Type the Starting Narayana Antardasa in these cells.
Open the Group '+' symbol on the left to view th Nar-AntarDasa periods
</t>
        </r>
      </text>
    </comment>
    <comment ref="C136" authorId="0" shapeId="0" xr:uid="{00000000-0006-0000-0C00-00001C000000}">
      <text>
        <r>
          <rPr>
            <b/>
            <sz val="8"/>
            <color indexed="8"/>
            <rFont val="Calibri"/>
            <family val="2"/>
          </rPr>
          <t xml:space="preserve">Decide the Initiating Narayana Dasa and Type it Here
</t>
        </r>
      </text>
    </comment>
    <comment ref="H139" authorId="0" shapeId="0" xr:uid="{00000000-0006-0000-0C00-00001D000000}">
      <text>
        <r>
          <rPr>
            <sz val="8"/>
            <color indexed="8"/>
            <rFont val="Calibri"/>
            <family val="2"/>
          </rPr>
          <t xml:space="preserve">Type the Starting Narayana Antardasa in these cells.
Open the Group '+' symbol on the left to view th Nar-AntarDasa periods
</t>
        </r>
      </text>
    </comment>
    <comment ref="H141" authorId="0" shapeId="0" xr:uid="{00000000-0006-0000-0C00-00001E000000}">
      <text>
        <r>
          <rPr>
            <sz val="8"/>
            <color indexed="8"/>
            <rFont val="Calibri"/>
            <family val="2"/>
          </rPr>
          <t xml:space="preserve">Type the Starting Narayana Antardasa in these cells.
Open the Group '+' symbol on the left to view th Nar-AntarDasa periods
</t>
        </r>
      </text>
    </comment>
    <comment ref="H143" authorId="0" shapeId="0" xr:uid="{00000000-0006-0000-0C00-00001F000000}">
      <text>
        <r>
          <rPr>
            <sz val="8"/>
            <color indexed="8"/>
            <rFont val="Calibri"/>
            <family val="2"/>
          </rPr>
          <t xml:space="preserve">Type the Starting Narayana Antardasa in these cells.
Open the Group '+' symbol on the left to view th Nar-AntarDasa periods
</t>
        </r>
      </text>
    </comment>
    <comment ref="H145" authorId="0" shapeId="0" xr:uid="{00000000-0006-0000-0C00-000020000000}">
      <text>
        <r>
          <rPr>
            <sz val="8"/>
            <color indexed="8"/>
            <rFont val="Calibri"/>
            <family val="2"/>
          </rPr>
          <t xml:space="preserve">Type the Starting Narayana Antardasa in these cells.
Open the Group '+' symbol on the left to view th Nar-AntarDasa periods
</t>
        </r>
      </text>
    </comment>
    <comment ref="H155" authorId="0" shapeId="0" xr:uid="{00000000-0006-0000-0C00-000021000000}">
      <text>
        <r>
          <rPr>
            <sz val="8"/>
            <color indexed="8"/>
            <rFont val="Calibri"/>
            <family val="2"/>
          </rPr>
          <t xml:space="preserve">Type the Starting Narayana Antardasa in these cells.
Open the Group '+' symbol on the left to view th Nar-AntarDasa periods
</t>
        </r>
      </text>
    </comment>
    <comment ref="H157" authorId="0" shapeId="0" xr:uid="{00000000-0006-0000-0C00-000022000000}">
      <text>
        <r>
          <rPr>
            <sz val="8"/>
            <color indexed="8"/>
            <rFont val="Calibri"/>
            <family val="2"/>
          </rPr>
          <t xml:space="preserve">Type the Starting Narayana Antardasa in these cells.
Open the Group '+' symbol on the left to view th Nar-AntarDasa periods
</t>
        </r>
      </text>
    </comment>
    <comment ref="H159" authorId="0" shapeId="0" xr:uid="{00000000-0006-0000-0C00-000023000000}">
      <text>
        <r>
          <rPr>
            <sz val="8"/>
            <color indexed="8"/>
            <rFont val="Calibri"/>
            <family val="2"/>
          </rPr>
          <t xml:space="preserve">Type the Starting Narayana Antardasa in these cells.
Open the Group '+' symbol on the left to view th Nar-AntarDasa periods
</t>
        </r>
      </text>
    </comment>
    <comment ref="H161" authorId="0" shapeId="0" xr:uid="{00000000-0006-0000-0C00-000024000000}">
      <text>
        <r>
          <rPr>
            <sz val="8"/>
            <color indexed="8"/>
            <rFont val="Calibri"/>
            <family val="2"/>
          </rPr>
          <t xml:space="preserve">Type the Starting Narayana Antardasa in these cells.
Open the Group '+' symbol on the left to view th Nar-AntarDasa periods
</t>
        </r>
      </text>
    </comment>
    <comment ref="C172" authorId="0" shapeId="0" xr:uid="{00000000-0006-0000-0C00-000025000000}">
      <text>
        <r>
          <rPr>
            <b/>
            <sz val="8"/>
            <color indexed="8"/>
            <rFont val="Calibri"/>
            <family val="2"/>
          </rPr>
          <t xml:space="preserve">Decide the Initiating Narayana Dasa and Type it Here
</t>
        </r>
      </text>
    </comment>
    <comment ref="H175" authorId="0" shapeId="0" xr:uid="{00000000-0006-0000-0C00-000026000000}">
      <text>
        <r>
          <rPr>
            <sz val="8"/>
            <color indexed="8"/>
            <rFont val="Calibri"/>
            <family val="2"/>
          </rPr>
          <t xml:space="preserve">Type the Starting Narayana Antardasa in these cells.
Open the Group '+' symbol on the left to view th Nar-AntarDasa periods
</t>
        </r>
      </text>
    </comment>
    <comment ref="H177" authorId="0" shapeId="0" xr:uid="{00000000-0006-0000-0C00-000027000000}">
      <text>
        <r>
          <rPr>
            <sz val="8"/>
            <color indexed="8"/>
            <rFont val="Calibri"/>
            <family val="2"/>
          </rPr>
          <t xml:space="preserve">Type the Starting Narayana Antardasa in these cells.
Open the Group '+' symbol on the left to view th Nar-AntarDasa periods
</t>
        </r>
      </text>
    </comment>
    <comment ref="H179" authorId="0" shapeId="0" xr:uid="{00000000-0006-0000-0C00-000028000000}">
      <text>
        <r>
          <rPr>
            <sz val="8"/>
            <color indexed="8"/>
            <rFont val="Calibri"/>
            <family val="2"/>
          </rPr>
          <t xml:space="preserve">Type the Starting Narayana Antardasa in these cells.
Open the Group '+' symbol on the left to view th Nar-AntarDasa periods
</t>
        </r>
      </text>
    </comment>
    <comment ref="H181" authorId="0" shapeId="0" xr:uid="{00000000-0006-0000-0C00-000029000000}">
      <text>
        <r>
          <rPr>
            <sz val="8"/>
            <color indexed="8"/>
            <rFont val="Calibri"/>
            <family val="2"/>
          </rPr>
          <t xml:space="preserve">Type the Starting Narayana Antardasa in these cells.
Open the Group '+' symbol on the left to view th Nar-AntarDasa periods
</t>
        </r>
      </text>
    </comment>
    <comment ref="H183" authorId="0" shapeId="0" xr:uid="{00000000-0006-0000-0C00-00002A000000}">
      <text>
        <r>
          <rPr>
            <sz val="8"/>
            <color indexed="8"/>
            <rFont val="Calibri"/>
            <family val="2"/>
          </rPr>
          <t xml:space="preserve">Type the Starting Narayana Antardasa in these cells.
Open the Group '+' symbol on the left to view th Nar-AntarDasa periods
</t>
        </r>
      </text>
    </comment>
    <comment ref="H191" authorId="0" shapeId="0" xr:uid="{00000000-0006-0000-0C00-00002B000000}">
      <text>
        <r>
          <rPr>
            <sz val="8"/>
            <color indexed="8"/>
            <rFont val="Calibri"/>
            <family val="2"/>
          </rPr>
          <t xml:space="preserve">Type the Starting Narayana Antardasa in these cells.
Open the Group '+' symbol on the left to view th Nar-AntarDasa periods
</t>
        </r>
      </text>
    </comment>
    <comment ref="H193" authorId="0" shapeId="0" xr:uid="{00000000-0006-0000-0C00-00002C000000}">
      <text>
        <r>
          <rPr>
            <sz val="8"/>
            <color indexed="8"/>
            <rFont val="Calibri"/>
            <family val="2"/>
          </rPr>
          <t xml:space="preserve">Type the Starting Narayana Antardasa in these cells.
Open the Group '+' symbol on the left to view th Nar-AntarDasa periods
</t>
        </r>
      </text>
    </comment>
    <comment ref="H195" authorId="0" shapeId="0" xr:uid="{00000000-0006-0000-0C00-00002D000000}">
      <text>
        <r>
          <rPr>
            <sz val="8"/>
            <color indexed="8"/>
            <rFont val="Calibri"/>
            <family val="2"/>
          </rPr>
          <t xml:space="preserve">Type the Starting Narayana Antardasa in these cells.
Open the Group '+' symbol on the left to view th Nar-AntarDasa periods
</t>
        </r>
      </text>
    </comment>
    <comment ref="H197" authorId="0" shapeId="0" xr:uid="{00000000-0006-0000-0C00-00002E000000}">
      <text>
        <r>
          <rPr>
            <sz val="8"/>
            <color indexed="8"/>
            <rFont val="Calibri"/>
            <family val="2"/>
          </rPr>
          <t xml:space="preserve">Type the Starting Narayana Antardasa in these cells.
Open the Group '+' symbol on the left to view th Nar-AntarDasa periods
</t>
        </r>
      </text>
    </comment>
    <comment ref="C207" authorId="0" shapeId="0" xr:uid="{00000000-0006-0000-0C00-00002F000000}">
      <text>
        <r>
          <rPr>
            <b/>
            <sz val="8"/>
            <color indexed="8"/>
            <rFont val="Calibri"/>
            <family val="2"/>
          </rPr>
          <t xml:space="preserve">Decide the Initiating Narayana Dasa and Type it Here
</t>
        </r>
      </text>
    </comment>
    <comment ref="H210" authorId="0" shapeId="0" xr:uid="{00000000-0006-0000-0C00-000030000000}">
      <text>
        <r>
          <rPr>
            <sz val="8"/>
            <color indexed="8"/>
            <rFont val="Calibri"/>
            <family val="2"/>
          </rPr>
          <t xml:space="preserve">Type the Starting Narayana Antardasa in these cells.
Open the Group '+' symbol on the left to view th Nar-AntarDasa periods
</t>
        </r>
      </text>
    </comment>
    <comment ref="H212" authorId="0" shapeId="0" xr:uid="{00000000-0006-0000-0C00-000031000000}">
      <text>
        <r>
          <rPr>
            <sz val="8"/>
            <color indexed="8"/>
            <rFont val="Calibri"/>
            <family val="2"/>
          </rPr>
          <t xml:space="preserve">Type the Starting Narayana Antardasa in these cells.
Open the Group '+' symbol on the left to view th Nar-AntarDasa periods
</t>
        </r>
      </text>
    </comment>
    <comment ref="H214" authorId="0" shapeId="0" xr:uid="{00000000-0006-0000-0C00-000032000000}">
      <text>
        <r>
          <rPr>
            <sz val="8"/>
            <color indexed="8"/>
            <rFont val="Calibri"/>
            <family val="2"/>
          </rPr>
          <t xml:space="preserve">Type the Starting Narayana Antardasa in these cells.
Open the Group '+' symbol on the left to view th Nar-AntarDasa periods
</t>
        </r>
      </text>
    </comment>
    <comment ref="H216" authorId="0" shapeId="0" xr:uid="{00000000-0006-0000-0C00-000033000000}">
      <text>
        <r>
          <rPr>
            <sz val="8"/>
            <color indexed="8"/>
            <rFont val="Calibri"/>
            <family val="2"/>
          </rPr>
          <t xml:space="preserve">Type the Starting Narayana Antardasa in these cells.
Open the Group '+' symbol on the left to view th Nar-AntarDasa periods
</t>
        </r>
      </text>
    </comment>
    <comment ref="H226" authorId="0" shapeId="0" xr:uid="{00000000-0006-0000-0C00-000034000000}">
      <text>
        <r>
          <rPr>
            <sz val="8"/>
            <color indexed="8"/>
            <rFont val="Calibri"/>
            <family val="2"/>
          </rPr>
          <t xml:space="preserve">Type the Starting Narayana Antardasa in these cells.
Open the Group '+' symbol on the left to view th Nar-AntarDasa periods
</t>
        </r>
      </text>
    </comment>
    <comment ref="H228" authorId="0" shapeId="0" xr:uid="{00000000-0006-0000-0C00-000035000000}">
      <text>
        <r>
          <rPr>
            <sz val="8"/>
            <color indexed="8"/>
            <rFont val="Calibri"/>
            <family val="2"/>
          </rPr>
          <t xml:space="preserve">Type the Starting Narayana Antardasa in these cells.
Open the Group '+' symbol on the left to view th Nar-AntarDasa periods
</t>
        </r>
      </text>
    </comment>
    <comment ref="H230" authorId="0" shapeId="0" xr:uid="{00000000-0006-0000-0C00-000036000000}">
      <text>
        <r>
          <rPr>
            <sz val="8"/>
            <color indexed="8"/>
            <rFont val="Calibri"/>
            <family val="2"/>
          </rPr>
          <t xml:space="preserve">Type the Starting Narayana Antardasa in these cells.
Open the Group '+' symbol on the left to view th Nar-AntarDasa periods
</t>
        </r>
      </text>
    </comment>
    <comment ref="H232" authorId="0" shapeId="0" xr:uid="{00000000-0006-0000-0C00-000037000000}">
      <text>
        <r>
          <rPr>
            <sz val="8"/>
            <color indexed="8"/>
            <rFont val="Calibri"/>
            <family val="2"/>
          </rPr>
          <t xml:space="preserve">Type the Starting Narayana Antardasa in these cells.
Open the Group '+' symbol on the left to view th Nar-AntarDasa periods
</t>
        </r>
      </text>
    </comment>
    <comment ref="C242" authorId="0" shapeId="0" xr:uid="{00000000-0006-0000-0C00-000038000000}">
      <text>
        <r>
          <rPr>
            <b/>
            <sz val="8"/>
            <color indexed="8"/>
            <rFont val="Calibri"/>
            <family val="2"/>
          </rPr>
          <t xml:space="preserve">Decide the Initiating Narayana Dasa and Type it Here
</t>
        </r>
      </text>
    </comment>
    <comment ref="H245" authorId="0" shapeId="0" xr:uid="{00000000-0006-0000-0C00-000039000000}">
      <text>
        <r>
          <rPr>
            <sz val="8"/>
            <color indexed="8"/>
            <rFont val="Calibri"/>
            <family val="2"/>
          </rPr>
          <t xml:space="preserve">Type the Starting Narayana Antardasa in these cells.
Open the Group '+' symbol on the left to view th Nar-AntarDasa periods
</t>
        </r>
      </text>
    </comment>
    <comment ref="H247" authorId="0" shapeId="0" xr:uid="{00000000-0006-0000-0C00-00003A000000}">
      <text>
        <r>
          <rPr>
            <sz val="8"/>
            <color indexed="8"/>
            <rFont val="Calibri"/>
            <family val="2"/>
          </rPr>
          <t xml:space="preserve">Type the Starting Narayana Antardasa in these cells.
Open the Group '+' symbol on the left to view th Nar-AntarDasa periods
</t>
        </r>
      </text>
    </comment>
    <comment ref="H249" authorId="0" shapeId="0" xr:uid="{00000000-0006-0000-0C00-00003B000000}">
      <text>
        <r>
          <rPr>
            <sz val="8"/>
            <color indexed="8"/>
            <rFont val="Calibri"/>
            <family val="2"/>
          </rPr>
          <t xml:space="preserve">Type the Starting Narayana Antardasa in these cells.
Open the Group '+' symbol on the left to view th Nar-AntarDasa periods
</t>
        </r>
      </text>
    </comment>
    <comment ref="H251" authorId="0" shapeId="0" xr:uid="{00000000-0006-0000-0C00-00003C000000}">
      <text>
        <r>
          <rPr>
            <sz val="8"/>
            <color indexed="8"/>
            <rFont val="Calibri"/>
            <family val="2"/>
          </rPr>
          <t xml:space="preserve">Type the Starting Narayana Antardasa in these cells.
Open the Group '+' symbol on the left to view th Nar-AntarDasa periods
</t>
        </r>
      </text>
    </comment>
    <comment ref="H253" authorId="0" shapeId="0" xr:uid="{00000000-0006-0000-0C00-00003D000000}">
      <text>
        <r>
          <rPr>
            <sz val="8"/>
            <color indexed="8"/>
            <rFont val="Calibri"/>
            <family val="2"/>
          </rPr>
          <t xml:space="preserve">Type the Starting Narayana Antardasa in these cells.
Open the Group '+' symbol on the left to view th Nar-AntarDasa periods
</t>
        </r>
      </text>
    </comment>
    <comment ref="H261" authorId="0" shapeId="0" xr:uid="{00000000-0006-0000-0C00-00003E000000}">
      <text>
        <r>
          <rPr>
            <sz val="8"/>
            <color indexed="8"/>
            <rFont val="Calibri"/>
            <family val="2"/>
          </rPr>
          <t xml:space="preserve">Type the Starting Narayana Antardasa in these cells.
Open the Group '+' symbol on the left to view th Nar-AntarDasa periods
</t>
        </r>
      </text>
    </comment>
    <comment ref="H263" authorId="0" shapeId="0" xr:uid="{00000000-0006-0000-0C00-00003F000000}">
      <text>
        <r>
          <rPr>
            <sz val="8"/>
            <color indexed="8"/>
            <rFont val="Calibri"/>
            <family val="2"/>
          </rPr>
          <t xml:space="preserve">Type the Starting Narayana Antardasa in these cells.
Open the Group '+' symbol on the left to view th Nar-AntarDasa periods
</t>
        </r>
      </text>
    </comment>
    <comment ref="H265" authorId="0" shapeId="0" xr:uid="{00000000-0006-0000-0C00-000040000000}">
      <text>
        <r>
          <rPr>
            <sz val="8"/>
            <color indexed="8"/>
            <rFont val="Calibri"/>
            <family val="2"/>
          </rPr>
          <t xml:space="preserve">Type the Starting Narayana Antardasa in these cells.
Open the Group '+' symbol on the left to view th Nar-AntarDasa periods
</t>
        </r>
      </text>
    </comment>
    <comment ref="H267" authorId="0" shapeId="0" xr:uid="{00000000-0006-0000-0C00-000041000000}">
      <text>
        <r>
          <rPr>
            <sz val="8"/>
            <color indexed="8"/>
            <rFont val="Calibri"/>
            <family val="2"/>
          </rPr>
          <t xml:space="preserve">Type the Starting Narayana Antardasa in these cells.
Open the Group '+' symbol on the left to view th Nar-AntarDasa periods
</t>
        </r>
      </text>
    </comment>
    <comment ref="C274" authorId="0" shapeId="0" xr:uid="{00000000-0006-0000-0C00-000042000000}">
      <text>
        <r>
          <rPr>
            <b/>
            <sz val="8"/>
            <color indexed="8"/>
            <rFont val="Calibri"/>
            <family val="2"/>
          </rPr>
          <t xml:space="preserve">Decide the Initiating Narayana Dasa and Type it Here
</t>
        </r>
      </text>
    </comment>
    <comment ref="H277" authorId="0" shapeId="0" xr:uid="{00000000-0006-0000-0C00-000043000000}">
      <text>
        <r>
          <rPr>
            <sz val="8"/>
            <color indexed="8"/>
            <rFont val="Calibri"/>
            <family val="2"/>
          </rPr>
          <t xml:space="preserve">Type the Starting Narayana Antardasa in these cells.
Open the Group '+' symbol on the left to view th Nar-AntarDasa periods
</t>
        </r>
      </text>
    </comment>
    <comment ref="H279" authorId="0" shapeId="0" xr:uid="{00000000-0006-0000-0C00-000044000000}">
      <text>
        <r>
          <rPr>
            <sz val="8"/>
            <color indexed="8"/>
            <rFont val="Calibri"/>
            <family val="2"/>
          </rPr>
          <t xml:space="preserve">Type the Starting Narayana Antardasa in these cells.
Open the Group '+' symbol on the left to view th Nar-AntarDasa periods
</t>
        </r>
      </text>
    </comment>
    <comment ref="H281" authorId="0" shapeId="0" xr:uid="{00000000-0006-0000-0C00-000045000000}">
      <text>
        <r>
          <rPr>
            <sz val="8"/>
            <color indexed="8"/>
            <rFont val="Calibri"/>
            <family val="2"/>
          </rPr>
          <t xml:space="preserve">Type the Starting Narayana Antardasa in these cells.
Open the Group '+' symbol on the left to view th Nar-AntarDasa periods
</t>
        </r>
      </text>
    </comment>
    <comment ref="H283" authorId="0" shapeId="0" xr:uid="{00000000-0006-0000-0C00-000046000000}">
      <text>
        <r>
          <rPr>
            <sz val="8"/>
            <color indexed="8"/>
            <rFont val="Calibri"/>
            <family val="2"/>
          </rPr>
          <t xml:space="preserve">Type the Starting Narayana Antardasa in these cells.
Open the Group '+' symbol on the left to view th Nar-AntarDasa periods
</t>
        </r>
      </text>
    </comment>
    <comment ref="H285" authorId="0" shapeId="0" xr:uid="{00000000-0006-0000-0C00-000047000000}">
      <text>
        <r>
          <rPr>
            <sz val="8"/>
            <color indexed="8"/>
            <rFont val="Calibri"/>
            <family val="2"/>
          </rPr>
          <t xml:space="preserve">Type the Starting Narayana Antardasa in these cells.
Open the Group '+' symbol on the left to view th Nar-AntarDasa periods
</t>
        </r>
      </text>
    </comment>
    <comment ref="H293" authorId="0" shapeId="0" xr:uid="{00000000-0006-0000-0C00-000048000000}">
      <text>
        <r>
          <rPr>
            <sz val="8"/>
            <color indexed="8"/>
            <rFont val="Calibri"/>
            <family val="2"/>
          </rPr>
          <t xml:space="preserve">Type the Starting Narayana Antardasa in these cells.
Open the Group '+' symbol on the left to view th Nar-AntarDasa periods
</t>
        </r>
      </text>
    </comment>
    <comment ref="H295" authorId="0" shapeId="0" xr:uid="{00000000-0006-0000-0C00-000049000000}">
      <text>
        <r>
          <rPr>
            <sz val="8"/>
            <color indexed="8"/>
            <rFont val="Calibri"/>
            <family val="2"/>
          </rPr>
          <t xml:space="preserve">Type the Starting Narayana Antardasa in these cells.
Open the Group '+' symbol on the left to view th Nar-AntarDasa periods
</t>
        </r>
      </text>
    </comment>
    <comment ref="H297" authorId="0" shapeId="0" xr:uid="{00000000-0006-0000-0C00-00004A000000}">
      <text>
        <r>
          <rPr>
            <sz val="8"/>
            <color indexed="8"/>
            <rFont val="Calibri"/>
            <family val="2"/>
          </rPr>
          <t xml:space="preserve">Type the Starting Narayana Antardasa in these cells.
Open the Group '+' symbol on the left to view th Nar-AntarDasa periods
</t>
        </r>
      </text>
    </comment>
    <comment ref="H299" authorId="0" shapeId="0" xr:uid="{00000000-0006-0000-0C00-00004B000000}">
      <text>
        <r>
          <rPr>
            <sz val="8"/>
            <color indexed="8"/>
            <rFont val="Calibri"/>
            <family val="2"/>
          </rPr>
          <t xml:space="preserve">Type the Starting Narayana Antardasa in these cells.
Open the Group '+' symbol on the left to view th Nar-AntarDasa periods
</t>
        </r>
      </text>
    </comment>
    <comment ref="C305" authorId="0" shapeId="0" xr:uid="{00000000-0006-0000-0C00-00004C000000}">
      <text>
        <r>
          <rPr>
            <b/>
            <sz val="8"/>
            <color indexed="8"/>
            <rFont val="Calibri"/>
            <family val="2"/>
          </rPr>
          <t xml:space="preserve">Decide the Initiating Narayana Dasa and Type it Here
</t>
        </r>
      </text>
    </comment>
    <comment ref="H308" authorId="0" shapeId="0" xr:uid="{00000000-0006-0000-0C00-00004D000000}">
      <text>
        <r>
          <rPr>
            <sz val="8"/>
            <color indexed="8"/>
            <rFont val="Calibri"/>
            <family val="2"/>
          </rPr>
          <t xml:space="preserve">Type the Starting Narayana Antardasa in these cells.
Open the Group '+' symbol on the left to view th Nar-AntarDasa periods
</t>
        </r>
      </text>
    </comment>
    <comment ref="H310" authorId="0" shapeId="0" xr:uid="{00000000-0006-0000-0C00-00004E000000}">
      <text>
        <r>
          <rPr>
            <sz val="8"/>
            <color indexed="8"/>
            <rFont val="Calibri"/>
            <family val="2"/>
          </rPr>
          <t xml:space="preserve">Type the Starting Narayana Antardasa in these cells.
Open the Group '+' symbol on the left to view th Nar-AntarDasa periods
</t>
        </r>
      </text>
    </comment>
    <comment ref="H312" authorId="0" shapeId="0" xr:uid="{00000000-0006-0000-0C00-00004F000000}">
      <text>
        <r>
          <rPr>
            <sz val="8"/>
            <color indexed="8"/>
            <rFont val="Calibri"/>
            <family val="2"/>
          </rPr>
          <t xml:space="preserve">Type the Starting Narayana Antardasa in these cells.
Open the Group '+' symbol on the left to view th Nar-AntarDasa periods
</t>
        </r>
      </text>
    </comment>
    <comment ref="H314" authorId="0" shapeId="0" xr:uid="{00000000-0006-0000-0C00-000050000000}">
      <text>
        <r>
          <rPr>
            <sz val="8"/>
            <color indexed="8"/>
            <rFont val="Calibri"/>
            <family val="2"/>
          </rPr>
          <t xml:space="preserve">Type the Starting Narayana Antardasa in these cells.
Open the Group '+' symbol on the left to view th Nar-AntarDasa periods
</t>
        </r>
      </text>
    </comment>
    <comment ref="H316" authorId="0" shapeId="0" xr:uid="{00000000-0006-0000-0C00-000051000000}">
      <text>
        <r>
          <rPr>
            <sz val="8"/>
            <color indexed="8"/>
            <rFont val="Calibri"/>
            <family val="2"/>
          </rPr>
          <t xml:space="preserve">Type the Starting Narayana Antardasa in these cells.
Open the Group '+' symbol on the left to view th Nar-AntarDasa periods
</t>
        </r>
      </text>
    </comment>
    <comment ref="H324" authorId="0" shapeId="0" xr:uid="{00000000-0006-0000-0C00-000052000000}">
      <text>
        <r>
          <rPr>
            <sz val="8"/>
            <color indexed="8"/>
            <rFont val="Calibri"/>
            <family val="2"/>
          </rPr>
          <t xml:space="preserve">Type the Starting Narayana Antardasa in these cells.
Open the Group '+' symbol on the left to view th Nar-AntarDasa periods
</t>
        </r>
      </text>
    </comment>
    <comment ref="H326" authorId="0" shapeId="0" xr:uid="{00000000-0006-0000-0C00-000053000000}">
      <text>
        <r>
          <rPr>
            <sz val="8"/>
            <color indexed="8"/>
            <rFont val="Calibri"/>
            <family val="2"/>
          </rPr>
          <t xml:space="preserve">Type the Starting Narayana Antardasa in these cells.
Open the Group '+' symbol on the left to view th Nar-AntarDasa periods
</t>
        </r>
      </text>
    </comment>
    <comment ref="H328" authorId="0" shapeId="0" xr:uid="{00000000-0006-0000-0C00-000054000000}">
      <text>
        <r>
          <rPr>
            <sz val="8"/>
            <color indexed="8"/>
            <rFont val="Calibri"/>
            <family val="2"/>
          </rPr>
          <t xml:space="preserve">Type the Starting Narayana Antardasa in these cells.
Open the Group '+' symbol on the left to view th Nar-AntarDasa periods
</t>
        </r>
      </text>
    </comment>
    <comment ref="H330" authorId="0" shapeId="0" xr:uid="{00000000-0006-0000-0C00-000055000000}">
      <text>
        <r>
          <rPr>
            <sz val="8"/>
            <color indexed="8"/>
            <rFont val="Calibri"/>
            <family val="2"/>
          </rPr>
          <t xml:space="preserve">Type the Starting Narayana Antardasa in these cells.
Open the Group '+' symbol on the left to view th Nar-AntarDasa periods
</t>
        </r>
      </text>
    </comment>
    <comment ref="C337" authorId="0" shapeId="0" xr:uid="{00000000-0006-0000-0C00-000056000000}">
      <text>
        <r>
          <rPr>
            <b/>
            <sz val="8"/>
            <color indexed="8"/>
            <rFont val="Calibri"/>
            <family val="2"/>
          </rPr>
          <t xml:space="preserve">Decide the Initiating Narayana Dasa and Type it Here
</t>
        </r>
      </text>
    </comment>
    <comment ref="H340" authorId="0" shapeId="0" xr:uid="{00000000-0006-0000-0C00-000057000000}">
      <text>
        <r>
          <rPr>
            <sz val="8"/>
            <color indexed="8"/>
            <rFont val="Calibri"/>
            <family val="2"/>
          </rPr>
          <t xml:space="preserve">Type the Starting Narayana Antardasa in these cells.
Open the Group '+' symbol on the left to view th Nar-AntarDasa periods
</t>
        </r>
      </text>
    </comment>
    <comment ref="H342" authorId="0" shapeId="0" xr:uid="{00000000-0006-0000-0C00-000058000000}">
      <text>
        <r>
          <rPr>
            <sz val="8"/>
            <color indexed="8"/>
            <rFont val="Calibri"/>
            <family val="2"/>
          </rPr>
          <t xml:space="preserve">Type the Starting Narayana Antardasa in these cells.
Open the Group '+' symbol on the left to view th Nar-AntarDasa periods
</t>
        </r>
      </text>
    </comment>
    <comment ref="H344" authorId="0" shapeId="0" xr:uid="{00000000-0006-0000-0C00-000059000000}">
      <text>
        <r>
          <rPr>
            <sz val="8"/>
            <color indexed="8"/>
            <rFont val="Calibri"/>
            <family val="2"/>
          </rPr>
          <t xml:space="preserve">Type the Starting Narayana Antardasa in these cells.
Open the Group '+' symbol on the left to view th Nar-AntarDasa periods
</t>
        </r>
      </text>
    </comment>
    <comment ref="H346" authorId="0" shapeId="0" xr:uid="{00000000-0006-0000-0C00-00005A000000}">
      <text>
        <r>
          <rPr>
            <sz val="8"/>
            <color indexed="8"/>
            <rFont val="Calibri"/>
            <family val="2"/>
          </rPr>
          <t xml:space="preserve">Type the Starting Narayana Antardasa in these cells.
Open the Group '+' symbol on the left to view th Nar-AntarDasa periods
</t>
        </r>
      </text>
    </comment>
    <comment ref="H356" authorId="0" shapeId="0" xr:uid="{00000000-0006-0000-0C00-00005B000000}">
      <text>
        <r>
          <rPr>
            <sz val="8"/>
            <color indexed="8"/>
            <rFont val="Calibri"/>
            <family val="2"/>
          </rPr>
          <t xml:space="preserve">Type the Starting Narayana Antardasa in these cells.
Open the Group '+' symbol on the left to view th Nar-AntarDasa periods
</t>
        </r>
      </text>
    </comment>
    <comment ref="H358" authorId="0" shapeId="0" xr:uid="{00000000-0006-0000-0C00-00005C000000}">
      <text>
        <r>
          <rPr>
            <sz val="8"/>
            <color indexed="8"/>
            <rFont val="Calibri"/>
            <family val="2"/>
          </rPr>
          <t xml:space="preserve">Type the Starting Narayana Antardasa in these cells.
Open the Group '+' symbol on the left to view th Nar-AntarDasa periods
</t>
        </r>
      </text>
    </comment>
    <comment ref="H360" authorId="0" shapeId="0" xr:uid="{00000000-0006-0000-0C00-00005D000000}">
      <text>
        <r>
          <rPr>
            <sz val="8"/>
            <color indexed="8"/>
            <rFont val="Calibri"/>
            <family val="2"/>
          </rPr>
          <t xml:space="preserve">Type the Starting Narayana Antardasa in these cells.
Open the Group '+' symbol on the left to view th Nar-AntarDasa periods
</t>
        </r>
      </text>
    </comment>
    <comment ref="H362" authorId="0" shapeId="0" xr:uid="{00000000-0006-0000-0C00-00005E000000}">
      <text>
        <r>
          <rPr>
            <sz val="8"/>
            <color indexed="8"/>
            <rFont val="Calibri"/>
            <family val="2"/>
          </rPr>
          <t xml:space="preserve">Type the Starting Narayana Antardasa in these cells.
Open the Group '+' symbol on the left to view th Nar-AntarDasa periods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Sanjay Prabhakaran</author>
  </authors>
  <commentList>
    <comment ref="A6" authorId="0" shapeId="0" xr:uid="{00000000-0006-0000-0D00-000001000000}">
      <text>
        <r>
          <rPr>
            <b/>
            <sz val="9"/>
            <color indexed="81"/>
            <rFont val="Tahoma"/>
            <family val="2"/>
          </rPr>
          <t>Br. Nx Pf 72.</t>
        </r>
      </text>
    </comment>
    <comment ref="A8" authorId="0" shapeId="0" xr:uid="{00000000-0006-0000-0D00-000002000000}">
      <text>
        <r>
          <rPr>
            <b/>
            <sz val="9"/>
            <color indexed="81"/>
            <rFont val="Tahoma"/>
            <family val="2"/>
          </rPr>
          <t>Br Nx 139.</t>
        </r>
      </text>
    </comment>
    <comment ref="A9" authorId="0" shapeId="0" xr:uid="{00000000-0006-0000-0D00-000003000000}">
      <text>
        <r>
          <rPr>
            <b/>
            <sz val="9"/>
            <color indexed="81"/>
            <rFont val="Tahoma"/>
            <family val="2"/>
          </rPr>
          <t>Committment:</t>
        </r>
        <r>
          <rPr>
            <sz val="9"/>
            <color indexed="81"/>
            <rFont val="Tahoma"/>
            <family val="2"/>
          </rPr>
          <t xml:space="preserve">
</t>
        </r>
      </text>
    </comment>
    <comment ref="A10" authorId="0" shapeId="0" xr:uid="{00000000-0006-0000-0D00-000004000000}">
      <text>
        <r>
          <rPr>
            <b/>
            <sz val="9"/>
            <color indexed="81"/>
            <rFont val="Tahoma"/>
            <family val="2"/>
          </rPr>
          <t xml:space="preserve">Assistant from Br. Nx
Destiny Ramesh from Srath Lectures.
Raajya Br. Nakshatra </t>
        </r>
        <r>
          <rPr>
            <sz val="9"/>
            <color indexed="81"/>
            <rFont val="Tahoma"/>
            <family val="2"/>
          </rPr>
          <t xml:space="preserve">
</t>
        </r>
      </text>
    </comment>
    <comment ref="A11" authorId="0" shapeId="0" xr:uid="{00000000-0006-0000-0D00-000005000000}">
      <text>
        <r>
          <rPr>
            <b/>
            <sz val="9"/>
            <color indexed="81"/>
            <rFont val="Tahoma"/>
            <family val="2"/>
          </rPr>
          <t>Ramesh from Srath Lectures.</t>
        </r>
      </text>
    </comment>
    <comment ref="A13" authorId="0" shapeId="0" xr:uid="{00000000-0006-0000-0D00-000006000000}">
      <text>
        <r>
          <rPr>
            <b/>
            <sz val="9"/>
            <color indexed="81"/>
            <rFont val="Tahoma"/>
            <family val="2"/>
          </rPr>
          <t>138Pg:</t>
        </r>
        <r>
          <rPr>
            <sz val="9"/>
            <color indexed="81"/>
            <rFont val="Tahoma"/>
            <family val="2"/>
          </rPr>
          <t xml:space="preserve">
</t>
        </r>
      </text>
    </comment>
    <comment ref="A16" authorId="0" shapeId="0" xr:uid="{00000000-0006-0000-0D00-000007000000}">
      <text>
        <r>
          <rPr>
            <b/>
            <sz val="9"/>
            <color indexed="81"/>
            <rFont val="Tahoma"/>
            <family val="2"/>
          </rPr>
          <t>Sanjay Prabhakaran:</t>
        </r>
        <r>
          <rPr>
            <sz val="9"/>
            <color indexed="81"/>
            <rFont val="Tahoma"/>
            <family val="2"/>
          </rPr>
          <t xml:space="preserve">
</t>
        </r>
      </text>
    </comment>
    <comment ref="A17" authorId="0" shapeId="0" xr:uid="{00000000-0006-0000-0D00-000008000000}">
      <text>
        <r>
          <rPr>
            <b/>
            <sz val="9"/>
            <color indexed="81"/>
            <rFont val="Tahoma"/>
            <family val="2"/>
          </rPr>
          <t>Ramesh from Srath Lecture. 20 Are u hearing or Listening.  Danta of Ganesha.</t>
        </r>
      </text>
    </comment>
    <comment ref="A18" authorId="0" shapeId="0" xr:uid="{00000000-0006-0000-0D00-000009000000}">
      <text>
        <r>
          <rPr>
            <b/>
            <sz val="9"/>
            <color indexed="81"/>
            <rFont val="Tahoma"/>
            <family val="2"/>
          </rPr>
          <t xml:space="preserve">Ramesh from Srath Lecture? 21: </t>
        </r>
      </text>
    </comment>
    <comment ref="A19" authorId="0" shapeId="0" xr:uid="{00000000-0006-0000-0D00-00000A000000}">
      <text>
        <r>
          <rPr>
            <sz val="9"/>
            <color indexed="81"/>
            <rFont val="Tahoma"/>
            <family val="2"/>
          </rPr>
          <t xml:space="preserve">
</t>
        </r>
      </text>
    </comment>
    <comment ref="A20" authorId="0" shapeId="0" xr:uid="{00000000-0006-0000-0D00-00000B000000}">
      <text>
        <r>
          <rPr>
            <b/>
            <sz val="9"/>
            <color indexed="81"/>
            <rFont val="Tahoma"/>
            <family val="2"/>
          </rPr>
          <t>BrNx 138</t>
        </r>
        <r>
          <rPr>
            <sz val="9"/>
            <color indexed="81"/>
            <rFont val="Tahoma"/>
            <family val="2"/>
          </rPr>
          <t xml:space="preserve">
</t>
        </r>
      </text>
    </comment>
    <comment ref="A21" authorId="0" shapeId="0" xr:uid="{00000000-0006-0000-0D00-00000C000000}">
      <text>
        <r>
          <rPr>
            <b/>
            <sz val="9"/>
            <color indexed="81"/>
            <rFont val="Tahoma"/>
            <family val="2"/>
          </rPr>
          <t>Pg 139</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Sanjay Prabhakaran</author>
  </authors>
  <commentList>
    <comment ref="D1" authorId="0" shapeId="0" xr:uid="{00000000-0006-0000-0E00-000001000000}">
      <text>
        <r>
          <rPr>
            <sz val="9"/>
            <color indexed="81"/>
            <rFont val="Tahoma"/>
            <family val="2"/>
          </rPr>
          <t>Varshphal (Annual Predication)
 By S.P. Gour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Prabhakaran, Sanjay</author>
  </authors>
  <commentList>
    <comment ref="H3" authorId="0" shapeId="0" xr:uid="{00000000-0006-0000-1200-000001000000}">
      <text>
        <r>
          <rPr>
            <b/>
            <sz val="9"/>
            <color indexed="81"/>
            <rFont val="Tahoma"/>
          </rPr>
          <t>Prabhakaran, Sanjay:</t>
        </r>
        <r>
          <rPr>
            <sz val="9"/>
            <color indexed="81"/>
            <rFont val="Tahoma"/>
          </rPr>
          <t xml:space="preserve">
</t>
        </r>
      </text>
    </comment>
    <comment ref="M3" authorId="0" shapeId="0" xr:uid="{00000000-0006-0000-1200-000002000000}">
      <text>
        <r>
          <rPr>
            <b/>
            <sz val="9"/>
            <color indexed="81"/>
            <rFont val="Tahoma"/>
          </rPr>
          <t>Vi
Ma,Agni
T3,T11,Cat,Dhuma</t>
        </r>
      </text>
    </comment>
    <comment ref="M8" authorId="0" shapeId="0" xr:uid="{00000000-0006-0000-1200-000003000000}">
      <text>
        <r>
          <rPr>
            <b/>
            <sz val="9"/>
            <color indexed="81"/>
            <rFont val="Tahoma"/>
            <family val="2"/>
          </rPr>
          <t>Ca,Le,
Ju,Pritvi
T5,T13,Lion,Simha</t>
        </r>
      </text>
    </comment>
    <comment ref="M13" authorId="0" shapeId="0" xr:uid="{00000000-0006-0000-1200-000004000000}">
      <text>
        <r>
          <rPr>
            <b/>
            <sz val="9"/>
            <color indexed="81"/>
            <rFont val="Tahoma"/>
            <family val="2"/>
          </rPr>
          <t>Sg,
Mercury,Ether,
T4,T12,Dog,Dog</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Sanjay Prabhakaran</author>
  </authors>
  <commentList>
    <comment ref="F1" authorId="0" shapeId="0" xr:uid="{00000000-0006-0000-1500-000001000000}">
      <text>
        <r>
          <rPr>
            <b/>
            <sz val="9"/>
            <color indexed="81"/>
            <rFont val="Tahoma"/>
            <family val="2"/>
          </rPr>
          <t>BV Raman, Prashna Marga Notes.</t>
        </r>
      </text>
    </comment>
  </commentList>
</comments>
</file>

<file path=xl/sharedStrings.xml><?xml version="1.0" encoding="utf-8"?>
<sst xmlns="http://schemas.openxmlformats.org/spreadsheetml/2006/main" count="11093" uniqueCount="4789">
  <si>
    <t xml:space="preserve">the boy counted from that of the girl should be the 4th, 7th, 10th, 13th, 16th, 19th, 22nd or 25th. This combination promotes well being and longevity of the couple.Another:Count from the bride's star to the groom's asterism. If it be 4th, 7th, or 10th in any round it would be beneficial to the groom. Generally the groom's star is expected to be distant from the bride's. On the other hand, if the bride's star be the 4th from the groom's star, it should be termed Mahendra. If it be the 7th from the boy's Nakshatra, it would be called Upendra. The results of these two Yogas are in order (1) Increase of wealth and corn; and (2) birth of sons and daughters. The reader may note here that according to the Dina-type of agreement the 7th star is to be rejected, whereas according to the Mahendra it is acceptable. It shouldn't, however, be construed that the authorities make contradictory statements. As the contexts are different, there is no contradiction. For, in the 2nd and 3rd rounds the 7th star becomes the 6th and the 25th, which brings about what is called Stri-dirgha and so they reduce the flow more and more."(M. Ramakrishna Bhat. Essentials of Horary Astrology, page 138.) </t>
  </si>
  <si>
    <t>Stree Deergha (Dirgha).</t>
  </si>
  <si>
    <t>promotes welfare</t>
  </si>
  <si>
    <t>many sons</t>
  </si>
  <si>
    <t>boy should not be 2,3,4,5,6,8 from girl</t>
  </si>
  <si>
    <t xml:space="preserve">Rajju should not be same or same MOD3 value MOD3=2 worst </t>
  </si>
  <si>
    <t>Ashtakavarga of</t>
  </si>
  <si>
    <t>Portion</t>
  </si>
  <si>
    <t>Divisional Weightage/Varga Vishwa</t>
  </si>
  <si>
    <t>D2</t>
  </si>
  <si>
    <t>D30</t>
  </si>
  <si>
    <t>D16</t>
  </si>
  <si>
    <t>D60</t>
  </si>
  <si>
    <t>D20</t>
  </si>
  <si>
    <t>D24</t>
  </si>
  <si>
    <t>D27</t>
  </si>
  <si>
    <t>D40</t>
  </si>
  <si>
    <t>D45</t>
  </si>
  <si>
    <t xml:space="preserve"> kubera</t>
  </si>
  <si>
    <t xml:space="preserve"> yaksha</t>
  </si>
  <si>
    <t>kinnara</t>
  </si>
  <si>
    <t xml:space="preserve"> kulagna</t>
  </si>
  <si>
    <t xml:space="preserve"> garala</t>
  </si>
  <si>
    <t>vahni</t>
  </si>
  <si>
    <t xml:space="preserve"> maya</t>
  </si>
  <si>
    <t xml:space="preserve"> pureeshaka</t>
  </si>
  <si>
    <t>apampati</t>
  </si>
  <si>
    <t>kaala</t>
  </si>
  <si>
    <t>sarpa</t>
  </si>
  <si>
    <t>amirta</t>
  </si>
  <si>
    <t>indu</t>
  </si>
  <si>
    <t>mrdu</t>
  </si>
  <si>
    <t>komala</t>
  </si>
  <si>
    <t>heramba</t>
  </si>
  <si>
    <t>brahma</t>
  </si>
  <si>
    <t>vishnu</t>
  </si>
  <si>
    <t>maheswara</t>
  </si>
  <si>
    <t>deva</t>
  </si>
  <si>
    <t>ardra</t>
  </si>
  <si>
    <t>kshiteesa</t>
  </si>
  <si>
    <t>kamalakara</t>
  </si>
  <si>
    <t>gulika</t>
  </si>
  <si>
    <t>mrtyu</t>
  </si>
  <si>
    <t>kala</t>
  </si>
  <si>
    <t>daavagni</t>
  </si>
  <si>
    <t>ghora</t>
  </si>
  <si>
    <t xml:space="preserve"> yama</t>
  </si>
  <si>
    <t>kantaka</t>
  </si>
  <si>
    <t>sudha</t>
  </si>
  <si>
    <t>poornachandra</t>
  </si>
  <si>
    <t>visha dagdha</t>
  </si>
  <si>
    <t>kulanaasa</t>
  </si>
  <si>
    <t>vamsakshya</t>
  </si>
  <si>
    <t>utpaata</t>
  </si>
  <si>
    <t>soumya</t>
  </si>
  <si>
    <t>seetala</t>
  </si>
  <si>
    <t>karaladhamstra</t>
  </si>
  <si>
    <t>chandramukhi</t>
  </si>
  <si>
    <t>praveena</t>
  </si>
  <si>
    <t>kaala pavaka</t>
  </si>
  <si>
    <t>dhandayutha</t>
  </si>
  <si>
    <t>nirmala</t>
  </si>
  <si>
    <t>kroora</t>
  </si>
  <si>
    <t>atiseetala</t>
  </si>
  <si>
    <t>amrita</t>
  </si>
  <si>
    <t>payodhi</t>
  </si>
  <si>
    <t>brahmna</t>
  </si>
  <si>
    <t>chandrarekha</t>
  </si>
  <si>
    <t>D60Index</t>
  </si>
  <si>
    <t>D60English</t>
  </si>
  <si>
    <t>D60Meaning</t>
  </si>
  <si>
    <t>terrible</t>
  </si>
  <si>
    <t>demon</t>
  </si>
  <si>
    <t>onewhoisfulloflight</t>
  </si>
  <si>
    <t>godofwealth</t>
  </si>
  <si>
    <t>divinesinger</t>
  </si>
  <si>
    <t>deformedman(iamnotsure)</t>
  </si>
  <si>
    <t>fallen</t>
  </si>
  <si>
    <t>personwillruinfamily</t>
  </si>
  <si>
    <t>poison</t>
  </si>
  <si>
    <t>fire</t>
  </si>
  <si>
    <t>deciet</t>
  </si>
  <si>
    <t>dirty</t>
  </si>
  <si>
    <t>raingod(varuna)</t>
  </si>
  <si>
    <t>windgod</t>
  </si>
  <si>
    <t>time</t>
  </si>
  <si>
    <t>snake,veryvicious</t>
  </si>
  <si>
    <t>nectar</t>
  </si>
  <si>
    <t>moon</t>
  </si>
  <si>
    <t>soft</t>
  </si>
  <si>
    <t>tender</t>
  </si>
  <si>
    <t>vinayaka</t>
  </si>
  <si>
    <t>universalfather</t>
  </si>
  <si>
    <t>oneofthehindutrinity</t>
  </si>
  <si>
    <t>anotherdeityofhindutrinity</t>
  </si>
  <si>
    <t>enjoyment</t>
  </si>
  <si>
    <t>moist</t>
  </si>
  <si>
    <t>rulerofearth</t>
  </si>
  <si>
    <t>pondfulloflotus</t>
  </si>
  <si>
    <t>saturn'sson</t>
  </si>
  <si>
    <t>death</t>
  </si>
  <si>
    <t>timegod</t>
  </si>
  <si>
    <t>forestfire</t>
  </si>
  <si>
    <t>deathpersonified</t>
  </si>
  <si>
    <t>thorn</t>
  </si>
  <si>
    <t>nector</t>
  </si>
  <si>
    <t>fullofeffulgence</t>
  </si>
  <si>
    <t>venomconsuming</t>
  </si>
  <si>
    <t>ruinsthefamily</t>
  </si>
  <si>
    <t>descendantsnotgrowing</t>
  </si>
  <si>
    <t>calamity</t>
  </si>
  <si>
    <t>pleasing</t>
  </si>
  <si>
    <t>cold</t>
  </si>
  <si>
    <t>hardandferociouslook</t>
  </si>
  <si>
    <t>moonfaced</t>
  </si>
  <si>
    <t>wellversed</t>
  </si>
  <si>
    <t>destructivefireattheendoftheworld</t>
  </si>
  <si>
    <t>thestaffheldbytheascetic</t>
  </si>
  <si>
    <t>spotless</t>
  </si>
  <si>
    <t>cruel</t>
  </si>
  <si>
    <t>toocold</t>
  </si>
  <si>
    <t>ocean</t>
  </si>
  <si>
    <t>wanderer</t>
  </si>
  <si>
    <t>streaksofthemoon</t>
  </si>
  <si>
    <t>AV Score</t>
  </si>
  <si>
    <t>inclines to felicity, great happiness in married life and immunity from widowhood;</t>
  </si>
  <si>
    <t>Nadi</t>
  </si>
  <si>
    <t>Term of Life</t>
  </si>
  <si>
    <t>if signs are:</t>
  </si>
  <si>
    <t>or signs are:</t>
  </si>
  <si>
    <t>Lifespan</t>
  </si>
  <si>
    <t>Alpayu (short)</t>
  </si>
  <si>
    <t>C, D</t>
  </si>
  <si>
    <t>S, S</t>
  </si>
  <si>
    <t>&lt; 32</t>
  </si>
  <si>
    <t>Madhyayu (middle)</t>
  </si>
  <si>
    <t>C, S</t>
  </si>
  <si>
    <t>D, D</t>
  </si>
  <si>
    <t>&lt; 64</t>
  </si>
  <si>
    <t>Purnayu (long)</t>
  </si>
  <si>
    <t>C, C</t>
  </si>
  <si>
    <t>D, S</t>
  </si>
  <si>
    <t>&gt; 64</t>
  </si>
  <si>
    <t>(a) lagna lord and 8th lord</t>
  </si>
  <si>
    <t>(b) Moon and Saturn (not Moon and lagna as Siva wrote)</t>
  </si>
  <si>
    <t>(c) lagna and horalagna</t>
  </si>
  <si>
    <t> </t>
  </si>
  <si>
    <t>Nakshatra Phonemes</t>
  </si>
  <si>
    <t>Month Names</t>
  </si>
  <si>
    <t>Month Duration</t>
  </si>
  <si>
    <t>Ashtottari-Ruler</t>
  </si>
  <si>
    <t>28 Nax Names</t>
  </si>
  <si>
    <t>28 Nax Start</t>
  </si>
  <si>
    <t>AVASTHA NAME</t>
  </si>
  <si>
    <t>MEANING</t>
  </si>
  <si>
    <t>Graha Order</t>
  </si>
  <si>
    <t>Number Assignment</t>
  </si>
  <si>
    <t>Vimshottari graha years</t>
  </si>
  <si>
    <t>D150Degrees</t>
  </si>
  <si>
    <t>काली</t>
  </si>
  <si>
    <t xml:space="preserve">dasra </t>
  </si>
  <si>
    <t>दस्र</t>
  </si>
  <si>
    <t xml:space="preserve">Chaitra </t>
  </si>
  <si>
    <t>March-April</t>
  </si>
  <si>
    <t>Ashwini</t>
  </si>
  <si>
    <t>Sayana</t>
  </si>
  <si>
    <t>Lyingdown,resting</t>
  </si>
  <si>
    <t>वसुधा</t>
  </si>
  <si>
    <t>vasudhā</t>
  </si>
  <si>
    <t>Gauri</t>
  </si>
  <si>
    <t>गौरी</t>
  </si>
  <si>
    <t xml:space="preserve">yama </t>
  </si>
  <si>
    <t xml:space="preserve">यम </t>
  </si>
  <si>
    <t xml:space="preserve">Vaishakh </t>
  </si>
  <si>
    <t>April-May</t>
  </si>
  <si>
    <t>Upavesana</t>
  </si>
  <si>
    <t>Sittingdown</t>
  </si>
  <si>
    <t>वैष्णवी</t>
  </si>
  <si>
    <t>vaiṣṇavī</t>
  </si>
  <si>
    <t>जया+</t>
  </si>
  <si>
    <t xml:space="preserve">vahni </t>
  </si>
  <si>
    <t xml:space="preserve">वह्नि </t>
  </si>
  <si>
    <t xml:space="preserve">Jyeshta </t>
  </si>
  <si>
    <t>May-June </t>
  </si>
  <si>
    <t>Netrapaani</t>
  </si>
  <si>
    <t>Eyesandhands</t>
  </si>
  <si>
    <t>ब्रह्मी</t>
  </si>
  <si>
    <t>brahmī</t>
  </si>
  <si>
    <t>लक्ष्मी</t>
  </si>
  <si>
    <t xml:space="preserve">pitāmaha </t>
  </si>
  <si>
    <t xml:space="preserve">पितामह </t>
  </si>
  <si>
    <t xml:space="preserve">Aashaadh </t>
  </si>
  <si>
    <t>June-July</t>
  </si>
  <si>
    <t>Prakaasana</t>
  </si>
  <si>
    <t>Shining</t>
  </si>
  <si>
    <t>कालकूटा</t>
  </si>
  <si>
    <t>kālakūṭā</t>
  </si>
  <si>
    <t>Vijaya</t>
  </si>
  <si>
    <t>विजया</t>
  </si>
  <si>
    <t xml:space="preserve">candra </t>
  </si>
  <si>
    <t xml:space="preserve">चन्द्र </t>
  </si>
  <si>
    <t xml:space="preserve">Sharaavan </t>
  </si>
  <si>
    <t>July-August </t>
  </si>
  <si>
    <t>Gamana</t>
  </si>
  <si>
    <t>Going(onthemove)</t>
  </si>
  <si>
    <t>शांकरी</t>
  </si>
  <si>
    <t>śāṁkarī</t>
  </si>
  <si>
    <t>विमला</t>
  </si>
  <si>
    <t xml:space="preserve">iśa </t>
  </si>
  <si>
    <t xml:space="preserve">इश </t>
  </si>
  <si>
    <t xml:space="preserve">Bhadrapad </t>
  </si>
  <si>
    <t>Aug-Sept</t>
  </si>
  <si>
    <t>Aagamana</t>
  </si>
  <si>
    <t>Coming,returning</t>
  </si>
  <si>
    <t>सुधाकरी</t>
  </si>
  <si>
    <t>sudhākarī</t>
  </si>
  <si>
    <t>सती</t>
  </si>
  <si>
    <t xml:space="preserve">aditi </t>
  </si>
  <si>
    <t xml:space="preserve">अदिति </t>
  </si>
  <si>
    <t xml:space="preserve">Ashwin </t>
  </si>
  <si>
    <t>September-October </t>
  </si>
  <si>
    <t>Sabhaa</t>
  </si>
  <si>
    <t>(Sabhaavasati)Beingatanassembly</t>
  </si>
  <si>
    <t>समा</t>
  </si>
  <si>
    <t>samā</t>
  </si>
  <si>
    <t>तारा</t>
  </si>
  <si>
    <t xml:space="preserve">jīva </t>
  </si>
  <si>
    <t xml:space="preserve">जीव </t>
  </si>
  <si>
    <t xml:space="preserve">Kaartik </t>
  </si>
  <si>
    <t>Oct-November.</t>
  </si>
  <si>
    <t>Aagama</t>
  </si>
  <si>
    <t>Coming/Acquiring</t>
  </si>
  <si>
    <t>सौम्या</t>
  </si>
  <si>
    <t>saumyā</t>
  </si>
  <si>
    <r>
      <t>पाचक</t>
    </r>
    <r>
      <rPr>
        <sz val="11"/>
        <color indexed="8"/>
        <rFont val="Trebuchet MS"/>
        <family val="2"/>
      </rPr>
      <t>/pācaka</t>
    </r>
  </si>
  <si>
    <r>
      <t>बोधक</t>
    </r>
    <r>
      <rPr>
        <sz val="11"/>
        <color indexed="8"/>
        <rFont val="Trebuchet MS"/>
        <family val="2"/>
      </rPr>
      <t>/bodhaka</t>
    </r>
  </si>
  <si>
    <r>
      <t>कारक</t>
    </r>
    <r>
      <rPr>
        <sz val="11"/>
        <color indexed="8"/>
        <rFont val="Trebuchet MS"/>
        <family val="2"/>
      </rPr>
      <t>/kāraka</t>
    </r>
  </si>
  <si>
    <r>
      <t>वेधक</t>
    </r>
    <r>
      <rPr>
        <sz val="11"/>
        <color indexed="8"/>
        <rFont val="Trebuchet MS"/>
        <family val="2"/>
      </rPr>
      <t>/vedhaka</t>
    </r>
  </si>
  <si>
    <t>saumya(soma?)=moon, induputra= mercury ,arka=sun,dineshaputra=Saturn</t>
  </si>
  <si>
    <t>The table given in page 22 CoVA is(Reformated)</t>
  </si>
  <si>
    <t>planet-&gt;pachak,bodhak,Karak,Vedhak (number in bracket are the houses)</t>
  </si>
  <si>
    <t>Sun-&gt;Sat(6),Mars(7),Jup(9),Ven(11)</t>
  </si>
  <si>
    <t>Moon-&gt;Venus(7),Mars(9),Sat(11),Sun(3)</t>
  </si>
  <si>
    <t>Mars-&gt;Sun(2),Moon(6),Sat(11),Merc(12)</t>
  </si>
  <si>
    <t>Merc-&gt;Moon(2),Jup(4),Ven(5),Mars(3)</t>
  </si>
  <si>
    <t>Correction</t>
  </si>
  <si>
    <t>Jup-&gt;Sat(6),Mars(5),Moon(7),Sun(12)</t>
  </si>
  <si>
    <t>Venus-&gt;Moon(2),Merc(6),Sun(12),Sat(4) [sun and Sat interchanged in ND]</t>
  </si>
  <si>
    <t>Saturn-&gt;Venus(3),Moon(11),Jup(6),Mars(7)</t>
  </si>
  <si>
    <t>kramaadgrahaH paacakavodhakashca sakaarako vedhakasa.nj~nakashca .</t>
  </si>
  <si>
    <t>raviindusuuryaatmajacandraputraaH shashaa.nkajiivaacChadharaasuta shca .</t>
  </si>
  <si>
    <t>shukre.ndudevejyadharaasutaashca bhava.nti tatpaakamukhaa grahe.ndraaH ..121..</t>
  </si>
  <si>
    <t>sthaanani vakshye kramasho grahaaNaa.n SaTsaptadharmaayagataaH krameNa .</t>
  </si>
  <si>
    <t>bhaanoH shashaa.nkaanmadabhaagyalaabhayukktatastR^itiiyena dharaasutaacca ..122..</t>
  </si>
  <si>
    <t>dhanaarilaabhaa.ntyagataabjasuunrdvitiiyavadhvaatm ajasodaraashca .</t>
  </si>
  <si>
    <t>gurostuSaSThaatmajakaamaariSphaaH shukraaddhanaarivyayaba.ndhuyuktaaH ..123..</t>
  </si>
  <si>
    <t>tR^itiiyalaabaarikalatagaastu dineshasuunoH pravada.nti tajj~naaH ..124..</t>
  </si>
  <si>
    <t>ma.nd ara jiiv amarashatrupuujyaaH shukra ara suuryaatmaja vaasareshaaH ..119..</t>
  </si>
  <si>
    <t>suryaatmajaare.ndudinaadhinaathaaH saum ye.nduputra arka dineshaputraaH ..120..</t>
  </si>
  <si>
    <t>ज्वालामुखी</t>
  </si>
  <si>
    <t xml:space="preserve">ahi </t>
  </si>
  <si>
    <t xml:space="preserve">अहि </t>
  </si>
  <si>
    <t xml:space="preserve">Margasheersh </t>
  </si>
  <si>
    <t>Nov-Dec</t>
  </si>
  <si>
    <t>Bhojana</t>
  </si>
  <si>
    <t>Eating</t>
  </si>
  <si>
    <t>सुरा</t>
  </si>
  <si>
    <t>surā</t>
  </si>
  <si>
    <t>श्वेता</t>
  </si>
  <si>
    <t xml:space="preserve">pitaro </t>
  </si>
  <si>
    <t xml:space="preserve">पितरो </t>
  </si>
  <si>
    <t xml:space="preserve">Pushya </t>
  </si>
  <si>
    <t>Dec-Jan </t>
  </si>
  <si>
    <t>Nriyalipsaa</t>
  </si>
  <si>
    <t>Longingtodance</t>
  </si>
  <si>
    <t>माया</t>
  </si>
  <si>
    <t>māyā</t>
  </si>
  <si>
    <t>ललिता</t>
  </si>
  <si>
    <t xml:space="preserve">bhaga </t>
  </si>
  <si>
    <t>भग</t>
  </si>
  <si>
    <t xml:space="preserve">Magha </t>
  </si>
  <si>
    <t>Jan-February</t>
  </si>
  <si>
    <t>Kautuka</t>
  </si>
  <si>
    <t>Beingeager</t>
  </si>
  <si>
    <t>मनोहरा</t>
  </si>
  <si>
    <t>manoharā</t>
  </si>
  <si>
    <t>बगलामुखी</t>
  </si>
  <si>
    <t xml:space="preserve">aryama </t>
  </si>
  <si>
    <t xml:space="preserve">अर्यम </t>
  </si>
  <si>
    <t xml:space="preserve">Phalgun </t>
  </si>
  <si>
    <t>Feb-Mar</t>
  </si>
  <si>
    <t>Nidraa</t>
  </si>
  <si>
    <t>Sleeping</t>
  </si>
  <si>
    <t>माध्वी</t>
  </si>
  <si>
    <t>mādhvī</t>
  </si>
  <si>
    <t>प्रत्यङ्गिरा</t>
  </si>
  <si>
    <t xml:space="preserve">arka </t>
  </si>
  <si>
    <t xml:space="preserve">अर्क </t>
  </si>
  <si>
    <t>मञ्जुस्वना</t>
  </si>
  <si>
    <t>mañjusvanā</t>
  </si>
  <si>
    <t>शची</t>
  </si>
  <si>
    <t xml:space="preserve">tvaṣṭṛ </t>
  </si>
  <si>
    <t xml:space="preserve">त्वष्टृ </t>
  </si>
  <si>
    <t>घोरा</t>
  </si>
  <si>
    <t>ghorā</t>
  </si>
  <si>
    <t>रौद्री</t>
  </si>
  <si>
    <t xml:space="preserve">maruta </t>
  </si>
  <si>
    <t xml:space="preserve">मरुत </t>
  </si>
  <si>
    <t>कुंभिनी</t>
  </si>
  <si>
    <t>kuṁbhinī</t>
  </si>
  <si>
    <t>भवानी</t>
  </si>
  <si>
    <t xml:space="preserve">śakrāgni </t>
  </si>
  <si>
    <t xml:space="preserve">शक्राग्नि </t>
  </si>
  <si>
    <t>कुटिला</t>
  </si>
  <si>
    <t>kuṭilā</t>
  </si>
  <si>
    <t>वरदा</t>
  </si>
  <si>
    <t xml:space="preserve">mitra </t>
  </si>
  <si>
    <t xml:space="preserve">मित्र </t>
  </si>
  <si>
    <t>प्रभा</t>
  </si>
  <si>
    <t>prabhā</t>
  </si>
  <si>
    <t>जया</t>
  </si>
  <si>
    <t xml:space="preserve">vāsava </t>
  </si>
  <si>
    <t xml:space="preserve">वासव </t>
  </si>
  <si>
    <t>परा</t>
  </si>
  <si>
    <t>parā</t>
  </si>
  <si>
    <t>त्रिपुरा</t>
  </si>
  <si>
    <t xml:space="preserve">nirṛti </t>
  </si>
  <si>
    <t xml:space="preserve">निरृति </t>
  </si>
  <si>
    <t>पयस्विनी</t>
  </si>
  <si>
    <t>payasvinī</t>
  </si>
  <si>
    <t>सुमुखी</t>
  </si>
  <si>
    <t xml:space="preserve">udaka </t>
  </si>
  <si>
    <t xml:space="preserve">उदक </t>
  </si>
  <si>
    <t>माला</t>
  </si>
  <si>
    <t>mālā</t>
  </si>
  <si>
    <t>दया</t>
  </si>
  <si>
    <t xml:space="preserve">viśve aja </t>
  </si>
  <si>
    <t xml:space="preserve">विश्वे अज </t>
  </si>
  <si>
    <t>जगती</t>
  </si>
  <si>
    <t>jagatī</t>
  </si>
  <si>
    <t>मेधा</t>
  </si>
  <si>
    <t xml:space="preserve">govinda </t>
  </si>
  <si>
    <t xml:space="preserve">गोविन्द </t>
  </si>
  <si>
    <t>जु जे जो ख</t>
  </si>
  <si>
    <t>Abhjit</t>
  </si>
  <si>
    <t>जर्झरा</t>
  </si>
  <si>
    <t>jarjharā</t>
  </si>
  <si>
    <t>छिन्नशीर्षा</t>
  </si>
  <si>
    <t xml:space="preserve">vasava </t>
  </si>
  <si>
    <t>वसव</t>
  </si>
  <si>
    <t>ध्रुवा</t>
  </si>
  <si>
    <t>dhruvā</t>
  </si>
  <si>
    <t>पिशाचिनी</t>
  </si>
  <si>
    <t xml:space="preserve">ambupa </t>
  </si>
  <si>
    <t xml:space="preserve">अम्बुप </t>
  </si>
  <si>
    <t>मुसला</t>
  </si>
  <si>
    <t>musalā</t>
  </si>
  <si>
    <t>धूमावती</t>
  </si>
  <si>
    <t xml:space="preserve">ajapād </t>
  </si>
  <si>
    <t xml:space="preserve">अजपाद् </t>
  </si>
  <si>
    <t>मुद्गरा</t>
  </si>
  <si>
    <t>mudgarā</t>
  </si>
  <si>
    <t>मातङ्गी</t>
  </si>
  <si>
    <t xml:space="preserve">ahirbudhnya </t>
  </si>
  <si>
    <t>अहिर्बुध्न्य</t>
  </si>
  <si>
    <t>पाशा</t>
  </si>
  <si>
    <t>pāśā</t>
  </si>
  <si>
    <t>बाला</t>
  </si>
  <si>
    <t xml:space="preserve">pūṣā </t>
  </si>
  <si>
    <t xml:space="preserve">पूषा </t>
  </si>
  <si>
    <t>चंपका</t>
  </si>
  <si>
    <t>caṁpakā</t>
  </si>
  <si>
    <t>भद्रा</t>
  </si>
  <si>
    <t>दामका</t>
  </si>
  <si>
    <t>dāmakā</t>
  </si>
  <si>
    <t>अरुणा</t>
  </si>
  <si>
    <t>मही</t>
  </si>
  <si>
    <t>mahī</t>
  </si>
  <si>
    <t>अनला</t>
  </si>
  <si>
    <t>कलुषा</t>
  </si>
  <si>
    <t>kaluṣā</t>
  </si>
  <si>
    <t>पिङ्गला</t>
  </si>
  <si>
    <t>कमला</t>
  </si>
  <si>
    <t>kamalā</t>
  </si>
  <si>
    <t>छुच्छुका</t>
  </si>
  <si>
    <t>कान्ता</t>
  </si>
  <si>
    <t>kāntā</t>
  </si>
  <si>
    <t>काला</t>
  </si>
  <si>
    <t>kālā</t>
  </si>
  <si>
    <t>वाराही</t>
  </si>
  <si>
    <t>करिकरा</t>
  </si>
  <si>
    <t>karikarā</t>
  </si>
  <si>
    <t>क्षमा</t>
  </si>
  <si>
    <t>kṣamā</t>
  </si>
  <si>
    <t>सिता</t>
  </si>
  <si>
    <t>दुर्धरा</t>
  </si>
  <si>
    <t>durdharā</t>
  </si>
  <si>
    <t>भुवनेशी</t>
  </si>
  <si>
    <t>दुर्भगा</t>
  </si>
  <si>
    <t>durbhagā</t>
  </si>
  <si>
    <t>भैरवी</t>
  </si>
  <si>
    <t>विश्वा</t>
  </si>
  <si>
    <t>viśvā</t>
  </si>
  <si>
    <t>मङ्गला</t>
  </si>
  <si>
    <t>विशीर्णा</t>
  </si>
  <si>
    <t>viśīrṇā</t>
  </si>
  <si>
    <t>अपराजिता</t>
  </si>
  <si>
    <t>विकटा</t>
  </si>
  <si>
    <t>vikaṭā</t>
  </si>
  <si>
    <t>अविला</t>
  </si>
  <si>
    <t>avilā</t>
  </si>
  <si>
    <t>विप्रभा</t>
  </si>
  <si>
    <t>viprabhā</t>
  </si>
  <si>
    <t>सुखदा</t>
  </si>
  <si>
    <t>sukhadā</t>
  </si>
  <si>
    <t>स्निग्धा</t>
  </si>
  <si>
    <t>snigdhā</t>
  </si>
  <si>
    <t>सोदरा</t>
  </si>
  <si>
    <t>sodarā</t>
  </si>
  <si>
    <t>सुरसुन्दरी</t>
  </si>
  <si>
    <t>surasundarī</t>
  </si>
  <si>
    <t>अमृतप्लविनी</t>
  </si>
  <si>
    <t>amṛtaplavinī</t>
  </si>
  <si>
    <t>काळा</t>
  </si>
  <si>
    <t>kāḻā</t>
  </si>
  <si>
    <t>कामधुक्</t>
  </si>
  <si>
    <t>kāmadhuk</t>
  </si>
  <si>
    <t>करवीरणी</t>
  </si>
  <si>
    <t>karavīraṇī</t>
  </si>
  <si>
    <t>गह्वरा</t>
  </si>
  <si>
    <t>gahvarā</t>
  </si>
  <si>
    <t>कुन्दिनी</t>
  </si>
  <si>
    <t>kundinī</t>
  </si>
  <si>
    <t>रौद्रा</t>
  </si>
  <si>
    <t>raudrā</t>
  </si>
  <si>
    <t>विषाख्या</t>
  </si>
  <si>
    <t>viṣākhyā</t>
  </si>
  <si>
    <t>विषनाशिनी</t>
  </si>
  <si>
    <t>viṣanāśinī</t>
  </si>
  <si>
    <t>निर्मदा</t>
  </si>
  <si>
    <t>nirmadā</t>
  </si>
  <si>
    <t>शीतला</t>
  </si>
  <si>
    <t>śītalā</t>
  </si>
  <si>
    <t>निम्ना</t>
  </si>
  <si>
    <t>nimnā</t>
  </si>
  <si>
    <t>प्रीता</t>
  </si>
  <si>
    <t>prītā</t>
  </si>
  <si>
    <t>प्रियवर्धिनी</t>
  </si>
  <si>
    <t>priyavardhinī</t>
  </si>
  <si>
    <t>मानघ्ना</t>
  </si>
  <si>
    <t>mānaghnā</t>
  </si>
  <si>
    <t>चित्रा</t>
  </si>
  <si>
    <t>citrā</t>
  </si>
  <si>
    <r>
      <t xml:space="preserve">चिमिणी </t>
    </r>
    <r>
      <rPr>
        <sz val="11"/>
        <color indexed="8"/>
        <rFont val="Calibri"/>
        <family val="2"/>
      </rPr>
      <t>(</t>
    </r>
    <r>
      <rPr>
        <sz val="11"/>
        <color indexed="8"/>
        <rFont val="Arial"/>
        <family val="2"/>
      </rPr>
      <t>चित्रिणी</t>
    </r>
    <r>
      <rPr>
        <sz val="11"/>
        <color indexed="8"/>
        <rFont val="Calibri"/>
        <family val="2"/>
      </rPr>
      <t>)</t>
    </r>
  </si>
  <si>
    <t>cimiṇī (citriṇī)</t>
  </si>
  <si>
    <t>चिरंजीविनी</t>
  </si>
  <si>
    <t>ciraṁjīvinī</t>
  </si>
  <si>
    <t>भूपा</t>
  </si>
  <si>
    <t>bhūpā</t>
  </si>
  <si>
    <t>गदहरा</t>
  </si>
  <si>
    <t>gadaharā</t>
  </si>
  <si>
    <t>नाळा</t>
  </si>
  <si>
    <t>nāḻā</t>
  </si>
  <si>
    <t>नलिनी</t>
  </si>
  <si>
    <t>nalinī</t>
  </si>
  <si>
    <t>निर्मला</t>
  </si>
  <si>
    <t>nirmalā</t>
  </si>
  <si>
    <t>नदी</t>
  </si>
  <si>
    <t>nadī</t>
  </si>
  <si>
    <t>सुधामृतांशुः</t>
  </si>
  <si>
    <t>sudhāmṛtāṁśuḥ</t>
  </si>
  <si>
    <t>कलुषांकुरा</t>
  </si>
  <si>
    <t>kaluṣāṁkurā</t>
  </si>
  <si>
    <t>त्रैलोक्यमोहनकरी</t>
  </si>
  <si>
    <t>trailokyamohanakarī</t>
  </si>
  <si>
    <t>महामारी</t>
  </si>
  <si>
    <t>mahāmārī</t>
  </si>
  <si>
    <t>सुशीतला</t>
  </si>
  <si>
    <t>suśītalā</t>
  </si>
  <si>
    <t>सुप्रभा</t>
  </si>
  <si>
    <t>suprabhā</t>
  </si>
  <si>
    <t>शोभा</t>
  </si>
  <si>
    <t>śobhā</t>
  </si>
  <si>
    <t>शोभना</t>
  </si>
  <si>
    <t>śobhanā</t>
  </si>
  <si>
    <t>शिवदा</t>
  </si>
  <si>
    <t>śivadā</t>
  </si>
  <si>
    <t>शिवा</t>
  </si>
  <si>
    <t>śivā</t>
  </si>
  <si>
    <t>बला</t>
  </si>
  <si>
    <t>balā</t>
  </si>
  <si>
    <t>ज्वाला</t>
  </si>
  <si>
    <t>jvālā</t>
  </si>
  <si>
    <t>गदा</t>
  </si>
  <si>
    <t>gadā</t>
  </si>
  <si>
    <t>गाधा</t>
  </si>
  <si>
    <t>gādhā</t>
  </si>
  <si>
    <t>नूतना</t>
  </si>
  <si>
    <t>nūtanā</t>
  </si>
  <si>
    <t>सुमनोहरा</t>
  </si>
  <si>
    <t>sumanoharā</t>
  </si>
  <si>
    <r>
      <t xml:space="preserve">सोमबल्ली </t>
    </r>
    <r>
      <rPr>
        <sz val="11"/>
        <color indexed="10"/>
        <rFont val="Calibri"/>
        <family val="2"/>
      </rPr>
      <t xml:space="preserve">( </t>
    </r>
    <r>
      <rPr>
        <sz val="11"/>
        <color indexed="10"/>
        <rFont val="Arial"/>
        <family val="2"/>
      </rPr>
      <t xml:space="preserve">स्मोवल्ली </t>
    </r>
    <r>
      <rPr>
        <sz val="11"/>
        <color indexed="10"/>
        <rFont val="Calibri"/>
        <family val="2"/>
      </rPr>
      <t>)</t>
    </r>
  </si>
  <si>
    <t>somaballī ( smovallī )</t>
  </si>
  <si>
    <t>सोमलता</t>
  </si>
  <si>
    <t>somalatā</t>
  </si>
  <si>
    <t>मंगला</t>
  </si>
  <si>
    <t>maṁgalā</t>
  </si>
  <si>
    <t>मुद्रिका</t>
  </si>
  <si>
    <t>mudrikā</t>
  </si>
  <si>
    <t>क्षुधा</t>
  </si>
  <si>
    <t>kṣudhā</t>
  </si>
  <si>
    <t>मोक्षापवर्गा</t>
  </si>
  <si>
    <t>mokṣāpavargā</t>
  </si>
  <si>
    <r>
      <t xml:space="preserve">बलया </t>
    </r>
    <r>
      <rPr>
        <sz val="11"/>
        <color indexed="10"/>
        <rFont val="Calibri"/>
        <family val="2"/>
      </rPr>
      <t xml:space="preserve">( </t>
    </r>
    <r>
      <rPr>
        <sz val="11"/>
        <color indexed="10"/>
        <rFont val="Arial"/>
        <family val="2"/>
      </rPr>
      <t xml:space="preserve">वलया </t>
    </r>
    <r>
      <rPr>
        <sz val="11"/>
        <color indexed="10"/>
        <rFont val="Calibri"/>
        <family val="2"/>
      </rPr>
      <t>)</t>
    </r>
  </si>
  <si>
    <t>balayā ( valayā )</t>
  </si>
  <si>
    <t>नवनीता</t>
  </si>
  <si>
    <t>navanītā</t>
  </si>
  <si>
    <r>
      <t xml:space="preserve">निशाकरी </t>
    </r>
    <r>
      <rPr>
        <sz val="11"/>
        <color indexed="10"/>
        <rFont val="Calibri"/>
        <family val="2"/>
      </rPr>
      <t xml:space="preserve">( </t>
    </r>
    <r>
      <rPr>
        <sz val="11"/>
        <color indexed="10"/>
        <rFont val="Arial"/>
        <family val="2"/>
      </rPr>
      <t xml:space="preserve">निशाचरी </t>
    </r>
    <r>
      <rPr>
        <sz val="11"/>
        <color indexed="10"/>
        <rFont val="Calibri"/>
        <family val="2"/>
      </rPr>
      <t>)</t>
    </r>
  </si>
  <si>
    <t>niśākarī ( niśācarī )</t>
  </si>
  <si>
    <t>निवृत्ति</t>
  </si>
  <si>
    <t>nivṛtti</t>
  </si>
  <si>
    <t>निगदा</t>
  </si>
  <si>
    <t>nigadā</t>
  </si>
  <si>
    <t>सारा</t>
  </si>
  <si>
    <t>sārā</t>
  </si>
  <si>
    <t>सङ्गीता</t>
  </si>
  <si>
    <t>saṅgītā</t>
  </si>
  <si>
    <t>सामदा</t>
  </si>
  <si>
    <t>sāmadā</t>
  </si>
  <si>
    <r>
      <t xml:space="preserve">सभा </t>
    </r>
    <r>
      <rPr>
        <sz val="11"/>
        <color indexed="10"/>
        <rFont val="Calibri"/>
        <family val="2"/>
      </rPr>
      <t xml:space="preserve">( </t>
    </r>
    <r>
      <rPr>
        <sz val="11"/>
        <color indexed="10"/>
        <rFont val="Arial"/>
        <family val="2"/>
      </rPr>
      <t xml:space="preserve">समा </t>
    </r>
    <r>
      <rPr>
        <sz val="11"/>
        <color indexed="10"/>
        <rFont val="Calibri"/>
        <family val="2"/>
      </rPr>
      <t>)</t>
    </r>
  </si>
  <si>
    <t>sabhā ( samā )</t>
  </si>
  <si>
    <t>विश्वंभरा</t>
  </si>
  <si>
    <t>viśvaṁbharā</t>
  </si>
  <si>
    <t>कुमारी</t>
  </si>
  <si>
    <t>kumārī</t>
  </si>
  <si>
    <t>कोकिला</t>
  </si>
  <si>
    <t>kokilā</t>
  </si>
  <si>
    <t>कुञ्जराकृतिः</t>
  </si>
  <si>
    <t>kuñjarākṛtiḥ</t>
  </si>
  <si>
    <t>ऐंद्रा</t>
  </si>
  <si>
    <t>aiṁdrā</t>
  </si>
  <si>
    <t>स्वाहा</t>
  </si>
  <si>
    <t>svāhā</t>
  </si>
  <si>
    <t>स्वरा</t>
  </si>
  <si>
    <t>svarā</t>
  </si>
  <si>
    <t>ब्रह्मिः</t>
  </si>
  <si>
    <t>brahmiḥ</t>
  </si>
  <si>
    <t>रक्षजलाप्लवा</t>
  </si>
  <si>
    <t>rakṣajalāplavā</t>
  </si>
  <si>
    <t>वारुणी</t>
  </si>
  <si>
    <t>vāruṇī</t>
  </si>
  <si>
    <t>मदिरा</t>
  </si>
  <si>
    <t>madirā</t>
  </si>
  <si>
    <t>मैत्री</t>
  </si>
  <si>
    <t>maitrī</t>
  </si>
  <si>
    <t>हारिणी</t>
  </si>
  <si>
    <t>hāriṇī</t>
  </si>
  <si>
    <t>हरिणी</t>
  </si>
  <si>
    <t>hariṇī</t>
  </si>
  <si>
    <t>मरुत्</t>
  </si>
  <si>
    <t>marut</t>
  </si>
  <si>
    <t>धनञ्जया</t>
  </si>
  <si>
    <t>dhanañjayā</t>
  </si>
  <si>
    <t>धनकरी</t>
  </si>
  <si>
    <t>dhanakarī</t>
  </si>
  <si>
    <t>धनदा</t>
  </si>
  <si>
    <t>dhanadā</t>
  </si>
  <si>
    <t>कच्छपा</t>
  </si>
  <si>
    <t>kacchapā</t>
  </si>
  <si>
    <t>अंबुजा</t>
  </si>
  <si>
    <t>aṁbujā</t>
  </si>
  <si>
    <t>मांशानी</t>
  </si>
  <si>
    <t>māṁśānī</t>
  </si>
  <si>
    <t>शूलिनी</t>
  </si>
  <si>
    <t>śūlinī</t>
  </si>
  <si>
    <t>raudrī</t>
  </si>
  <si>
    <t>शिवकरी</t>
  </si>
  <si>
    <t>śivakarī</t>
  </si>
  <si>
    <t>कला</t>
  </si>
  <si>
    <t>kalā</t>
  </si>
  <si>
    <t>कुन्दा</t>
  </si>
  <si>
    <t>kundā</t>
  </si>
  <si>
    <t>मुकुन्दा</t>
  </si>
  <si>
    <t>mukundā</t>
  </si>
  <si>
    <t>भरता</t>
  </si>
  <si>
    <t>bharatā</t>
  </si>
  <si>
    <t>हसिता</t>
  </si>
  <si>
    <t>hasitā</t>
  </si>
  <si>
    <t>कदली</t>
  </si>
  <si>
    <t>kadalī</t>
  </si>
  <si>
    <t>स्मरा</t>
  </si>
  <si>
    <t>smarā</t>
  </si>
  <si>
    <t>कन्दला</t>
  </si>
  <si>
    <t>kandalā</t>
  </si>
  <si>
    <t>पापा</t>
  </si>
  <si>
    <t>pāpā</t>
  </si>
  <si>
    <t>कामिनी</t>
  </si>
  <si>
    <t>kāminī</t>
  </si>
  <si>
    <t>कलशोद्भवा</t>
  </si>
  <si>
    <t>kalaśodbhavā</t>
  </si>
  <si>
    <t>वीरप्रसू</t>
  </si>
  <si>
    <t>vīraprasū</t>
  </si>
  <si>
    <r>
      <t xml:space="preserve">सङ्गरा </t>
    </r>
    <r>
      <rPr>
        <sz val="11"/>
        <color indexed="10"/>
        <rFont val="Calibri"/>
        <family val="2"/>
      </rPr>
      <t xml:space="preserve">( </t>
    </r>
    <r>
      <rPr>
        <sz val="11"/>
        <color indexed="10"/>
        <rFont val="Arial"/>
        <family val="2"/>
      </rPr>
      <t xml:space="preserve">सङ्गदा </t>
    </r>
    <r>
      <rPr>
        <sz val="11"/>
        <color indexed="10"/>
        <rFont val="Calibri"/>
        <family val="2"/>
      </rPr>
      <t>)</t>
    </r>
  </si>
  <si>
    <t>saṅgarā ( saṅgadā )</t>
  </si>
  <si>
    <t>शतयज्ञा</t>
  </si>
  <si>
    <t>śatayajñā</t>
  </si>
  <si>
    <t>शतावरी</t>
  </si>
  <si>
    <t>śatāvarī</t>
  </si>
  <si>
    <t>प्रह्वी</t>
  </si>
  <si>
    <t>prahvī</t>
  </si>
  <si>
    <t>पाटलिनी</t>
  </si>
  <si>
    <t>pāṭalinī</t>
  </si>
  <si>
    <t>नागा</t>
  </si>
  <si>
    <t>nāgā</t>
  </si>
  <si>
    <t>पंकजा</t>
  </si>
  <si>
    <t>paṁkajā</t>
  </si>
  <si>
    <t>परमेश्वरी</t>
  </si>
  <si>
    <t>parameśvarī</t>
  </si>
  <si>
    <t>Räsi</t>
  </si>
  <si>
    <t xml:space="preserve">Moon </t>
  </si>
  <si>
    <t>Näksatra</t>
  </si>
  <si>
    <t>Col.  1</t>
  </si>
  <si>
    <t>3A</t>
  </si>
  <si>
    <t>Lagna-1
Same Sex</t>
  </si>
  <si>
    <t>Lagna-2
Opposite sex</t>
  </si>
  <si>
    <t>Sasti</t>
  </si>
  <si>
    <t>Maghä</t>
  </si>
  <si>
    <t>Pürna</t>
  </si>
  <si>
    <t>Caturthi</t>
  </si>
  <si>
    <t>Hastä</t>
  </si>
  <si>
    <t>Swäti</t>
  </si>
  <si>
    <t>Anurädhä</t>
  </si>
  <si>
    <t>Mülä</t>
  </si>
  <si>
    <t>Astami</t>
  </si>
  <si>
    <t>Srävana</t>
  </si>
  <si>
    <t>Sagittarius</t>
  </si>
  <si>
    <t>RIkta</t>
  </si>
  <si>
    <t>Dvädasi</t>
  </si>
  <si>
    <t>Satabhisäj</t>
  </si>
  <si>
    <t>Aslesa</t>
  </si>
  <si>
    <t>Ruling
Planet</t>
  </si>
  <si>
    <t>Simple</t>
  </si>
  <si>
    <t>Syllable</t>
  </si>
  <si>
    <t>Mystical Meaning</t>
  </si>
  <si>
    <t>SUN</t>
  </si>
  <si>
    <t>Vowels</t>
  </si>
  <si>
    <t>Guttural Short</t>
  </si>
  <si>
    <t>अ a</t>
  </si>
  <si>
    <r>
      <t>Raksha</t>
    </r>
    <r>
      <rPr>
        <sz val="8"/>
        <rFont val="Verdana"/>
        <family val="2"/>
      </rPr>
      <t xml:space="preserve"> Beeja for protection; Imperishable; unity of mind and soul; Symbolizes Omniscient Brahma. Initiator of Pranava (AUM)</t>
    </r>
  </si>
  <si>
    <t>Guttural Long</t>
  </si>
  <si>
    <t>आ ā</t>
  </si>
  <si>
    <r>
      <t xml:space="preserve">Supreme power, brilliance, creator of </t>
    </r>
    <r>
      <rPr>
        <i/>
        <sz val="8"/>
        <rFont val="Verdana"/>
        <family val="2"/>
      </rPr>
      <t>Vagdevi</t>
    </r>
    <r>
      <rPr>
        <sz val="8"/>
        <rFont val="Verdana"/>
        <family val="2"/>
      </rPr>
      <t xml:space="preserve"> Beeja (enhances speech).</t>
    </r>
  </si>
  <si>
    <t>Palatal Short</t>
  </si>
  <si>
    <t>इ i</t>
  </si>
  <si>
    <r>
      <t xml:space="preserve">Bestows Nectar; imparts knowledge; </t>
    </r>
    <r>
      <rPr>
        <i/>
        <sz val="8"/>
        <rFont val="Verdana"/>
        <family val="2"/>
      </rPr>
      <t>Sthambhak</t>
    </r>
    <r>
      <rPr>
        <sz val="8"/>
        <rFont val="Verdana"/>
        <family val="2"/>
      </rPr>
      <t xml:space="preserve"> (arresting evils); infatuating, Armed for eradicating black magic etc. </t>
    </r>
  </si>
  <si>
    <t>Palatal Long</t>
  </si>
  <si>
    <t>ई ī</t>
  </si>
  <si>
    <t>Labial Short</t>
  </si>
  <si>
    <t>उ u</t>
  </si>
  <si>
    <r>
      <t xml:space="preserve">The seed of </t>
    </r>
    <r>
      <rPr>
        <i/>
        <sz val="8"/>
        <rFont val="Verdana"/>
        <family val="2"/>
      </rPr>
      <t xml:space="preserve">Uccahatan </t>
    </r>
    <r>
      <rPr>
        <sz val="8"/>
        <rFont val="Verdana"/>
        <family val="2"/>
      </rPr>
      <t>(infatuation) bestows supreme power to attain any desire. Symbolizes Omnipresent Viñëu and the middle of the Pranava.</t>
    </r>
  </si>
  <si>
    <t>Labial Long</t>
  </si>
  <si>
    <t>ऊ ū</t>
  </si>
  <si>
    <t xml:space="preserve">Retroflex Short </t>
  </si>
  <si>
    <t>ऋ ṛ</t>
  </si>
  <si>
    <t>Bestows Mantra Siddhi as it refers to the Seer or Rishi, Success in all good and righteous works.</t>
  </si>
  <si>
    <t>Retroflex Long</t>
  </si>
  <si>
    <t>ॠ ṝ</t>
  </si>
  <si>
    <t>Dental Short</t>
  </si>
  <si>
    <t>ऌ ḷ</t>
  </si>
  <si>
    <t>Preaches truth, inventor of speech, cause for the origin of Lakshmi Beeja; responsible for salvation.</t>
  </si>
  <si>
    <t>Dental Long</t>
  </si>
  <si>
    <t>ॡ ḹ</t>
  </si>
  <si>
    <t>Diphthongs</t>
  </si>
  <si>
    <t>ए e</t>
  </si>
  <si>
    <t>Saraswati Beeja; The origin of Jala Beeja (Seed of water); Giver of Vidya (Knowledge) &amp; Siddhi (Success in good actions); Ends enmity and court cases i.e. establishes justice</t>
  </si>
  <si>
    <t>ऐ ai</t>
  </si>
  <si>
    <t>ओ o</t>
  </si>
  <si>
    <t>Sublime, Worships Viñëu &amp; Lakshmi; youthful; Used for other Beeja with specific objective attainment.</t>
  </si>
  <si>
    <t>औ au</t>
  </si>
  <si>
    <r>
      <t xml:space="preserve">Powerful </t>
    </r>
    <r>
      <rPr>
        <i/>
        <sz val="8"/>
        <rFont val="Verdana"/>
        <family val="2"/>
      </rPr>
      <t>Maran</t>
    </r>
    <r>
      <rPr>
        <sz val="8"/>
        <rFont val="Verdana"/>
        <family val="2"/>
      </rPr>
      <t xml:space="preserve"> (destructions) and </t>
    </r>
    <r>
      <rPr>
        <i/>
        <sz val="8"/>
        <rFont val="Verdana"/>
        <family val="2"/>
      </rPr>
      <t>Ucchhatan</t>
    </r>
    <r>
      <rPr>
        <sz val="8"/>
        <rFont val="Verdana"/>
        <family val="2"/>
      </rPr>
      <t xml:space="preserve"> (infatuation) Beeja, bestows of auspicious results quickly;</t>
    </r>
  </si>
  <si>
    <t>Consonants</t>
  </si>
  <si>
    <t>Anuswara</t>
  </si>
  <si>
    <t>अं aṁ</t>
  </si>
  <si>
    <t>Bestows faith-the natural Guru Mantra; creates peace, knowledge and represents Godhead.</t>
  </si>
  <si>
    <t>Visarga</t>
  </si>
  <si>
    <t>अः aḥ</t>
  </si>
  <si>
    <t xml:space="preserve">Shanti Beeja, Grants boons </t>
  </si>
  <si>
    <t>MARS</t>
  </si>
  <si>
    <t>Guttural Consonants</t>
  </si>
  <si>
    <t>Mean Motion (BVRaman</t>
  </si>
  <si>
    <t>Modern Mean Motion (Wiki</t>
  </si>
  <si>
    <t>Sthana Bala (8)</t>
  </si>
  <si>
    <t>Uccha(1)</t>
  </si>
  <si>
    <t>Sapta Vargaja(5.25)</t>
  </si>
  <si>
    <t>Oja-Yugma(0.5)</t>
  </si>
  <si>
    <t>Kendradi(1)</t>
  </si>
  <si>
    <t>Dreshkana(0.25)</t>
  </si>
  <si>
    <t>Natonnata(1)</t>
  </si>
  <si>
    <t>Paksha(1)</t>
  </si>
  <si>
    <t>Tribhaga(1)</t>
  </si>
  <si>
    <t>Varsha(.25)</t>
  </si>
  <si>
    <t>Masa(.5)</t>
  </si>
  <si>
    <t>Dina(0.75)</t>
  </si>
  <si>
    <t>Hora(1)</t>
  </si>
  <si>
    <t>Ayana</t>
  </si>
  <si>
    <t>Yuddha</t>
  </si>
  <si>
    <t>Kaala Bala</t>
  </si>
  <si>
    <t>Dik Bala</t>
  </si>
  <si>
    <t>Naisarga Bala</t>
  </si>
  <si>
    <t>Drig Bala</t>
  </si>
  <si>
    <t>Cheshta Bala</t>
  </si>
  <si>
    <t>Use Forward Table?</t>
  </si>
  <si>
    <t>Unvoiced</t>
  </si>
  <si>
    <t>क ka</t>
  </si>
  <si>
    <r>
      <t xml:space="preserve">Brahma Akshara; grants fame &amp; unparalleled knowledge; Fulfiller of all desires as </t>
    </r>
    <r>
      <rPr>
        <i/>
        <sz val="8"/>
        <rFont val="Verdana"/>
        <family val="2"/>
      </rPr>
      <t>Kama</t>
    </r>
    <r>
      <rPr>
        <sz val="8"/>
        <rFont val="Verdana"/>
        <family val="2"/>
      </rPr>
      <t xml:space="preserve"> or Krishna Beeja (</t>
    </r>
    <r>
      <rPr>
        <i/>
        <sz val="8"/>
        <rFont val="Verdana"/>
        <family val="2"/>
      </rPr>
      <t>Kleem</t>
    </r>
    <r>
      <rPr>
        <sz val="8"/>
        <rFont val="Verdana"/>
        <family val="2"/>
      </rPr>
      <t>).</t>
    </r>
  </si>
  <si>
    <t>Unvoiced aspirate</t>
  </si>
  <si>
    <t xml:space="preserve">ख kha </t>
  </si>
  <si>
    <t>Aakasha Beeja; Gives success &amp; mastery of Tantra; considered akin to Kalp Vriksha i.e. the wish fulfilling tree.</t>
  </si>
  <si>
    <t>Voiced</t>
  </si>
  <si>
    <t xml:space="preserve">ग ga </t>
  </si>
  <si>
    <t>Works towards Pranava and Maya Beeja and is the Ganesha Beeja.</t>
  </si>
  <si>
    <t>Voiced aspirate</t>
  </si>
  <si>
    <t>घ gha</t>
  </si>
  <si>
    <r>
      <t>Sthamban</t>
    </r>
    <r>
      <rPr>
        <sz val="8"/>
        <rFont val="Verdana"/>
        <family val="2"/>
      </rPr>
      <t xml:space="preserve"> Beeja; remover of impediments, creator of Mohan Beeja.</t>
    </r>
  </si>
  <si>
    <t>Nasal</t>
  </si>
  <si>
    <t>ङ ṅa</t>
  </si>
  <si>
    <r>
      <t xml:space="preserve">Destroyer of enemies. Creator of </t>
    </r>
    <r>
      <rPr>
        <i/>
        <sz val="8"/>
        <rFont val="Verdana"/>
        <family val="2"/>
      </rPr>
      <t>Vidveshan</t>
    </r>
    <r>
      <rPr>
        <sz val="8"/>
        <rFont val="Verdana"/>
        <family val="2"/>
      </rPr>
      <t xml:space="preserve"> (Causing differences) Beeja. Used for worshipping Narada.</t>
    </r>
  </si>
  <si>
    <t>VENUS</t>
  </si>
  <si>
    <t>Palatal Consonants</t>
  </si>
  <si>
    <t>च ca</t>
  </si>
  <si>
    <t>Manasa Siddhi; Creator of Uccahhatan Beeja,</t>
  </si>
  <si>
    <t>छ cha</t>
  </si>
  <si>
    <r>
      <t xml:space="preserve">Creator of Aap Beeja, cause of death, </t>
    </r>
    <r>
      <rPr>
        <i/>
        <sz val="8"/>
        <rFont val="Verdana"/>
        <family val="2"/>
      </rPr>
      <t>Chhaya</t>
    </r>
    <r>
      <rPr>
        <sz val="8"/>
        <rFont val="Verdana"/>
        <family val="2"/>
      </rPr>
      <t xml:space="preserve"> the shadowy wife of the Sun God.</t>
    </r>
  </si>
  <si>
    <t>ज ja</t>
  </si>
  <si>
    <t>Invokes inner protection; destroyer of mental and physical sufferings, Mritunjaya Beeja (Jum).</t>
  </si>
  <si>
    <t>झ jha</t>
  </si>
  <si>
    <t xml:space="preserve">Instantly removes black magic and evils. </t>
  </si>
  <si>
    <t>ञ ña</t>
  </si>
  <si>
    <t>Used in Infatuation</t>
  </si>
  <si>
    <t>MERCURY</t>
  </si>
  <si>
    <t>Retroflex Consonants</t>
  </si>
  <si>
    <t>ट ṭa</t>
  </si>
  <si>
    <r>
      <t xml:space="preserve">Bahri Beeja, </t>
    </r>
    <r>
      <rPr>
        <i/>
        <sz val="8"/>
        <rFont val="Verdana"/>
        <family val="2"/>
      </rPr>
      <t>Beeja</t>
    </r>
    <r>
      <rPr>
        <sz val="8"/>
        <rFont val="Verdana"/>
        <family val="2"/>
      </rPr>
      <t xml:space="preserve"> for fire sacrifice. Used in Ucchatan Tantra for Hanuman.</t>
    </r>
  </si>
  <si>
    <t>ठ ṭha</t>
  </si>
  <si>
    <t xml:space="preserve">Used in Dhoomavati Beeja, doer of cruel and evil deeds; violent, </t>
  </si>
  <si>
    <t>ड ḍa</t>
  </si>
  <si>
    <t>Judicious &amp; auspicious</t>
  </si>
  <si>
    <t>ढ ḍha</t>
  </si>
  <si>
    <t>Maran Beeja, creates disturbances.</t>
  </si>
  <si>
    <t>ण ṇa</t>
  </si>
  <si>
    <t>Bestows peace &amp; all Siddhi’s.</t>
  </si>
  <si>
    <t>JUPITER</t>
  </si>
  <si>
    <t>Dental Consonants</t>
  </si>
  <si>
    <t>त ta</t>
  </si>
  <si>
    <t>Attractive, innovator of power, accomplisher of things capable of achieving Sarva Siddhi in combination with Saraswatha Beeja.</t>
  </si>
  <si>
    <t>थ tha</t>
  </si>
  <si>
    <t>Accomplisher of good task, friend of Lakshmi Beeja capable of infatuation in combination with other Beeja.</t>
  </si>
  <si>
    <t>द da</t>
  </si>
  <si>
    <r>
      <t>Destroys Karma Yoga and self control</t>
    </r>
    <r>
      <rPr>
        <sz val="8"/>
        <rFont val="URW Palladio IT"/>
      </rPr>
      <t xml:space="preserve"> The three important lessons of Brahma for the three types of Nakshatra based on which the planets get their </t>
    </r>
    <r>
      <rPr>
        <i/>
        <sz val="8"/>
        <rFont val="URW Palladio IT"/>
      </rPr>
      <t>Gana</t>
    </r>
    <r>
      <rPr>
        <sz val="8"/>
        <rFont val="URW Palladio IT"/>
      </rPr>
      <t xml:space="preserve"> (i.e. Deva, Nara and Rakshas Gana) are with DA Akshara as </t>
    </r>
    <r>
      <rPr>
        <b/>
        <sz val="8"/>
        <rFont val="URW Palladio IT"/>
      </rPr>
      <t>Damaya</t>
    </r>
    <r>
      <rPr>
        <sz val="8"/>
        <rFont val="URW Palladio IT"/>
      </rPr>
      <t xml:space="preserve"> (Self Control as the Deva Gana are always enjoying in gay abandon) </t>
    </r>
    <r>
      <rPr>
        <b/>
        <sz val="8"/>
        <rFont val="URW Palladio IT"/>
      </rPr>
      <t>Daana</t>
    </r>
    <r>
      <rPr>
        <sz val="8"/>
        <rFont val="URW Palladio IT"/>
      </rPr>
      <t xml:space="preserve"> (Donate/ Give as </t>
    </r>
    <r>
      <rPr>
        <i/>
        <sz val="8"/>
        <rFont val="URW Palladio IT"/>
      </rPr>
      <t>Manusya or Nara Gana</t>
    </r>
    <r>
      <rPr>
        <sz val="8"/>
        <rFont val="URW Palladio IT"/>
      </rPr>
      <t xml:space="preserve"> are Greedy) and </t>
    </r>
    <r>
      <rPr>
        <b/>
        <sz val="8"/>
        <rFont val="URW Palladio IT"/>
      </rPr>
      <t>Daya</t>
    </r>
    <r>
      <rPr>
        <sz val="8"/>
        <rFont val="URW Palladio IT"/>
      </rPr>
      <t xml:space="preserve"> (Be Merciful as the Rakshas Gana are cruel by nature).</t>
    </r>
    <r>
      <rPr>
        <sz val="8"/>
        <rFont val="Verdana"/>
        <family val="2"/>
      </rPr>
      <t xml:space="preserve">, </t>
    </r>
    <r>
      <rPr>
        <i/>
        <sz val="8"/>
        <rFont val="Verdana"/>
        <family val="2"/>
      </rPr>
      <t>Sukra</t>
    </r>
    <r>
      <rPr>
        <sz val="8"/>
        <rFont val="Verdana"/>
        <family val="2"/>
      </rPr>
      <t xml:space="preserve"> (Desire) Beeja.</t>
    </r>
  </si>
  <si>
    <t>ध dha</t>
  </si>
  <si>
    <t>Helper of Shreem and Kleem Beeja; a friend indeed; producer of Maaya Beeja.</t>
  </si>
  <si>
    <t>न na</t>
  </si>
  <si>
    <t>Indicator of will – power, mind purifier, creator of five elements (Tathwas).</t>
  </si>
  <si>
    <t>SATURN</t>
  </si>
  <si>
    <t>Labial Consonants</t>
  </si>
  <si>
    <t>प pa</t>
  </si>
  <si>
    <t>A friend coming for the help of the mind to reach salvation.</t>
  </si>
  <si>
    <t>फ pha</t>
  </si>
  <si>
    <r>
      <t xml:space="preserve">Kartaveeryarjuna Beeja; Agni Astra (Weapon of Fire); used in </t>
    </r>
    <r>
      <rPr>
        <i/>
        <sz val="8"/>
        <rFont val="Verdana"/>
        <family val="2"/>
      </rPr>
      <t>Ucchatan</t>
    </r>
    <r>
      <rPr>
        <sz val="8"/>
        <rFont val="Verdana"/>
        <family val="2"/>
      </rPr>
      <t xml:space="preserve"> as FHAT.</t>
    </r>
  </si>
  <si>
    <t>ब ba</t>
  </si>
  <si>
    <t>Helping to play according to the circumstances.</t>
  </si>
  <si>
    <t>भ bha</t>
  </si>
  <si>
    <r>
      <t xml:space="preserve">Used for </t>
    </r>
    <r>
      <rPr>
        <i/>
        <sz val="8"/>
        <rFont val="Verdana"/>
        <family val="2"/>
      </rPr>
      <t>Maran</t>
    </r>
    <r>
      <rPr>
        <sz val="8"/>
        <rFont val="Verdana"/>
        <family val="2"/>
      </rPr>
      <t xml:space="preserve"> and </t>
    </r>
    <r>
      <rPr>
        <i/>
        <sz val="8"/>
        <rFont val="Verdana"/>
        <family val="2"/>
      </rPr>
      <t>Ucchatan</t>
    </r>
    <r>
      <rPr>
        <sz val="8"/>
        <rFont val="Verdana"/>
        <family val="2"/>
      </rPr>
      <t>.</t>
    </r>
  </si>
  <si>
    <t>म ma</t>
  </si>
  <si>
    <t xml:space="preserve">Natural Mother (Ma) used in the Mantras for begetting children. </t>
  </si>
  <si>
    <t>MOON</t>
  </si>
  <si>
    <t xml:space="preserve">Consonants Semivowel </t>
  </si>
  <si>
    <t>Palatal</t>
  </si>
  <si>
    <t>य ya</t>
  </si>
  <si>
    <t>Peace giver; Prostration; Vayu (Air) Beeja</t>
  </si>
  <si>
    <t>Retroflex</t>
  </si>
  <si>
    <t>र ra</t>
  </si>
  <si>
    <t>Vahni/Agni (fire) Beeja; Carries the mantra to the Gods and is used in most Beejakshara e.g. Hraam, Hreem, , Kreem etc. contain RA.</t>
  </si>
  <si>
    <t>Dental</t>
  </si>
  <si>
    <t>ल la</t>
  </si>
  <si>
    <r>
      <t xml:space="preserve">Prithvi (Earth) Beeja; Lakshmi: Used for wealth &amp; prosperity. Causes </t>
    </r>
    <r>
      <rPr>
        <i/>
        <sz val="8"/>
        <rFont val="Verdana"/>
        <family val="2"/>
      </rPr>
      <t>Agni sthambana</t>
    </r>
    <r>
      <rPr>
        <sz val="8"/>
        <rFont val="Verdana"/>
        <family val="2"/>
      </rPr>
      <t xml:space="preserve"> (extinguishes the fire of RA Beeja and replaces it with the happy LA Beeja) and carries the prayers to the Gods e.g.  Hleem, Kleem etc.</t>
    </r>
  </si>
  <si>
    <t>Labial</t>
  </si>
  <si>
    <t>व va</t>
  </si>
  <si>
    <t>Jala (Water) Beeja.</t>
  </si>
  <si>
    <t>Consonants: Sibilants</t>
  </si>
  <si>
    <t>श śa</t>
  </si>
  <si>
    <t>Shanti (Peace) Beeja.</t>
  </si>
  <si>
    <t>ष ṣa</t>
  </si>
  <si>
    <t>Agni Stambhana (Fire extinguisher). Used in black magic etc.</t>
  </si>
  <si>
    <t>स sa</t>
  </si>
  <si>
    <t>Satya Karma Yoga. When used in Mantra, all works are accomplished.</t>
  </si>
  <si>
    <t>Consonants: Aspiration</t>
  </si>
  <si>
    <t>ह ha</t>
  </si>
  <si>
    <t>Gagana (Sky) or Akasha Beeja. It represents Çiva/Hanuman and can remove all evils.</t>
  </si>
  <si>
    <t>क्ष kṣa</t>
  </si>
  <si>
    <t>Boy(Groom) Rashi&gt;</t>
  </si>
  <si>
    <t>Taurus/Vrishabha</t>
  </si>
  <si>
    <t>Gemini/Mithuna</t>
  </si>
  <si>
    <t>Cancer/Karka</t>
  </si>
  <si>
    <t>Leo/Simha</t>
  </si>
  <si>
    <t>Virgo/Kanya</t>
  </si>
  <si>
    <t>Libra/Tula</t>
  </si>
  <si>
    <t>Scorpio/Vrishchika</t>
  </si>
  <si>
    <t>Saggittarius/Dhanur</t>
  </si>
  <si>
    <t>Capricorn/Makara</t>
  </si>
  <si>
    <t>Aquarius/Kumbha</t>
  </si>
  <si>
    <t>Pisces/Meena</t>
  </si>
  <si>
    <t>Bride (girl) Rashi Below</t>
  </si>
  <si>
    <t>Krittika 3-4</t>
  </si>
  <si>
    <t>Mrigashira 1-2</t>
  </si>
  <si>
    <t>Mrigashira 3-4</t>
  </si>
  <si>
    <t>Punarvasu 1-3</t>
  </si>
  <si>
    <t>Uttara Phalguni 1</t>
  </si>
  <si>
    <t>Uttara Phalguni 2-3</t>
  </si>
  <si>
    <t>Chitra 1-2</t>
  </si>
  <si>
    <t>Chitra 2-4</t>
  </si>
  <si>
    <t>Swathi</t>
  </si>
  <si>
    <t>Vishaka 1-3</t>
  </si>
  <si>
    <t>Purva Ashada</t>
  </si>
  <si>
    <t>Uttara Ashada 1</t>
  </si>
  <si>
    <t>Uttara Ashada 2-4</t>
  </si>
  <si>
    <t xml:space="preserve">Shravana </t>
  </si>
  <si>
    <t>Dhanishta 1-2</t>
  </si>
  <si>
    <t>Dhanishta 2-4</t>
  </si>
  <si>
    <t>Uttara Bhadrapada</t>
  </si>
  <si>
    <t>Purva Bhadrapad 1-3</t>
  </si>
  <si>
    <t>Purva Bhadrapada 4</t>
  </si>
  <si>
    <t>Purva Bhadrapad  1-3</t>
  </si>
  <si>
    <t>Reference: Dr. BV Raman's Book on Muhurtha</t>
  </si>
  <si>
    <t>Poison Destroyer Garuda Beeja. Used with all mantra that destroy the evil connected with the Nivritti Direction ruled by Rakshas</t>
  </si>
  <si>
    <t>Tithi Lords</t>
  </si>
  <si>
    <t>KetuR</t>
  </si>
  <si>
    <t>VenusR</t>
  </si>
  <si>
    <t>SunR</t>
  </si>
  <si>
    <t>MoonR</t>
  </si>
  <si>
    <t>MarsR</t>
  </si>
  <si>
    <t>RahuR</t>
  </si>
  <si>
    <t>JupiterR</t>
  </si>
  <si>
    <t>SaturnR</t>
  </si>
  <si>
    <t>MercuryR</t>
  </si>
  <si>
    <t>Mandi Position</t>
  </si>
  <si>
    <t>Table 1.20 : Planetary Placement &amp; Friendship for Finance</t>
  </si>
  <si>
    <t>Exaltation/
Debilitation</t>
  </si>
  <si>
    <t>Own
Sign</t>
  </si>
  <si>
    <t>Friends</t>
  </si>
  <si>
    <t>Friendly Sign</t>
  </si>
  <si>
    <t>Aries/Libra</t>
  </si>
  <si>
    <t>Taurus/
Scorpio</t>
  </si>
  <si>
    <t>Mercury &amp;
Jupiter</t>
  </si>
  <si>
    <t>Virgo, Gemini
Sagittarius, Pisces</t>
  </si>
  <si>
    <t>Capricorn/
Cancer</t>
  </si>
  <si>
    <t>Aries
Scorpio</t>
  </si>
  <si>
    <t>Mercury &amp;
Venus</t>
  </si>
  <si>
    <t>Virgo, Gemini
Taurus, Libra</t>
  </si>
  <si>
    <t>Virgo/
Pisces</t>
  </si>
  <si>
    <t>Gemini,
Virgo</t>
  </si>
  <si>
    <t>All planets
excluding Sun</t>
  </si>
  <si>
    <t>All signs except
Leo</t>
  </si>
  <si>
    <t xml:space="preserve">Jupiter </t>
  </si>
  <si>
    <t>Cancer/
Capricorn</t>
  </si>
  <si>
    <t>Sagittarius,
Pisces</t>
  </si>
  <si>
    <t>All planets
excluding
Mars</t>
  </si>
  <si>
    <t>All signs except
Aries &amp; Scorpio</t>
  </si>
  <si>
    <t xml:space="preserve">Venus </t>
  </si>
  <si>
    <t>Pisces/
Virgo</t>
  </si>
  <si>
    <t>Taurus,
Libra</t>
  </si>
  <si>
    <t>All planets
excluding
Sun &amp; Moon</t>
  </si>
  <si>
    <t>All signs except
Leo &amp; Cancer</t>
  </si>
  <si>
    <t>Libra/
Aries</t>
  </si>
  <si>
    <t>Capricorn,
Aquarius</t>
  </si>
  <si>
    <t>Mercury
Jupiter
Venus</t>
  </si>
  <si>
    <t>Taurus, Libra,
Gemini, Virgo,
Pisces, Sagittarius</t>
  </si>
  <si>
    <t>Gemini/
Sagittarius</t>
  </si>
  <si>
    <t>Venus, Saturn
Jupiter, Mercury</t>
  </si>
  <si>
    <t>Libra, Capricorn
Virgo, Gemini,
Pisces, Sagittarius</t>
  </si>
  <si>
    <t>Sun, Moon</t>
  </si>
  <si>
    <t>Leo, Cancer, Aries,</t>
  </si>
  <si>
    <t xml:space="preserve"> Maha Dasas:</t>
  </si>
  <si>
    <t xml:space="preserve"> Merc:</t>
  </si>
  <si>
    <t xml:space="preserve">  -</t>
  </si>
  <si>
    <t xml:space="preserve"> Ket:</t>
  </si>
  <si>
    <t xml:space="preserve"> -</t>
  </si>
  <si>
    <t xml:space="preserve"> Sun:</t>
  </si>
  <si>
    <t xml:space="preserve"> Mars:</t>
  </si>
  <si>
    <t xml:space="preserve"> Rah:</t>
  </si>
  <si>
    <t xml:space="preserve"> Ven:</t>
  </si>
  <si>
    <t xml:space="preserve"> Moon:</t>
  </si>
  <si>
    <t xml:space="preserve"> Sat:</t>
  </si>
  <si>
    <t xml:space="preserve"> Jup:</t>
  </si>
  <si>
    <t>Cycle 1 Duration</t>
  </si>
  <si>
    <t>Cycle 2 Duration</t>
  </si>
  <si>
    <t>Sum Duration</t>
  </si>
  <si>
    <t>Pratyantardasa for</t>
  </si>
  <si>
    <t>Sukshma for</t>
  </si>
  <si>
    <t xml:space="preserve">Muhurta </t>
  </si>
  <si>
    <t xml:space="preserve">Nakshatra </t>
  </si>
  <si>
    <t>StartTime 6AM</t>
  </si>
  <si>
    <t>StartTime</t>
  </si>
  <si>
    <t xml:space="preserve">Rudra </t>
  </si>
  <si>
    <t xml:space="preserve">Ahi </t>
  </si>
  <si>
    <t xml:space="preserve">Aslesha </t>
  </si>
  <si>
    <t>Vasu</t>
  </si>
  <si>
    <t>Dhanishtha</t>
  </si>
  <si>
    <t>Ambu</t>
  </si>
  <si>
    <t>Purvashadha</t>
  </si>
  <si>
    <t>Visvadeva</t>
  </si>
  <si>
    <t>Uttarashadha</t>
  </si>
  <si>
    <t>Abhijit/Vidhi</t>
  </si>
  <si>
    <t>Vidhata/Satamuki</t>
  </si>
  <si>
    <t>Puruhuta</t>
  </si>
  <si>
    <t>Sunrise</t>
  </si>
  <si>
    <t xml:space="preserve">Indragni / Vahni </t>
  </si>
  <si>
    <t>Sunset</t>
  </si>
  <si>
    <t xml:space="preserve">Nirriti / Naktancara </t>
  </si>
  <si>
    <t xml:space="preserve">Varuna / Udakanatha </t>
  </si>
  <si>
    <t>Satabhisha</t>
  </si>
  <si>
    <t>DinaMaana</t>
  </si>
  <si>
    <t>Aryaman</t>
  </si>
  <si>
    <t>Uttaraphalguni</t>
  </si>
  <si>
    <t>RatriMaana</t>
  </si>
  <si>
    <t xml:space="preserve">Bhaga </t>
  </si>
  <si>
    <t>Purvaphalguni</t>
  </si>
  <si>
    <t xml:space="preserve">Girisa </t>
  </si>
  <si>
    <t xml:space="preserve">Ajapada </t>
  </si>
  <si>
    <t>Purvabhadrapada</t>
  </si>
  <si>
    <t>Ahirbudhnya</t>
  </si>
  <si>
    <t>Uttarabhadrapada</t>
  </si>
  <si>
    <t>Pushan</t>
  </si>
  <si>
    <t xml:space="preserve">Asvi </t>
  </si>
  <si>
    <t xml:space="preserve">Asvini </t>
  </si>
  <si>
    <t xml:space="preserve">Yama </t>
  </si>
  <si>
    <t xml:space="preserve">Agni </t>
  </si>
  <si>
    <t>Vidhaatri</t>
  </si>
  <si>
    <t>Chanda</t>
  </si>
  <si>
    <t>Mrigasira</t>
  </si>
  <si>
    <t>Aditi</t>
  </si>
  <si>
    <t>Jiiva</t>
  </si>
  <si>
    <t>Vishnu</t>
  </si>
  <si>
    <t xml:space="preserve">Arka </t>
  </si>
  <si>
    <t>Tvashtri</t>
  </si>
  <si>
    <t xml:space="preserve">Maruta </t>
  </si>
  <si>
    <t>Svati</t>
  </si>
  <si>
    <t>1</t>
  </si>
  <si>
    <t>2</t>
  </si>
  <si>
    <t>3</t>
  </si>
  <si>
    <t>4</t>
  </si>
  <si>
    <t>5</t>
  </si>
  <si>
    <t>6</t>
  </si>
  <si>
    <t>7</t>
  </si>
  <si>
    <t>8</t>
  </si>
  <si>
    <t>9</t>
  </si>
  <si>
    <t>10</t>
  </si>
  <si>
    <t>11</t>
  </si>
  <si>
    <t>12</t>
  </si>
  <si>
    <t>Owl</t>
  </si>
  <si>
    <t>Crow</t>
  </si>
  <si>
    <t>Cock</t>
  </si>
  <si>
    <t>Peacock</t>
  </si>
  <si>
    <t>PanchaPakshiKrishnaP</t>
  </si>
  <si>
    <t>Sanjya chakra</t>
  </si>
  <si>
    <t>xipra</t>
  </si>
  <si>
    <t>Ugra</t>
  </si>
  <si>
    <t>Sadharana</t>
  </si>
  <si>
    <t>Sthira</t>
  </si>
  <si>
    <t>Mridhu</t>
  </si>
  <si>
    <t>Theexana</t>
  </si>
  <si>
    <t>Chara</t>
  </si>
  <si>
    <t>Paata Chakra</t>
  </si>
  <si>
    <t>Kaana</t>
  </si>
  <si>
    <t>Sama</t>
  </si>
  <si>
    <t>Utpaata</t>
  </si>
  <si>
    <t>शत पथ चक्र</t>
  </si>
  <si>
    <t>इन्द्र</t>
  </si>
  <si>
    <t>कुबेर</t>
  </si>
  <si>
    <t>अ</t>
  </si>
  <si>
    <t>इ</t>
  </si>
  <si>
    <t>उ</t>
  </si>
  <si>
    <t>ए</t>
  </si>
  <si>
    <t>ओ</t>
  </si>
  <si>
    <t>म</t>
  </si>
  <si>
    <t>मि</t>
  </si>
  <si>
    <t>मु</t>
  </si>
  <si>
    <t>मे</t>
  </si>
  <si>
    <t>मो</t>
  </si>
  <si>
    <t>यम</t>
  </si>
  <si>
    <t>व</t>
  </si>
  <si>
    <t>वि</t>
  </si>
  <si>
    <t>वु</t>
  </si>
  <si>
    <t>वे</t>
  </si>
  <si>
    <t>वो</t>
  </si>
  <si>
    <t>ट</t>
  </si>
  <si>
    <t>टि</t>
  </si>
  <si>
    <t>टु</t>
  </si>
  <si>
    <t>टे</t>
  </si>
  <si>
    <t>टो</t>
  </si>
  <si>
    <t>क</t>
  </si>
  <si>
    <t>कि</t>
  </si>
  <si>
    <t>कु घ ङ च</t>
  </si>
  <si>
    <t>के</t>
  </si>
  <si>
    <t>को</t>
  </si>
  <si>
    <t>प</t>
  </si>
  <si>
    <t>पि</t>
  </si>
  <si>
    <t xml:space="preserve"> पु ष ण ठ</t>
  </si>
  <si>
    <t>पे</t>
  </si>
  <si>
    <t>पो</t>
  </si>
  <si>
    <t>ह</t>
  </si>
  <si>
    <t>हि</t>
  </si>
  <si>
    <t>हु</t>
  </si>
  <si>
    <t>हे</t>
  </si>
  <si>
    <t>हो</t>
  </si>
  <si>
    <t>र</t>
  </si>
  <si>
    <t>रि</t>
  </si>
  <si>
    <t>रु</t>
  </si>
  <si>
    <t>रे</t>
  </si>
  <si>
    <t>रो</t>
  </si>
  <si>
    <t>ड</t>
  </si>
  <si>
    <t>डि</t>
  </si>
  <si>
    <t>डु</t>
  </si>
  <si>
    <t>डे</t>
  </si>
  <si>
    <t>डो</t>
  </si>
  <si>
    <t>त</t>
  </si>
  <si>
    <t>ति</t>
  </si>
  <si>
    <t>तु</t>
  </si>
  <si>
    <t>ते</t>
  </si>
  <si>
    <t>तो</t>
  </si>
  <si>
    <t>ग</t>
  </si>
  <si>
    <t>गि</t>
  </si>
  <si>
    <t>गु</t>
  </si>
  <si>
    <t>गे</t>
  </si>
  <si>
    <t>गो</t>
  </si>
  <si>
    <t>न</t>
  </si>
  <si>
    <t>नि</t>
  </si>
  <si>
    <t>नु</t>
  </si>
  <si>
    <t>ने</t>
  </si>
  <si>
    <t>नो</t>
  </si>
  <si>
    <t>स</t>
  </si>
  <si>
    <t>सि</t>
  </si>
  <si>
    <t>सु</t>
  </si>
  <si>
    <t>से</t>
  </si>
  <si>
    <t>सो</t>
  </si>
  <si>
    <t>य</t>
  </si>
  <si>
    <t>यि</t>
  </si>
  <si>
    <t>यु</t>
  </si>
  <si>
    <t>ये</t>
  </si>
  <si>
    <t>यो</t>
  </si>
  <si>
    <t>द</t>
  </si>
  <si>
    <t>दि</t>
  </si>
  <si>
    <t>दु थ झ म</t>
  </si>
  <si>
    <t>दे</t>
  </si>
  <si>
    <t>दो</t>
  </si>
  <si>
    <t>भ</t>
  </si>
  <si>
    <t>भि</t>
  </si>
  <si>
    <t>भु ध फ ट</t>
  </si>
  <si>
    <t>भे</t>
  </si>
  <si>
    <t xml:space="preserve"> </t>
  </si>
  <si>
    <t>Moola Dasa (dasa showing the root of events - past karma):</t>
  </si>
  <si>
    <t>Date Of Birth</t>
  </si>
  <si>
    <t>Days In Year</t>
  </si>
  <si>
    <t>Days</t>
  </si>
  <si>
    <t>Yellow Cells are Input Cells</t>
  </si>
  <si>
    <r>
      <t>After you do Edit;Copy Basic Calculations in Jhora. Goto the JHora Sheet and Paste in 1</t>
    </r>
    <r>
      <rPr>
        <vertAlign val="superscript"/>
        <sz val="10"/>
        <color indexed="10"/>
        <rFont val="Arial"/>
        <family val="2"/>
      </rPr>
      <t>st</t>
    </r>
    <r>
      <rPr>
        <sz val="10"/>
        <color indexed="10"/>
        <rFont val="Arial"/>
        <family val="2"/>
      </rPr>
      <t xml:space="preserve"> row 1</t>
    </r>
    <r>
      <rPr>
        <vertAlign val="superscript"/>
        <sz val="10"/>
        <color indexed="10"/>
        <rFont val="Arial"/>
        <family val="2"/>
      </rPr>
      <t>st</t>
    </r>
    <r>
      <rPr>
        <sz val="10"/>
        <color indexed="10"/>
        <rFont val="Arial"/>
        <family val="2"/>
      </rPr>
      <t xml:space="preserve"> col</t>
    </r>
  </si>
  <si>
    <t>Sphuta Deg</t>
  </si>
  <si>
    <t>Bhavan Deg</t>
  </si>
  <si>
    <t>Nakhshatra Ruler</t>
  </si>
  <si>
    <t>Avastha</t>
  </si>
  <si>
    <t>Retrograde</t>
  </si>
  <si>
    <t>Graha Tithi</t>
  </si>
  <si>
    <t>Tithi Lord</t>
  </si>
  <si>
    <t>D20Deity</t>
  </si>
  <si>
    <t>D27Deity</t>
  </si>
  <si>
    <t>D27 Position</t>
  </si>
  <si>
    <t>D150Division</t>
  </si>
  <si>
    <t>D150Index</t>
  </si>
  <si>
    <t>D150Names</t>
  </si>
  <si>
    <t>AvashtaInt1</t>
  </si>
  <si>
    <t>AvashtaInt2</t>
  </si>
  <si>
    <t>AvashtaInt3</t>
  </si>
  <si>
    <t>AvashtaInt4</t>
  </si>
  <si>
    <t>AvashtaInt5</t>
  </si>
  <si>
    <t>GrahaOrder</t>
  </si>
  <si>
    <t>MyValue</t>
  </si>
  <si>
    <t>-</t>
  </si>
  <si>
    <t>P. Phalguni</t>
  </si>
  <si>
    <t>U. Phalguni</t>
  </si>
  <si>
    <t>U. Ashada</t>
  </si>
  <si>
    <t xml:space="preserve">If Surya is in Sayan Avastha, the native will incur digestive deficiency, many diseases, stoutness of legs, bilious vitiation, ulcer in the anus and heart strokes; </t>
  </si>
  <si>
    <t>if in Upavesan, will be troubled by diseases, be dull-witted, not endowed with mentionable wealth, will be hard-hearted, will do unworthy acts and will steal others’ wealth;</t>
  </si>
  <si>
    <t xml:space="preserve">If Mangal is placed in Lagn and happens to be in Netrapani, there will be penury; if placed in other Bhavas, Netrapani will confer rulership of a city. </t>
  </si>
  <si>
    <t>if in Agaman, the same effects, due to his being in Gaman, will fructify; (if in Gaman, will visit the courts of kings on many occasions and Goddess Lakshmi will dwell in his abode)</t>
  </si>
  <si>
    <t xml:space="preserve">if in Upavesan, will be garrulous and very proud, will be troubled by the king and enemies and will have ulcers on the feet shanks, face and hands; </t>
  </si>
  <si>
    <t>if in Nidr, will be interested in serving others, will blame others, be heroic, garrulous and will be wandering all over the earth.</t>
  </si>
  <si>
    <t xml:space="preserve">if in Bhojan, will enjoy tastes of food, will be weak-sighted and will be fickle-minded, due to mental delusion; </t>
  </si>
  <si>
    <t xml:space="preserve">If Rahu is in Upavesan, the native will be distressed, due to ulcers, will be endowed with royal association, be highly honourable and ever devoid of financial happiness; </t>
  </si>
  <si>
    <t xml:space="preserve">if in Bhojan, will always be distressed with hunger, penury and diseases and will roam all over the earth; </t>
  </si>
  <si>
    <t>Shri Lagna</t>
  </si>
  <si>
    <t>Varnada Lagna</t>
  </si>
  <si>
    <t>Utpanna(5th) Star</t>
  </si>
  <si>
    <t>Kshema(4th) Star</t>
  </si>
  <si>
    <t>=</t>
  </si>
  <si>
    <t>Sun+Moon</t>
  </si>
  <si>
    <t>Panchanga Yoga</t>
  </si>
  <si>
    <t>Called "Yogi Point" by Sheshadri Iyer</t>
  </si>
  <si>
    <t>Ava Yoga/Yogi</t>
  </si>
  <si>
    <t>Sun+Rahu</t>
  </si>
  <si>
    <t>Sun+Saturn</t>
  </si>
  <si>
    <t>Sun+Venus</t>
  </si>
  <si>
    <t>Panchanga Tithi Number</t>
  </si>
  <si>
    <t>Vighatika Lord</t>
  </si>
  <si>
    <t>SunRise</t>
  </si>
  <si>
    <t>SunSet</t>
  </si>
  <si>
    <t>Vaara</t>
  </si>
  <si>
    <t>Mandi</t>
  </si>
  <si>
    <t>Hrs</t>
  </si>
  <si>
    <t>Ghatikas</t>
  </si>
  <si>
    <t>Day Duration</t>
  </si>
  <si>
    <t>Night Duration</t>
  </si>
  <si>
    <t>TimeSinceSunRise</t>
  </si>
  <si>
    <t>Tattva Index</t>
  </si>
  <si>
    <t>Ahargana</t>
  </si>
  <si>
    <t xml:space="preserve"> Day</t>
  </si>
  <si>
    <t>day/Night Birth</t>
  </si>
  <si>
    <t>Vimshottai Factor=</t>
  </si>
  <si>
    <t>1/3 for Tribhaga Dasa</t>
  </si>
  <si>
    <t>Vimsottari Calcutions 1</t>
  </si>
  <si>
    <t>Vimsottari Calcutions 2</t>
  </si>
  <si>
    <t>Vimsottari Calcutions 3</t>
  </si>
  <si>
    <t>Vimsottari Calcutions 4</t>
  </si>
  <si>
    <t>Vimsottari Calcutions 5</t>
  </si>
  <si>
    <t>Vimsottari Dasa</t>
  </si>
  <si>
    <t>Vimsottari Degree</t>
  </si>
  <si>
    <t>Starting Dasa</t>
  </si>
  <si>
    <t>Balance Of Dasa</t>
  </si>
  <si>
    <t>Dasa Past</t>
  </si>
  <si>
    <t>Vimshottari seed</t>
  </si>
  <si>
    <t>Calculate Retrograde?</t>
  </si>
  <si>
    <t>Birth Dasa</t>
  </si>
  <si>
    <t>Dasa</t>
  </si>
  <si>
    <t>Antar/Bhukti</t>
  </si>
  <si>
    <t>Pratyantar</t>
  </si>
  <si>
    <t>Sookshma</t>
  </si>
  <si>
    <t>Praana</t>
  </si>
  <si>
    <t>Deha</t>
  </si>
  <si>
    <t>On Date</t>
  </si>
  <si>
    <t>Event Remarks</t>
  </si>
  <si>
    <t>Show?</t>
  </si>
  <si>
    <t>Start Date</t>
  </si>
  <si>
    <t>End Date</t>
  </si>
  <si>
    <t>Cycle Duration Days</t>
  </si>
  <si>
    <t>%Frac Past in Cyc</t>
  </si>
  <si>
    <t>Dasa# @ Given time</t>
  </si>
  <si>
    <t>Dasa @ Given time</t>
  </si>
  <si>
    <t>Vimsottari Calculation 1</t>
  </si>
  <si>
    <t>Order</t>
  </si>
  <si>
    <t>Name</t>
  </si>
  <si>
    <t>Insert Arrow</t>
  </si>
  <si>
    <t>Maha daśā</t>
  </si>
  <si>
    <t>Solar Age</t>
  </si>
  <si>
    <t>Mark Arrow Below</t>
  </si>
  <si>
    <t>Antardasas of</t>
  </si>
  <si>
    <t>Sukshma</t>
  </si>
  <si>
    <t>Janma</t>
  </si>
  <si>
    <t>Sampat</t>
  </si>
  <si>
    <t>Vipat</t>
  </si>
  <si>
    <t>Kshema</t>
  </si>
  <si>
    <t>&gt;</t>
  </si>
  <si>
    <t>Pratyak</t>
  </si>
  <si>
    <t>Saadana</t>
  </si>
  <si>
    <t>Naidana</t>
  </si>
  <si>
    <t>Mitra</t>
  </si>
  <si>
    <t>भो</t>
  </si>
  <si>
    <t>च</t>
  </si>
  <si>
    <t>चि</t>
  </si>
  <si>
    <t>चु</t>
  </si>
  <si>
    <t>चे</t>
  </si>
  <si>
    <t>चो</t>
  </si>
  <si>
    <t>ज</t>
  </si>
  <si>
    <t>जि</t>
  </si>
  <si>
    <t>जु</t>
  </si>
  <si>
    <t>जे</t>
  </si>
  <si>
    <t>जो</t>
  </si>
  <si>
    <t>ल</t>
  </si>
  <si>
    <t>लि</t>
  </si>
  <si>
    <t>लु</t>
  </si>
  <si>
    <t>ले</t>
  </si>
  <si>
    <t>लो</t>
  </si>
  <si>
    <t>ख</t>
  </si>
  <si>
    <t>खि</t>
  </si>
  <si>
    <t>खु</t>
  </si>
  <si>
    <t>खे</t>
  </si>
  <si>
    <t>खो</t>
  </si>
  <si>
    <t>वरुण</t>
  </si>
  <si>
    <t xml:space="preserve">śata patha cakra </t>
  </si>
  <si>
    <t>a</t>
  </si>
  <si>
    <t>i</t>
  </si>
  <si>
    <t>u</t>
  </si>
  <si>
    <t>e</t>
  </si>
  <si>
    <t>o</t>
  </si>
  <si>
    <t>ma</t>
  </si>
  <si>
    <t>mi</t>
  </si>
  <si>
    <t>mu</t>
  </si>
  <si>
    <t>me</t>
  </si>
  <si>
    <t>mo</t>
  </si>
  <si>
    <t>va</t>
  </si>
  <si>
    <t>vi</t>
  </si>
  <si>
    <t>vu</t>
  </si>
  <si>
    <t>ve</t>
  </si>
  <si>
    <t>vo</t>
  </si>
  <si>
    <t>ṭa</t>
  </si>
  <si>
    <t>ṭi</t>
  </si>
  <si>
    <t>ṭu</t>
  </si>
  <si>
    <t>ṭe</t>
  </si>
  <si>
    <t>ṭo</t>
  </si>
  <si>
    <t>ka</t>
  </si>
  <si>
    <t>ki</t>
  </si>
  <si>
    <t>ku gha ṅa ca</t>
  </si>
  <si>
    <t>ke</t>
  </si>
  <si>
    <t>ko</t>
  </si>
  <si>
    <t>pa</t>
  </si>
  <si>
    <t>pi</t>
  </si>
  <si>
    <t>pu ṣa ṇa ṭha</t>
  </si>
  <si>
    <t>pe</t>
  </si>
  <si>
    <t>po</t>
  </si>
  <si>
    <t>ha</t>
  </si>
  <si>
    <t>hi</t>
  </si>
  <si>
    <t>hu</t>
  </si>
  <si>
    <t>he</t>
  </si>
  <si>
    <t>ho</t>
  </si>
  <si>
    <t>ra</t>
  </si>
  <si>
    <t>ri</t>
  </si>
  <si>
    <t>ru</t>
  </si>
  <si>
    <t>re</t>
  </si>
  <si>
    <t>ro</t>
  </si>
  <si>
    <t>ḍa</t>
  </si>
  <si>
    <t>ḍi</t>
  </si>
  <si>
    <t>ḍu</t>
  </si>
  <si>
    <t>ḍe</t>
  </si>
  <si>
    <t>ḍo</t>
  </si>
  <si>
    <t>ta</t>
  </si>
  <si>
    <t>ti</t>
  </si>
  <si>
    <t>tu</t>
  </si>
  <si>
    <t>te</t>
  </si>
  <si>
    <t>to</t>
  </si>
  <si>
    <t>ga</t>
  </si>
  <si>
    <t>gi</t>
  </si>
  <si>
    <t>gu</t>
  </si>
  <si>
    <t>ge</t>
  </si>
  <si>
    <t>go</t>
  </si>
  <si>
    <t>na</t>
  </si>
  <si>
    <t>ni</t>
  </si>
  <si>
    <t>nu</t>
  </si>
  <si>
    <t>ne</t>
  </si>
  <si>
    <t>no</t>
  </si>
  <si>
    <t>sa</t>
  </si>
  <si>
    <t>si</t>
  </si>
  <si>
    <t>su</t>
  </si>
  <si>
    <t>se</t>
  </si>
  <si>
    <t>so</t>
  </si>
  <si>
    <t>ya</t>
  </si>
  <si>
    <t>yi</t>
  </si>
  <si>
    <t>yu</t>
  </si>
  <si>
    <t>ye</t>
  </si>
  <si>
    <t>yo</t>
  </si>
  <si>
    <t>da</t>
  </si>
  <si>
    <t>di</t>
  </si>
  <si>
    <t>du tha jha ma</t>
  </si>
  <si>
    <t>de</t>
  </si>
  <si>
    <t>do</t>
  </si>
  <si>
    <t>bha</t>
  </si>
  <si>
    <t>bhi</t>
  </si>
  <si>
    <t>bhu dha pha ṭa</t>
  </si>
  <si>
    <t>bhe</t>
  </si>
  <si>
    <t>bho</t>
  </si>
  <si>
    <t>ca</t>
  </si>
  <si>
    <t>ci</t>
  </si>
  <si>
    <t>cu</t>
  </si>
  <si>
    <t>ce</t>
  </si>
  <si>
    <t>co</t>
  </si>
  <si>
    <t>ja</t>
  </si>
  <si>
    <t>ji</t>
  </si>
  <si>
    <t>ju</t>
  </si>
  <si>
    <t>je</t>
  </si>
  <si>
    <t>jo</t>
  </si>
  <si>
    <t>la</t>
  </si>
  <si>
    <t>li</t>
  </si>
  <si>
    <t>lu</t>
  </si>
  <si>
    <t>le</t>
  </si>
  <si>
    <t>lo</t>
  </si>
  <si>
    <t>kha</t>
  </si>
  <si>
    <t>khi</t>
  </si>
  <si>
    <t>khu</t>
  </si>
  <si>
    <t>khe</t>
  </si>
  <si>
    <t>kho</t>
  </si>
  <si>
    <t xml:space="preserve">shata patha cakra </t>
  </si>
  <si>
    <t>Ti</t>
  </si>
  <si>
    <t>Tu</t>
  </si>
  <si>
    <t>Te</t>
  </si>
  <si>
    <t>To</t>
  </si>
  <si>
    <t>kugha~Naca</t>
  </si>
  <si>
    <t>puShaNaTha</t>
  </si>
  <si>
    <t>Da</t>
  </si>
  <si>
    <t>Di</t>
  </si>
  <si>
    <t>Du</t>
  </si>
  <si>
    <t>De</t>
  </si>
  <si>
    <t>Do</t>
  </si>
  <si>
    <t>duthajhama</t>
  </si>
  <si>
    <t>bhudhaphaTa</t>
  </si>
  <si>
    <t>Hundred Paths Chakra</t>
  </si>
  <si>
    <t>Krittika 1</t>
  </si>
  <si>
    <t>Krittika 2</t>
  </si>
  <si>
    <t>Krittika 3</t>
  </si>
  <si>
    <t>Krittika 4</t>
  </si>
  <si>
    <t>Rohini 1</t>
  </si>
  <si>
    <t>Magha 1</t>
  </si>
  <si>
    <t>Magha 2</t>
  </si>
  <si>
    <t>Magha 3</t>
  </si>
  <si>
    <t>Magha 4</t>
  </si>
  <si>
    <t>P.Phaluguni 1</t>
  </si>
  <si>
    <t>Rohini 2</t>
  </si>
  <si>
    <t>Rohini 3</t>
  </si>
  <si>
    <t>Rohini 4</t>
  </si>
  <si>
    <t>Mrigashir 1</t>
  </si>
  <si>
    <t>Mrigashir 2</t>
  </si>
  <si>
    <t>P.Phalguni 2</t>
  </si>
  <si>
    <t>P.Phalguni 3</t>
  </si>
  <si>
    <t>P.Phalguni 4</t>
  </si>
  <si>
    <t>U.Phalguni 1</t>
  </si>
  <si>
    <t>U.Phalguni 2</t>
  </si>
  <si>
    <t>Mrigashir 3</t>
  </si>
  <si>
    <t>Mrigashir 4</t>
  </si>
  <si>
    <t>Ardra 1-4</t>
  </si>
  <si>
    <t>Punarvasu 1</t>
  </si>
  <si>
    <t>Punarvasu 2</t>
  </si>
  <si>
    <t>U.Phalguni 3</t>
  </si>
  <si>
    <t>U.Phalguni 4</t>
  </si>
  <si>
    <t>Hasta 1-4</t>
  </si>
  <si>
    <t>Chitra 1</t>
  </si>
  <si>
    <t>Chitra 2</t>
  </si>
  <si>
    <t>Now() The current dasa</t>
  </si>
  <si>
    <t>Punarvasu 3</t>
  </si>
  <si>
    <t>Punarvasu 4</t>
  </si>
  <si>
    <t>Pushya 1</t>
  </si>
  <si>
    <t>Pushya 2</t>
  </si>
  <si>
    <t>Pushya 3</t>
  </si>
  <si>
    <t>Chitra 3</t>
  </si>
  <si>
    <t>Chitra 4</t>
  </si>
  <si>
    <t>Swati 1</t>
  </si>
  <si>
    <t>Swati 2</t>
  </si>
  <si>
    <t>Swati 3</t>
  </si>
  <si>
    <t>Pushya 4</t>
  </si>
  <si>
    <t>Ashlesha 1</t>
  </si>
  <si>
    <t>Ashlesha 2</t>
  </si>
  <si>
    <t>Ashlesha 3</t>
  </si>
  <si>
    <t>Ashlesha 4</t>
  </si>
  <si>
    <t>Swati 4</t>
  </si>
  <si>
    <t>Vishaka 1</t>
  </si>
  <si>
    <t>Vishaka 2</t>
  </si>
  <si>
    <t>Vishaka 3</t>
  </si>
  <si>
    <t>Vishaka 4</t>
  </si>
  <si>
    <t>Dhanishta 1</t>
  </si>
  <si>
    <t>Dhanishta 2</t>
  </si>
  <si>
    <t>Dhanishta 3</t>
  </si>
  <si>
    <t>Dhanishta 4</t>
  </si>
  <si>
    <t>Shatbhishaj 1</t>
  </si>
  <si>
    <t>Anuradha 1</t>
  </si>
  <si>
    <t>Anuradha 2</t>
  </si>
  <si>
    <t>Anuradha 3</t>
  </si>
  <si>
    <t>Anuradha 4</t>
  </si>
  <si>
    <t>Jyeshta 1</t>
  </si>
  <si>
    <t>Shatabhishaj 2</t>
  </si>
  <si>
    <t>Shatabhishaj 3</t>
  </si>
  <si>
    <t>Shatabhishaj 4</t>
  </si>
  <si>
    <t>P.Bhadra 1</t>
  </si>
  <si>
    <t>P.Bhadra 2</t>
  </si>
  <si>
    <t>Jyeshta 2</t>
  </si>
  <si>
    <t>Jyeshta 3</t>
  </si>
  <si>
    <t>Jyestha 4</t>
  </si>
  <si>
    <t>Moola 1</t>
  </si>
  <si>
    <t>Moola 2</t>
  </si>
  <si>
    <t>P.Bhadra 3</t>
  </si>
  <si>
    <t>P.Bhadra 4</t>
  </si>
  <si>
    <t>U.Bhadra 1-4</t>
  </si>
  <si>
    <t>Revati 1</t>
  </si>
  <si>
    <t>Revati 2</t>
  </si>
  <si>
    <t>Moola 3</t>
  </si>
  <si>
    <t>Moola 4</t>
  </si>
  <si>
    <t>P.Ashada 1-4</t>
  </si>
  <si>
    <t>U.Ashada 1</t>
  </si>
  <si>
    <t>U.Ashada 2</t>
  </si>
  <si>
    <t>Revati 3</t>
  </si>
  <si>
    <t>Revati 4</t>
  </si>
  <si>
    <t>Ashvini 1</t>
  </si>
  <si>
    <t>Ashvini 2</t>
  </si>
  <si>
    <t>Ashvini 3</t>
  </si>
  <si>
    <t>U.Ashada 3</t>
  </si>
  <si>
    <t>U.Ashada 4</t>
  </si>
  <si>
    <t>Abhijit 1</t>
  </si>
  <si>
    <t>Abhijit 2</t>
  </si>
  <si>
    <t>Abhijit 3</t>
  </si>
  <si>
    <t>Ashvini 4</t>
  </si>
  <si>
    <t>Bharani 1</t>
  </si>
  <si>
    <t>Bharani 2</t>
  </si>
  <si>
    <t>Bharani 3</t>
  </si>
  <si>
    <t>Bharini 4</t>
  </si>
  <si>
    <t>Sravana 1</t>
  </si>
  <si>
    <t>Sravana 2</t>
  </si>
  <si>
    <t>Sravana 3</t>
  </si>
  <si>
    <t>Sravana 4</t>
  </si>
  <si>
    <t>©Sanjay Prabhakaran</t>
  </si>
  <si>
    <t>Rasi</t>
  </si>
  <si>
    <t>Sym</t>
  </si>
  <si>
    <t>Count Order</t>
  </si>
  <si>
    <t>Sequence Order</t>
  </si>
  <si>
    <t>Sequence</t>
  </si>
  <si>
    <t>F</t>
  </si>
  <si>
    <t>r</t>
  </si>
  <si>
    <t>R</t>
  </si>
  <si>
    <t>t</t>
  </si>
  <si>
    <t>Dob=</t>
  </si>
  <si>
    <t>D-Charts</t>
  </si>
  <si>
    <t>Optional</t>
  </si>
  <si>
    <t>AqLord</t>
  </si>
  <si>
    <t>ScLord</t>
  </si>
  <si>
    <t>-- Copy from this Row till indicated Below</t>
  </si>
  <si>
    <t>Narayana Dasa Rasi</t>
  </si>
  <si>
    <t>Divisional=</t>
  </si>
  <si>
    <t>Dasa Start Sign =</t>
  </si>
  <si>
    <t>Sign</t>
  </si>
  <si>
    <t>Ex/Db</t>
  </si>
  <si>
    <t>Lord Distance</t>
  </si>
  <si>
    <t>AntarDasa</t>
  </si>
  <si>
    <t xml:space="preserve">--Till HEREto make Another Narayana Dasa and copy,paste the rows </t>
  </si>
  <si>
    <t>Narayana Dasa Chaturthamsa</t>
  </si>
  <si>
    <t>Narayana Dasa Shodasamsa</t>
  </si>
  <si>
    <t>Sign#</t>
  </si>
  <si>
    <t>TD1</t>
  </si>
  <si>
    <t>TD12</t>
  </si>
  <si>
    <t>Sarva</t>
  </si>
  <si>
    <t>GrahaMaana</t>
  </si>
  <si>
    <t>Sarva+L</t>
  </si>
  <si>
    <t>Sarva-L</t>
  </si>
  <si>
    <t>Graha?</t>
  </si>
  <si>
    <t>RashiMaana</t>
  </si>
  <si>
    <t>Ekadipatya Shodhana</t>
  </si>
  <si>
    <t>Reference Table</t>
  </si>
  <si>
    <t>Reverse?</t>
  </si>
  <si>
    <t>Rashi Pinda</t>
  </si>
  <si>
    <t>RP</t>
  </si>
  <si>
    <t>Graha Pinda</t>
  </si>
  <si>
    <t>Maana-&gt;</t>
  </si>
  <si>
    <t>GP</t>
  </si>
  <si>
    <t>GP-L</t>
  </si>
  <si>
    <t>GP to Use</t>
  </si>
  <si>
    <t>Pinda Nakshatra+</t>
  </si>
  <si>
    <t>YP</t>
  </si>
  <si>
    <t>Pinda Rashi+</t>
  </si>
  <si>
    <t>Pinda Nakshatra-</t>
  </si>
  <si>
    <t>Nakshatar -4</t>
  </si>
  <si>
    <t>-----</t>
  </si>
  <si>
    <t>House#</t>
  </si>
  <si>
    <t>*</t>
  </si>
  <si>
    <t>'1' indicates favourable '*' indicates difficult</t>
  </si>
  <si>
    <r>
      <t xml:space="preserve">'1' indicates favourable '*' indicates difficult </t>
    </r>
    <r>
      <rPr>
        <b/>
        <sz val="10"/>
        <color indexed="8"/>
        <rFont val="Calibri"/>
        <family val="2"/>
      </rPr>
      <t>Verify with BPHS original shloka above table</t>
    </r>
  </si>
  <si>
    <t>Sarva2</t>
  </si>
  <si>
    <t>TriShod</t>
  </si>
  <si>
    <t>EkadiS</t>
  </si>
  <si>
    <t>Date of Birth</t>
  </si>
  <si>
    <t>destruction of strife</t>
  </si>
  <si>
    <t>kalinasa</t>
  </si>
  <si>
    <t>Add Year</t>
  </si>
  <si>
    <t>Add Months</t>
  </si>
  <si>
    <t>Add Days</t>
  </si>
  <si>
    <t>Progressed date</t>
  </si>
  <si>
    <t>Age</t>
  </si>
  <si>
    <t>Sun in Divisional</t>
  </si>
  <si>
    <t>Sn</t>
  </si>
  <si>
    <t>Minutes</t>
  </si>
  <si>
    <t>Birth Sun</t>
  </si>
  <si>
    <t>On Given Date</t>
  </si>
  <si>
    <t>Dasamsa</t>
  </si>
  <si>
    <t>Position</t>
  </si>
  <si>
    <t>Yasa</t>
  </si>
  <si>
    <t>Bhratru</t>
  </si>
  <si>
    <t>Pitru</t>
  </si>
  <si>
    <t>Matru</t>
  </si>
  <si>
    <t>Paramitra</t>
  </si>
  <si>
    <t>Duration</t>
  </si>
  <si>
    <r>
      <t>1</t>
    </r>
    <r>
      <rPr>
        <vertAlign val="superscript"/>
        <sz val="11"/>
        <color indexed="8"/>
        <rFont val="Calibri"/>
        <family val="2"/>
      </rPr>
      <t>st</t>
    </r>
    <r>
      <rPr>
        <sz val="11"/>
        <color indexed="8"/>
        <rFont val="Calibri"/>
        <family val="2"/>
      </rPr>
      <t xml:space="preserve"> Part</t>
    </r>
  </si>
  <si>
    <r>
      <t>2</t>
    </r>
    <r>
      <rPr>
        <vertAlign val="superscript"/>
        <sz val="11"/>
        <color indexed="8"/>
        <rFont val="Calibri"/>
        <family val="2"/>
      </rPr>
      <t>nd</t>
    </r>
    <r>
      <rPr>
        <sz val="11"/>
        <color indexed="8"/>
        <rFont val="Calibri"/>
        <family val="2"/>
      </rPr>
      <t xml:space="preserve"> Part</t>
    </r>
  </si>
  <si>
    <r>
      <t>3</t>
    </r>
    <r>
      <rPr>
        <vertAlign val="superscript"/>
        <sz val="11"/>
        <color indexed="8"/>
        <rFont val="Calibri"/>
        <family val="2"/>
      </rPr>
      <t>rd</t>
    </r>
    <r>
      <rPr>
        <sz val="11"/>
        <color indexed="8"/>
        <rFont val="Calibri"/>
        <family val="2"/>
      </rPr>
      <t xml:space="preserve"> Part</t>
    </r>
  </si>
  <si>
    <r>
      <t>4</t>
    </r>
    <r>
      <rPr>
        <vertAlign val="superscript"/>
        <sz val="11"/>
        <color indexed="8"/>
        <rFont val="Calibri"/>
        <family val="2"/>
      </rPr>
      <t>th</t>
    </r>
    <r>
      <rPr>
        <sz val="11"/>
        <color indexed="8"/>
        <rFont val="Calibri"/>
        <family val="2"/>
      </rPr>
      <t xml:space="preserve"> Part</t>
    </r>
  </si>
  <si>
    <t>Breakup of MahaDasa</t>
  </si>
  <si>
    <t>Maha Dasa</t>
  </si>
  <si>
    <t>Antardasa/Bhukti</t>
  </si>
  <si>
    <t>Pratyantardasa</t>
  </si>
  <si>
    <t>Sookshmantara</t>
  </si>
  <si>
    <t>Praanantar</t>
  </si>
  <si>
    <t>Dehantar</t>
  </si>
  <si>
    <t>Breakup of marked "&gt;" above</t>
  </si>
  <si>
    <t>Names</t>
  </si>
  <si>
    <t>Years</t>
  </si>
  <si>
    <t>Nakshatra</t>
  </si>
  <si>
    <t>Scheme/Order</t>
  </si>
  <si>
    <t>Grahas</t>
  </si>
  <si>
    <t>Comments</t>
  </si>
  <si>
    <t>Vimshottari</t>
  </si>
  <si>
    <t>Krittika</t>
  </si>
  <si>
    <t>Sun</t>
  </si>
  <si>
    <t>Moon</t>
  </si>
  <si>
    <t>Mars</t>
  </si>
  <si>
    <t>Rahu</t>
  </si>
  <si>
    <t>Jupiter</t>
  </si>
  <si>
    <t>Saturn</t>
  </si>
  <si>
    <t>Mercury</t>
  </si>
  <si>
    <t>Ketu</t>
  </si>
  <si>
    <t>Venus</t>
  </si>
  <si>
    <t>9x3</t>
  </si>
  <si>
    <t>Dwadashottari</t>
  </si>
  <si>
    <t>Shodashottari</t>
  </si>
  <si>
    <t>Pushya</t>
  </si>
  <si>
    <t>11(Rudra)+1 duration</t>
  </si>
  <si>
    <t>Panchottari</t>
  </si>
  <si>
    <t>Anuradha</t>
  </si>
  <si>
    <t>Ashtottari</t>
  </si>
  <si>
    <t>Ardra</t>
  </si>
  <si>
    <t>(4,3)x4</t>
  </si>
  <si>
    <t>Vimshottari+Reverse Vimshottari Order</t>
  </si>
  <si>
    <t>Shatabdika</t>
  </si>
  <si>
    <t>Revati</t>
  </si>
  <si>
    <t>Vargottamma lagna</t>
  </si>
  <si>
    <t>Chaturashiti</t>
  </si>
  <si>
    <t>Swati</t>
  </si>
  <si>
    <r>
      <t xml:space="preserve">Weekday Order, </t>
    </r>
    <r>
      <rPr>
        <sz val="12"/>
        <rFont val="Times New Roman"/>
        <family val="1"/>
      </rPr>
      <t>pavanAjjanmabhaM, 10</t>
    </r>
    <r>
      <rPr>
        <vertAlign val="superscript"/>
        <sz val="12"/>
        <rFont val="Times New Roman"/>
        <family val="1"/>
      </rPr>
      <t>th</t>
    </r>
    <r>
      <rPr>
        <sz val="12"/>
        <rFont val="Times New Roman"/>
        <family val="1"/>
      </rPr>
      <t xml:space="preserve"> lord in 10</t>
    </r>
    <r>
      <rPr>
        <vertAlign val="superscript"/>
        <sz val="12"/>
        <rFont val="Times New Roman"/>
        <family val="1"/>
      </rPr>
      <t>th</t>
    </r>
  </si>
  <si>
    <t>Dwisaptati</t>
  </si>
  <si>
    <t>Moola</t>
  </si>
  <si>
    <t>Weekday Order</t>
  </si>
  <si>
    <t>Shastihayani</t>
  </si>
  <si>
    <t>Aswini</t>
  </si>
  <si>
    <t>(3,4)x4</t>
  </si>
  <si>
    <t>Shattrimsha</t>
  </si>
  <si>
    <t xml:space="preserve">lagne dine.arkahorAyAM chandrahorAgate nishi </t>
  </si>
  <si>
    <t>Yogini</t>
  </si>
  <si>
    <t>Mangala</t>
  </si>
  <si>
    <t>Pingala</t>
  </si>
  <si>
    <t>Dhanya</t>
  </si>
  <si>
    <t>Bhramari</t>
  </si>
  <si>
    <t>Bhadrika</t>
  </si>
  <si>
    <t>Ulka</t>
  </si>
  <si>
    <t>Siddha</t>
  </si>
  <si>
    <t>Sankata</t>
  </si>
  <si>
    <t>Types of Graha Rules for Nakshatra for 27 and 28 Mandala</t>
  </si>
  <si>
    <t>Ashtottari Type 1 (4,3,4...)</t>
  </si>
  <si>
    <t>Shashtihayani- Type 2 (3,4,3..)</t>
  </si>
  <si>
    <t>Aroha</t>
  </si>
  <si>
    <t>Use Dasa Sesha?</t>
  </si>
  <si>
    <r>
      <t>1</t>
    </r>
    <r>
      <rPr>
        <vertAlign val="superscript"/>
        <sz val="11"/>
        <color indexed="8"/>
        <rFont val="Calibri"/>
        <family val="2"/>
      </rPr>
      <t>st</t>
    </r>
    <r>
      <rPr>
        <sz val="11"/>
        <color indexed="8"/>
        <rFont val="Calibri"/>
        <family val="2"/>
      </rPr>
      <t>/4Part</t>
    </r>
  </si>
  <si>
    <r>
      <t>2</t>
    </r>
    <r>
      <rPr>
        <vertAlign val="superscript"/>
        <sz val="11"/>
        <color indexed="8"/>
        <rFont val="Calibri"/>
        <family val="2"/>
      </rPr>
      <t>nd</t>
    </r>
    <r>
      <rPr>
        <sz val="11"/>
        <color indexed="8"/>
        <rFont val="Calibri"/>
        <family val="2"/>
      </rPr>
      <t>/4Part</t>
    </r>
  </si>
  <si>
    <r>
      <t>3</t>
    </r>
    <r>
      <rPr>
        <vertAlign val="superscript"/>
        <sz val="11"/>
        <color indexed="8"/>
        <rFont val="Calibri"/>
        <family val="2"/>
      </rPr>
      <t>rd</t>
    </r>
    <r>
      <rPr>
        <sz val="11"/>
        <color indexed="8"/>
        <rFont val="Calibri"/>
        <family val="2"/>
      </rPr>
      <t>/4Part</t>
    </r>
  </si>
  <si>
    <r>
      <t>4</t>
    </r>
    <r>
      <rPr>
        <vertAlign val="superscript"/>
        <sz val="11"/>
        <color indexed="8"/>
        <rFont val="Calibri"/>
        <family val="2"/>
      </rPr>
      <t>th</t>
    </r>
    <r>
      <rPr>
        <sz val="11"/>
        <color indexed="8"/>
        <rFont val="Calibri"/>
        <family val="2"/>
      </rPr>
      <t>/4Part</t>
    </r>
  </si>
  <si>
    <t>1/12</t>
  </si>
  <si>
    <t>2/12</t>
  </si>
  <si>
    <t>3/12</t>
  </si>
  <si>
    <t>4/12</t>
  </si>
  <si>
    <t>5/12</t>
  </si>
  <si>
    <t>6/12</t>
  </si>
  <si>
    <t>7/12</t>
  </si>
  <si>
    <t>8/12</t>
  </si>
  <si>
    <t>9/12</t>
  </si>
  <si>
    <t>10/12</t>
  </si>
  <si>
    <t>11/12</t>
  </si>
  <si>
    <t>12/12</t>
  </si>
  <si>
    <t>Rashi Bhukti</t>
  </si>
  <si>
    <t>Rashi Bhukti Vimshottari</t>
  </si>
  <si>
    <t>Start Sign</t>
  </si>
  <si>
    <t>Progress frwd</t>
  </si>
  <si>
    <t>Pratyantar of</t>
  </si>
  <si>
    <t>Sesha</t>
  </si>
  <si>
    <t>Start Degrees</t>
  </si>
  <si>
    <t>Graha</t>
  </si>
  <si>
    <t>Bharani</t>
  </si>
  <si>
    <t>Rohini</t>
  </si>
  <si>
    <t>Mriga</t>
  </si>
  <si>
    <t>Punarvasu</t>
  </si>
  <si>
    <t>Ashlesha</t>
  </si>
  <si>
    <t>Magha</t>
  </si>
  <si>
    <t>Purva P</t>
  </si>
  <si>
    <t>Uttara P</t>
  </si>
  <si>
    <t>Hasta</t>
  </si>
  <si>
    <t>Chitra</t>
  </si>
  <si>
    <t>Vishaka</t>
  </si>
  <si>
    <t>Jyeshta</t>
  </si>
  <si>
    <t>P. Ashada</t>
  </si>
  <si>
    <t>Dhanishta</t>
  </si>
  <si>
    <t>Shatabhishaj</t>
  </si>
  <si>
    <t>P. Bhadra</t>
  </si>
  <si>
    <t>U. Bhadra</t>
  </si>
  <si>
    <t>Total</t>
  </si>
  <si>
    <t>DasaColumn</t>
  </si>
  <si>
    <t>AntarDasa for</t>
  </si>
  <si>
    <t>Pratyantara Dasa for</t>
  </si>
  <si>
    <t>AD</t>
  </si>
  <si>
    <t>Dasa Degrees</t>
  </si>
  <si>
    <t>Dasa Name</t>
  </si>
  <si>
    <t>Start AD Index</t>
  </si>
  <si>
    <t>Start AD</t>
  </si>
  <si>
    <t>Fractions</t>
  </si>
  <si>
    <t>Year Start</t>
  </si>
  <si>
    <t>End Year</t>
  </si>
  <si>
    <t>SolYears</t>
  </si>
  <si>
    <t>Match Row</t>
  </si>
  <si>
    <t>Fraction</t>
  </si>
  <si>
    <t>DayDuration</t>
  </si>
  <si>
    <t>Start Yama/Kaala</t>
  </si>
  <si>
    <t>Maandi</t>
  </si>
  <si>
    <t>Position in day</t>
  </si>
  <si>
    <t>Position in Night</t>
  </si>
  <si>
    <t>Gulika Position</t>
  </si>
  <si>
    <t>NightDuration</t>
  </si>
  <si>
    <t>Starting Tattva</t>
  </si>
  <si>
    <t>Day</t>
  </si>
  <si>
    <t>Kaala#</t>
  </si>
  <si>
    <t>15thPart</t>
  </si>
  <si>
    <t>Night</t>
  </si>
  <si>
    <t>Gu-Start</t>
  </si>
  <si>
    <t>Gu-End</t>
  </si>
  <si>
    <t>Balance</t>
  </si>
  <si>
    <t>BirthGhatika</t>
  </si>
  <si>
    <t>Kaala Duration</t>
  </si>
  <si>
    <t>BirthKalaIndex</t>
  </si>
  <si>
    <t>Tattva Duration</t>
  </si>
  <si>
    <t>Mon</t>
  </si>
  <si>
    <t>BirthTattvaIndex</t>
  </si>
  <si>
    <t>Tue</t>
  </si>
  <si>
    <t>Wed</t>
  </si>
  <si>
    <t>Day Birth</t>
  </si>
  <si>
    <t>Thur</t>
  </si>
  <si>
    <t>Fri</t>
  </si>
  <si>
    <t>Sat</t>
  </si>
  <si>
    <t>Saturday</t>
  </si>
  <si>
    <t>Thursday</t>
  </si>
  <si>
    <t>Tuesday</t>
  </si>
  <si>
    <t>Sunday</t>
  </si>
  <si>
    <t>Friday</t>
  </si>
  <si>
    <t>Wednesday</t>
  </si>
  <si>
    <t>Monday</t>
  </si>
  <si>
    <t>NIGHT</t>
  </si>
  <si>
    <t>Planet</t>
  </si>
  <si>
    <t>Longitude</t>
  </si>
  <si>
    <t>Nak Ruler</t>
  </si>
  <si>
    <t>D1</t>
  </si>
  <si>
    <t>D1#</t>
  </si>
  <si>
    <t>D3#</t>
  </si>
  <si>
    <t>D3</t>
  </si>
  <si>
    <t>D4#</t>
  </si>
  <si>
    <t>D4</t>
  </si>
  <si>
    <t>D7#</t>
  </si>
  <si>
    <t>D7</t>
  </si>
  <si>
    <t>D9#</t>
  </si>
  <si>
    <t>D9</t>
  </si>
  <si>
    <t>D10#</t>
  </si>
  <si>
    <t>D10</t>
  </si>
  <si>
    <t>D12#</t>
  </si>
  <si>
    <t>D12</t>
  </si>
  <si>
    <t>Asc</t>
  </si>
  <si>
    <t>VL</t>
  </si>
  <si>
    <t>RASI CHART</t>
  </si>
  <si>
    <t>Navamsa</t>
  </si>
  <si>
    <t>Drekkana</t>
  </si>
  <si>
    <t>Special Nakshatras From</t>
  </si>
  <si>
    <t>Nakshatra Name</t>
  </si>
  <si>
    <t>Sanskrit</t>
  </si>
  <si>
    <t>Ref:</t>
  </si>
  <si>
    <t>Number</t>
  </si>
  <si>
    <t>28 Nx</t>
  </si>
  <si>
    <t>Lords</t>
  </si>
  <si>
    <t>27 Nx</t>
  </si>
  <si>
    <t>Jaati</t>
  </si>
  <si>
    <r>
      <t xml:space="preserve">जाति </t>
    </r>
    <r>
      <rPr>
        <sz val="14"/>
        <color indexed="8"/>
        <rFont val="Times New Roman"/>
        <family val="1"/>
      </rPr>
      <t>jāti</t>
    </r>
  </si>
  <si>
    <t>Naidhana</t>
  </si>
  <si>
    <r>
      <t xml:space="preserve">नैधन </t>
    </r>
    <r>
      <rPr>
        <sz val="14"/>
        <color indexed="8"/>
        <rFont val="Times New Roman"/>
        <family val="1"/>
      </rPr>
      <t>naidhana</t>
    </r>
  </si>
  <si>
    <t>Matri</t>
  </si>
  <si>
    <r>
      <t xml:space="preserve">मतृ </t>
    </r>
    <r>
      <rPr>
        <sz val="14"/>
        <color indexed="8"/>
        <rFont val="Times New Roman"/>
        <family val="1"/>
      </rPr>
      <t>matṛ</t>
    </r>
  </si>
  <si>
    <t>Karma/Dvija/Dwijanma</t>
  </si>
  <si>
    <r>
      <t xml:space="preserve">कर्म </t>
    </r>
    <r>
      <rPr>
        <sz val="14"/>
        <color indexed="8"/>
        <rFont val="Times New Roman"/>
        <family val="1"/>
      </rPr>
      <t>karma</t>
    </r>
  </si>
  <si>
    <t>Desha</t>
  </si>
  <si>
    <r>
      <t xml:space="preserve">देश </t>
    </r>
    <r>
      <rPr>
        <sz val="14"/>
        <color indexed="8"/>
        <rFont val="Times New Roman"/>
        <family val="1"/>
      </rPr>
      <t>deśa</t>
    </r>
  </si>
  <si>
    <r>
      <t xml:space="preserve">सङ्गटिक </t>
    </r>
    <r>
      <rPr>
        <sz val="14"/>
        <color indexed="8"/>
        <rFont val="Times New Roman"/>
        <family val="1"/>
      </rPr>
      <t>saṅgāṭika</t>
    </r>
  </si>
  <si>
    <t>Ashtama Nakshatra</t>
  </si>
  <si>
    <t>Samudaayika</t>
  </si>
  <si>
    <r>
      <t xml:space="preserve">समुदायिक </t>
    </r>
    <r>
      <rPr>
        <sz val="14"/>
        <color indexed="8"/>
        <rFont val="Times New Roman"/>
        <family val="1"/>
      </rPr>
      <t xml:space="preserve">samudāyika </t>
    </r>
  </si>
  <si>
    <r>
      <t xml:space="preserve">आधन </t>
    </r>
    <r>
      <rPr>
        <sz val="14"/>
        <color indexed="8"/>
        <rFont val="Times New Roman"/>
        <family val="1"/>
      </rPr>
      <t>ādhana</t>
    </r>
  </si>
  <si>
    <t>Vainashika</t>
  </si>
  <si>
    <r>
      <t xml:space="preserve">वैनशिक </t>
    </r>
    <r>
      <rPr>
        <sz val="14"/>
        <color indexed="8"/>
        <rFont val="Times New Roman"/>
        <family val="1"/>
      </rPr>
      <t>vainaśika</t>
    </r>
  </si>
  <si>
    <r>
      <t xml:space="preserve">मानस </t>
    </r>
    <r>
      <rPr>
        <sz val="14"/>
        <color indexed="8"/>
        <rFont val="Times New Roman"/>
        <family val="1"/>
      </rPr>
      <t>mānasa</t>
    </r>
  </si>
  <si>
    <t>Abhisheka</t>
  </si>
  <si>
    <r>
      <t xml:space="preserve">अभिशेक </t>
    </r>
    <r>
      <rPr>
        <sz val="14"/>
        <color indexed="8"/>
        <rFont val="Times New Roman"/>
        <family val="1"/>
      </rPr>
      <t>abhiśeka</t>
    </r>
  </si>
  <si>
    <t>Special Nakshatras From Sun</t>
  </si>
  <si>
    <t>Nax #</t>
  </si>
  <si>
    <t>Vidyunmukha</t>
  </si>
  <si>
    <t>mouth of lightning</t>
  </si>
  <si>
    <t>Shula</t>
  </si>
  <si>
    <t>sharp and piercing</t>
  </si>
  <si>
    <t>Sannipata</t>
  </si>
  <si>
    <t>trouble creator like Saturn</t>
  </si>
  <si>
    <t>unpredictable</t>
  </si>
  <si>
    <t>fireball</t>
  </si>
  <si>
    <t>Kampa</t>
  </si>
  <si>
    <t>shiver</t>
  </si>
  <si>
    <t>Vajraka</t>
  </si>
  <si>
    <t>lighning</t>
  </si>
  <si>
    <t>Nirghata</t>
  </si>
  <si>
    <t>deadly</t>
  </si>
  <si>
    <t>#</t>
  </si>
  <si>
    <t>Sahama</t>
  </si>
  <si>
    <t>Meaning</t>
  </si>
  <si>
    <t>Notes</t>
  </si>
  <si>
    <t>Rashi</t>
  </si>
  <si>
    <t>Degrees</t>
  </si>
  <si>
    <t>Lagna</t>
  </si>
  <si>
    <t>Punya</t>
  </si>
  <si>
    <t>Fortune/good deeds</t>
  </si>
  <si>
    <t>Moon-Sun+Lagna</t>
  </si>
  <si>
    <t>Vidya</t>
  </si>
  <si>
    <t>Education</t>
  </si>
  <si>
    <t>Sun-Moon+Lagna</t>
  </si>
  <si>
    <t>Yasas</t>
  </si>
  <si>
    <t>Fame</t>
  </si>
  <si>
    <t>Jupiter-PunyaSaham+Lagna</t>
  </si>
  <si>
    <t>Friend</t>
  </si>
  <si>
    <t>Jupiter-PunyaSaham+Venus</t>
  </si>
  <si>
    <t>Mahatmya</t>
  </si>
  <si>
    <t>Greatness</t>
  </si>
  <si>
    <t>PunyaSaham-Mars+Lagna</t>
  </si>
  <si>
    <t>Asha</t>
  </si>
  <si>
    <t>Desires</t>
  </si>
  <si>
    <t>Saturn-Mars+Lagna</t>
  </si>
  <si>
    <t>Samartha</t>
  </si>
  <si>
    <t>Enterprise/ability</t>
  </si>
  <si>
    <t>Mars-LagnaLord+Lagna</t>
  </si>
  <si>
    <t>Jupiter - Mars + Lagna, if Mars owns lagna)</t>
  </si>
  <si>
    <t>Bhratri</t>
  </si>
  <si>
    <t>Brothers</t>
  </si>
  <si>
    <t>Jupiter-Saturn+Lagna</t>
  </si>
  <si>
    <t>same for day &amp; night)</t>
  </si>
  <si>
    <t>Gaurava</t>
  </si>
  <si>
    <t>Respect/regard</t>
  </si>
  <si>
    <t>Jupiter-Moon+Sun</t>
  </si>
  <si>
    <t>Pitri</t>
  </si>
  <si>
    <t>Father</t>
  </si>
  <si>
    <t>Saturn-Sun+Lagna</t>
  </si>
  <si>
    <t>Rajya</t>
  </si>
  <si>
    <t>Kingdom</t>
  </si>
  <si>
    <t>Mother</t>
  </si>
  <si>
    <t>Moon-Venus+Lagna</t>
  </si>
  <si>
    <t>Putra</t>
  </si>
  <si>
    <t>Children</t>
  </si>
  <si>
    <t>Jupiter-Moon+Lagna</t>
  </si>
  <si>
    <t>Jeeva</t>
  </si>
  <si>
    <t>Life</t>
  </si>
  <si>
    <t>Saturn-Jupiter+Lagna</t>
  </si>
  <si>
    <t>Karma</t>
  </si>
  <si>
    <t>Action /Work</t>
  </si>
  <si>
    <t>Mars-Mercury+Lagna</t>
  </si>
  <si>
    <t>Roga</t>
  </si>
  <si>
    <t>Disease</t>
  </si>
  <si>
    <t>Lagna-Moon+Lagna</t>
  </si>
  <si>
    <t>Kali</t>
  </si>
  <si>
    <t>Great misfortune</t>
  </si>
  <si>
    <t>Jupiter-Mars+Lagna</t>
  </si>
  <si>
    <t>Sastra</t>
  </si>
  <si>
    <t>Sciences</t>
  </si>
  <si>
    <t>Jupiter-Saturn+Mercury</t>
  </si>
  <si>
    <t>Bandhu</t>
  </si>
  <si>
    <t>Relatives</t>
  </si>
  <si>
    <t>Mercury-Moon+Lagna</t>
  </si>
  <si>
    <t>Mrityu</t>
  </si>
  <si>
    <t>Death</t>
  </si>
  <si>
    <t>8thhouse-Moon+Lagna</t>
  </si>
  <si>
    <t>Paradesa</t>
  </si>
  <si>
    <t>Foreign countries</t>
  </si>
  <si>
    <t>9thhouse-9thlord+Lagna</t>
  </si>
  <si>
    <t>Artha</t>
  </si>
  <si>
    <t>Money</t>
  </si>
  <si>
    <t>2ndhouse-2ndlord+Lagna</t>
  </si>
  <si>
    <t>Paradara</t>
  </si>
  <si>
    <t>Adultery</t>
  </si>
  <si>
    <t>Venus-Sun+Lagna</t>
  </si>
  <si>
    <t>Vanik</t>
  </si>
  <si>
    <t>Commerce</t>
  </si>
  <si>
    <t>Moon-Mercury+Lagna</t>
  </si>
  <si>
    <t>Karyasiddhi</t>
  </si>
  <si>
    <t>Success in endeavours</t>
  </si>
  <si>
    <t>Saturn-Sun+Lordofsunsign</t>
  </si>
  <si>
    <t>Night: Saturn - Moon + Lord of Moonsign)</t>
  </si>
  <si>
    <t>Vivaha</t>
  </si>
  <si>
    <t>Marriage</t>
  </si>
  <si>
    <t>Venus-Saturn+Lagna</t>
  </si>
  <si>
    <t>Santapa</t>
  </si>
  <si>
    <t>Sadness</t>
  </si>
  <si>
    <t>Saturn-Moon+6thhouse</t>
  </si>
  <si>
    <t>Sraddha</t>
  </si>
  <si>
    <t>Devotion/sincerity</t>
  </si>
  <si>
    <t>Venus-Mars+Lagna</t>
  </si>
  <si>
    <t>Preeti</t>
  </si>
  <si>
    <t>Love/attachment</t>
  </si>
  <si>
    <t>SastraSaham-PunyaSaham+Lagna</t>
  </si>
  <si>
    <t>Jadya</t>
  </si>
  <si>
    <t>Chronic disease</t>
  </si>
  <si>
    <t>Mars-Saturn+Mercury</t>
  </si>
  <si>
    <t>Vyapara</t>
  </si>
  <si>
    <t>Business</t>
  </si>
  <si>
    <t>Mars-Saturn+Lagna</t>
  </si>
  <si>
    <t>Satru</t>
  </si>
  <si>
    <t>Enemy</t>
  </si>
  <si>
    <t>Jalapatana</t>
  </si>
  <si>
    <t>Crossing an ocean</t>
  </si>
  <si>
    <t>Cancer15º-Saturn+Lagna</t>
  </si>
  <si>
    <t>Bandhana</t>
  </si>
  <si>
    <t>Imprisonment</t>
  </si>
  <si>
    <t>PunyaSaham-Saturn+Lagna</t>
  </si>
  <si>
    <t>Apamrityu</t>
  </si>
  <si>
    <t>Bad death</t>
  </si>
  <si>
    <t>8thhouse-Mars+Lagna</t>
  </si>
  <si>
    <t>Labha</t>
  </si>
  <si>
    <t>Material gains</t>
  </si>
  <si>
    <t>11thhouse-11thlord+Lagna</t>
  </si>
  <si>
    <t>Manmatha</t>
  </si>
  <si>
    <t>Infatuations/Love</t>
  </si>
  <si>
    <t>moon-LagnaLord+lagna</t>
  </si>
  <si>
    <t>from KS Charak book</t>
  </si>
  <si>
    <t>EAST</t>
  </si>
  <si>
    <t>NORTH</t>
  </si>
  <si>
    <t>अ/a</t>
  </si>
  <si>
    <t>Krithika</t>
  </si>
  <si>
    <t>Mrigashirisa</t>
  </si>
  <si>
    <t>Pusya</t>
  </si>
  <si>
    <t>Aslesha</t>
  </si>
  <si>
    <t>आ/ā</t>
  </si>
  <si>
    <t>SOUTH</t>
  </si>
  <si>
    <t>उ/u</t>
  </si>
  <si>
    <t>व/va</t>
  </si>
  <si>
    <t>ह/ha</t>
  </si>
  <si>
    <t>ड/ḍa</t>
  </si>
  <si>
    <t>ऊ/ū</t>
  </si>
  <si>
    <t>Makha</t>
  </si>
  <si>
    <t>ल/la</t>
  </si>
  <si>
    <t>ऌ/ḷ</t>
  </si>
  <si>
    <t>Vrishab</t>
  </si>
  <si>
    <t>Mithun</t>
  </si>
  <si>
    <t>Kark</t>
  </si>
  <si>
    <t>ऌ/ḷi</t>
  </si>
  <si>
    <t>म/ma</t>
  </si>
  <si>
    <t>Poorva phalguni</t>
  </si>
  <si>
    <t>च/ca</t>
  </si>
  <si>
    <t>Mesh</t>
  </si>
  <si>
    <t>ओ/o</t>
  </si>
  <si>
    <r>
      <t xml:space="preserve">Nanda </t>
    </r>
    <r>
      <rPr>
        <b/>
        <sz val="10"/>
        <rFont val="Arial Unicode MS"/>
        <family val="2"/>
      </rPr>
      <t>Sunday Tuesday</t>
    </r>
  </si>
  <si>
    <t>औ/au</t>
  </si>
  <si>
    <t>Simha</t>
  </si>
  <si>
    <t>ट/ṭa</t>
  </si>
  <si>
    <t>Uttara phalguni</t>
  </si>
  <si>
    <t>Uttara bhadrapada</t>
  </si>
  <si>
    <t>Meena</t>
  </si>
  <si>
    <r>
      <t xml:space="preserve">Rikta
</t>
    </r>
    <r>
      <rPr>
        <b/>
        <sz val="10"/>
        <rFont val="Arial Unicode MS"/>
        <family val="2"/>
      </rPr>
      <t>Friday</t>
    </r>
  </si>
  <si>
    <r>
      <t xml:space="preserve">Poorna </t>
    </r>
    <r>
      <rPr>
        <b/>
        <sz val="10"/>
        <rFont val="Arial Unicode MS"/>
        <family val="2"/>
      </rPr>
      <t>Saturday</t>
    </r>
  </si>
  <si>
    <r>
      <t xml:space="preserve">Bhadra
</t>
    </r>
    <r>
      <rPr>
        <b/>
        <sz val="10"/>
        <rFont val="Arial Unicode MS"/>
        <family val="2"/>
      </rPr>
      <t>Monday Wednesday</t>
    </r>
  </si>
  <si>
    <t>Kanya</t>
  </si>
  <si>
    <t>Poorva bhadrapada</t>
  </si>
  <si>
    <t>स/sa</t>
  </si>
  <si>
    <t>Kumbh</t>
  </si>
  <si>
    <t>अः/aḥ</t>
  </si>
  <si>
    <r>
      <t xml:space="preserve">Jaya
</t>
    </r>
    <r>
      <rPr>
        <b/>
        <sz val="10"/>
        <rFont val="Arial Unicode MS"/>
        <family val="2"/>
      </rPr>
      <t>Thursday</t>
    </r>
  </si>
  <si>
    <t>अं/aṁ</t>
  </si>
  <si>
    <t>Tula</t>
  </si>
  <si>
    <t>र/ra</t>
  </si>
  <si>
    <t>Satabhisak</t>
  </si>
  <si>
    <t>ग/ga</t>
  </si>
  <si>
    <t>ऐ/ai</t>
  </si>
  <si>
    <t>Makar</t>
  </si>
  <si>
    <t>Dhanus</t>
  </si>
  <si>
    <t>Vrischik</t>
  </si>
  <si>
    <t>ए/e</t>
  </si>
  <si>
    <t>त/ta</t>
  </si>
  <si>
    <t>Dhanista</t>
  </si>
  <si>
    <t>ऋ/ṛi</t>
  </si>
  <si>
    <t>ख/kha</t>
  </si>
  <si>
    <t>ज/ja</t>
  </si>
  <si>
    <t>य/ya</t>
  </si>
  <si>
    <t>न/na</t>
  </si>
  <si>
    <t>ऋ/ṛ</t>
  </si>
  <si>
    <t>Visakha</t>
  </si>
  <si>
    <t>ई/ī</t>
  </si>
  <si>
    <t>Sravana</t>
  </si>
  <si>
    <t>Abhijit</t>
  </si>
  <si>
    <t>Uttar Ashada</t>
  </si>
  <si>
    <t>Poorva Ashada</t>
  </si>
  <si>
    <t>Jyestha</t>
  </si>
  <si>
    <t>इ/i</t>
  </si>
  <si>
    <t>WEST</t>
  </si>
  <si>
    <t>Unicode Fonts</t>
  </si>
  <si>
    <t>Ge,
Rahu,Ether,
T00, T8, Hare, Crow</t>
  </si>
  <si>
    <t>Ar,Ta
Su, Pritvi
T1,T9, Animal:Garuda, Yoni:Dwaja</t>
  </si>
  <si>
    <t>Vi
Ma,Agni
T3,T11,Cat,Dhuma</t>
  </si>
  <si>
    <t>Cp,Aq,
Mo,Jala,
T2,T10, Matanga, elephant</t>
  </si>
  <si>
    <t>OM</t>
  </si>
  <si>
    <t>Ca,Le,
Ju,Pritvi
T5,T13,Lion,Simha</t>
  </si>
  <si>
    <t>Pi,
Saturn,Vayu
T7,T15,Mouse, Khara(Donkey)</t>
  </si>
  <si>
    <t>Li,Sc,
Venus,Jala,
T6,T14,Sarpa, Ox</t>
  </si>
  <si>
    <t>Sg,
Mercury,Ether,
T4,T12,Dog,Dog</t>
  </si>
  <si>
    <t>DateTime</t>
  </si>
  <si>
    <t>Julian</t>
  </si>
  <si>
    <t>TZ</t>
  </si>
  <si>
    <t>TimeZoneE/W</t>
  </si>
  <si>
    <t>TimeZone</t>
  </si>
  <si>
    <t>Time=hr</t>
  </si>
  <si>
    <t>ay=</t>
  </si>
  <si>
    <t>f=Universal Time</t>
  </si>
  <si>
    <t>t=</t>
  </si>
  <si>
    <t>ln=longitude=</t>
  </si>
  <si>
    <t>la=latitude=</t>
  </si>
  <si>
    <t>ra=</t>
  </si>
  <si>
    <t>ob=</t>
  </si>
  <si>
    <t>mc=</t>
  </si>
  <si>
    <t>mc'=</t>
  </si>
  <si>
    <t>mc''=</t>
  </si>
  <si>
    <t>mc'''=Midheaven=</t>
  </si>
  <si>
    <t>as=</t>
  </si>
  <si>
    <t>as'=</t>
  </si>
  <si>
    <t>as''=</t>
  </si>
  <si>
    <t>as'''=</t>
  </si>
  <si>
    <t>as''''=Ascendant</t>
  </si>
  <si>
    <t>Vimsottari Years</t>
  </si>
  <si>
    <t>Vimsottari Seq</t>
  </si>
  <si>
    <t>Direction</t>
  </si>
  <si>
    <t>Direction Surya Mantra</t>
  </si>
  <si>
    <t>Exaltion</t>
  </si>
  <si>
    <t>Exaltation</t>
  </si>
  <si>
    <t>House</t>
  </si>
  <si>
    <t>debilitation</t>
  </si>
  <si>
    <t>Moolatrikone</t>
  </si>
  <si>
    <t>GrahaWeekdayOrder</t>
  </si>
  <si>
    <t>GrahaShayanaadiGunanka</t>
  </si>
  <si>
    <t>Vertical</t>
  </si>
  <si>
    <t>Om Bhaskaraya Namah</t>
  </si>
  <si>
    <t>Sg</t>
  </si>
  <si>
    <t>Le</t>
  </si>
  <si>
    <t>South-East</t>
  </si>
  <si>
    <t>Om Ravaye Namah</t>
  </si>
  <si>
    <t>Pi</t>
  </si>
  <si>
    <t>Ta</t>
  </si>
  <si>
    <t>East</t>
  </si>
  <si>
    <t>Om Suryaya Namah</t>
  </si>
  <si>
    <t>Ar</t>
  </si>
  <si>
    <t>North-West</t>
  </si>
  <si>
    <t>Om Mitraya Namah</t>
  </si>
  <si>
    <t>Vi</t>
  </si>
  <si>
    <t>South</t>
  </si>
  <si>
    <t>Om Vivaswanam Namah</t>
  </si>
  <si>
    <t>Cp</t>
  </si>
  <si>
    <t>South-West</t>
  </si>
  <si>
    <t>Om Bhagaya Namah</t>
  </si>
  <si>
    <t>Ge</t>
  </si>
  <si>
    <t>North-East</t>
  </si>
  <si>
    <t>Om Vishnave Namah</t>
  </si>
  <si>
    <t>Cn</t>
  </si>
  <si>
    <t>West</t>
  </si>
  <si>
    <t>Om Varunaya Namah</t>
  </si>
  <si>
    <t>Li</t>
  </si>
  <si>
    <t>North</t>
  </si>
  <si>
    <t>Om Adityaya Namah</t>
  </si>
  <si>
    <t>Aq</t>
  </si>
  <si>
    <t>VimTotal=</t>
  </si>
  <si>
    <t>Sign/Rasi</t>
  </si>
  <si>
    <t>Rasi Symbol</t>
  </si>
  <si>
    <t>Deg</t>
  </si>
  <si>
    <t>Tattwa</t>
  </si>
  <si>
    <t>Yuga</t>
  </si>
  <si>
    <t>Type</t>
  </si>
  <si>
    <t>Mantra</t>
  </si>
  <si>
    <t>Strength</t>
  </si>
  <si>
    <t>Lord</t>
  </si>
  <si>
    <t>Aries</t>
  </si>
  <si>
    <t>Agni</t>
  </si>
  <si>
    <t>Kreta</t>
  </si>
  <si>
    <t>Movable/Chara</t>
  </si>
  <si>
    <t>Taurus</t>
  </si>
  <si>
    <t>Prithvi</t>
  </si>
  <si>
    <t>Fixed/Sthira</t>
  </si>
  <si>
    <t>Om Vasudevaya Namah</t>
  </si>
  <si>
    <t>Gemini</t>
  </si>
  <si>
    <t>Vayu</t>
  </si>
  <si>
    <t>Dwapara</t>
  </si>
  <si>
    <t>Common/Dwiswa</t>
  </si>
  <si>
    <t>Om Keshavaya Namah</t>
  </si>
  <si>
    <t>Cancer</t>
  </si>
  <si>
    <t>Jalam</t>
  </si>
  <si>
    <t>Treta</t>
  </si>
  <si>
    <t>Om Radha-Krishnaya Namah</t>
  </si>
  <si>
    <t>Leo</t>
  </si>
  <si>
    <t>Virgo</t>
  </si>
  <si>
    <t>Libra</t>
  </si>
  <si>
    <t>Om Sri Ram Dasrathaye Namah</t>
  </si>
  <si>
    <t>Scorpio</t>
  </si>
  <si>
    <t>Sc</t>
  </si>
  <si>
    <t>Om Narayanaya Namah
Om Naraya Namah</t>
  </si>
  <si>
    <t>Mars/Ketu</t>
  </si>
  <si>
    <t>Sagitarius</t>
  </si>
  <si>
    <t>Capricorn</t>
  </si>
  <si>
    <t>Om Shrim Vatsalaya Namah</t>
  </si>
  <si>
    <t>Aquarius</t>
  </si>
  <si>
    <t>Saturn/Rahu</t>
  </si>
  <si>
    <t>Pisces</t>
  </si>
  <si>
    <t>Om Krim Rathanga-Chakraya Namah</t>
  </si>
  <si>
    <t>Nakshatra Info</t>
  </si>
  <si>
    <t>Nakshatra Size=</t>
  </si>
  <si>
    <t>Other Names</t>
  </si>
  <si>
    <t>Sign(s)</t>
  </si>
  <si>
    <t>Adhomukhaadi/Sight</t>
  </si>
  <si>
    <t>Symbol</t>
  </si>
  <si>
    <t>Sex*</t>
  </si>
  <si>
    <t>Animal</t>
  </si>
  <si>
    <t>Deity</t>
  </si>
  <si>
    <t>Rajju</t>
  </si>
  <si>
    <t>Varna</t>
  </si>
  <si>
    <t>DoshaX8</t>
  </si>
  <si>
    <t>Start</t>
  </si>
  <si>
    <t>End</t>
  </si>
  <si>
    <t>Phonemes</t>
  </si>
  <si>
    <t>Akshara</t>
  </si>
  <si>
    <t>Ashvini</t>
  </si>
  <si>
    <t>Aries/Mesha</t>
  </si>
  <si>
    <t>Pritvi</t>
  </si>
  <si>
    <t>Tiryangmukha/Ahead</t>
  </si>
  <si>
    <t>Tama</t>
  </si>
  <si>
    <t>Deva</t>
  </si>
  <si>
    <t>Dharma</t>
  </si>
  <si>
    <t>Horse Head</t>
  </si>
  <si>
    <t>घोर</t>
  </si>
  <si>
    <t xml:space="preserve">राक्षश </t>
  </si>
  <si>
    <t xml:space="preserve">देव </t>
  </si>
  <si>
    <t xml:space="preserve">कुबेर </t>
  </si>
  <si>
    <t xml:space="preserve">यक्ष </t>
  </si>
  <si>
    <t xml:space="preserve">किन्नर </t>
  </si>
  <si>
    <t xml:space="preserve">भ्रष्ट </t>
  </si>
  <si>
    <t xml:space="preserve">कुलघ्न </t>
  </si>
  <si>
    <t xml:space="preserve">गरल </t>
  </si>
  <si>
    <t xml:space="preserve">माया </t>
  </si>
  <si>
    <t xml:space="preserve">ghora </t>
  </si>
  <si>
    <t xml:space="preserve">rAxasha </t>
  </si>
  <si>
    <t xml:space="preserve">deva </t>
  </si>
  <si>
    <t xml:space="preserve">पुरीषक </t>
  </si>
  <si>
    <t xml:space="preserve">अपाम्पति </t>
  </si>
  <si>
    <t xml:space="preserve">काल </t>
  </si>
  <si>
    <t xml:space="preserve">सर्प </t>
  </si>
  <si>
    <t xml:space="preserve">अमृत </t>
  </si>
  <si>
    <t xml:space="preserve">इन्दुक </t>
  </si>
  <si>
    <t xml:space="preserve">मृदु </t>
  </si>
  <si>
    <t xml:space="preserve">कोमल </t>
  </si>
  <si>
    <t xml:space="preserve">हेरम्ब </t>
  </si>
  <si>
    <t xml:space="preserve">ब्रह्म </t>
  </si>
  <si>
    <t xml:space="preserve">विष्णु </t>
  </si>
  <si>
    <t xml:space="preserve">महेश्वरा </t>
  </si>
  <si>
    <t xml:space="preserve">आर्द्र </t>
  </si>
  <si>
    <t xml:space="preserve">कलिनाशश </t>
  </si>
  <si>
    <t xml:space="preserve">क्षितीश </t>
  </si>
  <si>
    <t xml:space="preserve">कमलाकर </t>
  </si>
  <si>
    <t xml:space="preserve">गुलिक </t>
  </si>
  <si>
    <t xml:space="preserve">मृत्यु </t>
  </si>
  <si>
    <t xml:space="preserve">दावाग्नि </t>
  </si>
  <si>
    <t xml:space="preserve">घोर </t>
  </si>
  <si>
    <t xml:space="preserve">कण्टक </t>
  </si>
  <si>
    <t xml:space="preserve">सुधा </t>
  </si>
  <si>
    <t xml:space="preserve">पूर्णनिशाकर </t>
  </si>
  <si>
    <t xml:space="preserve">विषदग्ध </t>
  </si>
  <si>
    <t xml:space="preserve">कुलान्त </t>
  </si>
  <si>
    <t xml:space="preserve">वंशक्षय </t>
  </si>
  <si>
    <t xml:space="preserve">उत्पात </t>
  </si>
  <si>
    <t xml:space="preserve">सौम्य </t>
  </si>
  <si>
    <t xml:space="preserve">शीतल </t>
  </si>
  <si>
    <t xml:space="preserve">करालदंष्ट्र </t>
  </si>
  <si>
    <t xml:space="preserve">प्रवीण </t>
  </si>
  <si>
    <t xml:space="preserve">कालपावकः </t>
  </si>
  <si>
    <t xml:space="preserve">दण्डभृ </t>
  </si>
  <si>
    <t xml:space="preserve">निर्मल </t>
  </si>
  <si>
    <t xml:space="preserve">क्रूर </t>
  </si>
  <si>
    <t xml:space="preserve">अतिशीतल </t>
  </si>
  <si>
    <t xml:space="preserve">पयोधि </t>
  </si>
  <si>
    <t xml:space="preserve">भ्रमण </t>
  </si>
  <si>
    <t xml:space="preserve">चन्द्ररेखा </t>
  </si>
  <si>
    <t>D60Sanskrit</t>
  </si>
  <si>
    <t>Male</t>
  </si>
  <si>
    <t>Horse</t>
  </si>
  <si>
    <t>Aswinidevatas    </t>
  </si>
  <si>
    <t>Pada</t>
  </si>
  <si>
    <t>Srishti</t>
  </si>
  <si>
    <t>Brahman</t>
  </si>
  <si>
    <t>Vata</t>
  </si>
  <si>
    <t>Duration
Adjusted for Aroha</t>
  </si>
  <si>
    <t>Av/Aroha</t>
  </si>
  <si>
    <t>chu che cho laa</t>
  </si>
  <si>
    <t>चु चे चो ला</t>
  </si>
  <si>
    <t>Marichi</t>
  </si>
  <si>
    <t>Apa Barani</t>
  </si>
  <si>
    <t>Vaayu</t>
  </si>
  <si>
    <t>Adhomukha/Down</t>
  </si>
  <si>
    <t>Raja</t>
  </si>
  <si>
    <t>Manushya</t>
  </si>
  <si>
    <t>Yoni</t>
  </si>
  <si>
    <t>Female/Male</t>
  </si>
  <si>
    <t>Elephant</t>
  </si>
  <si>
    <t>Yamaraj          </t>
  </si>
  <si>
    <t>Kati</t>
  </si>
  <si>
    <t>Stithi</t>
  </si>
  <si>
    <t>Kshatriya</t>
  </si>
  <si>
    <t>Pitta</t>
  </si>
  <si>
    <t>lii luu le lo</t>
  </si>
  <si>
    <t>ली लू ले लो</t>
  </si>
  <si>
    <t>Vashishtha</t>
  </si>
  <si>
    <t>Kritika</t>
  </si>
  <si>
    <t>SuDasa</t>
  </si>
  <si>
    <t>Hora</t>
  </si>
  <si>
    <t>9H</t>
  </si>
  <si>
    <t>Birth</t>
  </si>
  <si>
    <t>Today</t>
  </si>
  <si>
    <t>GAP!</t>
  </si>
  <si>
    <t>12th Lord Moon in</t>
  </si>
  <si>
    <t>AS12</t>
  </si>
  <si>
    <t xml:space="preserve">AS12 Lord </t>
  </si>
  <si>
    <t>4H</t>
  </si>
  <si>
    <t>Krithigai</t>
  </si>
  <si>
    <t>Aries/Taurus</t>
  </si>
  <si>
    <t>Akaasha</t>
  </si>
  <si>
    <t>Rakshasa</t>
  </si>
  <si>
    <t>Kama</t>
  </si>
  <si>
    <t>Razor</t>
  </si>
  <si>
    <t>Sheep</t>
  </si>
  <si>
    <t>Agni             </t>
  </si>
  <si>
    <t>Kukshi</t>
  </si>
  <si>
    <t>Laya</t>
  </si>
  <si>
    <t>Primary</t>
  </si>
  <si>
    <t>Secondary</t>
  </si>
  <si>
    <t>21,22</t>
  </si>
  <si>
    <t>48,70</t>
  </si>
  <si>
    <t>23,24</t>
  </si>
  <si>
    <t>5,49</t>
  </si>
  <si>
    <t>27,28</t>
  </si>
  <si>
    <t>10,39</t>
  </si>
  <si>
    <t>31,32</t>
  </si>
  <si>
    <t>20,54</t>
  </si>
  <si>
    <t>33,34</t>
  </si>
  <si>
    <t>24,56</t>
  </si>
  <si>
    <t>25,26</t>
  </si>
  <si>
    <t>6,52</t>
  </si>
  <si>
    <t>35,36</t>
  </si>
  <si>
    <t>39,82</t>
  </si>
  <si>
    <t>RAHU</t>
  </si>
  <si>
    <t>41,42</t>
  </si>
  <si>
    <t>KETU</t>
  </si>
  <si>
    <t>45,46</t>
  </si>
  <si>
    <t>Vaishya</t>
  </si>
  <si>
    <t>Kapha/Sleshma</t>
  </si>
  <si>
    <t xml:space="preserve">a ii uu ai </t>
  </si>
  <si>
    <t xml:space="preserve">अ ई ऊ ऐ </t>
  </si>
  <si>
    <t>Aïgiras</t>
  </si>
  <si>
    <t>Tau</t>
  </si>
  <si>
    <t>Urdhvamukha/UP</t>
  </si>
  <si>
    <t>Moksha</t>
  </si>
  <si>
    <t>Chariot</t>
  </si>
  <si>
    <t>Serpent</t>
  </si>
  <si>
    <t>Brahma           </t>
  </si>
  <si>
    <t>Kantha</t>
  </si>
  <si>
    <t>Shudra</t>
  </si>
  <si>
    <t>Neck</t>
  </si>
  <si>
    <t>o vaa vii vuu</t>
  </si>
  <si>
    <t>ओ वा वी वू</t>
  </si>
  <si>
    <t>Atri</t>
  </si>
  <si>
    <t>Mrigashira</t>
  </si>
  <si>
    <t>Tau/Gem</t>
  </si>
  <si>
    <t>Jala</t>
  </si>
  <si>
    <t>Deer Head</t>
  </si>
  <si>
    <t>Female/Herm</t>
  </si>
  <si>
    <t>Moon             </t>
  </si>
  <si>
    <t>Shiro</t>
  </si>
  <si>
    <t>Anulomaja</t>
  </si>
  <si>
    <t>Head</t>
  </si>
  <si>
    <t>ve vo ka ki</t>
  </si>
  <si>
    <t>वे वो क कि</t>
  </si>
  <si>
    <t>Pulastya</t>
  </si>
  <si>
    <t>Gem</t>
  </si>
  <si>
    <t>Manas</t>
  </si>
  <si>
    <t>Head/Precious Stone</t>
  </si>
  <si>
    <t>Female</t>
  </si>
  <si>
    <t>Dog</t>
  </si>
  <si>
    <t>Rudra            </t>
  </si>
  <si>
    <t>Pratilomaja</t>
  </si>
  <si>
    <t xml:space="preserve">kuu gha ~Na Cha </t>
  </si>
  <si>
    <t xml:space="preserve">कू घ ङ छ </t>
  </si>
  <si>
    <t>Pulaha</t>
  </si>
  <si>
    <t xml:space="preserve">Punarpoosam </t>
  </si>
  <si>
    <t>Gem/Can</t>
  </si>
  <si>
    <t>Satva</t>
  </si>
  <si>
    <t>Bow</t>
  </si>
  <si>
    <t>Cat</t>
  </si>
  <si>
    <t>Aditi            </t>
  </si>
  <si>
    <t>ke ko haa hi</t>
  </si>
  <si>
    <t>के को हा हि</t>
  </si>
  <si>
    <t>Kratu</t>
  </si>
  <si>
    <t>Can</t>
  </si>
  <si>
    <t>Flower</t>
  </si>
  <si>
    <t>Guru             </t>
  </si>
  <si>
    <t xml:space="preserve">huu he ho Daa </t>
  </si>
  <si>
    <t xml:space="preserve">हू हे हो डा </t>
  </si>
  <si>
    <t>Aayilyam</t>
  </si>
  <si>
    <t>Merc</t>
  </si>
  <si>
    <t>Male/Female</t>
  </si>
  <si>
    <t>Sarpa (Rahu)     </t>
  </si>
  <si>
    <t xml:space="preserve">Di Duu De Dii </t>
  </si>
  <si>
    <t xml:space="preserve">डि डू डे डी </t>
  </si>
  <si>
    <t>Magam</t>
  </si>
  <si>
    <t>Palanquin</t>
  </si>
  <si>
    <t>Rat</t>
  </si>
  <si>
    <t>Pitrs            </t>
  </si>
  <si>
    <t xml:space="preserve">maa mii muu me </t>
  </si>
  <si>
    <t xml:space="preserve">मा मी मू मे </t>
  </si>
  <si>
    <t>Purva Phalguni</t>
  </si>
  <si>
    <t>Front Legs of cot</t>
  </si>
  <si>
    <t>Bhaga (Siva)     </t>
  </si>
  <si>
    <t>mo Taa Tii Tu</t>
  </si>
  <si>
    <t>मो टा टी टु</t>
  </si>
  <si>
    <t>Uttara Phalguni</t>
  </si>
  <si>
    <t>Uttaram</t>
  </si>
  <si>
    <t>Leo/Vir</t>
  </si>
  <si>
    <t>Back legs of cot</t>
  </si>
  <si>
    <t>Cow</t>
  </si>
  <si>
    <t>Aryaman          </t>
  </si>
  <si>
    <t>Te To paa pi</t>
  </si>
  <si>
    <t>टे टो पा पि</t>
  </si>
  <si>
    <t>Hastham</t>
  </si>
  <si>
    <t>Vir</t>
  </si>
  <si>
    <t>Palm</t>
  </si>
  <si>
    <t>Buffalo</t>
  </si>
  <si>
    <t>Savitr (Sun)     </t>
  </si>
  <si>
    <t>puu pa Na Tha</t>
  </si>
  <si>
    <t>पू प ण ठ</t>
  </si>
  <si>
    <t>Chithirai</t>
  </si>
  <si>
    <t>Vir/Lib</t>
  </si>
  <si>
    <t>Pearl</t>
  </si>
  <si>
    <t>Tiger</t>
  </si>
  <si>
    <t>Tvastr          </t>
  </si>
  <si>
    <t>pe pii raa rii</t>
  </si>
  <si>
    <t>पे पी रा री</t>
  </si>
  <si>
    <t>Lib</t>
  </si>
  <si>
    <t>Sapphire</t>
  </si>
  <si>
    <t>Vayu             </t>
  </si>
  <si>
    <t>ruu re ro taa</t>
  </si>
  <si>
    <t>रू रे रो ता</t>
  </si>
  <si>
    <t>Vishakha</t>
  </si>
  <si>
    <t>Visaakam</t>
  </si>
  <si>
    <t>Lib/Sco</t>
  </si>
  <si>
    <t>Potters Wheel</t>
  </si>
  <si>
    <t>Indra And Agni   </t>
  </si>
  <si>
    <t>tii tuu te to</t>
  </si>
  <si>
    <t>ती तू ते तो</t>
  </si>
  <si>
    <t>Anusham</t>
  </si>
  <si>
    <t>Sco</t>
  </si>
  <si>
    <t>Umbrella</t>
  </si>
  <si>
    <t>Hare</t>
  </si>
  <si>
    <t>Mitra (Sun)      </t>
  </si>
  <si>
    <t>naa nii nuu ne</t>
  </si>
  <si>
    <t>ना नी नू ने</t>
  </si>
  <si>
    <t>Jyeshtha</t>
  </si>
  <si>
    <t xml:space="preserve">Kettai </t>
  </si>
  <si>
    <t>Shakra (Indra)   </t>
  </si>
  <si>
    <t>no yaa yii yuu</t>
  </si>
  <si>
    <t>नो या यी यू</t>
  </si>
  <si>
    <t>Mula</t>
  </si>
  <si>
    <t>Sag</t>
  </si>
  <si>
    <t>Crouching Lion</t>
  </si>
  <si>
    <t>Male/HERMAPHRODITE</t>
  </si>
  <si>
    <t>Nirrti           </t>
  </si>
  <si>
    <t>ye yo bhaa bhii</t>
  </si>
  <si>
    <t>ये यो भा भी</t>
  </si>
  <si>
    <t>Purva Ashadha</t>
  </si>
  <si>
    <t>Pooraadam</t>
  </si>
  <si>
    <t>Front of square</t>
  </si>
  <si>
    <t>Monkey</t>
  </si>
  <si>
    <t>Apah (Water)     </t>
  </si>
  <si>
    <t xml:space="preserve">bhuu ghaa phaa Dhaa </t>
  </si>
  <si>
    <t xml:space="preserve">भू घा फा ढा </t>
  </si>
  <si>
    <t>Uttara Ashadha</t>
  </si>
  <si>
    <t xml:space="preserve">Uttaraadam </t>
  </si>
  <si>
    <t>Sag/Cap</t>
  </si>
  <si>
    <t>Back of square</t>
  </si>
  <si>
    <t>Mongoose</t>
  </si>
  <si>
    <t>Visvadevas       </t>
  </si>
  <si>
    <t xml:space="preserve">bhe bhii jaa jii </t>
  </si>
  <si>
    <t xml:space="preserve">भे भी जा जी </t>
  </si>
  <si>
    <t>Shravan</t>
  </si>
  <si>
    <t>Cap</t>
  </si>
  <si>
    <t>Arrow</t>
  </si>
  <si>
    <t>Visnu            </t>
  </si>
  <si>
    <t>khii khu khe kho</t>
  </si>
  <si>
    <t>खी खु खे खो</t>
  </si>
  <si>
    <t>Dhanistha</t>
  </si>
  <si>
    <t>Cap/Aqu</t>
  </si>
  <si>
    <t>Drum/Flute</t>
  </si>
  <si>
    <t>Lion</t>
  </si>
  <si>
    <t>Vasana (Indra)   </t>
  </si>
  <si>
    <t>gaa go guu ge</t>
  </si>
  <si>
    <t>गा गो गू गे</t>
  </si>
  <si>
    <t>Satabishak</t>
  </si>
  <si>
    <t>Sadhayam</t>
  </si>
  <si>
    <t>Aqu</t>
  </si>
  <si>
    <t>Varuna           </t>
  </si>
  <si>
    <t>go saa sii suu</t>
  </si>
  <si>
    <t>गो सा सी सू</t>
  </si>
  <si>
    <t>Purva Bhadrapad</t>
  </si>
  <si>
    <t>Aqu/Pis</t>
  </si>
  <si>
    <t>Front legs of cot</t>
  </si>
  <si>
    <t>se so da dii</t>
  </si>
  <si>
    <t>से सो द दी</t>
  </si>
  <si>
    <t>Uttara Bhadrapad</t>
  </si>
  <si>
    <t>Pis</t>
  </si>
  <si>
    <t>Ahirbudhnya      </t>
  </si>
  <si>
    <t>duu tha jha ~na</t>
  </si>
  <si>
    <t>दू थ झ ञ</t>
  </si>
  <si>
    <t>Fish</t>
  </si>
  <si>
    <t>Pusan            </t>
  </si>
  <si>
    <t>de do caa cii</t>
  </si>
  <si>
    <t>दे दो चा ची</t>
  </si>
  <si>
    <t>ju je jo kha</t>
  </si>
  <si>
    <t>जु जे जो  ख</t>
  </si>
  <si>
    <t>* Different opinions</t>
  </si>
  <si>
    <t>Tithi</t>
  </si>
  <si>
    <t>Dagdha/Burnt</t>
  </si>
  <si>
    <t>Group</t>
  </si>
  <si>
    <t>Amavasya</t>
  </si>
  <si>
    <t>Prathami</t>
  </si>
  <si>
    <t>Libra,Capricorn</t>
  </si>
  <si>
    <t>Nanda</t>
  </si>
  <si>
    <t>Jala/Venus</t>
  </si>
  <si>
    <t>Dwitiya</t>
  </si>
  <si>
    <t>Sagittarius, Pisces</t>
  </si>
  <si>
    <t>Bhadra</t>
  </si>
  <si>
    <t>Pritvi/Mercury</t>
  </si>
  <si>
    <t>Tritiya</t>
  </si>
  <si>
    <t>Leo, Capricorn</t>
  </si>
  <si>
    <t>Jaya</t>
  </si>
  <si>
    <t>Agni/Mars</t>
  </si>
  <si>
    <t>Chaturti</t>
  </si>
  <si>
    <t>Taurus, Aquarius</t>
  </si>
  <si>
    <t>Vayu/Saturn</t>
  </si>
  <si>
    <t>Panchami</t>
  </si>
  <si>
    <t>Gemini, Virgo</t>
  </si>
  <si>
    <t>Akaasha/Jupiter</t>
  </si>
  <si>
    <t>Shashti</t>
  </si>
  <si>
    <t>Aries, Leo</t>
  </si>
  <si>
    <t>Saptami</t>
  </si>
  <si>
    <t>Cancer, Sagittarius</t>
  </si>
  <si>
    <t>Ashtami</t>
  </si>
  <si>
    <t>Navami</t>
  </si>
  <si>
    <t>Leo, Scorpio</t>
  </si>
  <si>
    <t>Dasami</t>
  </si>
  <si>
    <t>Ekadashi</t>
  </si>
  <si>
    <t>Dwadashi</t>
  </si>
  <si>
    <t>Trayodashi</t>
  </si>
  <si>
    <t>Taurus, Leo</t>
  </si>
  <si>
    <t>Chaturdashi</t>
  </si>
  <si>
    <t>Pisces, Gemini, Virgo, Sagittarius</t>
  </si>
  <si>
    <t>Poornima</t>
  </si>
  <si>
    <t>Yoga Names</t>
  </si>
  <si>
    <t>Joy/Love</t>
  </si>
  <si>
    <t>Life possessing</t>
  </si>
  <si>
    <t>Good fortune</t>
  </si>
  <si>
    <t>Splendid/Beautiful</t>
  </si>
  <si>
    <t>Excessive Joint</t>
  </si>
  <si>
    <t>Good Work</t>
  </si>
  <si>
    <t>Holding/Resolution</t>
  </si>
  <si>
    <t>Spike</t>
  </si>
  <si>
    <t>Increase</t>
  </si>
  <si>
    <t>Immovable</t>
  </si>
  <si>
    <t>Thrilling with joy</t>
  </si>
  <si>
    <t>Thunderbolt</t>
  </si>
  <si>
    <t>Accomplishment</t>
  </si>
  <si>
    <t>Best</t>
  </si>
  <si>
    <t>Benevolent</t>
  </si>
  <si>
    <t>Accomplished</t>
  </si>
  <si>
    <t>To be Mastered</t>
  </si>
  <si>
    <t>Auspicious</t>
  </si>
  <si>
    <t xml:space="preserve">a ka tha ha </t>
  </si>
  <si>
    <t>U ca pha</t>
  </si>
  <si>
    <t>A kha da la</t>
  </si>
  <si>
    <t>u ~Na pa</t>
  </si>
  <si>
    <t xml:space="preserve">o Da va </t>
  </si>
  <si>
    <t>L^i jha ma</t>
  </si>
  <si>
    <t>aH Dha sha</t>
  </si>
  <si>
    <t xml:space="preserve"> L^I ~na ya</t>
  </si>
  <si>
    <t>I gha na</t>
  </si>
  <si>
    <t>R^i Cha ba</t>
  </si>
  <si>
    <t>i ga dha</t>
  </si>
  <si>
    <t>R^I ja bha</t>
  </si>
  <si>
    <t>au ta sa</t>
  </si>
  <si>
    <t>ai Tha la</t>
  </si>
  <si>
    <t>aM Na Sha</t>
  </si>
  <si>
    <t>e Ta ra</t>
  </si>
  <si>
    <t>Kuta Max 36</t>
  </si>
  <si>
    <t>Kuta</t>
  </si>
  <si>
    <t>Definition</t>
  </si>
  <si>
    <t>Promote</t>
  </si>
  <si>
    <t>Points</t>
  </si>
  <si>
    <t>Dina Kuta</t>
  </si>
  <si>
    <t>Gana Kutam</t>
  </si>
  <si>
    <t>Mahendra</t>
  </si>
  <si>
    <t>Column1</t>
  </si>
  <si>
    <t>Column3</t>
  </si>
  <si>
    <t>Akathaha</t>
  </si>
  <si>
    <t>Gana(9)</t>
  </si>
  <si>
    <t>Guna(8)</t>
  </si>
  <si>
    <t>Gotra(25)</t>
  </si>
  <si>
    <t>EvenSum(6..)Odd(15..)</t>
  </si>
  <si>
    <t>FiveSeries(5,5..)</t>
  </si>
  <si>
    <t>12x7</t>
  </si>
  <si>
    <t>9x8</t>
  </si>
  <si>
    <t>10 for friends rest 6</t>
  </si>
  <si>
    <t>SeqSum(1…</t>
  </si>
  <si>
    <t>SeqSum(11...)</t>
  </si>
  <si>
    <t>SeqSum(12..)</t>
  </si>
  <si>
    <t>OddSum(7...)</t>
  </si>
  <si>
    <t>RHora</t>
  </si>
  <si>
    <t>Hora+2</t>
  </si>
  <si>
    <t>Leo+2 and Cn+2</t>
  </si>
  <si>
    <t>Hora+3,-Vim</t>
  </si>
  <si>
    <t>Dvijä(bharaṇī)</t>
  </si>
  <si>
    <t>bharaṇī</t>
  </si>
  <si>
    <t>रशि</t>
  </si>
  <si>
    <t>मेश</t>
  </si>
  <si>
    <t>वृशभ</t>
  </si>
  <si>
    <t>मिथुन</t>
  </si>
  <si>
    <t>कर्क</t>
  </si>
  <si>
    <t>सिम्ह</t>
  </si>
  <si>
    <t>कन्य</t>
  </si>
  <si>
    <t>तुला</t>
  </si>
  <si>
    <t>वृश्चिक</t>
  </si>
  <si>
    <t>धनु</t>
  </si>
  <si>
    <t>मकर</t>
  </si>
  <si>
    <t>कुम्भ</t>
  </si>
  <si>
    <t>raśi</t>
  </si>
  <si>
    <t>meśa</t>
  </si>
  <si>
    <t>vṛśabha</t>
  </si>
  <si>
    <t>mithuna</t>
  </si>
  <si>
    <t>karka</t>
  </si>
  <si>
    <t>simha</t>
  </si>
  <si>
    <t>kanya</t>
  </si>
  <si>
    <t>tulā</t>
  </si>
  <si>
    <t>vṛścika</t>
  </si>
  <si>
    <t>dhanu</t>
  </si>
  <si>
    <t>makara</t>
  </si>
  <si>
    <t>kumbha</t>
  </si>
  <si>
    <t>meena</t>
  </si>
  <si>
    <t>घात-मास</t>
  </si>
  <si>
    <t>कर्थिक</t>
  </si>
  <si>
    <t>मगसर</t>
  </si>
  <si>
    <t>आषाढ</t>
  </si>
  <si>
    <t>पौष</t>
  </si>
  <si>
    <t>ज्येष्ठ</t>
  </si>
  <si>
    <t>भाद्र</t>
  </si>
  <si>
    <t>माघ</t>
  </si>
  <si>
    <t>आश्विन</t>
  </si>
  <si>
    <t>श्रावण</t>
  </si>
  <si>
    <t>वैशाख</t>
  </si>
  <si>
    <t>चैत्र</t>
  </si>
  <si>
    <t>फाल्गुन</t>
  </si>
  <si>
    <t>ghāta-māsa</t>
  </si>
  <si>
    <t>karthika</t>
  </si>
  <si>
    <t>magasara</t>
  </si>
  <si>
    <t>āṣāḍha</t>
  </si>
  <si>
    <t>pauṣa</t>
  </si>
  <si>
    <t>jyeṣṭha</t>
  </si>
  <si>
    <t>bhādra</t>
  </si>
  <si>
    <t>māgha</t>
  </si>
  <si>
    <t>āśvina</t>
  </si>
  <si>
    <t>śrāvaṇa</t>
  </si>
  <si>
    <t>vaiśākha</t>
  </si>
  <si>
    <t>caitra</t>
  </si>
  <si>
    <t>phālguna</t>
  </si>
  <si>
    <t>घात-तिथि</t>
  </si>
  <si>
    <t>ghāta-tithi</t>
  </si>
  <si>
    <t>घात-वार</t>
  </si>
  <si>
    <t>रविवार</t>
  </si>
  <si>
    <t>शनिवार</t>
  </si>
  <si>
    <t>सोमवार</t>
  </si>
  <si>
    <t>बुधवार</t>
  </si>
  <si>
    <t>गुरुवार</t>
  </si>
  <si>
    <t>शुक्रवार</t>
  </si>
  <si>
    <t>मंगलवार</t>
  </si>
  <si>
    <t>ghāta-vāra</t>
  </si>
  <si>
    <t>ravivāra</t>
  </si>
  <si>
    <t>śanivāra</t>
  </si>
  <si>
    <t>somavāra</t>
  </si>
  <si>
    <t>budhavāra</t>
  </si>
  <si>
    <t>guruvāra</t>
  </si>
  <si>
    <t>śukravāra</t>
  </si>
  <si>
    <t>maṁgalavāra</t>
  </si>
  <si>
    <t>घात-नक्षत्र</t>
  </si>
  <si>
    <t>मघा</t>
  </si>
  <si>
    <t>हस्त</t>
  </si>
  <si>
    <t>स्वाति</t>
  </si>
  <si>
    <t>अनुराधा</t>
  </si>
  <si>
    <t>मूल</t>
  </si>
  <si>
    <t>श्रवण</t>
  </si>
  <si>
    <t>शतभिषा</t>
  </si>
  <si>
    <t>रेवती</t>
  </si>
  <si>
    <t>भरणी</t>
  </si>
  <si>
    <t>रोहिणी</t>
  </si>
  <si>
    <t>आर्द्रा</t>
  </si>
  <si>
    <t>अश्लेषा</t>
  </si>
  <si>
    <t>ghāta-nakṣatra</t>
  </si>
  <si>
    <t>maghā</t>
  </si>
  <si>
    <t>hasta</t>
  </si>
  <si>
    <t>svāti</t>
  </si>
  <si>
    <t>anurādhā</t>
  </si>
  <si>
    <t>mūla</t>
  </si>
  <si>
    <t>śravaṇa</t>
  </si>
  <si>
    <t>śatabhiṣā</t>
  </si>
  <si>
    <t>revatī</t>
  </si>
  <si>
    <t>rohiṇī</t>
  </si>
  <si>
    <t>ārdrā</t>
  </si>
  <si>
    <t>aśleṣā</t>
  </si>
  <si>
    <t>घात-योग</t>
  </si>
  <si>
    <t>विष्कुंभ</t>
  </si>
  <si>
    <t>शुक्ल</t>
  </si>
  <si>
    <t>परिघ</t>
  </si>
  <si>
    <t>व्याघात</t>
  </si>
  <si>
    <t>धृति</t>
  </si>
  <si>
    <t>व्यतीपात</t>
  </si>
  <si>
    <t>वज्र</t>
  </si>
  <si>
    <t>वैधृति</t>
  </si>
  <si>
    <t>गंड</t>
  </si>
  <si>
    <t>ghāta-yoga</t>
  </si>
  <si>
    <t>viṣkuṁbha</t>
  </si>
  <si>
    <t>śukla</t>
  </si>
  <si>
    <t>parigha</t>
  </si>
  <si>
    <t>vyāghāta</t>
  </si>
  <si>
    <t>dhṛti</t>
  </si>
  <si>
    <t>vyatīpāta</t>
  </si>
  <si>
    <t>vajra</t>
  </si>
  <si>
    <t>vaidhṛti</t>
  </si>
  <si>
    <t>gaṁḍa</t>
  </si>
  <si>
    <t>घात-करण</t>
  </si>
  <si>
    <t>बव</t>
  </si>
  <si>
    <t>शकुनि</t>
  </si>
  <si>
    <t>कौलव</t>
  </si>
  <si>
    <t>नाग</t>
  </si>
  <si>
    <t>तैतिल</t>
  </si>
  <si>
    <t>गर</t>
  </si>
  <si>
    <t>किंस्तुघ्न</t>
  </si>
  <si>
    <t>चतुष्पाद</t>
  </si>
  <si>
    <t>ghāta-karaṇa</t>
  </si>
  <si>
    <t>bava</t>
  </si>
  <si>
    <t>śakuni</t>
  </si>
  <si>
    <t>kaulava</t>
  </si>
  <si>
    <t>nāga</t>
  </si>
  <si>
    <t>taitila</t>
  </si>
  <si>
    <t>gara</t>
  </si>
  <si>
    <t>kiṁstughna</t>
  </si>
  <si>
    <t>catuṣpāda</t>
  </si>
  <si>
    <t>प्रहर</t>
  </si>
  <si>
    <t>prahara</t>
  </si>
  <si>
    <t>पुरुश-घात-चन्द्र</t>
  </si>
  <si>
    <t>मेष</t>
  </si>
  <si>
    <t>कन्या</t>
  </si>
  <si>
    <t>सिंह</t>
  </si>
  <si>
    <t>वृषभ</t>
  </si>
  <si>
    <t>कुंभ</t>
  </si>
  <si>
    <t>puruśa-ghāta-candra</t>
  </si>
  <si>
    <t>meṣa</t>
  </si>
  <si>
    <t>kanyā</t>
  </si>
  <si>
    <t>siṁha</t>
  </si>
  <si>
    <t>vṛṣabha</t>
  </si>
  <si>
    <t>kuṁbha</t>
  </si>
  <si>
    <t>स्त्री-घात-चन्द्र</t>
  </si>
  <si>
    <t>strī-ghāta-candra</t>
  </si>
  <si>
    <t>nadi must be different. Also consider Nakshatra Pada Nadi</t>
  </si>
  <si>
    <t>Consider lord of Rashi (Use Lagna)</t>
  </si>
  <si>
    <t>opposite sex and same animal</t>
  </si>
  <si>
    <t>Vashya</t>
  </si>
  <si>
    <t>Example</t>
  </si>
  <si>
    <t xml:space="preserve">Number kuta must agree &gt;=5 </t>
  </si>
  <si>
    <t>Pada1</t>
  </si>
  <si>
    <t>Pada2</t>
  </si>
  <si>
    <t>Pada3</t>
  </si>
  <si>
    <t>Pada4</t>
  </si>
  <si>
    <t>Kapha</t>
  </si>
  <si>
    <t>Same business/professional inclinations.Same Education. If both not educated or keen on profession use the Nakshatra Varna. Girl Man higher caste (profession). But Pratiloma only with Pratiloma</t>
  </si>
  <si>
    <t>अकथह</t>
  </si>
  <si>
    <t>Earth</t>
  </si>
  <si>
    <t>Water</t>
  </si>
  <si>
    <t>Fire</t>
  </si>
  <si>
    <t>Air</t>
  </si>
  <si>
    <t>Ether</t>
  </si>
  <si>
    <t>Nite</t>
  </si>
  <si>
    <t>'</t>
  </si>
  <si>
    <t>lagna and horalagna pair dominates 
if the all three factors give three different answers</t>
  </si>
  <si>
    <t>Name (IAST)</t>
  </si>
  <si>
    <t>Current cycle</t>
  </si>
  <si>
    <t>Prior cycle 1</t>
  </si>
  <si>
    <t>Prior cycle 2</t>
  </si>
  <si>
    <t>  1.</t>
  </si>
  <si>
    <t>Prabhava</t>
  </si>
  <si>
    <t>1987-1988 AD</t>
  </si>
  <si>
    <t>1927-1928 AD</t>
  </si>
  <si>
    <t>1867-1868 AD</t>
  </si>
  <si>
    <t>  2.</t>
  </si>
  <si>
    <t>Vibhava</t>
  </si>
  <si>
    <t>1988-1989 AD</t>
  </si>
  <si>
    <t>1928-1929 AD</t>
  </si>
  <si>
    <t>1868-1869 AD</t>
  </si>
  <si>
    <t>  3.</t>
  </si>
  <si>
    <t>Śukla</t>
  </si>
  <si>
    <t>1989-1990 AD</t>
  </si>
  <si>
    <t>1929-1930 AD</t>
  </si>
  <si>
    <t>1869-1870 AD</t>
  </si>
  <si>
    <t>  4.</t>
  </si>
  <si>
    <t>Pramodadūta</t>
  </si>
  <si>
    <t>1990-1991 AD</t>
  </si>
  <si>
    <t>1930-1931 AD</t>
  </si>
  <si>
    <t>1870-1871 AD</t>
  </si>
  <si>
    <t>  5.</t>
  </si>
  <si>
    <t>Prajāpati</t>
  </si>
  <si>
    <t>1991-1992 AD</t>
  </si>
  <si>
    <t>1931-1932 AD</t>
  </si>
  <si>
    <t>1871-1872 AD</t>
  </si>
  <si>
    <t>  6.</t>
  </si>
  <si>
    <t>Āṅgīrasa</t>
  </si>
  <si>
    <t>1992-1993 AD</t>
  </si>
  <si>
    <t>1932-1933 AD</t>
  </si>
  <si>
    <t>1872-1873 AD</t>
  </si>
  <si>
    <t>  7.</t>
  </si>
  <si>
    <t>Śrīmukha</t>
  </si>
  <si>
    <t>1993-1994 AD</t>
  </si>
  <si>
    <t>1933-1934 AD</t>
  </si>
  <si>
    <t>1873-1874 AD</t>
  </si>
  <si>
    <t>  8.</t>
  </si>
  <si>
    <t>Bhāva</t>
  </si>
  <si>
    <t>1994-1995 AD</t>
  </si>
  <si>
    <t>1934-1935 AD</t>
  </si>
  <si>
    <t>1874-1875 AD</t>
  </si>
  <si>
    <t>  9.</t>
  </si>
  <si>
    <t>Yuva</t>
  </si>
  <si>
    <t>1995-1996 AD</t>
  </si>
  <si>
    <t>1935-1936 AD</t>
  </si>
  <si>
    <t>1875-1876 AD</t>
  </si>
  <si>
    <t>Dhātṛ</t>
  </si>
  <si>
    <t>1996-1997 AD</t>
  </si>
  <si>
    <t>1936-1937 AD</t>
  </si>
  <si>
    <t>1876-1877 AD</t>
  </si>
  <si>
    <t>Īśvara</t>
  </si>
  <si>
    <t>1997-1998 AD</t>
  </si>
  <si>
    <t>1937-1938 AD</t>
  </si>
  <si>
    <t>1877-1878 AD</t>
  </si>
  <si>
    <t>Bahudhānya</t>
  </si>
  <si>
    <t>1998-1999 AD</t>
  </si>
  <si>
    <t>1938-1939 AD</t>
  </si>
  <si>
    <t>1878-1879 AD</t>
  </si>
  <si>
    <t>Pramāthi</t>
  </si>
  <si>
    <t>1999-2000 AD</t>
  </si>
  <si>
    <t>1939-1940 AD</t>
  </si>
  <si>
    <t>1879-1880 AD</t>
  </si>
  <si>
    <t>Vikrama</t>
  </si>
  <si>
    <t>2000-2001 AD</t>
  </si>
  <si>
    <t>1940-1941 AD</t>
  </si>
  <si>
    <t>1880-1881 AD</t>
  </si>
  <si>
    <t>Vṛṣa</t>
  </si>
  <si>
    <t>2001-2002 AD</t>
  </si>
  <si>
    <t>1941-1942 AD</t>
  </si>
  <si>
    <t>1881-1882 AD</t>
  </si>
  <si>
    <t>Chitrabhānu</t>
  </si>
  <si>
    <t>2002-2003 AD</t>
  </si>
  <si>
    <t>1942-1943 AD</t>
  </si>
  <si>
    <t>1882-1883 AD</t>
  </si>
  <si>
    <t>Subhānu</t>
  </si>
  <si>
    <t>2003-2004 AD</t>
  </si>
  <si>
    <t>1943-1944 AD</t>
  </si>
  <si>
    <t>1883-1884 AD</t>
  </si>
  <si>
    <t>Tāraṇa</t>
  </si>
  <si>
    <t>2004-2005 AD</t>
  </si>
  <si>
    <t>1944-1945 AD</t>
  </si>
  <si>
    <t>1884-1885 AD</t>
  </si>
  <si>
    <t>Pārthiva</t>
  </si>
  <si>
    <t>2005-2006 AD</t>
  </si>
  <si>
    <t>1945-1946 AD</t>
  </si>
  <si>
    <t>1885-1886 AD</t>
  </si>
  <si>
    <t>Vyaya</t>
  </si>
  <si>
    <t>2006-2007 AD</t>
  </si>
  <si>
    <t>1946-1947 AD</t>
  </si>
  <si>
    <t>1886-1887 AD</t>
  </si>
  <si>
    <t>Sarvajit</t>
  </si>
  <si>
    <t>2007-2008 AD</t>
  </si>
  <si>
    <t>1947-1948 AD</t>
  </si>
  <si>
    <t>1887-1888 AD</t>
  </si>
  <si>
    <t>Sarvadhārin</t>
  </si>
  <si>
    <t>2008-2009 AD</t>
  </si>
  <si>
    <t>1948-1949 AD</t>
  </si>
  <si>
    <t>1888-1889 AD</t>
  </si>
  <si>
    <t>Virodhin</t>
  </si>
  <si>
    <t>2009-2010 AD</t>
  </si>
  <si>
    <t>1949-1950 AD</t>
  </si>
  <si>
    <t>1889-1890 AD</t>
  </si>
  <si>
    <t>Vikṛti</t>
  </si>
  <si>
    <t>2010-2011 AD</t>
  </si>
  <si>
    <t>1950-1951 AD</t>
  </si>
  <si>
    <t>1890-1891 AD</t>
  </si>
  <si>
    <t>Khara</t>
  </si>
  <si>
    <t>2011-2012 AD</t>
  </si>
  <si>
    <t>1951-1952 AD</t>
  </si>
  <si>
    <t>1891-1892 AD</t>
  </si>
  <si>
    <t>Nandana</t>
  </si>
  <si>
    <t>2012-2013 AD</t>
  </si>
  <si>
    <t>1952-1953 AD</t>
  </si>
  <si>
    <t>1892-1893 AD</t>
  </si>
  <si>
    <t>2013-2014 AD</t>
  </si>
  <si>
    <t>1953-1954 AD</t>
  </si>
  <si>
    <t>1893-1894 AD</t>
  </si>
  <si>
    <t>2014-2015 AD</t>
  </si>
  <si>
    <t>1954-1955 AD</t>
  </si>
  <si>
    <t>1894-1895 AD</t>
  </si>
  <si>
    <t>2015-2016 AD</t>
  </si>
  <si>
    <t>1955-1956 AD</t>
  </si>
  <si>
    <t>1895-1896 AD</t>
  </si>
  <si>
    <t>Durmukha</t>
  </si>
  <si>
    <t>2016-2017 AD</t>
  </si>
  <si>
    <t>1956-1957 AD</t>
  </si>
  <si>
    <t>1896-1897 AD</t>
  </si>
  <si>
    <t>Hemalambin</t>
  </si>
  <si>
    <t>2017-2018 AD</t>
  </si>
  <si>
    <t>1957-1958 AD</t>
  </si>
  <si>
    <t>1897-1898 AD</t>
  </si>
  <si>
    <t>Vilambin</t>
  </si>
  <si>
    <t>2018-2019 AD</t>
  </si>
  <si>
    <t>1958-1959 AD</t>
  </si>
  <si>
    <t>1898-1899 AD</t>
  </si>
  <si>
    <t>Vikārin</t>
  </si>
  <si>
    <t>2019-2020 AD</t>
  </si>
  <si>
    <t>1959-1960 AD</t>
  </si>
  <si>
    <t>1899-1900 AD</t>
  </si>
  <si>
    <t>Śārvarin</t>
  </si>
  <si>
    <t>2020-2021 AD</t>
  </si>
  <si>
    <t>1960-1961 AD</t>
  </si>
  <si>
    <t>1900-1901 AD</t>
  </si>
  <si>
    <t>Plava</t>
  </si>
  <si>
    <t>2021-2022 AD</t>
  </si>
  <si>
    <t>1961-1962 AD</t>
  </si>
  <si>
    <t>1901-1902 AD</t>
  </si>
  <si>
    <t>Śubhakṛt</t>
  </si>
  <si>
    <t>2022-2023 AD</t>
  </si>
  <si>
    <t>1962-1963 AD</t>
  </si>
  <si>
    <t>1902-1903 AD</t>
  </si>
  <si>
    <t>Śobhana</t>
  </si>
  <si>
    <t>2023-2024 AD</t>
  </si>
  <si>
    <t>1963-1964 AD</t>
  </si>
  <si>
    <t>1903-1904 AD</t>
  </si>
  <si>
    <t>Krodhin</t>
  </si>
  <si>
    <t>2024-2025 AD</t>
  </si>
  <si>
    <t>1964-1965 AD</t>
  </si>
  <si>
    <t>1904-1905 AD</t>
  </si>
  <si>
    <t>Viśvāvasu</t>
  </si>
  <si>
    <t>2025-2026 AD</t>
  </si>
  <si>
    <t>1965-1966 AD</t>
  </si>
  <si>
    <t>1905-1906 AD</t>
  </si>
  <si>
    <t>Parābhava</t>
  </si>
  <si>
    <t>2026-2027 AD</t>
  </si>
  <si>
    <t>1966-1967 AD</t>
  </si>
  <si>
    <t>1906-1907 AD</t>
  </si>
  <si>
    <t>Plavaṅga</t>
  </si>
  <si>
    <t>2027-2028 AD</t>
  </si>
  <si>
    <t>1967-1968 AD</t>
  </si>
  <si>
    <t>1907-1908 AD</t>
  </si>
  <si>
    <t>Kīlaka</t>
  </si>
  <si>
    <t>2028-2029 AD</t>
  </si>
  <si>
    <t>1968-1969 AD</t>
  </si>
  <si>
    <t>1908-1909 AD</t>
  </si>
  <si>
    <t>Saumya</t>
  </si>
  <si>
    <t>2029-2030 AD</t>
  </si>
  <si>
    <t>1969-1970 AD</t>
  </si>
  <si>
    <t>1909-1910 AD</t>
  </si>
  <si>
    <t>Sādhāraṇa</t>
  </si>
  <si>
    <t>2030-2031 AD</t>
  </si>
  <si>
    <t>1970-1971 AD</t>
  </si>
  <si>
    <t>1910-1911 AD</t>
  </si>
  <si>
    <t>Virodhakṛt</t>
  </si>
  <si>
    <t>2031-2032 AD</t>
  </si>
  <si>
    <t>1971-1972 AD</t>
  </si>
  <si>
    <t>1911-1912 AD</t>
  </si>
  <si>
    <t>Paridhāvin</t>
  </si>
  <si>
    <t>2032-2033 AD</t>
  </si>
  <si>
    <t>1972-1973 AD</t>
  </si>
  <si>
    <t>1912-1913 AD</t>
  </si>
  <si>
    <t>Pramādin</t>
  </si>
  <si>
    <t>2033-2034 AD</t>
  </si>
  <si>
    <t>1973-1974 AD</t>
  </si>
  <si>
    <t>1913-1914 AD</t>
  </si>
  <si>
    <t>Ānanda</t>
  </si>
  <si>
    <t>2034-2035 AD</t>
  </si>
  <si>
    <t>1974-1975 AD</t>
  </si>
  <si>
    <t>1914-1915 AD</t>
  </si>
  <si>
    <t>Rākṣasa</t>
  </si>
  <si>
    <t>2035-2036 AD</t>
  </si>
  <si>
    <t>1975-1976 AD</t>
  </si>
  <si>
    <t>1915-1916 AD</t>
  </si>
  <si>
    <t>Nala/Anala</t>
  </si>
  <si>
    <t>2036-2037 AD</t>
  </si>
  <si>
    <t>1976-1977 AD</t>
  </si>
  <si>
    <t>1916-1917 AD</t>
  </si>
  <si>
    <t>Piṅgala</t>
  </si>
  <si>
    <t>2037-2038 AD</t>
  </si>
  <si>
    <t>1977-1978 AD</t>
  </si>
  <si>
    <t>1917-1918 AD</t>
  </si>
  <si>
    <t>Kālayukta</t>
  </si>
  <si>
    <t>2038-2039 AD</t>
  </si>
  <si>
    <t>1978-1979 AD</t>
  </si>
  <si>
    <t>1918-1919 AD</t>
  </si>
  <si>
    <t>Siddhārthin</t>
  </si>
  <si>
    <t>2039-2040 AD</t>
  </si>
  <si>
    <t>1979-1980 AD</t>
  </si>
  <si>
    <t>1919-1920 AD</t>
  </si>
  <si>
    <t>Raudra</t>
  </si>
  <si>
    <t>2040-2041 AD</t>
  </si>
  <si>
    <t>1980-1981 AD</t>
  </si>
  <si>
    <t>1920-1921 AD</t>
  </si>
  <si>
    <t>Durmati</t>
  </si>
  <si>
    <t>2041-2042 AD</t>
  </si>
  <si>
    <t>1981-1982 AD</t>
  </si>
  <si>
    <t>1921-1922 AD</t>
  </si>
  <si>
    <t>Dundubhi</t>
  </si>
  <si>
    <t>2042-2043 AD</t>
  </si>
  <si>
    <t>1982-1983 AD</t>
  </si>
  <si>
    <t>1922-1923 AD</t>
  </si>
  <si>
    <t>Rudhirodgārin</t>
  </si>
  <si>
    <t>2043-2044 AD</t>
  </si>
  <si>
    <t>1983-1984 AD</t>
  </si>
  <si>
    <t>1923-1924 AD</t>
  </si>
  <si>
    <t>Raktākṣin</t>
  </si>
  <si>
    <t>2044-2045 AD</t>
  </si>
  <si>
    <t>1984-1985 AD</t>
  </si>
  <si>
    <t>1924-1925 AD</t>
  </si>
  <si>
    <t>Krodhana/Manyu</t>
  </si>
  <si>
    <t>2045-2046 AD</t>
  </si>
  <si>
    <t>1985-1986 AD</t>
  </si>
  <si>
    <t>1925-1926 AD</t>
  </si>
  <si>
    <t>Kṣaya</t>
  </si>
  <si>
    <t>2046-2047 AD</t>
  </si>
  <si>
    <t>1986-1987 AD</t>
  </si>
  <si>
    <t>1926-1927 AD</t>
  </si>
  <si>
    <t>क्रिय</t>
  </si>
  <si>
    <t>तावुरि</t>
  </si>
  <si>
    <t>जितुम</t>
  </si>
  <si>
    <t>कुलीर</t>
  </si>
  <si>
    <t>लेय</t>
  </si>
  <si>
    <t>पाथोन</t>
  </si>
  <si>
    <t>जूक</t>
  </si>
  <si>
    <t>कौर्पि</t>
  </si>
  <si>
    <t>तौक्षिक</t>
  </si>
  <si>
    <t>आकोकेर</t>
  </si>
  <si>
    <t>ह्रिद्रोग</t>
  </si>
  <si>
    <t>अन्त्यभं</t>
  </si>
  <si>
    <t>kriya</t>
  </si>
  <si>
    <t>tāvuri</t>
  </si>
  <si>
    <t>jituma</t>
  </si>
  <si>
    <t>kulīra</t>
  </si>
  <si>
    <t>leya</t>
  </si>
  <si>
    <t>pāthona</t>
  </si>
  <si>
    <t>jūka</t>
  </si>
  <si>
    <t>kaurpi</t>
  </si>
  <si>
    <t>taukṣika</t>
  </si>
  <si>
    <t>ākokera</t>
  </si>
  <si>
    <t>hridroga</t>
  </si>
  <si>
    <t>antyabhaṁ</t>
  </si>
  <si>
    <t>Column4</t>
  </si>
  <si>
    <t>Column5</t>
  </si>
  <si>
    <t>Column6</t>
  </si>
  <si>
    <t>Column7</t>
  </si>
  <si>
    <t>Column9</t>
  </si>
  <si>
    <t>Column10</t>
  </si>
  <si>
    <t>Column11</t>
  </si>
  <si>
    <t>Column12</t>
  </si>
  <si>
    <t>Column13</t>
  </si>
  <si>
    <t>Alternate Name2</t>
  </si>
  <si>
    <t>Aditya</t>
  </si>
  <si>
    <t>Name1</t>
  </si>
  <si>
    <t>Brahma</t>
  </si>
  <si>
    <t>Ganesha</t>
  </si>
  <si>
    <t>Naaga</t>
  </si>
  <si>
    <t>Guha</t>
  </si>
  <si>
    <t>Ravi</t>
  </si>
  <si>
    <t>Rudra</t>
  </si>
  <si>
    <t>Durga</t>
  </si>
  <si>
    <t>Antaka</t>
  </si>
  <si>
    <t>Visvedeva</t>
  </si>
  <si>
    <t>Hari</t>
  </si>
  <si>
    <t>Shiva</t>
  </si>
  <si>
    <t>Shashi</t>
  </si>
  <si>
    <t>Varahamihira</t>
  </si>
  <si>
    <t>Kamalaja (Rohini)</t>
  </si>
  <si>
    <t>Vidhatri (rohini)</t>
  </si>
  <si>
    <t>Yama</t>
  </si>
  <si>
    <t>Yoga</t>
  </si>
  <si>
    <t>Gaṇḍa</t>
  </si>
  <si>
    <t>Atigaṇḍa</t>
  </si>
  <si>
    <t>Joint/Neck/Cheeks</t>
  </si>
  <si>
    <t>Vishkambha</t>
  </si>
  <si>
    <t>Prīti</t>
  </si>
  <si>
    <t>Āyushmān</t>
  </si>
  <si>
    <t>Saubhāgya</t>
  </si>
  <si>
    <t>Shobhana</t>
  </si>
  <si>
    <t>Sukarman</t>
  </si>
  <si>
    <t>Dhriti</t>
  </si>
  <si>
    <t>Shūla</t>
  </si>
  <si>
    <t>Vriddhi</t>
  </si>
  <si>
    <t>Dhruva</t>
  </si>
  <si>
    <t>Vyāghāta</t>
  </si>
  <si>
    <t>Harshana</t>
  </si>
  <si>
    <t>Vajra</t>
  </si>
  <si>
    <t>Siddhi</t>
  </si>
  <si>
    <t>Vyatīpāta</t>
  </si>
  <si>
    <t>Varigha/Variiyas</t>
  </si>
  <si>
    <t>Parigha</t>
  </si>
  <si>
    <t>Sādhya</t>
  </si>
  <si>
    <t>Shubha</t>
  </si>
  <si>
    <t>Shukla</t>
  </si>
  <si>
    <t>Brāhma</t>
  </si>
  <si>
    <t>Māhendra</t>
  </si>
  <si>
    <t>Vaidhriti</t>
  </si>
  <si>
    <t>SouthEast</t>
  </si>
  <si>
    <t>SouthWest</t>
  </si>
  <si>
    <t>Astronomical Name</t>
  </si>
  <si>
    <t>Beta Arietis</t>
  </si>
  <si>
    <t>35 Arietis</t>
  </si>
  <si>
    <t>Eta Tauri</t>
  </si>
  <si>
    <t>Alderban</t>
  </si>
  <si>
    <t>Lambda Orionis</t>
  </si>
  <si>
    <t>Alpha Orionis</t>
  </si>
  <si>
    <t>Beta Geminorium</t>
  </si>
  <si>
    <t>Delta Cancri</t>
  </si>
  <si>
    <t>Alpha Hydroe</t>
  </si>
  <si>
    <t>Regulus</t>
  </si>
  <si>
    <t>Delta Leonis</t>
  </si>
  <si>
    <t>Beta Leonis</t>
  </si>
  <si>
    <t>Delta Corvi</t>
  </si>
  <si>
    <t>Spica Virginis</t>
  </si>
  <si>
    <t>Arcturus Vayu</t>
  </si>
  <si>
    <t>Alpha Libroe</t>
  </si>
  <si>
    <t>Delta Scorpio</t>
  </si>
  <si>
    <t>Antares Indra</t>
  </si>
  <si>
    <t>Lambda Scorpio</t>
  </si>
  <si>
    <t>Delta Sagittari</t>
  </si>
  <si>
    <t>Sigma sagittari</t>
  </si>
  <si>
    <t>Alpha Aquiloe</t>
  </si>
  <si>
    <t>Beta Delphinum</t>
  </si>
  <si>
    <t>Lambda Aquarius</t>
  </si>
  <si>
    <t>Alpha Pegasi</t>
  </si>
  <si>
    <t>Gama Pegasi</t>
  </si>
  <si>
    <t>Zeta Piscum</t>
  </si>
  <si>
    <t>North West</t>
  </si>
  <si>
    <t>Symbol2</t>
  </si>
  <si>
    <t>fire flame</t>
  </si>
  <si>
    <t>Form of Cats Foot?</t>
  </si>
  <si>
    <t>Lotus, Gem</t>
  </si>
  <si>
    <t>Plough</t>
  </si>
  <si>
    <t>Front Legs of Marriage Bed</t>
  </si>
  <si>
    <t>Back Legs of Marriage Bed</t>
  </si>
  <si>
    <t>Hand</t>
  </si>
  <si>
    <t>Wheat Sprout, Like Kumkum</t>
  </si>
  <si>
    <t>Torana (Truimp Arch)</t>
  </si>
  <si>
    <t>Lotus</t>
  </si>
  <si>
    <t>Circle, Boars Tusk</t>
  </si>
  <si>
    <t>Hand Fan</t>
  </si>
  <si>
    <t>Elephant Tusk</t>
  </si>
  <si>
    <t>Drum</t>
  </si>
  <si>
    <t>Circle</t>
  </si>
  <si>
    <t>Front Legs of Death Bed</t>
  </si>
  <si>
    <t>Back Legs of Death Bed</t>
  </si>
  <si>
    <t>0:Gh:Vg</t>
  </si>
  <si>
    <t xml:space="preserve">Table 1: Tattva periods </t>
  </si>
  <si>
    <t>Tattva Period</t>
  </si>
  <si>
    <t>Påthvé 1</t>
  </si>
  <si>
    <t>Jala 2</t>
  </si>
  <si>
    <t>Agni 3</t>
  </si>
  <si>
    <t>Vayu 4</t>
  </si>
  <si>
    <t>Akasha 5</t>
  </si>
  <si>
    <t xml:space="preserve">Akasha 5 </t>
  </si>
  <si>
    <t xml:space="preserve">Vayu 4 </t>
  </si>
  <si>
    <t xml:space="preserve">Agni 3 </t>
  </si>
  <si>
    <t xml:space="preserve">Jala 2 </t>
  </si>
  <si>
    <t>Kali Era</t>
  </si>
  <si>
    <t>Or</t>
  </si>
  <si>
    <t>Bhava Number</t>
  </si>
  <si>
    <t>tanu</t>
  </si>
  <si>
    <t xml:space="preserve">dhanaṁ </t>
  </si>
  <si>
    <t>sahaja</t>
  </si>
  <si>
    <t>bandhu</t>
  </si>
  <si>
    <t>putra</t>
  </si>
  <si>
    <t>ari</t>
  </si>
  <si>
    <t>yuvatī</t>
  </si>
  <si>
    <t>randhra</t>
  </si>
  <si>
    <t>dharma</t>
  </si>
  <si>
    <t>karma</t>
  </si>
  <si>
    <t>lābha</t>
  </si>
  <si>
    <t>तनु</t>
  </si>
  <si>
    <t xml:space="preserve">धनं </t>
  </si>
  <si>
    <t>सहज</t>
  </si>
  <si>
    <t>बन्धु</t>
  </si>
  <si>
    <t>पुत्र</t>
  </si>
  <si>
    <t>अरि</t>
  </si>
  <si>
    <t>युवती</t>
  </si>
  <si>
    <t>रन्ध्र</t>
  </si>
  <si>
    <t>धर्म</t>
  </si>
  <si>
    <t>कर्म</t>
  </si>
  <si>
    <t>लाभ</t>
  </si>
  <si>
    <t>व्यय</t>
  </si>
  <si>
    <t>vyaya</t>
  </si>
  <si>
    <t>Strength (LP)</t>
  </si>
  <si>
    <t>PROFESSIONS, ARTICLES ETC. SIGNIFIED</t>
  </si>
  <si>
    <t>Army general, physician, trader, hunter, servant or one dealing with horses, horse thief, stable keeper, jockey etc.</t>
  </si>
  <si>
    <t>Butcher, Non-vegetarian food preparation/ eating, cruel actions like killing and torture, menial jobs, crematorium/ burial related jobs.</t>
  </si>
  <si>
    <t>Priests Scholars of traditional lore &amp; mantras, commentators, gold miners, barber, potter, Brahmins (intellectual professions), astrologers.</t>
  </si>
  <si>
    <t>Politician/ King, Businessman, Industrialist, Beauty parlor ,Ascetic, entertainment, agriculture, Cows &amp; quadrupeds, Water dwelling being</t>
  </si>
  <si>
    <t>Garments, Perfumes, Products of wet lands, flowers, mango, sapphire &amp; gems, hunters, forest dwellers, loafer, postman, singer, brewery</t>
  </si>
  <si>
    <t>Prostitution/ laxity of morals, professional liars, cheats, captivation of animals, backstabbing, creating enmity, black magic, Criminals.</t>
  </si>
  <si>
    <t>Professions valuing truth, Charity, Intelligent work, Work bringing fame &amp; wealth, banker, Officer, skilled worker</t>
  </si>
  <si>
    <t>Rice, Wheat, Sugar/sweets, fishermen, water tanks, canals, Politician/ King, Physical exercise</t>
  </si>
  <si>
    <t>Rice merchants, Non-veg food, Large business, Male chauvinist, Civil engineering, all works in mountainous regions</t>
  </si>
  <si>
    <t>Dance, Movie, Fashion, entertainment, Music, Painting, Money exchange, Fried food, Salt, Honey, light oils etc.</t>
  </si>
  <si>
    <t>Lawyer, Judge, Charity, Vedic knowledge, Finance for trade, Treasury, Government service, social service</t>
  </si>
  <si>
    <t>Shares, speculation, gambling, thief, traditional knowledge, painting, catching,training &amp; riding elephants.</t>
  </si>
  <si>
    <t>Interior decoration, architecture, Diamond jewellery, incense &amp; perfumes,mathematics, computers, ENT specialist, weaving &amp;spinning</t>
  </si>
  <si>
    <t>Gram, Businessmen, learned &amp; skilled in handling fire, engineering.</t>
  </si>
  <si>
    <t>Sports, Games, Devoted to saints, Foreign visits (Foreign service, exports, imports etc) Vehicles (manufacture, repair ,use)</t>
  </si>
  <si>
    <t>Warriors, Kings, Army generals and powerful bureaucrats, Wealth</t>
  </si>
  <si>
    <t>Medicine, Doctor, Dacoit, Seller of herbs,fruits, flowers,seeds etc. Criminal mind.</t>
  </si>
  <si>
    <t>Builds dams,canals etc. or any activity related to water. Fisherman, sailor, honest profession.</t>
  </si>
  <si>
    <t>Wrestling, Boxing etc; catches &amp; rides elephants, horses (vehicles nowadays), astrologer, battle strategist, pleasure resorts, enjoyment etc</t>
  </si>
  <si>
    <t>Hard work, high spirited work, Religion and spiritualism, true. In the negative, expert cheat , pickpocket.</t>
  </si>
  <si>
    <t>Eunuch, Impersonal work, detatched , Charity, Women, Senses etc.</t>
  </si>
  <si>
    <t>Shepherd, menial work, cruel actions, disinterested, boxing, wrestling etc. stealing</t>
  </si>
  <si>
    <t>Brahmin, performing austerities and religious ceremonies, wealthy, ascetics or kings, study of Vedas &amp; traditional literature.</t>
  </si>
  <si>
    <t>Lotus and other plants in water, fruits, flowers, wealth from sea, jewels and stones, sailor, businessman.</t>
  </si>
  <si>
    <t>Signifies</t>
  </si>
  <si>
    <t>What We….</t>
  </si>
  <si>
    <t>At Work</t>
  </si>
  <si>
    <t>House (Business)</t>
  </si>
  <si>
    <t>Lord (Business)</t>
  </si>
  <si>
    <t>House(Jobs)</t>
  </si>
  <si>
    <t>Lords(Jobs)</t>
  </si>
  <si>
    <t>Ideals, Principles</t>
  </si>
  <si>
    <t>What we are</t>
  </si>
  <si>
    <t>Reputation</t>
  </si>
  <si>
    <t>Self, Fame</t>
  </si>
  <si>
    <t>Attitude to Business and work, motives</t>
  </si>
  <si>
    <t>Self,Fame</t>
  </si>
  <si>
    <t>Attitude to work, motives</t>
  </si>
  <si>
    <t>Wealth. Resources</t>
  </si>
  <si>
    <t>What we own</t>
  </si>
  <si>
    <t>Finance</t>
  </si>
  <si>
    <t>Investments</t>
  </si>
  <si>
    <t>Sources of Investments</t>
  </si>
  <si>
    <t>Resouces</t>
  </si>
  <si>
    <t>Enterprise, Leave, Vacation</t>
  </si>
  <si>
    <t>Time to Think</t>
  </si>
  <si>
    <t>Enterprise</t>
  </si>
  <si>
    <t>Agreements, Communications</t>
  </si>
  <si>
    <t>Short Journey, Transport</t>
  </si>
  <si>
    <t>Journeys</t>
  </si>
  <si>
    <t>Leave, Holiday</t>
  </si>
  <si>
    <t>Work environment or area</t>
  </si>
  <si>
    <t>Where we work</t>
  </si>
  <si>
    <t>Office</t>
  </si>
  <si>
    <t>Property, Office</t>
  </si>
  <si>
    <t>Personal Secretary</t>
  </si>
  <si>
    <t>Knowledge, Subordinate</t>
  </si>
  <si>
    <t>What we know</t>
  </si>
  <si>
    <t>Power</t>
  </si>
  <si>
    <t>All Employees</t>
  </si>
  <si>
    <t>Immediate Subordinates</t>
  </si>
  <si>
    <t>Promotion, Power</t>
  </si>
  <si>
    <t>Juniors, Subordinates</t>
  </si>
  <si>
    <t>Service,Staff, jobs</t>
  </si>
  <si>
    <t>Who to work for</t>
  </si>
  <si>
    <t>Labor</t>
  </si>
  <si>
    <t>Staff Functions</t>
  </si>
  <si>
    <t>Enemies causing damage</t>
  </si>
  <si>
    <t>Staff support</t>
  </si>
  <si>
    <t>Business Partner, Self Employment</t>
  </si>
  <si>
    <t>Who to work with</t>
  </si>
  <si>
    <t>Business, Trade, Commerce</t>
  </si>
  <si>
    <t>Partners</t>
  </si>
  <si>
    <t>Colleagues</t>
  </si>
  <si>
    <t>PR at Work</t>
  </si>
  <si>
    <t>Retirements, loans, insurance</t>
  </si>
  <si>
    <t>When to stop</t>
  </si>
  <si>
    <t>Retire</t>
  </si>
  <si>
    <t>Loans, Debts</t>
  </si>
  <si>
    <t>Unforseen troubles, Insurance Claim</t>
  </si>
  <si>
    <t>Retirement, Job Loss</t>
  </si>
  <si>
    <t>Unforseen Troubles</t>
  </si>
  <si>
    <t>Guide, Boss, teacher</t>
  </si>
  <si>
    <t xml:space="preserve">Who to listen to </t>
  </si>
  <si>
    <t>Guide</t>
  </si>
  <si>
    <t>Adviser, Guides, Consultant</t>
  </si>
  <si>
    <t>The Boss</t>
  </si>
  <si>
    <t>Adviser, Guides</t>
  </si>
  <si>
    <t>Status, Success, the work</t>
  </si>
  <si>
    <t>Work Definition</t>
  </si>
  <si>
    <t>Status</t>
  </si>
  <si>
    <t>Chairman, Leaders</t>
  </si>
  <si>
    <t>Personal Success</t>
  </si>
  <si>
    <t>Company</t>
  </si>
  <si>
    <t>Colleagues, friends, resources</t>
  </si>
  <si>
    <t>Who will support</t>
  </si>
  <si>
    <t>Resources</t>
  </si>
  <si>
    <t>Gains, Profit</t>
  </si>
  <si>
    <t>Satisfaction and Friends</t>
  </si>
  <si>
    <t>Friends in group</t>
  </si>
  <si>
    <t>Training and development</t>
  </si>
  <si>
    <t>Expenses, foreign, freedom</t>
  </si>
  <si>
    <t>Our Responsibility</t>
  </si>
  <si>
    <t>Liabilities</t>
  </si>
  <si>
    <t>Expenditure, Losses</t>
  </si>
  <si>
    <t>Secret Enemies</t>
  </si>
  <si>
    <t>Secret Enemies in group</t>
  </si>
  <si>
    <t>Mistakes and inability</t>
  </si>
  <si>
    <t>© Pt. Sanjay Rath</t>
  </si>
  <si>
    <t>-Venus</t>
  </si>
  <si>
    <t>-Rahu</t>
  </si>
  <si>
    <t>-Nodes</t>
  </si>
  <si>
    <t>-Ketu</t>
  </si>
  <si>
    <t>Deva praśna</t>
  </si>
  <si>
    <t>Rāja praśna- Coronation</t>
  </si>
  <si>
    <t>Rāja praśna-Rāja bhāgya</t>
  </si>
  <si>
    <t>Rāja praśna-National chart</t>
  </si>
  <si>
    <t>Deity, well being &amp; satisfaction, temple building and idol, alter, picture etc.</t>
  </si>
  <si>
    <t>The King</t>
  </si>
  <si>
    <t>The nation, constitution, ideals</t>
  </si>
  <si>
    <t>Wealth, income, treasure, guardians</t>
  </si>
  <si>
    <t>Treasury</t>
  </si>
  <si>
    <t>Prince &amp; princess</t>
  </si>
  <si>
    <t>Wealth, treasury, currency</t>
  </si>
  <si>
    <t>Temple servants, Offerings (to deity)</t>
  </si>
  <si>
    <t>Armed forces &amp; their chief</t>
  </si>
  <si>
    <t>Armed forces &amp; their chief, servants</t>
  </si>
  <si>
    <t>Lands, property, vehicles</t>
  </si>
  <si>
    <t>Vehicles, property</t>
  </si>
  <si>
    <t>Vehicles &amp; followers</t>
  </si>
  <si>
    <t>Divine presence and the symbols, idols, etc.</t>
  </si>
  <si>
    <t>Ministers, advisers</t>
  </si>
  <si>
    <t>Palace</t>
  </si>
  <si>
    <t>Ministers, Officials wielding delegated powers</t>
  </si>
  <si>
    <t>Pollution, enemies, thieves</t>
  </si>
  <si>
    <t>Enemies, thieves</t>
  </si>
  <si>
    <t>Wife(s)</t>
  </si>
  <si>
    <t>Enemies, disease</t>
  </si>
  <si>
    <t>People, worshippers, ornaments</t>
  </si>
  <si>
    <t>War manoeuvre</t>
  </si>
  <si>
    <t>Advisers &amp; preceptors</t>
  </si>
  <si>
    <t>Public</t>
  </si>
  <si>
    <t>Offerings (by people), good or evil</t>
  </si>
  <si>
    <t>Life of government</t>
  </si>
  <si>
    <t>Subjects</t>
  </si>
  <si>
    <t>Donations, aid, life of nation</t>
  </si>
  <si>
    <t>Authorities and merits</t>
  </si>
  <si>
    <t>Policy and attitude</t>
  </si>
  <si>
    <t>Daily ceremonies, festivals etc.</t>
  </si>
  <si>
    <t>Administration</t>
  </si>
  <si>
    <t>President, Prime minister and Administration</t>
  </si>
  <si>
    <t>Merit, prosperity, income</t>
  </si>
  <si>
    <t>Gains, income</t>
  </si>
  <si>
    <t>Expenditure, waste, āchārya, tāntrika, priest</t>
  </si>
  <si>
    <t>Losses, expenditure</t>
  </si>
  <si>
    <t>Charakāraka &amp; bhāva</t>
  </si>
  <si>
    <t>Ātmakāraka</t>
  </si>
  <si>
    <t>Dārākāraka</t>
  </si>
  <si>
    <t>Bhrātṛkāraka</t>
  </si>
  <si>
    <t>Mātṛkāraka</t>
  </si>
  <si>
    <t>Putrakāraka</t>
  </si>
  <si>
    <t>Jñātikāraka</t>
  </si>
  <si>
    <t>Pitṛkāraka &amp; Bhrātṛkāraka</t>
  </si>
  <si>
    <t>Amātyakāraka</t>
  </si>
  <si>
    <t>--None--</t>
  </si>
  <si>
    <t>Nashta Prashna</t>
  </si>
  <si>
    <t xml:space="preserve">4Nax-3Nax Grouping चतुष्कं त्रितयं तस्मात्‌ चतुष्कं त्रितयं पुनः </t>
  </si>
  <si>
    <t>Reverse Hora Order चन्द्रहोरागते कृष्णे सूर्यहोरागते सिते।</t>
  </si>
  <si>
    <t>शुक्रांशके प्रजातस्य विचिन्त्या द्वादशोत्तरी।</t>
  </si>
  <si>
    <t>अर्कांश कर्कलग्ने पञ्चोत्तरी मता।</t>
  </si>
  <si>
    <t>मित्रर्क्षाज्जन्मभं यावत्‌ संख्या सप्तविभाजिता॥ २९॥</t>
  </si>
  <si>
    <t>यदार्को लग्नराशिस्थश्चिन्त्या षष्टिसमा तदा।</t>
  </si>
  <si>
    <t>दास्रात्‌ त्रयं चतुष्कं च त्रयं चेति पुनः पुनः॥ ४०॥</t>
  </si>
  <si>
    <t>Yogini-A</t>
  </si>
  <si>
    <t>ShodashottariType1</t>
  </si>
  <si>
    <t>Shodashottari-S</t>
  </si>
  <si>
    <t>Dwadashottari-S</t>
  </si>
  <si>
    <t>Shatrimsha-A</t>
  </si>
  <si>
    <t>Compress</t>
  </si>
  <si>
    <t>लग्नेशे सप्तमे यस्य लग्ने वा सप्तमाधिपे॥ ३८॥</t>
  </si>
  <si>
    <t>मूलाज्जन्मर्क्षपर्यन्तं गणयेदष्टभिर्भजेत्‌।</t>
  </si>
  <si>
    <t>Dwisaptati-Moola4Rev</t>
  </si>
  <si>
    <t>Dwisaptati-Moola3F</t>
  </si>
  <si>
    <t>Dwisaptati-Moola4F</t>
  </si>
  <si>
    <t>Dwisaptati-A-Moola3Rev</t>
  </si>
  <si>
    <t>Lady</t>
  </si>
  <si>
    <t>Padmini</t>
  </si>
  <si>
    <t>Chitrini</t>
  </si>
  <si>
    <t>Shankini</t>
  </si>
  <si>
    <t>Hastini</t>
  </si>
  <si>
    <t>Hari (Vishnu)</t>
  </si>
  <si>
    <t>Shashaanka (The Moon)</t>
  </si>
  <si>
    <t>Subramanya (Karthikeya)</t>
  </si>
  <si>
    <t>Indra</t>
  </si>
  <si>
    <t>Vasu (Ashta Vasavas)</t>
  </si>
  <si>
    <t>Bhujaga (Serpent)</t>
  </si>
  <si>
    <t>Isha (Siva)</t>
  </si>
  <si>
    <t>Savitri (form of Sun)</t>
  </si>
  <si>
    <t>Manmatha (Cupid)</t>
  </si>
  <si>
    <t>Vishvadeva</t>
  </si>
  <si>
    <t>4th-Lock</t>
  </si>
  <si>
    <t>7th-Unlock</t>
  </si>
  <si>
    <t>Column2</t>
  </si>
  <si>
    <t>Government, Laws, 
Iternational (World)</t>
  </si>
  <si>
    <t>Om Hrim Shrim Krim Dharani Dharaya
 Namah</t>
  </si>
  <si>
    <t>Om Hrim Pitambaraya Paramatmane 
Namah</t>
  </si>
  <si>
    <t>Om Shrim Upendraya Achyutaya
 Namah
Om Klim Govinda-Gopalaya Namah</t>
  </si>
  <si>
    <t>Om Hariharaya Balamukundaya 
Namah</t>
  </si>
  <si>
    <t>श्रीं</t>
  </si>
  <si>
    <t>ह्रीं</t>
  </si>
  <si>
    <t>ऐं</t>
  </si>
  <si>
    <t>गौं</t>
  </si>
  <si>
    <t>क्रीं</t>
  </si>
  <si>
    <t>हौं</t>
  </si>
  <si>
    <t>ॐ सौं क्लीं</t>
  </si>
  <si>
    <t>Sanskrit Name</t>
  </si>
  <si>
    <t>Navakkari</t>
  </si>
  <si>
    <t>LL</t>
  </si>
  <si>
    <t>2L</t>
  </si>
  <si>
    <t>3L</t>
  </si>
  <si>
    <t>4L</t>
  </si>
  <si>
    <t>5L</t>
  </si>
  <si>
    <t>6L</t>
  </si>
  <si>
    <t>7L</t>
  </si>
  <si>
    <t>8L</t>
  </si>
  <si>
    <t>9L</t>
  </si>
  <si>
    <t>10L</t>
  </si>
  <si>
    <t>11L</t>
  </si>
  <si>
    <t>12L</t>
  </si>
  <si>
    <t>Tithi Part</t>
  </si>
  <si>
    <t>Uses Tithi</t>
  </si>
  <si>
    <t>Santhana Tithi Sphuta</t>
  </si>
  <si>
    <t>5*moon-5*Sun</t>
  </si>
  <si>
    <t>Santhana Tithi</t>
  </si>
  <si>
    <t>Vidya/Guru</t>
  </si>
  <si>
    <t>1A</t>
  </si>
  <si>
    <t>1B</t>
  </si>
  <si>
    <t>Formula (Shodhaka-Shodhya)+Kshepak</t>
  </si>
  <si>
    <t>Correction IF(Not(Kshepak between Shodhak and Shodya Add 30deg</t>
  </si>
  <si>
    <t>Put "1" Normal</t>
  </si>
  <si>
    <t>Select from row 27</t>
  </si>
  <si>
    <t>Normal 1</t>
  </si>
  <si>
    <t>Multiplier 
for Duration</t>
  </si>
  <si>
    <t>राज्य rājya</t>
  </si>
  <si>
    <t>DaysInYear</t>
  </si>
  <si>
    <t>கௌரி பாஞ்சாங்க</t>
  </si>
  <si>
    <t>கிழமை </t>
  </si>
  <si>
    <t>காலம் </t>
  </si>
  <si>
    <t>6:00-7:30</t>
  </si>
  <si>
    <t>7:30-9:00</t>
  </si>
  <si>
    <t>9:00-10:30</t>
  </si>
  <si>
    <t>10:30-12:00</t>
  </si>
  <si>
    <t>12:00-1:30</t>
  </si>
  <si>
    <t>1:30-3:00</t>
  </si>
  <si>
    <t>3:00-4:30</t>
  </si>
  <si>
    <t>4:30-6:00</t>
  </si>
  <si>
    <t>ஞாயிறு </t>
  </si>
  <si>
    <t>உத்தி(su)</t>
  </si>
  <si>
    <t>அமிர்த(mo)</t>
  </si>
  <si>
    <t>ரோகம்(ma)</t>
  </si>
  <si>
    <t>லாபம்(me)</t>
  </si>
  <si>
    <t>தனம்(ju)</t>
  </si>
  <si>
    <t>சுகம்(ve)</t>
  </si>
  <si>
    <t>சோரம்(sa)</t>
  </si>
  <si>
    <t>திங்கல்</t>
  </si>
  <si>
    <t>செவ்வாய் </t>
  </si>
  <si>
    <t>புதன் </t>
  </si>
  <si>
    <t>வியாழன் </t>
  </si>
  <si>
    <t>வெள்ளி </t>
  </si>
  <si>
    <t>சானி </t>
  </si>
  <si>
    <t>"</t>
  </si>
  <si>
    <t>விஷம்(Ra)</t>
  </si>
  <si>
    <t>Ref SS 11.1</t>
  </si>
  <si>
    <t>Ref SS 11.2</t>
  </si>
  <si>
    <t xml:space="preserve">duṣṭā </t>
  </si>
  <si>
    <t xml:space="preserve">kucaritrā </t>
  </si>
  <si>
    <t xml:space="preserve">samāyā </t>
  </si>
  <si>
    <t>Guru</t>
  </si>
  <si>
    <t>sādhvī</t>
  </si>
  <si>
    <t>dāsī</t>
  </si>
  <si>
    <t>chalānvitā</t>
  </si>
  <si>
    <t>prakīrṇakāmā</t>
  </si>
  <si>
    <t xml:space="preserve">guṇānvitā </t>
  </si>
  <si>
    <t>klībā</t>
  </si>
  <si>
    <t>satī</t>
  </si>
  <si>
    <t xml:space="preserve">khyātaguṇā </t>
  </si>
  <si>
    <t xml:space="preserve">kalāsu nipuṇā </t>
  </si>
  <si>
    <t xml:space="preserve">guṇavatī </t>
  </si>
  <si>
    <t xml:space="preserve">svatantrā </t>
  </si>
  <si>
    <t xml:space="preserve">kulapāṁsanā </t>
  </si>
  <si>
    <t xml:space="preserve">śilpakalā'bhijñā </t>
  </si>
  <si>
    <t xml:space="preserve">bahuguṇā </t>
  </si>
  <si>
    <t xml:space="preserve">patighnī </t>
  </si>
  <si>
    <t xml:space="preserve">vācālā </t>
  </si>
  <si>
    <t xml:space="preserve">satī </t>
  </si>
  <si>
    <t xml:space="preserve">puṁśceṣṭitā </t>
  </si>
  <si>
    <t xml:space="preserve">rājñī </t>
  </si>
  <si>
    <t xml:space="preserve">kulacyutā </t>
  </si>
  <si>
    <t>bahuguṇā</t>
  </si>
  <si>
    <t xml:space="preserve">satī matā </t>
  </si>
  <si>
    <t xml:space="preserve">vijñānasaṁyutā </t>
  </si>
  <si>
    <t>anekaguṇānvitā</t>
  </si>
  <si>
    <t>alparatiḥ</t>
  </si>
  <si>
    <t xml:space="preserve">dāsī </t>
  </si>
  <si>
    <t xml:space="preserve">suprajñā </t>
  </si>
  <si>
    <t xml:space="preserve">nīcajanānugā </t>
  </si>
  <si>
    <t xml:space="preserve">pativratā </t>
  </si>
  <si>
    <t xml:space="preserve">duḥsthā khalā </t>
  </si>
  <si>
    <t>punarbhū</t>
  </si>
  <si>
    <t>triṁśāṁśa phala BPHS 80.9</t>
  </si>
  <si>
    <t>இரவு●</t>
  </si>
  <si>
    <t>Thu</t>
  </si>
  <si>
    <r>
      <t>பகல்</t>
    </r>
    <r>
      <rPr>
        <b/>
        <sz val="11"/>
        <color indexed="8"/>
        <rFont val="Calibri"/>
        <family val="2"/>
      </rPr>
      <t>○</t>
    </r>
  </si>
  <si>
    <t>Chala(Ve)</t>
  </si>
  <si>
    <t>Udvega(Su)</t>
  </si>
  <si>
    <t>Labha(Me)</t>
  </si>
  <si>
    <t>Amruta(Mo)</t>
  </si>
  <si>
    <t>Kal(Sa)</t>
  </si>
  <si>
    <t>Shubha(Ju)</t>
  </si>
  <si>
    <t>Roga(Ma)</t>
  </si>
  <si>
    <t>Day Choghadiya</t>
  </si>
  <si>
    <t xml:space="preserve"> Night Choghadiya</t>
  </si>
  <si>
    <t>Srath</t>
  </si>
  <si>
    <t>Pratipada is like birth</t>
  </si>
  <si>
    <t>Dwiteeya is like sustenance in this world</t>
  </si>
  <si>
    <t>Truteeya is like the end.</t>
  </si>
  <si>
    <t xml:space="preserve"> we progress to Kartikeya and other warrior Gods and Goddesses on Shasti including Naga</t>
  </si>
  <si>
    <t>Then the desire for well being dawns and the Sun is worshipped on Saptami</t>
  </si>
  <si>
    <t xml:space="preserve">Pooja's begin from the fourth with Ganapati, </t>
  </si>
  <si>
    <t xml:space="preserve"> then we worship Bharati (Saraswati) or Sri</t>
  </si>
  <si>
    <t>Astami is for Bali Karma</t>
  </si>
  <si>
    <t xml:space="preserve"> and Navami for the Dharma Devata led by SRI RAM</t>
  </si>
  <si>
    <t xml:space="preserve"> Dasami is for the Devi and other such strengths that give us success</t>
  </si>
  <si>
    <t>Ekadasi is to pray for world peace after the war of dasami is over</t>
  </si>
  <si>
    <t xml:space="preserve"> Dwadasi is for progress that follows peace and </t>
  </si>
  <si>
    <t>Trayodasi is for wealth that follows peace and progress</t>
  </si>
  <si>
    <t>Chaturdasi is to save us from the sins that we make after wealth has come</t>
  </si>
  <si>
    <t>Poornima is to pray for Mukti after realising that all this was but a Drama for our understanding. So say HARI OM TAT SAT</t>
  </si>
  <si>
    <t>AvaYogi Lord</t>
  </si>
  <si>
    <t>Yoga Nakshatra</t>
  </si>
  <si>
    <t>Rashi Lord</t>
  </si>
  <si>
    <t>Sun/Merc</t>
  </si>
  <si>
    <t>Merc/Venus</t>
  </si>
  <si>
    <t>Venus/Mars</t>
  </si>
  <si>
    <t>Jupiter/Saturn</t>
  </si>
  <si>
    <t>Saturn/Jupiter</t>
  </si>
  <si>
    <t>Mars/Venus</t>
  </si>
  <si>
    <t>Venus/Merc</t>
  </si>
  <si>
    <t>Mercury/Moon</t>
  </si>
  <si>
    <t xml:space="preserve">Pra+Bhava: Creator. </t>
  </si>
  <si>
    <t>Vi+Bhava: Evolve,Spread, Grow</t>
  </si>
  <si>
    <t>White, Pure, Compare with Shukra</t>
  </si>
  <si>
    <t>Pra+Moda=Excessive Joy</t>
  </si>
  <si>
    <t>Praja+Pati=Lord of Creatures.</t>
  </si>
  <si>
    <t>Son of Angirasa</t>
  </si>
  <si>
    <t xml:space="preserve">Shree+Mukha=Beautiful face, </t>
  </si>
  <si>
    <t>from Bhu: To become, To Appear</t>
  </si>
  <si>
    <t>Youth, From Yu root to join or marry</t>
  </si>
  <si>
    <t>Founder</t>
  </si>
  <si>
    <t>Master, also for number 11,</t>
  </si>
  <si>
    <t>Abundance of Corn</t>
  </si>
  <si>
    <t>Look:47,  Kali yuga 3102BC: Destroying/like Manthan.</t>
  </si>
  <si>
    <t>Vi+Krama=Proceed, Stride</t>
  </si>
  <si>
    <t>From Vijaya Count</t>
  </si>
  <si>
    <t xml:space="preserve">Bull, Leader, </t>
  </si>
  <si>
    <t xml:space="preserve">shining beautifully or brightly </t>
  </si>
  <si>
    <t>causing or enabling to cross , helping over a difficulty , liberating , saving</t>
  </si>
  <si>
    <t>King, From Pritvi, Earthly</t>
  </si>
  <si>
    <t xml:space="preserve">Loss, Spend, </t>
  </si>
  <si>
    <t>Winner, Sarva+Jit</t>
  </si>
  <si>
    <t>Protector: Sarva+Dhari</t>
  </si>
  <si>
    <t xml:space="preserve">opposing </t>
  </si>
  <si>
    <t>Deformed, Transformed,</t>
  </si>
  <si>
    <t>Hard, Tough, Sharp (Sharp pointed birds or crying animals)</t>
  </si>
  <si>
    <t>Rejoicing (From root Nand)</t>
  </si>
  <si>
    <t>Victory</t>
  </si>
  <si>
    <t>Winning</t>
  </si>
  <si>
    <t>love or the god of love (விளாம் பழம்)</t>
  </si>
  <si>
    <t xml:space="preserve">bad face, abusive </t>
  </si>
  <si>
    <t>hema+lamba(Golden Pendant?)</t>
  </si>
  <si>
    <t>Slow, Delay,</t>
  </si>
  <si>
    <t>Bad change, Changing, (Vi+Kaar)</t>
  </si>
  <si>
    <t>Lord Shiva (Sharva to kill) The moon (Sharva dark)</t>
  </si>
  <si>
    <t>Refer 41, Float, Boat</t>
  </si>
  <si>
    <t>Fortunate, Good Deed</t>
  </si>
  <si>
    <t xml:space="preserve">beautiful ,auspicious </t>
  </si>
  <si>
    <t>Angry, Passionate,</t>
  </si>
  <si>
    <t>All Kinds of Wealth</t>
  </si>
  <si>
    <t>Defeating</t>
  </si>
  <si>
    <t>Refer 35: Jumping, Monkey, Deer</t>
  </si>
  <si>
    <t xml:space="preserve">a pin , bolt </t>
  </si>
  <si>
    <t>belonging to Soma(Moon), Soft</t>
  </si>
  <si>
    <t>Equal to All, Common</t>
  </si>
  <si>
    <t>causing dissension or revolt</t>
  </si>
  <si>
    <t>Pari+Dhaava: running round</t>
  </si>
  <si>
    <t xml:space="preserve">Ref:13, intoxication madness </t>
  </si>
  <si>
    <t>pure happiness</t>
  </si>
  <si>
    <t xml:space="preserve">From Rakshasa, Demons, </t>
  </si>
  <si>
    <t xml:space="preserve">Anala=Fire, </t>
  </si>
  <si>
    <t>Reddish Brown</t>
  </si>
  <si>
    <t xml:space="preserve">fit for the (present) time, seasonable </t>
  </si>
  <si>
    <t xml:space="preserve">one who has accomplished an aim or object , successful , prosperous </t>
  </si>
  <si>
    <t xml:space="preserve">Belonging to Rudra, </t>
  </si>
  <si>
    <t>bad disposition of mind , envy , hatred</t>
  </si>
  <si>
    <t>a drum, A type throw of the dice in gambling</t>
  </si>
  <si>
    <t xml:space="preserve">emitting blood </t>
  </si>
  <si>
    <t>red-eyed , having red or blood-shot eyes</t>
  </si>
  <si>
    <t>inclined to wrath , passionate , angry</t>
  </si>
  <si>
    <t>end , termination</t>
  </si>
  <si>
    <t>Festivals</t>
  </si>
  <si>
    <t xml:space="preserve">Anatha Chaturdsahi (S14Bhadra, Last day in Ganesh Chaturthi), Narka Chaturdashi(K14karthik, Kali, A day before diwali) </t>
  </si>
  <si>
    <t>Mental Fire, Bhairava, Named after same king</t>
  </si>
  <si>
    <t>Skilled artisan, herbs, fruits, Medicine, Sorcery, thief, poison, reptiles, insects and worms. Copy or Repeating something.</t>
  </si>
  <si>
    <t xml:space="preserve">Aeroplanes, Deer, horses &amp; similar animals, Vegeatables, Merchant, Birth control,Music Prayer panchami thithi and svaathi nakshatram. </t>
  </si>
  <si>
    <t>Ropes,nets, fishing, animals, oysters, dyer, hunter, brewery, killing birds etc.Adi Deva is Sri Yama</t>
  </si>
  <si>
    <t>Supportless</t>
  </si>
  <si>
    <t>constant  vindictivenessBeating,</t>
  </si>
  <si>
    <t>Calamity, Reverses in Life</t>
  </si>
  <si>
    <t>Obstacles in Life, Iron Locking Bar</t>
  </si>
  <si>
    <t>Impulsive, Bright, Spontaneous</t>
  </si>
  <si>
    <t>Evolution, Intellectual,</t>
  </si>
  <si>
    <t xml:space="preserve">Leadership, Belonging to Indra, </t>
  </si>
  <si>
    <t>Body Parts (Kamkoti.org)</t>
  </si>
  <si>
    <t>Forehead</t>
  </si>
  <si>
    <t>Eye Brows</t>
  </si>
  <si>
    <t>Nose</t>
  </si>
  <si>
    <t>Face</t>
  </si>
  <si>
    <t>Ears</t>
  </si>
  <si>
    <t>Lips and Chin</t>
  </si>
  <si>
    <t>Right Hand</t>
  </si>
  <si>
    <t>Left Hand</t>
  </si>
  <si>
    <t>Hand/Fingers</t>
  </si>
  <si>
    <t>chest</t>
  </si>
  <si>
    <t>Breast</t>
  </si>
  <si>
    <t>Stomach</t>
  </si>
  <si>
    <t>Right side of body</t>
  </si>
  <si>
    <t>back side of body</t>
  </si>
  <si>
    <t>Waist</t>
  </si>
  <si>
    <t>Sex organs</t>
  </si>
  <si>
    <t>Anus</t>
  </si>
  <si>
    <t>Right Thigh</t>
  </si>
  <si>
    <t>Left Thigh</t>
  </si>
  <si>
    <t>Sheens</t>
  </si>
  <si>
    <t>Ankles</t>
  </si>
  <si>
    <t>Upper foot</t>
  </si>
  <si>
    <t>Under Foot</t>
  </si>
  <si>
    <t>Ruler</t>
  </si>
  <si>
    <t>VaaraTable</t>
  </si>
  <si>
    <t>Graha Information</t>
  </si>
  <si>
    <t>DurMuhurtha</t>
  </si>
  <si>
    <t xml:space="preserve">Daily Sun and Moon Progression </t>
  </si>
  <si>
    <t>Jhora Lagna</t>
  </si>
  <si>
    <t>Difference</t>
  </si>
  <si>
    <t>Ushna-sikha Start</t>
  </si>
  <si>
    <t>Ushna-sikha End</t>
  </si>
  <si>
    <t>DurMuhurtham Start Time (Lasts 1Mu)</t>
  </si>
  <si>
    <t>DurMuhurtham Start Time (Lasts 1Mu)2</t>
  </si>
  <si>
    <t>Table of Vedha</t>
  </si>
  <si>
    <t>Jup</t>
  </si>
  <si>
    <t>Ven</t>
  </si>
  <si>
    <t>Transit</t>
  </si>
  <si>
    <t>Natal</t>
  </si>
  <si>
    <t>Savya</t>
  </si>
  <si>
    <t>Apasavya</t>
  </si>
  <si>
    <t>Agni (Sun/Mars)</t>
  </si>
  <si>
    <t>Pritvi (Mercury/Lagna)</t>
  </si>
  <si>
    <t>Akasha (Jupiter/Ketu)</t>
  </si>
  <si>
    <t>Group (BrNx49)</t>
  </si>
  <si>
    <t>Jala (Venus/Moon)</t>
  </si>
  <si>
    <t>Vayu (Saturn/Rahu)</t>
  </si>
  <si>
    <t>nandā</t>
  </si>
  <si>
    <t>bhadrā</t>
  </si>
  <si>
    <t>jayā</t>
  </si>
  <si>
    <t>riktā</t>
  </si>
  <si>
    <t>pūrṇā</t>
  </si>
  <si>
    <t>Tithi/तिथि</t>
  </si>
  <si>
    <t xml:space="preserve">nandā/नन्दा </t>
  </si>
  <si>
    <t>bhadrā/भद्रा</t>
  </si>
  <si>
    <t xml:space="preserve">jayāजया </t>
  </si>
  <si>
    <t xml:space="preserve">riktā/रिक्ता </t>
  </si>
  <si>
    <t xml:space="preserve">pūrṇā/पूर्णा </t>
  </si>
  <si>
    <t>River</t>
  </si>
  <si>
    <t>dhātā</t>
  </si>
  <si>
    <t>aryamā</t>
  </si>
  <si>
    <t>mitra</t>
  </si>
  <si>
    <t>varuṇa</t>
  </si>
  <si>
    <t>indra</t>
  </si>
  <si>
    <t>vivasvān</t>
  </si>
  <si>
    <t>puśa</t>
  </si>
  <si>
    <t>parjanya</t>
  </si>
  <si>
    <t>anśumān</t>
  </si>
  <si>
    <t>bhaga</t>
  </si>
  <si>
    <t>tvaṣta</t>
  </si>
  <si>
    <t>viśṇu</t>
  </si>
  <si>
    <t>Aditya Others</t>
  </si>
  <si>
    <t>dhatṛ , savitṛ</t>
  </si>
  <si>
    <t>sūrya</t>
  </si>
  <si>
    <t>ravi</t>
  </si>
  <si>
    <t>aruna</t>
  </si>
  <si>
    <t>śakra</t>
  </si>
  <si>
    <t>manu</t>
  </si>
  <si>
    <t>bhāskara</t>
  </si>
  <si>
    <t>dhūti</t>
  </si>
  <si>
    <t>aṁśa , yama</t>
  </si>
  <si>
    <t>dakśa</t>
  </si>
  <si>
    <t>tvaṣṭṛ</t>
  </si>
  <si>
    <t>saha</t>
  </si>
  <si>
    <t>Ganga</t>
  </si>
  <si>
    <t>Reva</t>
  </si>
  <si>
    <t>Sarasvati</t>
  </si>
  <si>
    <t>Yamuna</t>
  </si>
  <si>
    <t>Godavari</t>
  </si>
  <si>
    <t>Krishnaveni(Krishna)</t>
  </si>
  <si>
    <t>kaaveri</t>
  </si>
  <si>
    <t>Bhimaradhi (Bhima)</t>
  </si>
  <si>
    <t>Pushkara vahini (Brahma Putra)</t>
  </si>
  <si>
    <t>Tunga (Tunga Bhadra)</t>
  </si>
  <si>
    <t>Sindhu (Indus)</t>
  </si>
  <si>
    <t>Vranitaa</t>
  </si>
  <si>
    <t>1 Trimsamsha</t>
  </si>
  <si>
    <t>1 Nakshatra</t>
  </si>
  <si>
    <t>1 Shashtiamsha</t>
  </si>
  <si>
    <t>1 Saptamsha</t>
  </si>
  <si>
    <t>1/2 Nadiamsha</t>
  </si>
  <si>
    <t>1 Vimsamsha</t>
  </si>
  <si>
    <t>1/4 Nadiamsha</t>
  </si>
  <si>
    <t>1/3 Nadiamsha</t>
  </si>
  <si>
    <t>Avg Speed (MJUS)
/Day</t>
  </si>
  <si>
    <t>Speed (Wiki) in Days
(Sidereal)</t>
  </si>
  <si>
    <t>Revolution 
in MahaYuga</t>
  </si>
  <si>
    <t>Pooram, pubba</t>
  </si>
  <si>
    <t>Month (Tamil)</t>
  </si>
  <si>
    <t>Month (Transliteration)</t>
  </si>
  <si>
    <t>Sanskrit Name *</t>
  </si>
  <si>
    <t>Cittirai</t>
  </si>
  <si>
    <t>Chaitra</t>
  </si>
  <si>
    <t>mid-April to mid-May</t>
  </si>
  <si>
    <t>mid-May to mid-June</t>
  </si>
  <si>
    <t>Jyaishtha</t>
  </si>
  <si>
    <t>mid-June to mid-July</t>
  </si>
  <si>
    <t>mid-July to mid-August</t>
  </si>
  <si>
    <t>mid-August to mid-September</t>
  </si>
  <si>
    <t>mid-September to mid-October</t>
  </si>
  <si>
    <t>Aippaci</t>
  </si>
  <si>
    <t>Ashwina/Ashvayuja</t>
  </si>
  <si>
    <t>mid-October to mid-November</t>
  </si>
  <si>
    <t>mid-November to mid-December</t>
  </si>
  <si>
    <t>mid-December to mid-January</t>
  </si>
  <si>
    <t>Tai</t>
  </si>
  <si>
    <t>mid-January to mid-February</t>
  </si>
  <si>
    <t>mid-February to mid-March</t>
  </si>
  <si>
    <t>Phalguna</t>
  </si>
  <si>
    <t>mid-March to mid-April</t>
  </si>
  <si>
    <t>சித்திரை</t>
  </si>
  <si>
    <t>வைகாசி</t>
  </si>
  <si>
    <t>Vaikāci</t>
  </si>
  <si>
    <t>Vaisākha</t>
  </si>
  <si>
    <t>ஆனி</t>
  </si>
  <si>
    <t>Āni</t>
  </si>
  <si>
    <t>ஆடி</t>
  </si>
  <si>
    <t>Āṭi</t>
  </si>
  <si>
    <t>Āshāḍha</t>
  </si>
  <si>
    <t>ஆவணி</t>
  </si>
  <si>
    <t>Āvaṇi</t>
  </si>
  <si>
    <t>Shrāvaṇa</t>
  </si>
  <si>
    <t>புரட்டாசி</t>
  </si>
  <si>
    <t>Puraṭṭāci</t>
  </si>
  <si>
    <t>Bhādrapada/Prauṣṭhapada</t>
  </si>
  <si>
    <t>ஐப்பசி</t>
  </si>
  <si>
    <t>கார்த்திகை</t>
  </si>
  <si>
    <t>Kārttikai</t>
  </si>
  <si>
    <t>Kārttika</t>
  </si>
  <si>
    <t>மார்கழி</t>
  </si>
  <si>
    <t>Mārkazhi</t>
  </si>
  <si>
    <t>Mārgaṣīrṣa</t>
  </si>
  <si>
    <t>தை</t>
  </si>
  <si>
    <t>Pausha/Taiṣya</t>
  </si>
  <si>
    <t>மாசி</t>
  </si>
  <si>
    <t>Māci</t>
  </si>
  <si>
    <t>Māgha</t>
  </si>
  <si>
    <t>பங்குனி</t>
  </si>
  <si>
    <t>Paṅkuni</t>
  </si>
  <si>
    <t>a ka tha ha</t>
  </si>
  <si>
    <t>o ḍa va</t>
  </si>
  <si>
    <t>ī gha na</t>
  </si>
  <si>
    <t>aḥ ta sa</t>
  </si>
  <si>
    <t>u ṅa pa</t>
  </si>
  <si>
    <t>ḷ jha ma</t>
  </si>
  <si>
    <t>ṝ ja bha</t>
  </si>
  <si>
    <t>ai ṭha la</t>
  </si>
  <si>
    <t>ā kha da</t>
  </si>
  <si>
    <t>au ḍha śa</t>
  </si>
  <si>
    <t>aṁ ṇa ṣa</t>
  </si>
  <si>
    <t>ū ca pha</t>
  </si>
  <si>
    <t>ḹ ña ya</t>
  </si>
  <si>
    <t>ṛ cha ba</t>
  </si>
  <si>
    <t>e ṭa ra</t>
  </si>
  <si>
    <t>अ क थ ह</t>
  </si>
  <si>
    <t>ओ ड व</t>
  </si>
  <si>
    <t>ई घ न</t>
  </si>
  <si>
    <t>अः त स</t>
  </si>
  <si>
    <t>उ ङ प</t>
  </si>
  <si>
    <t>ऌ झ म</t>
  </si>
  <si>
    <t>ॠ ज भ</t>
  </si>
  <si>
    <t>ऐ ठ ल</t>
  </si>
  <si>
    <t>अं ण ष</t>
  </si>
  <si>
    <t>इ ग ध</t>
  </si>
  <si>
    <t>औ ढ श</t>
  </si>
  <si>
    <t>आ ख द</t>
  </si>
  <si>
    <t>ऊ च फ</t>
  </si>
  <si>
    <t>ॡ ञ य</t>
  </si>
  <si>
    <t>ऋ छ ब</t>
  </si>
  <si>
    <t>ए ट र</t>
  </si>
  <si>
    <t>C1</t>
  </si>
  <si>
    <t>C2</t>
  </si>
  <si>
    <t>C3</t>
  </si>
  <si>
    <t>C4</t>
  </si>
  <si>
    <t>R1</t>
  </si>
  <si>
    <t>R2</t>
  </si>
  <si>
    <t>R3</t>
  </si>
  <si>
    <t>R4</t>
  </si>
  <si>
    <t>akathaha Chakra</t>
  </si>
  <si>
    <t>kālī</t>
  </si>
  <si>
    <t>gaurī</t>
  </si>
  <si>
    <t>lakṣmī</t>
  </si>
  <si>
    <t>vijayā</t>
  </si>
  <si>
    <t>vimalā</t>
  </si>
  <si>
    <t>tārā</t>
  </si>
  <si>
    <t>jvālāmukhī</t>
  </si>
  <si>
    <t>śvetā</t>
  </si>
  <si>
    <t>lalitā</t>
  </si>
  <si>
    <t>bagalāmukhī</t>
  </si>
  <si>
    <t>pratyaṅgirā</t>
  </si>
  <si>
    <t>śacī</t>
  </si>
  <si>
    <t>bhavānī</t>
  </si>
  <si>
    <t>varadā</t>
  </si>
  <si>
    <t>tripurā</t>
  </si>
  <si>
    <t>sumukhī</t>
  </si>
  <si>
    <t>dayā</t>
  </si>
  <si>
    <t>medhā</t>
  </si>
  <si>
    <t>chinnaśīrṣā</t>
  </si>
  <si>
    <t>piśācinī</t>
  </si>
  <si>
    <t>dhūmāvatī</t>
  </si>
  <si>
    <t>mātaṅgī</t>
  </si>
  <si>
    <t>bālā</t>
  </si>
  <si>
    <t>aruṇā</t>
  </si>
  <si>
    <t>analā</t>
  </si>
  <si>
    <t>piṅgalā</t>
  </si>
  <si>
    <t>chucchukā</t>
  </si>
  <si>
    <t>vārāhī</t>
  </si>
  <si>
    <t>sitā</t>
  </si>
  <si>
    <t>bhuvaneśī</t>
  </si>
  <si>
    <t>bhairavī</t>
  </si>
  <si>
    <t>maṅgalā</t>
  </si>
  <si>
    <t>aparājitā</t>
  </si>
  <si>
    <t>Prakruti</t>
  </si>
  <si>
    <t>Ajapad</t>
  </si>
  <si>
    <t>D24 Deities</t>
  </si>
  <si>
    <t>viśvakarmā</t>
  </si>
  <si>
    <t>maya</t>
  </si>
  <si>
    <t>antaka</t>
  </si>
  <si>
    <t>Put "=Dob"</t>
  </si>
  <si>
    <t>Put "=Moon"</t>
  </si>
  <si>
    <t>Nirasa adhipati</t>
  </si>
  <si>
    <t>Saggittarius</t>
  </si>
  <si>
    <t>Dhaanya adhipati</t>
  </si>
  <si>
    <t>Rasa adhipati</t>
  </si>
  <si>
    <t>Sena pati</t>
  </si>
  <si>
    <t>Sasya naayaka</t>
  </si>
  <si>
    <t>Megha adhi pati</t>
  </si>
  <si>
    <t>Argha adhi pati</t>
  </si>
  <si>
    <t>Mantri</t>
  </si>
  <si>
    <t>Pradhaana Mantri</t>
  </si>
  <si>
    <t>2013</t>
  </si>
  <si>
    <t>2014</t>
  </si>
  <si>
    <t>2000</t>
  </si>
  <si>
    <t>Title</t>
  </si>
  <si>
    <t>Aryabhaata Sidereal Year</t>
  </si>
  <si>
    <t>Dagdha Graha</t>
  </si>
  <si>
    <t>Venus,Saturn</t>
  </si>
  <si>
    <t>Sun, Saturn</t>
  </si>
  <si>
    <t>Moon, Jupiter</t>
  </si>
  <si>
    <t>Sun,Mars</t>
  </si>
  <si>
    <t>Venus,Sun</t>
  </si>
  <si>
    <t xml:space="preserve">Avoid Janma,3rd (Vipat), 5th (Pratyak) or 7th (Naidhana) from the Janma Nakshatra of the woman. Worst is Naidhana. </t>
  </si>
  <si>
    <t>Example Points</t>
  </si>
  <si>
    <t>Good Children, +Venus</t>
  </si>
  <si>
    <t>wealth, +Saturn</t>
  </si>
  <si>
    <t>Female better than male Gana</t>
  </si>
  <si>
    <t>Krita=Cut, Divide, Surrounded, Attired</t>
  </si>
  <si>
    <t>Horses rider, having horses</t>
  </si>
  <si>
    <t xml:space="preserve">Red Cow daughter of Surabhi, </t>
  </si>
  <si>
    <t>Having Antelope Head</t>
  </si>
  <si>
    <t xml:space="preserve">Fresh, Moist, </t>
  </si>
  <si>
    <t>Restoring good, Beginning of Wealth/Light</t>
  </si>
  <si>
    <t xml:space="preserve">Nourishment, Blossom, flower, Best of anything, </t>
  </si>
  <si>
    <t xml:space="preserve">ashl=bad,coarse ; esha = gliding,seeking, </t>
  </si>
  <si>
    <t xml:space="preserve">Gift, Power, Wealth, </t>
  </si>
  <si>
    <t>Reddish, Small, Weak, uprofittable, Vanity,?</t>
  </si>
  <si>
    <t>Hand, Elephant Trunk, Holding</t>
  </si>
  <si>
    <t>Bright, Clear, Conspicuous, Excellent, Spotted, Beautiful</t>
  </si>
  <si>
    <t>Having good taste</t>
  </si>
  <si>
    <t>Branched (Well Branched?), Arched</t>
  </si>
  <si>
    <t>anu=Next, Subordinate, Small Radha=Success, Prosperity, (Lakshmi like in Radha Krishna)</t>
  </si>
  <si>
    <t>Excellent, Eldest</t>
  </si>
  <si>
    <t>Root, Base, Origin</t>
  </si>
  <si>
    <t xml:space="preserve"> not to be overcome , invincible</t>
  </si>
  <si>
    <t xml:space="preserve">victorious , conquest </t>
  </si>
  <si>
    <t>the act of hearing,that which is heard</t>
  </si>
  <si>
    <t>very rich (Dhan + Ishta)</t>
  </si>
  <si>
    <t>requiring a hundred physicians</t>
  </si>
  <si>
    <t>Wealthy, Brilliant, As in Cows and Waters</t>
  </si>
  <si>
    <t>Andhaadi</t>
  </si>
  <si>
    <t>Andha-Blind</t>
  </si>
  <si>
    <t>Manda-Slow</t>
  </si>
  <si>
    <t>Kaana-one eyed</t>
  </si>
  <si>
    <t>Sulochana-Birght eyed</t>
  </si>
  <si>
    <t>Tatva Group</t>
  </si>
  <si>
    <t>Tatva</t>
  </si>
  <si>
    <t>Pada 1</t>
  </si>
  <si>
    <t>Pada 2</t>
  </si>
  <si>
    <t>Pada 3</t>
  </si>
  <si>
    <t>Pada 4</t>
  </si>
  <si>
    <t>Thief</t>
  </si>
  <si>
    <t>Childish</t>
  </si>
  <si>
    <t>Fortunate</t>
  </si>
  <si>
    <t>Enjoyer, Long Life</t>
  </si>
  <si>
    <t>Sacrificing</t>
  </si>
  <si>
    <t>Happy, Rich</t>
  </si>
  <si>
    <t>Cruel Deeds</t>
  </si>
  <si>
    <t>Poverty</t>
  </si>
  <si>
    <t>Radiant</t>
  </si>
  <si>
    <t>Spiritual Knowledge</t>
  </si>
  <si>
    <t>Grief</t>
  </si>
  <si>
    <t>Long Life, Sons</t>
  </si>
  <si>
    <t>Prosperous</t>
  </si>
  <si>
    <t>Many Evils</t>
  </si>
  <si>
    <t>Timid</t>
  </si>
  <si>
    <t>Truthful</t>
  </si>
  <si>
    <t>Kingly</t>
  </si>
  <si>
    <t>Enjoyer</t>
  </si>
  <si>
    <t>Wealth, Grains</t>
  </si>
  <si>
    <t>Spendthrift</t>
  </si>
  <si>
    <t>Short Life</t>
  </si>
  <si>
    <t>Happy</t>
  </si>
  <si>
    <t>Learned</t>
  </si>
  <si>
    <t>Sickly</t>
  </si>
  <si>
    <t>Untruth</t>
  </si>
  <si>
    <t>Long life</t>
  </si>
  <si>
    <t>Intelligent</t>
  </si>
  <si>
    <t>Childless</t>
  </si>
  <si>
    <t>No Funeral</t>
  </si>
  <si>
    <t>Skillfull</t>
  </si>
  <si>
    <t>Scholar</t>
  </si>
  <si>
    <t>Heroic</t>
  </si>
  <si>
    <t>Justice</t>
  </si>
  <si>
    <t>Fierce</t>
  </si>
  <si>
    <t>Cruel</t>
  </si>
  <si>
    <t>Good Human</t>
  </si>
  <si>
    <t>Lordly</t>
  </si>
  <si>
    <t>High honour</t>
  </si>
  <si>
    <t>Eloquent</t>
  </si>
  <si>
    <t>Valorous</t>
  </si>
  <si>
    <t>Spiritual Wisdom</t>
  </si>
  <si>
    <t>Servitude</t>
  </si>
  <si>
    <t>Sons</t>
  </si>
  <si>
    <t>Righteous</t>
  </si>
  <si>
    <t>Emperor</t>
  </si>
  <si>
    <t>Artist</t>
  </si>
  <si>
    <t>Short life</t>
  </si>
  <si>
    <t>Polity, Policy</t>
  </si>
  <si>
    <t>Charitable</t>
  </si>
  <si>
    <t>Sacrifice</t>
  </si>
  <si>
    <t>Inimical to all</t>
  </si>
  <si>
    <t>Virtuous</t>
  </si>
  <si>
    <t>Reputed Scholar</t>
  </si>
  <si>
    <t>Wealthy</t>
  </si>
  <si>
    <t>Deadly Disease</t>
  </si>
  <si>
    <t>Success</t>
  </si>
  <si>
    <t>Honour</t>
  </si>
  <si>
    <t>Brilliance</t>
  </si>
  <si>
    <t>Victorious</t>
  </si>
  <si>
    <t>Righteous, just</t>
  </si>
  <si>
    <t>Bad Background</t>
  </si>
  <si>
    <t>Religious</t>
  </si>
  <si>
    <t>Great spouce</t>
  </si>
  <si>
    <t>Greiving</t>
  </si>
  <si>
    <t>Pada/Feet</t>
  </si>
  <si>
    <t>Kati/Hip</t>
  </si>
  <si>
    <t>Kukshi/Navel</t>
  </si>
  <si>
    <t>Kantha/Neck</t>
  </si>
  <si>
    <t>Shiro/Head</t>
  </si>
  <si>
    <t>Paata (Up,Mr,Ka, Sa)</t>
  </si>
  <si>
    <t>Shiva Nakshatra Purusha</t>
  </si>
  <si>
    <t>Ashvayuja</t>
  </si>
  <si>
    <t>Invakaa, Mrigaseersham</t>
  </si>
  <si>
    <t>baahoo, Thiruvaadhirai,Aarudra</t>
  </si>
  <si>
    <t>tishya, Poosam</t>
  </si>
  <si>
    <t>Nishtyaa</t>
  </si>
  <si>
    <t>Vicrita, Moolabarhani, Moolam</t>
  </si>
  <si>
    <t>Shronaa, Thiruvonam</t>
  </si>
  <si>
    <t>Avittam,Shravishta</t>
  </si>
  <si>
    <t>Poorataadhi,Poorva Proshtapada</t>
  </si>
  <si>
    <t>Uttarataadhi,Uttara Proshtapada</t>
  </si>
  <si>
    <t>Best Feet, Auspicious Feet, Proshta means bench, stool, Standing below</t>
  </si>
  <si>
    <t>Duration in 24 Hrs</t>
  </si>
  <si>
    <t>Visha</t>
  </si>
  <si>
    <t>Amrit</t>
  </si>
  <si>
    <t>Shiva Names</t>
  </si>
  <si>
    <t>kaṇḍendudhara</t>
  </si>
  <si>
    <t>vṛṣāṅka</t>
  </si>
  <si>
    <t>kṛttivāsa</t>
  </si>
  <si>
    <t>vācaspati</t>
  </si>
  <si>
    <t>daśānana bhairava</t>
  </si>
  <si>
    <t>yudhiṣṭira</t>
  </si>
  <si>
    <t>pūṣadantavināśa</t>
  </si>
  <si>
    <t>sarvadarśa</t>
  </si>
  <si>
    <t>tryambaka</t>
  </si>
  <si>
    <t>dhakāra</t>
  </si>
  <si>
    <t>somadhārā</t>
  </si>
  <si>
    <t>gaṅgādhara</t>
  </si>
  <si>
    <t>sāmbhaśiva</t>
  </si>
  <si>
    <t>śankara</t>
  </si>
  <si>
    <t>bhīma</t>
  </si>
  <si>
    <t>trinetraya</t>
  </si>
  <si>
    <t>anangahara</t>
  </si>
  <si>
    <t>surajyeṣṭha</t>
  </si>
  <si>
    <t>dānākhya</t>
  </si>
  <si>
    <t>gouriśankara</t>
  </si>
  <si>
    <t>umākānta</t>
  </si>
  <si>
    <t>kapāla</t>
  </si>
  <si>
    <t>sadyojāta</t>
  </si>
  <si>
    <t>vāmadeva</t>
  </si>
  <si>
    <t>ajaikapāda</t>
  </si>
  <si>
    <t>khaṭvāṅgadhara</t>
  </si>
  <si>
    <t>rudra</t>
  </si>
  <si>
    <t xml:space="preserve">Graha Maitri/Rasyadhipathi </t>
  </si>
  <si>
    <t>Rasi Kuta</t>
  </si>
  <si>
    <t>Rajju Dosha</t>
  </si>
  <si>
    <t>Vedhai Dosha</t>
  </si>
  <si>
    <t>As-Kr, Bh-Anu  etc. Vedha present if Rajju is there</t>
  </si>
  <si>
    <t>Benific Rahu/Ketu, Promote  physiological and to a certain extent hereditary factors.</t>
  </si>
  <si>
    <t>good luck; +Merc (Daily Matching)</t>
  </si>
  <si>
    <t>development of posterity, +Jupiter Gives Attraction.</t>
  </si>
  <si>
    <t xml:space="preserve">Moon +ve, Profession </t>
  </si>
  <si>
    <t>The boy's constellation should be beyond the 9th from that of the girl. According to some authorities the distance should be more than 7 nakshatras. Already Taken in consideration if Rasi Kuta is present</t>
  </si>
  <si>
    <t>NA</t>
  </si>
  <si>
    <t>Ghataka</t>
  </si>
  <si>
    <t>Refer Ghataka Table.</t>
  </si>
  <si>
    <t>Prevent Violence</t>
  </si>
  <si>
    <t>growth of family, +ve Mars; Gives  longevity , Happiness, Wealth, Enjoyment, Progeny</t>
  </si>
  <si>
    <t>Sun +ve, Prosperity in Corns etc Mental attitude..</t>
  </si>
  <si>
    <t>and total points&gt;=26 (8+7+6+5)</t>
  </si>
  <si>
    <t xml:space="preserve">Indra is for Raja Yoga?
</t>
  </si>
  <si>
    <t xml:space="preserve">Rashi māna </t>
  </si>
  <si>
    <t xml:space="preserve">Graha Māna </t>
  </si>
  <si>
    <r>
      <t xml:space="preserve">Libra/Tula
</t>
    </r>
    <r>
      <rPr>
        <sz val="12"/>
        <color indexed="10"/>
        <rFont val="Calibri"/>
        <family val="2"/>
      </rPr>
      <t>(Rikta)</t>
    </r>
  </si>
  <si>
    <r>
      <t xml:space="preserve">Scorpio/Vrishchika
</t>
    </r>
    <r>
      <rPr>
        <sz val="12"/>
        <color indexed="10"/>
        <rFont val="Calibri"/>
        <family val="2"/>
      </rPr>
      <t>(Nanda)</t>
    </r>
  </si>
  <si>
    <r>
      <t xml:space="preserve">Saggittarius/Dhanur
</t>
    </r>
    <r>
      <rPr>
        <sz val="12"/>
        <color indexed="10"/>
        <rFont val="Calibri"/>
        <family val="2"/>
      </rPr>
      <t>(Jaya)</t>
    </r>
  </si>
  <si>
    <r>
      <t xml:space="preserve">Aries/Mesha
</t>
    </r>
    <r>
      <rPr>
        <sz val="12"/>
        <color indexed="10"/>
        <rFont val="Calibri"/>
        <family val="2"/>
      </rPr>
      <t>(Nanda)</t>
    </r>
  </si>
  <si>
    <r>
      <t xml:space="preserve">Taurus/Vrishabha
</t>
    </r>
    <r>
      <rPr>
        <sz val="12"/>
        <color indexed="10"/>
        <rFont val="Calibri"/>
        <family val="2"/>
      </rPr>
      <t>(Purna)</t>
    </r>
  </si>
  <si>
    <r>
      <t xml:space="preserve">Gemini/Mithuna
</t>
    </r>
    <r>
      <rPr>
        <sz val="12"/>
        <color indexed="10"/>
        <rFont val="Calibri"/>
        <family val="2"/>
      </rPr>
      <t>(Bhadra)</t>
    </r>
  </si>
  <si>
    <r>
      <t xml:space="preserve">Cancer/Karka
</t>
    </r>
    <r>
      <rPr>
        <sz val="12"/>
        <color indexed="10"/>
        <rFont val="Calibri"/>
        <family val="2"/>
      </rPr>
      <t>(Bhadra)</t>
    </r>
  </si>
  <si>
    <r>
      <t xml:space="preserve">Leo/Simha
</t>
    </r>
    <r>
      <rPr>
        <sz val="12"/>
        <color indexed="10"/>
        <rFont val="Calibri"/>
        <family val="2"/>
      </rPr>
      <t>(Jaya)</t>
    </r>
  </si>
  <si>
    <r>
      <t xml:space="preserve">Virgo/Kanya
</t>
    </r>
    <r>
      <rPr>
        <sz val="12"/>
        <color indexed="10"/>
        <rFont val="Calibri"/>
        <family val="2"/>
      </rPr>
      <t>(Purna)</t>
    </r>
  </si>
  <si>
    <r>
      <t xml:space="preserve">Capricorn/Makara
</t>
    </r>
    <r>
      <rPr>
        <sz val="12"/>
        <color indexed="10"/>
        <rFont val="Calibri"/>
        <family val="2"/>
      </rPr>
      <t>(Rikta)</t>
    </r>
  </si>
  <si>
    <r>
      <t xml:space="preserve">Aquarius/Kumbha
</t>
    </r>
    <r>
      <rPr>
        <sz val="12"/>
        <color indexed="10"/>
        <rFont val="Calibri"/>
        <family val="2"/>
      </rPr>
      <t>(Jaya)</t>
    </r>
  </si>
  <si>
    <r>
      <t xml:space="preserve">Pisces/Meena
</t>
    </r>
    <r>
      <rPr>
        <sz val="12"/>
        <color indexed="10"/>
        <rFont val="Calibri"/>
        <family val="2"/>
      </rPr>
      <t>(Purna)</t>
    </r>
  </si>
  <si>
    <t>मीन</t>
  </si>
  <si>
    <t>Birds</t>
  </si>
  <si>
    <t>Reptiles</t>
  </si>
  <si>
    <t>Animals</t>
  </si>
  <si>
    <t>Birds/Animals</t>
  </si>
  <si>
    <t>Humans</t>
  </si>
  <si>
    <t>Vulture/Bhaaranda</t>
  </si>
  <si>
    <t>Owl/Pingala</t>
  </si>
  <si>
    <t>Crow/kaaka</t>
  </si>
  <si>
    <t>Carrying, Bringing,  Wearing, Nourishing from root Bhar</t>
  </si>
  <si>
    <t xml:space="preserve">Girl Aries - Leo and Scorpio are amenable. 
For Taurus - Cancer and Libra; 
for Gemini - Virgo; 
for Caner - Scorpio and Sagittarius; 
for Leo - Capricorn and Virgo; 
for Scorpio - Cancer; 
for Sagittarius - Pisces; 
for Capricorn - Aries and Aquarius; 
for Aquarius - Aries; and 
for Pisces - Capricorn. </t>
  </si>
  <si>
    <t>Magha-Hasta</t>
  </si>
  <si>
    <t>Numerology</t>
  </si>
  <si>
    <t>Lock Number</t>
  </si>
  <si>
    <t>Unlock Number</t>
  </si>
  <si>
    <t xml:space="preserve">Bk </t>
  </si>
  <si>
    <t>Amk</t>
  </si>
  <si>
    <t xml:space="preserve"> Karma Yoga </t>
  </si>
  <si>
    <t>1-5 Jupiter D9</t>
  </si>
  <si>
    <t>PiK</t>
  </si>
  <si>
    <t>Mk</t>
  </si>
  <si>
    <t>PuK</t>
  </si>
  <si>
    <t>Karma attached, Will do what the King</t>
  </si>
  <si>
    <t>Ak</t>
  </si>
  <si>
    <t xml:space="preserve">Dārakāraka </t>
  </si>
  <si>
    <t>Gk</t>
  </si>
  <si>
    <t>Enemies, Group, Group-Dynamics,</t>
  </si>
  <si>
    <t>power to protect,Dharma, Duty Bound, What areas we are weak/unprotected.</t>
  </si>
  <si>
    <t>Healing, Bhakti,Unconditional Love, Like Mother,Happiness,</t>
  </si>
  <si>
    <t>Teacher, Guide, Guru, Knowledge, Siblings, Attachment to Paramatma, Attachment due to knowledge.</t>
  </si>
  <si>
    <t>Ahamkaara, Bandana, One who has to do, karmic king, Why u are taking the birth, Should do the dharma, Karmic Attachments to soul</t>
  </si>
  <si>
    <t>Shree, Siddhi, Dk should aspect D1, D3, Money, Professionsl Skills,Sakshi?,Friend,Sustains (2-7 House)</t>
  </si>
  <si>
    <t>Dik Chakra</t>
  </si>
  <si>
    <t>Ishaanaya</t>
  </si>
  <si>
    <t>Mahadevaaya</t>
  </si>
  <si>
    <t>Knowledge</t>
  </si>
  <si>
    <t>Power, Progeny, Will do what the king says,, Will achieve in early life…,Control, Dominations, Overpower,SelfControl.</t>
  </si>
  <si>
    <t>Vara Order</t>
  </si>
  <si>
    <t>3rd Upaya</t>
  </si>
  <si>
    <t>4th Block</t>
  </si>
  <si>
    <t>5th Kavacha</t>
  </si>
  <si>
    <t>8th Grahana</t>
  </si>
  <si>
    <t>9th Oppose</t>
  </si>
  <si>
    <t>4th+9th Dhatu Hit
3rd is Upāya</t>
  </si>
  <si>
    <t xml:space="preserve">5th+8th = Issue
</t>
  </si>
  <si>
    <t>Jupi</t>
  </si>
  <si>
    <t>Ex Block Parkinsons Mars,Unlock Venus in 6th</t>
  </si>
  <si>
    <t>Lock</t>
  </si>
  <si>
    <t>Rah</t>
  </si>
  <si>
    <t>Venu</t>
  </si>
  <si>
    <t>Ex Block Jupiter-Cancer</t>
  </si>
  <si>
    <t>Unlock</t>
  </si>
  <si>
    <t>Ex Unblock Neecha Moon</t>
  </si>
  <si>
    <t>Ashwini, Bharani, Krittika, Pushya,Ashlesha, Swaati, Shraavana, Revati</t>
  </si>
  <si>
    <t>Suitable Boys with Score &gt;26</t>
  </si>
  <si>
    <t>Aswini,Rohini,Punarvasu(4-Karka),Swaati,Uttara Aashaada(2-4-Makara), Shraavana</t>
  </si>
  <si>
    <t xml:space="preserve">Ashwini, Bharani, Krittika(1-Mesha), Pushya, Chitra(2-4 Tula), </t>
  </si>
  <si>
    <t>Krittika(3-4 Vrishabha), Mrigashira(1-2 Vrishabha),Jyeshta, Dhanishta(Kumbha),Shatabhishak</t>
  </si>
  <si>
    <t xml:space="preserve">Rohini, Mrigashira(Both Rashi),Punarvasu(Karka),Pushya, Uttara Phalguni(Simha), Anuradha, Purva Bhadrapad(Both Rashi), Uttara Bhadrapad </t>
  </si>
  <si>
    <t>,Uttara Phalguni 2-3,Hasta,Uttara Ashada 1,Uttara Ashada 2-4,Shravana ,Purva Bhadrapada 4,Uttara Bhadrapada,Revati</t>
  </si>
  <si>
    <t>,Mula,Purva Ashada,Purva Bhadrapada 4,Uttara Bhadrapada,Revati</t>
  </si>
  <si>
    <t>DNA??</t>
  </si>
  <si>
    <t>Assistant/Raajya/Destiny</t>
  </si>
  <si>
    <t>Aadhana/Father</t>
  </si>
  <si>
    <t>Navamsa House</t>
  </si>
  <si>
    <t>Role</t>
  </si>
  <si>
    <t>Mātṛi /King</t>
  </si>
  <si>
    <t>Seq27</t>
  </si>
  <si>
    <t>Takes to Spirituality/Transformation??</t>
  </si>
  <si>
    <t>How you write Like Ganesha Guru Word/Recollect</t>
  </si>
  <si>
    <t>Chandra Ashtama (Follower)</t>
  </si>
  <si>
    <t>New Start ?? Self</t>
  </si>
  <si>
    <t>Income??/Needs Chastity</t>
  </si>
  <si>
    <t>Initiations</t>
  </si>
  <si>
    <t>Sanghaatika/Kundalini</t>
  </si>
  <si>
    <t>Iccha Mṛityu/Sati</t>
  </si>
  <si>
    <t>Maanasa/Jaati</t>
  </si>
  <si>
    <t>Brahma/Desha</t>
  </si>
  <si>
    <t>Vishnu/Abhisheka</t>
  </si>
  <si>
    <t xml:space="preserve">Krittika(Vrishabha), Rohini(Vrishabha),  Punarvasu(Karka), Shraavana, Shatabhishak, PurvaBhadrapad(Both Rashi), UttaraBhadrapad, Revati </t>
  </si>
  <si>
    <t>Ashwini, Rohini,  Ardra, Punarvasu(Mithuna), UttaraPhalguni(Kanya), Hasta, Revati</t>
  </si>
  <si>
    <t>Purva Phalguni,Chitra 1-2,Purva Ashada,Uttara Ashada 1,Uttara Bhadrapada,Revati</t>
  </si>
  <si>
    <t>Chitra 1-2,Purva Ashada,Uttara Bhadrapada,Revati</t>
  </si>
  <si>
    <t>Uttara Ashada 2-4,Shravana ,Purva Bhadrapada 4,Revati</t>
  </si>
  <si>
    <t>Dhanishta(1-2 Makara)</t>
  </si>
  <si>
    <t>Purva Phalguni,Uttara Phalguni 1,Jyeshta</t>
  </si>
  <si>
    <t>Purva Phalguni,Uttara Phalguni 1</t>
  </si>
  <si>
    <t>Purva Phalguni,Uttara Phalguni 1,Anuradha,Uttara Bhadrapada</t>
  </si>
  <si>
    <t>Uttara Phalguni 2-3,Hasta,Anuradha,Purva Ashada,Uttara Ashada 1,Shatabhishaj,Uttara Bhadrapada,Revati</t>
  </si>
  <si>
    <t>Uttara Phalguni 2-3,Hasta,Chitra 1-2,Chitra 2-4,Swathi,Anuradha,Purva Ashada,Uttara Bhadrapada</t>
  </si>
  <si>
    <t>Hasta,Vishaka 4,Mula,Shatabhishaj</t>
  </si>
  <si>
    <t>Hasta,Chitra 2-4,Purva Ashada,Dhanishta 1-2</t>
  </si>
  <si>
    <t>Sign/Rashi</t>
  </si>
  <si>
    <t>Nakshatra (Pada)</t>
  </si>
  <si>
    <t>Above</t>
  </si>
  <si>
    <t>Bride (girl) Rashi Above</t>
  </si>
  <si>
    <t>Uttara Phalguni 2-3,Swathi,Vishaka 1-3,Mula</t>
  </si>
  <si>
    <t>Chitra 1-2,Chitra 2-4,Vishaka 1-3,Mula,Dhanishta 1-2</t>
  </si>
  <si>
    <t>Chitra 1-2,Vishaka 4,Anuradha,Jyeshta</t>
  </si>
  <si>
    <t>Uttara Phalguni 1,Vishaka 4,Anuradha,Jyeshta,Shravana</t>
  </si>
  <si>
    <t>Vishaka 4,Anuradha</t>
  </si>
  <si>
    <t>Chitra 1-2,Chitra 2-4,Vishaka 1-3,Purva Ashada,Dhanishta 2-4,Revati</t>
  </si>
  <si>
    <t>Uttara Phalguni 2-3,Hasta,Swathi,Mula,Purva Ashada,Uttara Ashada 1,Purva Bhadrapad 1-3,Revati</t>
  </si>
  <si>
    <t>Uttara Phalguni 2-3,Hasta,Purva Ashada,Uttara Ashada 1,Purva Bhadrapad 1-3,Uttara Bhadrapad</t>
  </si>
  <si>
    <t>Swathi,Anuradha,Uttara Ashada 2-4,Shravana ,Purva Bhadrapada 4,Uttara Bhadrapada</t>
  </si>
  <si>
    <t>Anuradha,Uttara Ashada 2-4,Shravana ,Dhanishta 1-2,Purva Bhadrapada 4,Uttara Bhadrapada</t>
  </si>
  <si>
    <t>Vishaka 1-3,Vishaka 4,Jyeshta,Shravana</t>
  </si>
  <si>
    <t>Shatabhishaj,Purva Bhadrapad 1-3</t>
  </si>
  <si>
    <t>Vishaka 1-3,Vishaka 4,Dhanishta 2-4,Purva Bhadrapad 1-3</t>
  </si>
  <si>
    <t>Purva Phalguni,Swathi,Anuradha,Purva Ashada,Uttara Ashada 1,Dhanishta 1-2,Dhanishta 2-4</t>
  </si>
  <si>
    <t>Purva Ashada,Uttara Ashada 1,Uttara Ashada 2-4,Shravana ,Uttara Bhadrapada,Revati</t>
  </si>
  <si>
    <t xml:space="preserve">bhraṣṭa </t>
  </si>
  <si>
    <t>D20Deities</t>
  </si>
  <si>
    <t>D27 Deities</t>
  </si>
  <si>
    <t>D27 Deities2</t>
  </si>
  <si>
    <t>D150Deities</t>
  </si>
  <si>
    <t>Deity(Muhurtha Chintamani)</t>
  </si>
  <si>
    <t>D20Deities2</t>
  </si>
  <si>
    <t>Gregorian Cal</t>
  </si>
  <si>
    <t>Meanigng</t>
  </si>
  <si>
    <t>Lover, Bee</t>
  </si>
  <si>
    <t>Terrible</t>
  </si>
  <si>
    <t>All Creator</t>
  </si>
  <si>
    <t>Bestower</t>
  </si>
  <si>
    <t>govinda</t>
  </si>
  <si>
    <t>madana</t>
  </si>
  <si>
    <t>skanda</t>
  </si>
  <si>
    <t>anala</t>
  </si>
  <si>
    <t>Yama, Destroyer</t>
  </si>
  <si>
    <t>vṛshadhvajā</t>
  </si>
  <si>
    <t>Bull as symbol (Or a mouse or rat (cf. व्/ऋश ?)</t>
  </si>
  <si>
    <t>Protector of Contracts</t>
  </si>
  <si>
    <t>रुद्र</t>
  </si>
  <si>
    <t>कपाली</t>
  </si>
  <si>
    <t>kapālī</t>
  </si>
  <si>
    <t>पिंगल</t>
  </si>
  <si>
    <t>piṁgala</t>
  </si>
  <si>
    <r>
      <t>ॐ</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शत्रुस्तम्भनाय</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ॐ</t>
    </r>
    <r>
      <rPr>
        <sz val="12"/>
        <color indexed="8"/>
        <rFont val="Shusha"/>
      </rPr>
      <t xml:space="preserve"> </t>
    </r>
    <r>
      <rPr>
        <sz val="12"/>
        <color indexed="8"/>
        <rFont val="Mangal"/>
        <family val="1"/>
      </rPr>
      <t>फट्</t>
    </r>
    <r>
      <rPr>
        <sz val="12"/>
        <color indexed="8"/>
        <rFont val="Shusha"/>
      </rPr>
      <t xml:space="preserve"> </t>
    </r>
    <r>
      <rPr>
        <sz val="12"/>
        <color indexed="8"/>
        <rFont val="Mangal"/>
        <family val="1"/>
      </rPr>
      <t>।</t>
    </r>
  </si>
  <si>
    <r>
      <rPr>
        <sz val="12"/>
        <color indexed="8"/>
        <rFont val="Mangal"/>
        <family val="1"/>
      </rPr>
      <t>ॐ</t>
    </r>
    <r>
      <rPr>
        <sz val="12"/>
        <color indexed="8"/>
        <rFont val="Calibri"/>
        <family val="2"/>
      </rPr>
      <t xml:space="preserve"> </t>
    </r>
    <r>
      <rPr>
        <sz val="12"/>
        <color indexed="8"/>
        <rFont val="Mangal"/>
        <family val="1"/>
      </rPr>
      <t>श्रीं</t>
    </r>
    <r>
      <rPr>
        <sz val="12"/>
        <color indexed="8"/>
        <rFont val="Calibri"/>
        <family val="2"/>
      </rPr>
      <t xml:space="preserve"> </t>
    </r>
    <r>
      <rPr>
        <sz val="12"/>
        <color indexed="8"/>
        <rFont val="Mangal"/>
        <family val="1"/>
      </rPr>
      <t>ह्रीं</t>
    </r>
    <r>
      <rPr>
        <sz val="12"/>
        <color indexed="8"/>
        <rFont val="Calibri"/>
        <family val="2"/>
      </rPr>
      <t xml:space="preserve"> </t>
    </r>
    <r>
      <rPr>
        <sz val="12"/>
        <color indexed="8"/>
        <rFont val="Mangal"/>
        <family val="1"/>
      </rPr>
      <t>श्रीं</t>
    </r>
    <r>
      <rPr>
        <sz val="12"/>
        <color indexed="8"/>
        <rFont val="Calibri"/>
        <family val="2"/>
      </rPr>
      <t xml:space="preserve"> </t>
    </r>
    <r>
      <rPr>
        <sz val="12"/>
        <color indexed="8"/>
        <rFont val="Mangal"/>
        <family val="1"/>
      </rPr>
      <t>सर्व</t>
    </r>
    <r>
      <rPr>
        <sz val="12"/>
        <color indexed="8"/>
        <rFont val="Calibri"/>
        <family val="2"/>
      </rPr>
      <t xml:space="preserve"> </t>
    </r>
    <r>
      <rPr>
        <sz val="12"/>
        <color indexed="8"/>
        <rFont val="Mangal"/>
        <family val="1"/>
      </rPr>
      <t>मंगलाय</t>
    </r>
    <r>
      <rPr>
        <sz val="12"/>
        <color indexed="8"/>
        <rFont val="Calibri"/>
        <family val="2"/>
      </rPr>
      <t xml:space="preserve"> </t>
    </r>
    <r>
      <rPr>
        <sz val="12"/>
        <color indexed="8"/>
        <rFont val="Mangal"/>
        <family val="1"/>
      </rPr>
      <t>पिंगलाय</t>
    </r>
    <r>
      <rPr>
        <sz val="12"/>
        <color indexed="8"/>
        <rFont val="Calibri"/>
        <family val="2"/>
      </rPr>
      <t xml:space="preserve"> </t>
    </r>
    <r>
      <rPr>
        <sz val="12"/>
        <color indexed="8"/>
        <rFont val="Mangal"/>
        <family val="1"/>
      </rPr>
      <t>ॐ</t>
    </r>
    <r>
      <rPr>
        <sz val="12"/>
        <color indexed="8"/>
        <rFont val="Calibri"/>
        <family val="2"/>
      </rPr>
      <t xml:space="preserve"> </t>
    </r>
    <r>
      <rPr>
        <sz val="12"/>
        <color indexed="8"/>
        <rFont val="Mangal"/>
        <family val="1"/>
      </rPr>
      <t>नमः</t>
    </r>
    <r>
      <rPr>
        <sz val="12"/>
        <color indexed="8"/>
        <rFont val="Calibri"/>
        <family val="2"/>
      </rPr>
      <t xml:space="preserve"> </t>
    </r>
  </si>
  <si>
    <t>भीम</t>
  </si>
  <si>
    <t>Shloka (|| Number From Namakam ||)</t>
  </si>
  <si>
    <t>यामिषुं॑ गिरिशंत॒ हस्ते॒ बिभ॒र्ष्यस्त॑वे ।
शि॒वां गि॑रित्र॒ तां कु॑रु॒ मा हिसीः॒ पुरु॑षं॒ जग॑त् ॥ १.४॥
yāmiṣuṁ giriśaṁta haste bibharṣyastave |
śivāṁ giritra tāṁ kuru mā higsīḥ puruṣaṁ jagat || 1-4||</t>
  </si>
  <si>
    <t>नम॑स्ते रुद्रम॒न्यव॑ उ॒तोत॒ इष॑वे॒ नमः॑ ।
नम॑स्ते अस्तु॒ धन्व॑ने बा॒हुभ्या॑-मु॒त ते॒ नमः॑ ॥ १.१॥
namaste rudramanyava utota iṣave namaḥ ।
namaste astu dhanvane bāhubhyā-muta te namaḥ ॥ 1-1॥</t>
  </si>
  <si>
    <t>शि॒वेन॒ वच॑सा त्वा॒ गिरि॒शाच्छा॑ वदामसि ।
यथा॑ नः॒ सर्व॒मिज्जग॑दय॒क्ष्मसु॒मना॒ अस॑त् ॥ १.५॥
śivena vacasā tvā giriśācchā vadāmasi ।
yathā naḥ sarvamijjagadayakṣmasumanā asat ॥ 1-5॥</t>
  </si>
  <si>
    <t>ॐ एैं एैं मनोवाञ्चित सिद्द्यये ऐं ऐं ॐ ।।</t>
  </si>
  <si>
    <t>विरूपाक्ष</t>
  </si>
  <si>
    <t>virūpākṣa</t>
  </si>
  <si>
    <t>अध्य॑वोचदधि व॒क्ता प्र॑थ॒मो दैव्यो॑ भि॒षक् ।
अही॑श्च॒ सर्वा॓ञ्जं॒भय॒न्त्सर्वा॓श्च यातुधा॒न्यः॑ ॥ १.६॥
adhyavocadadhi vaktā prathamo daivyo bhiṣak ।
ahīśca sarvāñjambhayantsarvāśca yātudhānyaḥ ॥ 1-6॥</t>
  </si>
  <si>
    <t>मत्रः ॐ रूद्राय रोगनाशाय आगच्छ रं ॐ नमः ।</t>
  </si>
  <si>
    <t>विलोहितः</t>
  </si>
  <si>
    <t>vilohitaḥ</t>
  </si>
  <si>
    <t>अ॒सौ यस्ता॒म्रो अ॑रु॒ण उ॒त ब॒भ्रुः सु॑मं॒गलः॑ ।
ये चे॒माóèरु॒द्रा अ॒भितो॑ दि॒क्षु ।
श्रि॒ताः स॑हस्र॒शोऽवै॑षा॒óè॒हेड॑ ईमहे ॥ १.७॥</t>
  </si>
  <si>
    <t>मंत्रः ॐ श्रीं ह्रीं सं सं ह्रीं श्रीं संकर्षणाय ॐ</t>
  </si>
  <si>
    <t>अ॒सौ यो॑ऽव॒सर्प॑ति॒ नील॑ग्रीवो॒ विलो॑हितः ।
उ॒तैनं॑ गो॒पा अ॑दृश॒न्नदृ॑शन्नुदहा॒र्यः॑ ।
उ॒तैनं॒ विश्वा॑ भू॒तानि॒ स दृ॒ष्टो मृ॑डयाति नः ॥ १.८॥
asau yo'vasarpati nīlagrīvo vilohitaḥ ।
utainaṃ gopā adṛśannadṛśannudahāryaḥ ।
utainaṃ viśvā bhūtāni sa dṛṣṭo mṛḍayāti naḥ ॥ 1-8॥</t>
  </si>
  <si>
    <t>http://sanskritdocuments.org/doc_shiva/rudram.html?lang=sa</t>
  </si>
  <si>
    <t>http://www.shaivam.org/sanskrit/ssk-sk-rudra-chamaka.htm</t>
  </si>
  <si>
    <t>http://sanskritdocuments.org/doc_shiva/rudram.html?lang=iast</t>
  </si>
  <si>
    <t>Marakas</t>
  </si>
  <si>
    <t>Mesha</t>
  </si>
  <si>
    <t>Sat, Merc,Venus</t>
  </si>
  <si>
    <t>Mars,Jup,Sun</t>
  </si>
  <si>
    <r>
      <t>Venus(2</t>
    </r>
    <r>
      <rPr>
        <vertAlign val="superscript"/>
        <sz val="9"/>
        <color indexed="8"/>
        <rFont val="Arial Unicode MS"/>
        <family val="2"/>
      </rPr>
      <t>nd</t>
    </r>
    <r>
      <rPr>
        <sz val="9"/>
        <color indexed="8"/>
        <rFont val="Arial Unicode MS"/>
        <family val="2"/>
      </rPr>
      <t>), Sat (11</t>
    </r>
    <r>
      <rPr>
        <vertAlign val="superscript"/>
        <sz val="9"/>
        <color indexed="8"/>
        <rFont val="Arial Unicode MS"/>
        <family val="2"/>
      </rPr>
      <t>th</t>
    </r>
    <r>
      <rPr>
        <sz val="9"/>
        <color indexed="8"/>
        <rFont val="Arial Unicode MS"/>
        <family val="2"/>
      </rPr>
      <t>)</t>
    </r>
  </si>
  <si>
    <t>Jup+Sat no Raaja Yoga</t>
  </si>
  <si>
    <r>
      <t>Saturn,</t>
    </r>
    <r>
      <rPr>
        <b/>
        <sz val="9"/>
        <color indexed="8"/>
        <rFont val="Arial Unicode MS"/>
        <family val="2"/>
      </rPr>
      <t>Sun</t>
    </r>
  </si>
  <si>
    <r>
      <t>Jup(11</t>
    </r>
    <r>
      <rPr>
        <vertAlign val="superscript"/>
        <sz val="9"/>
        <color indexed="8"/>
        <rFont val="Arial Unicode MS"/>
        <family val="2"/>
      </rPr>
      <t>th</t>
    </r>
    <r>
      <rPr>
        <sz val="9"/>
        <color indexed="8"/>
        <rFont val="Arial Unicode MS"/>
        <family val="2"/>
      </rPr>
      <t>) group (,Venus 6</t>
    </r>
    <r>
      <rPr>
        <vertAlign val="superscript"/>
        <sz val="9"/>
        <color indexed="8"/>
        <rFont val="Arial Unicode MS"/>
        <family val="2"/>
      </rPr>
      <t>th</t>
    </r>
    <r>
      <rPr>
        <sz val="9"/>
        <color indexed="8"/>
        <rFont val="Arial Unicode MS"/>
        <family val="2"/>
      </rPr>
      <t xml:space="preserve"> ,Moon 3</t>
    </r>
    <r>
      <rPr>
        <vertAlign val="superscript"/>
        <sz val="9"/>
        <color indexed="8"/>
        <rFont val="Arial Unicode MS"/>
        <family val="2"/>
      </rPr>
      <t>rd</t>
    </r>
    <r>
      <rPr>
        <sz val="9"/>
        <color indexed="8"/>
        <rFont val="Arial Unicode MS"/>
        <family val="2"/>
      </rPr>
      <t xml:space="preserve"> ),Mars(12</t>
    </r>
    <r>
      <rPr>
        <vertAlign val="superscript"/>
        <sz val="9"/>
        <color indexed="8"/>
        <rFont val="Arial Unicode MS"/>
        <family val="2"/>
      </rPr>
      <t>th</t>
    </r>
    <r>
      <rPr>
        <sz val="9"/>
        <color indexed="8"/>
        <rFont val="Arial Unicode MS"/>
        <family val="2"/>
      </rPr>
      <t>)</t>
    </r>
  </si>
  <si>
    <t>Saturn gives Raja yoga</t>
  </si>
  <si>
    <t>Mars,Jupiter,Sun</t>
  </si>
  <si>
    <r>
      <t>Moon(2</t>
    </r>
    <r>
      <rPr>
        <vertAlign val="superscript"/>
        <sz val="9"/>
        <color indexed="8"/>
        <rFont val="Arial Unicode MS"/>
        <family val="2"/>
      </rPr>
      <t>nd</t>
    </r>
    <r>
      <rPr>
        <sz val="9"/>
        <color indexed="8"/>
        <rFont val="Arial Unicode MS"/>
        <family val="2"/>
      </rPr>
      <t>)</t>
    </r>
  </si>
  <si>
    <t>Venus, Merc</t>
  </si>
  <si>
    <t>Mars,Jup, Moon</t>
  </si>
  <si>
    <r>
      <t>Saturn(8</t>
    </r>
    <r>
      <rPr>
        <vertAlign val="superscript"/>
        <sz val="9"/>
        <color indexed="8"/>
        <rFont val="Arial Unicode MS"/>
        <family val="2"/>
      </rPr>
      <t>th</t>
    </r>
    <r>
      <rPr>
        <sz val="9"/>
        <color indexed="8"/>
        <rFont val="Arial Unicode MS"/>
        <family val="2"/>
      </rPr>
      <t>), (Sun 2</t>
    </r>
    <r>
      <rPr>
        <vertAlign val="superscript"/>
        <sz val="9"/>
        <color indexed="8"/>
        <rFont val="Arial Unicode MS"/>
        <family val="2"/>
      </rPr>
      <t>nd</t>
    </r>
    <r>
      <rPr>
        <sz val="9"/>
        <color indexed="8"/>
        <rFont val="Arial Unicode MS"/>
        <family val="2"/>
      </rPr>
      <t>)</t>
    </r>
  </si>
  <si>
    <t>Mars Raja Yoga</t>
  </si>
  <si>
    <t>Merc,Venus,Saturn</t>
  </si>
  <si>
    <r>
      <t>Saturn(6</t>
    </r>
    <r>
      <rPr>
        <vertAlign val="superscript"/>
        <sz val="9"/>
        <color indexed="8"/>
        <rFont val="Arial Unicode MS"/>
        <family val="2"/>
      </rPr>
      <t>th</t>
    </r>
    <r>
      <rPr>
        <sz val="9"/>
        <color indexed="8"/>
        <rFont val="Arial Unicode MS"/>
        <family val="2"/>
      </rPr>
      <t xml:space="preserve"> ), Moon(12</t>
    </r>
    <r>
      <rPr>
        <vertAlign val="superscript"/>
        <sz val="9"/>
        <color indexed="8"/>
        <rFont val="Arial Unicode MS"/>
        <family val="2"/>
      </rPr>
      <t>th</t>
    </r>
    <r>
      <rPr>
        <sz val="9"/>
        <color indexed="8"/>
        <rFont val="Arial Unicode MS"/>
        <family val="2"/>
      </rPr>
      <t>)</t>
    </r>
  </si>
  <si>
    <t>Jup+Venu no raja yoga</t>
  </si>
  <si>
    <r>
      <t>Venus(2</t>
    </r>
    <r>
      <rPr>
        <vertAlign val="superscript"/>
        <sz val="9"/>
        <color indexed="8"/>
        <rFont val="Arial Unicode MS"/>
        <family val="2"/>
      </rPr>
      <t>nd</t>
    </r>
    <r>
      <rPr>
        <sz val="9"/>
        <color indexed="8"/>
        <rFont val="Arial Unicode MS"/>
        <family val="2"/>
      </rPr>
      <t>)</t>
    </r>
  </si>
  <si>
    <t>Venus+Merc Good Yoga</t>
  </si>
  <si>
    <t xml:space="preserve">Jup,Sun,Mars </t>
  </si>
  <si>
    <r>
      <t>Mars(2</t>
    </r>
    <r>
      <rPr>
        <vertAlign val="superscript"/>
        <sz val="9"/>
        <color indexed="8"/>
        <rFont val="Arial Unicode MS"/>
        <family val="2"/>
      </rPr>
      <t>nd</t>
    </r>
    <r>
      <rPr>
        <sz val="9"/>
        <color indexed="8"/>
        <rFont val="Arial Unicode MS"/>
        <family val="2"/>
      </rPr>
      <t>/7</t>
    </r>
    <r>
      <rPr>
        <vertAlign val="superscript"/>
        <sz val="9"/>
        <color indexed="8"/>
        <rFont val="Arial Unicode MS"/>
        <family val="2"/>
      </rPr>
      <t>th</t>
    </r>
    <r>
      <rPr>
        <sz val="9"/>
        <color indexed="8"/>
        <rFont val="Arial Unicode MS"/>
        <family val="2"/>
      </rPr>
      <t>), Jupiter,Sun(11</t>
    </r>
    <r>
      <rPr>
        <vertAlign val="superscript"/>
        <sz val="9"/>
        <color indexed="8"/>
        <rFont val="Arial Unicode MS"/>
        <family val="2"/>
      </rPr>
      <t>th</t>
    </r>
    <r>
      <rPr>
        <sz val="9"/>
        <color indexed="8"/>
        <rFont val="Arial Unicode MS"/>
        <family val="2"/>
      </rPr>
      <t>)</t>
    </r>
  </si>
  <si>
    <t>Moon+Merc Raja Yoga, Venus Neutral</t>
  </si>
  <si>
    <t>Venus,Merc,Saturn</t>
  </si>
  <si>
    <t>Jupiter,Moon</t>
  </si>
  <si>
    <r>
      <t>Venus(12</t>
    </r>
    <r>
      <rPr>
        <vertAlign val="superscript"/>
        <sz val="9"/>
        <color indexed="8"/>
        <rFont val="Arial Unicode MS"/>
        <family val="2"/>
      </rPr>
      <t>th</t>
    </r>
    <r>
      <rPr>
        <sz val="9"/>
        <color indexed="8"/>
        <rFont val="Arial Unicode MS"/>
        <family val="2"/>
      </rPr>
      <t>/7</t>
    </r>
    <r>
      <rPr>
        <vertAlign val="superscript"/>
        <sz val="9"/>
        <color indexed="8"/>
        <rFont val="Arial Unicode MS"/>
        <family val="2"/>
      </rPr>
      <t>th</t>
    </r>
    <r>
      <rPr>
        <sz val="9"/>
        <color indexed="8"/>
        <rFont val="Arial Unicode MS"/>
        <family val="2"/>
      </rPr>
      <t>)</t>
    </r>
  </si>
  <si>
    <t>Sun,Moon Yoga Kaaraka, Mars Neutral</t>
  </si>
  <si>
    <t>Mars,Sun</t>
  </si>
  <si>
    <r>
      <t>Saturn(2</t>
    </r>
    <r>
      <rPr>
        <vertAlign val="superscript"/>
        <sz val="9"/>
        <color indexed="8"/>
        <rFont val="Arial Unicode MS"/>
        <family val="2"/>
      </rPr>
      <t>nd</t>
    </r>
    <r>
      <rPr>
        <sz val="9"/>
        <color indexed="8"/>
        <rFont val="Arial Unicode MS"/>
        <family val="2"/>
      </rPr>
      <t>)</t>
    </r>
  </si>
  <si>
    <t>Jupiter is Neutral, Sun+Merc = Raja Yoga</t>
  </si>
  <si>
    <t>Mars,Jupiter,Moon</t>
  </si>
  <si>
    <r>
      <t>Mars (11</t>
    </r>
    <r>
      <rPr>
        <vertAlign val="superscript"/>
        <sz val="9"/>
        <color indexed="8"/>
        <rFont val="Arial Unicode MS"/>
        <family val="2"/>
      </rPr>
      <t>th</t>
    </r>
    <r>
      <rPr>
        <sz val="9"/>
        <color indexed="8"/>
        <rFont val="Arial Unicode MS"/>
        <family val="2"/>
      </rPr>
      <t>)</t>
    </r>
  </si>
  <si>
    <t>Sun is neutral, Venus is yoga karaka</t>
  </si>
  <si>
    <t>Jupiter,Moon, Mars</t>
  </si>
  <si>
    <t>Venus, Saturn</t>
  </si>
  <si>
    <r>
      <t>Jupiter(2</t>
    </r>
    <r>
      <rPr>
        <vertAlign val="superscript"/>
        <sz val="9"/>
        <color indexed="8"/>
        <rFont val="Arial Unicode MS"/>
        <family val="2"/>
      </rPr>
      <t>nd</t>
    </r>
    <r>
      <rPr>
        <sz val="9"/>
        <color indexed="8"/>
        <rFont val="Arial Unicode MS"/>
        <family val="2"/>
      </rPr>
      <t>/11</t>
    </r>
    <r>
      <rPr>
        <vertAlign val="superscript"/>
        <sz val="9"/>
        <color indexed="8"/>
        <rFont val="Arial Unicode MS"/>
        <family val="2"/>
      </rPr>
      <t>th</t>
    </r>
    <r>
      <rPr>
        <sz val="9"/>
        <color indexed="8"/>
        <rFont val="Arial Unicode MS"/>
        <family val="2"/>
      </rPr>
      <t>), Mars (3</t>
    </r>
    <r>
      <rPr>
        <vertAlign val="superscript"/>
        <sz val="9"/>
        <color indexed="8"/>
        <rFont val="Arial Unicode MS"/>
        <family val="2"/>
      </rPr>
      <t>rd</t>
    </r>
    <r>
      <rPr>
        <sz val="9"/>
        <color indexed="8"/>
        <rFont val="Arial Unicode MS"/>
        <family val="2"/>
      </rPr>
      <t>),Sun(7</t>
    </r>
    <r>
      <rPr>
        <vertAlign val="superscript"/>
        <sz val="9"/>
        <color indexed="8"/>
        <rFont val="Arial Unicode MS"/>
        <family val="2"/>
      </rPr>
      <t>th</t>
    </r>
    <r>
      <rPr>
        <sz val="9"/>
        <color indexed="8"/>
        <rFont val="Arial Unicode MS"/>
        <family val="2"/>
      </rPr>
      <t>)</t>
    </r>
  </si>
  <si>
    <t>Venus Raja yoga karaka,Mercury Neutral</t>
  </si>
  <si>
    <t>Mars,Moon</t>
  </si>
  <si>
    <r>
      <t>Mars(2</t>
    </r>
    <r>
      <rPr>
        <vertAlign val="superscript"/>
        <sz val="9"/>
        <color indexed="8"/>
        <rFont val="Arial Unicode MS"/>
        <family val="2"/>
      </rPr>
      <t>nd</t>
    </r>
    <r>
      <rPr>
        <sz val="9"/>
        <color indexed="8"/>
        <rFont val="Arial Unicode MS"/>
        <family val="2"/>
      </rPr>
      <t>) (conjoined), Saturn(12</t>
    </r>
    <r>
      <rPr>
        <vertAlign val="superscript"/>
        <sz val="9"/>
        <color indexed="8"/>
        <rFont val="Arial Unicode MS"/>
        <family val="2"/>
      </rPr>
      <t>th</t>
    </r>
    <r>
      <rPr>
        <sz val="9"/>
        <color indexed="8"/>
        <rFont val="Arial Unicode MS"/>
        <family val="2"/>
      </rPr>
      <t>), Mercury(7</t>
    </r>
    <r>
      <rPr>
        <vertAlign val="superscript"/>
        <sz val="9"/>
        <color indexed="8"/>
        <rFont val="Arial Unicode MS"/>
        <family val="2"/>
      </rPr>
      <t>th</t>
    </r>
    <r>
      <rPr>
        <sz val="9"/>
        <color indexed="8"/>
        <rFont val="Arial Unicode MS"/>
        <family val="2"/>
      </rPr>
      <t>)</t>
    </r>
  </si>
  <si>
    <t>Mars+Moon=Raja Yoga</t>
  </si>
  <si>
    <t>No Mars he is neutral</t>
  </si>
  <si>
    <t>Jupiter afflicted by KPD</t>
  </si>
  <si>
    <t>No Mercury for shubha he is neutral</t>
  </si>
  <si>
    <t>No Saturn for Shubha though he is lagna Lord</t>
  </si>
  <si>
    <t>No Venus as he is KPD. But,Sun is not Trinal! The only case where non-trine becomes benefic.</t>
  </si>
  <si>
    <t>No Venus for Shubha he is Sama. Venus has KPD (Kendraadipati Dosha),</t>
  </si>
  <si>
    <t>No Saturn for Shubha, Mercury has no KPD?! Only case where Benefic Lagna lord does not have KPD</t>
  </si>
  <si>
    <t>Malefics (3,6,11 &amp; Maraka)</t>
  </si>
  <si>
    <t>Benefics (Trines Normally)</t>
  </si>
  <si>
    <t>RajaYoga(Trine+Kendra)</t>
  </si>
  <si>
    <t>Ard</t>
  </si>
  <si>
    <t xml:space="preserve"> No: Sat though Aq is moolatrikona! Why?, Merc for Shubha has KPD</t>
  </si>
  <si>
    <t>Jup,Venus,Moon, Merc(somewhat) ( Has 4 Malefics!)</t>
  </si>
  <si>
    <t>Saturn,Venus,Sun, Venus (Has 4 Malefics!)</t>
  </si>
  <si>
    <t>Venus (Only one malefic Venus)</t>
  </si>
  <si>
    <t>Jupiter, Mars,Sun</t>
  </si>
  <si>
    <t>Mars,Jupiter, Moon</t>
  </si>
  <si>
    <t>Saturn,Mercury</t>
  </si>
  <si>
    <t>Venus,Mercury</t>
  </si>
  <si>
    <t>Mercury,Venus</t>
  </si>
  <si>
    <t>There are 5 yogas (a) Vishkumbha (b) Atigandha (c) Dhriti (d) Vaidhriti (e) Vyaghata where Duplicate Yogi &amp; Avayogi planet are the same planets which are Moon, Mercury, Venus, Mars &amp; Jupiter respectively. They shall behave as Neutral</t>
  </si>
  <si>
    <t>WellSustained, Obstruct, Diameter,Diagonal,Strong Beam,the bolt or bar of a door,the supporting beam or pillar of a house</t>
  </si>
  <si>
    <t>AvaYogi 15th</t>
  </si>
  <si>
    <t>Yogi Lord</t>
  </si>
  <si>
    <t>Shiva Gana Mantra</t>
  </si>
  <si>
    <t>om nandine namaḥ | (E)</t>
  </si>
  <si>
    <t>om mahākālāya namaḥ | (SE)</t>
  </si>
  <si>
    <t>om gaṇeśāya namaḥ | (S)</t>
  </si>
  <si>
    <t>om vṛṣabhāya namaḥ | (SW)</t>
  </si>
  <si>
    <t>om bhṛṅgīriṭiṇe namaḥ | (W)</t>
  </si>
  <si>
    <t>om skandāya namaḥ | (NW)</t>
  </si>
  <si>
    <t>om umāyai namaḥ | (N)</t>
  </si>
  <si>
    <t>om caṇḍīśvarāya namaḥ | (NE)</t>
  </si>
  <si>
    <r>
      <t>ॐ</t>
    </r>
    <r>
      <rPr>
        <sz val="14"/>
        <color indexed="8"/>
        <rFont val="Calibri"/>
        <family val="2"/>
      </rPr>
      <t xml:space="preserve"> </t>
    </r>
    <r>
      <rPr>
        <sz val="14"/>
        <color indexed="8"/>
        <rFont val="Mangal"/>
        <family val="1"/>
      </rPr>
      <t>नन्दिने</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</si>
  <si>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महाकालाय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</si>
  <si>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गणेशाय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</si>
  <si>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वृषभाय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</si>
  <si>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भृङ्गीरिटिणे</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</si>
  <si>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स्कन्दाय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</si>
  <si>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उमायै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</si>
  <si>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चण्डीश्वराय</t>
    </r>
    <r>
      <rPr>
        <sz val="14"/>
        <color indexed="8"/>
        <rFont val="Calibri"/>
        <family val="2"/>
      </rPr>
      <t xml:space="preserve"> </t>
    </r>
    <r>
      <rPr>
        <sz val="14"/>
        <color indexed="8"/>
        <rFont val="Mangal"/>
        <family val="1"/>
      </rPr>
      <t>नमः।</t>
    </r>
  </si>
  <si>
    <t>Shiva Gana Mantra2</t>
  </si>
  <si>
    <t>Ashta Siddhi</t>
  </si>
  <si>
    <t>ॐ अणिमायै नमः।</t>
  </si>
  <si>
    <t>ॐ महिमायै नमः।</t>
  </si>
  <si>
    <t>ॐ लघिमायै नमः।</t>
  </si>
  <si>
    <t>ॐ गरिमायै नमः।</t>
  </si>
  <si>
    <t>ॐ प्राप्त्यै नमः।</t>
  </si>
  <si>
    <t>ॐ प्राकाम्यायै नमः।</t>
  </si>
  <si>
    <t>ॐ ईशितायै नमः।</t>
  </si>
  <si>
    <t>ॐ वशितायै नमः।</t>
  </si>
  <si>
    <t>Point</t>
  </si>
  <si>
    <t>(E)</t>
  </si>
  <si>
    <t>(SE)</t>
  </si>
  <si>
    <t>(S)</t>
  </si>
  <si>
    <t>(SW)</t>
  </si>
  <si>
    <t>(W)</t>
  </si>
  <si>
    <t>(NW)</t>
  </si>
  <si>
    <t>(N)</t>
  </si>
  <si>
    <t>(NE)</t>
  </si>
  <si>
    <t>Dwadashottari-Rev3F</t>
  </si>
  <si>
    <t>Hora??-2</t>
  </si>
  <si>
    <t>Shravana</t>
  </si>
  <si>
    <t>Ashtottari-2</t>
  </si>
  <si>
    <t>Shashtihayani-4</t>
  </si>
  <si>
    <t>बालव</t>
  </si>
  <si>
    <t>गरज</t>
  </si>
  <si>
    <t>वणिज</t>
  </si>
  <si>
    <t>विष्टि</t>
  </si>
  <si>
    <t>शकुन</t>
  </si>
  <si>
    <t>चतुष्पद</t>
  </si>
  <si>
    <t>नागव</t>
  </si>
  <si>
    <t>bālava</t>
  </si>
  <si>
    <t>garaja</t>
  </si>
  <si>
    <t>vaṇija</t>
  </si>
  <si>
    <t>viṣṭi</t>
  </si>
  <si>
    <t>śakuna</t>
  </si>
  <si>
    <t>catuṣpada</t>
  </si>
  <si>
    <t>nāgava</t>
  </si>
  <si>
    <t>KaranaTable</t>
  </si>
  <si>
    <t>करण</t>
  </si>
  <si>
    <t>karaṇa</t>
  </si>
  <si>
    <t>S1</t>
  </si>
  <si>
    <t>K14</t>
  </si>
  <si>
    <t>S4,S8,S11,PU,K3,K7,K10,K14</t>
  </si>
  <si>
    <t>S1,S5,S8,S12,PU,K4,K7,K11</t>
  </si>
  <si>
    <t>S2,S5,S9,S12,K1,K4,K8,K11</t>
  </si>
  <si>
    <t>S2,S6,S9,S13,K1,K5,K8,K12</t>
  </si>
  <si>
    <t>S3,S6,S10,S13,K2,K5,K9,K12</t>
  </si>
  <si>
    <t>S3,S7,S10,S14,K2,K6,K9,K13</t>
  </si>
  <si>
    <t>S4,S7,S11,S14,K3,K6,K10,K13</t>
  </si>
  <si>
    <t>Other Spellings</t>
  </si>
  <si>
    <t>वव (vava)</t>
  </si>
  <si>
    <t>Amavaysa</t>
  </si>
  <si>
    <t>Garija, gaja</t>
  </si>
  <si>
    <t>naaga</t>
  </si>
  <si>
    <t>shakuni</t>
  </si>
  <si>
    <t>griṣma</t>
  </si>
  <si>
    <t xml:space="preserve">King
viṣṇu
</t>
  </si>
  <si>
    <t xml:space="preserve">dhātā
</t>
  </si>
  <si>
    <t xml:space="preserve">
ayamā
pradhana-mantri</t>
  </si>
  <si>
    <t>mitra
arghādhipa</t>
  </si>
  <si>
    <t>śiśira</t>
  </si>
  <si>
    <t xml:space="preserve">tvaṣṭā </t>
  </si>
  <si>
    <t>Samvatsara Portfolio</t>
  </si>
  <si>
    <t>varuṇa
sasyanāyaka</t>
  </si>
  <si>
    <t>vārṣa</t>
  </si>
  <si>
    <t>bhaga
nīrasādhipa</t>
  </si>
  <si>
    <t>Indra
senāpati</t>
  </si>
  <si>
    <t>aṃśu
dhānyādhipa</t>
  </si>
  <si>
    <t>pūṣā 
rasādhipa</t>
  </si>
  <si>
    <t>hemanta</t>
  </si>
  <si>
    <t>śārada</t>
  </si>
  <si>
    <t>vasanta</t>
  </si>
  <si>
    <t>http://sanjayprabhakaran.blogspot.in/2007/12/muhurtha.html</t>
  </si>
  <si>
    <t>Vrishabha</t>
  </si>
  <si>
    <t>Mithuna</t>
  </si>
  <si>
    <t>Karka</t>
  </si>
  <si>
    <t>Vrishchika</t>
  </si>
  <si>
    <t>Dhanura</t>
  </si>
  <si>
    <t>Makara</t>
  </si>
  <si>
    <t>Kumbha</t>
  </si>
  <si>
    <t>JaatakaParijaata</t>
  </si>
  <si>
    <t>Malefic</t>
  </si>
  <si>
    <t>Benefic</t>
  </si>
  <si>
    <t>Mixed</t>
  </si>
  <si>
    <t>WaterBearing</t>
  </si>
  <si>
    <t>Grand Total</t>
  </si>
  <si>
    <t>Count of JaatakaParijaata</t>
  </si>
  <si>
    <t xml:space="preserve">Man with white dhoti, dark complexion, protecting with axe, red eyes </t>
  </si>
  <si>
    <t>Woman wearing Red, fond of ornaments and food, pot shapped, horse faced,thirsty,(eka paden/one legged?)</t>
  </si>
  <si>
    <t>Women curled/dishealve/cut hair, pot shapped, burnt cloths, thirsty, fond of food and ornaments</t>
  </si>
  <si>
    <t>VaidyanaathaDx</t>
  </si>
  <si>
    <t>Varaahamihira</t>
  </si>
  <si>
    <t>Man Cruel,Artist, Yellow(Kapila), Task Minded, Unprincipled, Holding Baton, Red cloth, Agressive (Chanda)</t>
  </si>
  <si>
    <t xml:space="preserve">Man knowing Agriculture and animals with carts, ox like shoulders, </t>
  </si>
  <si>
    <t>Man with Elephant features, white teeth,legs like sharabha (like tiger), yellowish, catches of sheep and deer.</t>
  </si>
  <si>
    <t>Women fond of needle work,goodlooking and fond of ornaments, less children, raised hand?</t>
  </si>
  <si>
    <t>Man in Garden with armour, bow. Brave, Face like Garuda,Playful,with children,ornaments and wealth</t>
  </si>
  <si>
    <t>Man decorated, like varuna, many jewels,armoured with quiver and bow, skilled in dancing,arts and poetry.</t>
  </si>
  <si>
    <t>Man holding leaves fruits and roots, with elephant features,(forest resident?), feet like sharabha(like tiger?), horse necked</t>
  </si>
  <si>
    <t>Female having lotus on head?,with bhogi, between branches of phalaasha, crying?</t>
  </si>
  <si>
    <t>Man with Wife,jewels, travelling ocean, with ships,wearing snakes(like dress?), in search of wealth.</t>
  </si>
  <si>
    <t>Man wearing dirty clother and on shaalmali tree a vulture,a jackal, dog, crying parents, brahmans?,</t>
  </si>
  <si>
    <t>Man with horse like body, wearing white garlands, wearing black blanket, fierce like lion with bow in hand and bent nose.</t>
  </si>
  <si>
    <t>Man with bears face, behaves like monkey, holds a baton, has fruits and meats, rough/curled hair?</t>
  </si>
  <si>
    <t>10th Lord - Ketu</t>
  </si>
  <si>
    <t>Lagna Lord - Rahu</t>
  </si>
  <si>
    <t>4th Lord - Rahu</t>
  </si>
  <si>
    <t>7th Lord - Ketu</t>
  </si>
  <si>
    <t>Vimshottari Order</t>
  </si>
  <si>
    <t>paraśudhara</t>
  </si>
  <si>
    <t>जन्मभात्‌ पौष्णभं यावत्‌ संख्या हि वसुतष्टिता॥ २७॥
Pregnancy Order</t>
  </si>
  <si>
    <t>+</t>
  </si>
  <si>
    <t>x</t>
  </si>
  <si>
    <t>Min-Max</t>
  </si>
  <si>
    <t>Transit-Natal Graha</t>
  </si>
  <si>
    <t>Note: Numbers after the nakshatra indicates the padas in rashi, like 1-3 indicate 1st to 3rd pada</t>
  </si>
  <si>
    <t>Bold Red=Vedha+Rajju Dosha.</t>
  </si>
  <si>
    <t>Striked Common Nakshatra Dosha .</t>
  </si>
  <si>
    <t>LEGEND for colours and fonts.</t>
  </si>
  <si>
    <t>Double Underline Boy in Ghātaka and Nava/Panchama.</t>
  </si>
  <si>
    <t>Partner's Rashi Moon Positions.</t>
  </si>
  <si>
    <t>Partner's Rashi moon can also be the exaltation sign of 7th Graha.</t>
  </si>
  <si>
    <t>Avoid Debilitation sign's of 7th House Graha</t>
  </si>
  <si>
    <t>There are exceptions like parivartna etc</t>
  </si>
  <si>
    <t>Shukla Karana1</t>
  </si>
  <si>
    <t>Shukla Karana2</t>
  </si>
  <si>
    <t>Krishna Karana1</t>
  </si>
  <si>
    <t>Krishna Karana2</t>
  </si>
  <si>
    <t>Bava</t>
  </si>
  <si>
    <t>Baalava</t>
  </si>
  <si>
    <t>Kaulava</t>
  </si>
  <si>
    <t>Taitula</t>
  </si>
  <si>
    <t>Garija</t>
  </si>
  <si>
    <t>Vanija</t>
  </si>
  <si>
    <t>Vishti</t>
  </si>
  <si>
    <t>Shakuni</t>
  </si>
  <si>
    <t>Chatushpada</t>
  </si>
  <si>
    <t>Kimstugna</t>
  </si>
  <si>
    <t>Boys Ghataka Tithi for Girl given in bracket like (Nanda)</t>
  </si>
  <si>
    <t xml:space="preserve"> i.e Nanda tithi  Boy should not be for Aries Rashi Girls.</t>
  </si>
  <si>
    <t>There are exceptions like parivartna etc.</t>
  </si>
  <si>
    <t>Graha in 7th else Lord of 7th  Take it's Navamsa positions.</t>
  </si>
  <si>
    <t>Partner's Rashi moon can be in Trines or 7th from Navamsa of Rashi above.</t>
  </si>
  <si>
    <t>Muhurtha Rules.</t>
  </si>
  <si>
    <t>Best Months is Sun in Libra and Gemini</t>
  </si>
  <si>
    <t>Best Nakshatra Rohini, Four Uttaras, Mula,Hasta, Revati.</t>
  </si>
  <si>
    <t>Lagna and Lagna Lord Rules.</t>
  </si>
  <si>
    <t>Lagna/Lords should NOT be 6-8 or 2-12.</t>
  </si>
  <si>
    <t>Try To Avoid 5-9 mutual lagna/Lords.</t>
  </si>
  <si>
    <t>Best is 3-11 Mutual Lagna/Lagna Lords and 1-7.</t>
  </si>
  <si>
    <t>Kendra Mutual Lagna/Lords is also Good.</t>
  </si>
  <si>
    <t>Avoid Rikta Tithi (4,9,14)( Except Saturdays?)</t>
  </si>
  <si>
    <t>Avoid Sun in Dhanur(Chaitra), Pisces(Pausha), Janma Surya Sign,Chaturmasa</t>
  </si>
  <si>
    <r>
      <rPr>
        <b/>
        <sz val="11"/>
        <color rgb="FFFF0000"/>
        <rFont val="Calibri"/>
        <family val="2"/>
      </rPr>
      <t>NO</t>
    </r>
    <r>
      <rPr>
        <sz val="11"/>
        <color rgb="FFFF0000"/>
        <rFont val="Calibri"/>
        <family val="2"/>
      </rPr>
      <t xml:space="preserve"> Graha in 8th and 7th.</t>
    </r>
  </si>
  <si>
    <t>*
  *
    *</t>
  </si>
  <si>
    <t xml:space="preserve">    *
  *
*</t>
  </si>
  <si>
    <t>Manasa</t>
  </si>
  <si>
    <t>D1/D30-&gt;</t>
  </si>
  <si>
    <t>Trikona Shodana Subtraction</t>
  </si>
  <si>
    <t>Trikona Shodana Minimum</t>
  </si>
  <si>
    <t>Trikona Shodana Selected</t>
  </si>
  <si>
    <t>&lt;-Put '0' Here in case you want to subtract the minimum from all trines, Else '1'in case you want to assign smallest to trines</t>
  </si>
  <si>
    <t>Rudra/Shiva</t>
  </si>
  <si>
    <t xml:space="preserve"> Tatwa(CPVA-73)</t>
  </si>
  <si>
    <t>Posture</t>
  </si>
  <si>
    <t>Transliteration</t>
  </si>
  <si>
    <t>Translation</t>
  </si>
  <si>
    <t>Standing</t>
  </si>
  <si>
    <t>Pratibimbadana</t>
  </si>
  <si>
    <t>Gift of idol or picture</t>
  </si>
  <si>
    <t>Riding</t>
  </si>
  <si>
    <t>Japa</t>
  </si>
  <si>
    <t>Mantra Japa</t>
  </si>
  <si>
    <t>Pooja</t>
  </si>
  <si>
    <t xml:space="preserve">Worship </t>
  </si>
  <si>
    <t>Dhama</t>
  </si>
  <si>
    <t>Renovation of temple.</t>
  </si>
  <si>
    <t>Santarpana</t>
  </si>
  <si>
    <t>Presentation of oil/gifts, clothes etc.</t>
  </si>
  <si>
    <t>Walking</t>
  </si>
  <si>
    <t>Prathikara Bali</t>
  </si>
  <si>
    <t>Remedial offerings &amp; dedication</t>
  </si>
  <si>
    <t>Dancing</t>
  </si>
  <si>
    <t>Nritya</t>
  </si>
  <si>
    <t>Bhoota Bali or Pooja</t>
  </si>
  <si>
    <t>Devopasana</t>
  </si>
  <si>
    <t>Worship of Dharma Devata</t>
  </si>
  <si>
    <t xml:space="preserve">Crawling </t>
  </si>
  <si>
    <t>Danti-Skanda Bali or Pooja</t>
  </si>
  <si>
    <t>Bali Karma or Pooja for Ganesha (or Subramanya/ Kartikeya)</t>
  </si>
  <si>
    <t>Tarpana</t>
  </si>
  <si>
    <t>Ritual offerings &amp; Dedication</t>
  </si>
  <si>
    <t>Gitam-Vadya</t>
  </si>
  <si>
    <t>No affliction. (But music &amp; song may be offered).</t>
  </si>
  <si>
    <t>Dances  to be performed for deity</t>
  </si>
  <si>
    <t xml:space="preserve">Worship of the Tatwa </t>
  </si>
  <si>
    <t>Sitting (on throne with spouse)</t>
  </si>
  <si>
    <t>Sitting  (Yogic Posture is generally indicated.)</t>
  </si>
  <si>
    <t>8(E),10(W)</t>
  </si>
  <si>
    <t>Combustion SS IX.6,7,8</t>
  </si>
  <si>
    <t>14(R),12(F)</t>
  </si>
  <si>
    <t>VargaVishwa</t>
  </si>
  <si>
    <t>Suitable Activities (BVR)</t>
  </si>
  <si>
    <t>Pumsavana, Treatment of Veneral Disease</t>
  </si>
  <si>
    <t>Prepare Medicines, Upanyanam (K1)</t>
  </si>
  <si>
    <t>Chowlam,Upanayanam, Marriage,Foundation,Journeys, Electing Heads of state,Installing Diety,Lotteries and Competetions,</t>
  </si>
  <si>
    <t>Hours</t>
  </si>
  <si>
    <t>Selected Hora</t>
  </si>
  <si>
    <t>*Bold is Rahu Kaalam</t>
  </si>
  <si>
    <t>प/pa
 पु ष ण ठ</t>
  </si>
  <si>
    <r>
      <t xml:space="preserve">क/ka
</t>
    </r>
    <r>
      <rPr>
        <sz val="10"/>
        <rFont val="Arial Unicode MS"/>
        <family val="2"/>
      </rPr>
      <t>कु घ ङ च</t>
    </r>
  </si>
  <si>
    <r>
      <t xml:space="preserve">भ/bha
</t>
    </r>
    <r>
      <rPr>
        <sz val="10"/>
        <rFont val="Arial Unicode MS"/>
        <family val="2"/>
      </rPr>
      <t>भु ध फ ट</t>
    </r>
  </si>
  <si>
    <t>द/da
दु थ झ म</t>
  </si>
  <si>
    <t xml:space="preserve">Sapta Swara (per </t>
  </si>
  <si>
    <t>Shadja (षड्ज)creator of six</t>
  </si>
  <si>
    <t>Panchama (पञ्चम) fifth</t>
  </si>
  <si>
    <t>Dhaivata (धैवत)  earth</t>
  </si>
  <si>
    <t>Nishadam (निषाद) hunter</t>
  </si>
  <si>
    <t>Madhyama (मध्यम) middle</t>
  </si>
  <si>
    <t>Rishabha (ऋषभ) bull</t>
  </si>
  <si>
    <t>Gandhara (गान्धार) sky</t>
  </si>
  <si>
    <t>Janma tithi</t>
  </si>
  <si>
    <t>Janma Nakshatra</t>
  </si>
  <si>
    <t>chaturdashi</t>
  </si>
  <si>
    <t>Dashami</t>
  </si>
  <si>
    <t>Asthami</t>
  </si>
  <si>
    <t>UttaraAshada</t>
  </si>
  <si>
    <t>UttaraPhalguni</t>
  </si>
  <si>
    <t>PanchaPakshiShuklaP (Prashna Marga)</t>
  </si>
  <si>
    <t>Eagle/ भारण्ड</t>
  </si>
  <si>
    <t xml:space="preserve">black magical works </t>
  </si>
  <si>
    <t>Sleep</t>
  </si>
  <si>
    <t>Rule</t>
  </si>
  <si>
    <t>Walk</t>
  </si>
  <si>
    <t>Eat</t>
  </si>
  <si>
    <t>Activites</t>
  </si>
  <si>
    <t>Wt</t>
  </si>
  <si>
    <t xml:space="preserve">Sequence </t>
  </si>
  <si>
    <t>எ</t>
  </si>
  <si>
    <t>Purna</t>
  </si>
  <si>
    <t>manonmani  and sathasivam</t>
  </si>
  <si>
    <t>Eagle</t>
  </si>
  <si>
    <t>ஒ</t>
  </si>
  <si>
    <t>அ</t>
  </si>
  <si>
    <t>Rikta</t>
  </si>
  <si>
    <t>mageswari and mageswaran</t>
  </si>
  <si>
    <t>parvathi and ruthiran</t>
  </si>
  <si>
    <t>உ</t>
  </si>
  <si>
    <t>lakshmi and vishnu</t>
  </si>
  <si>
    <t>இ</t>
  </si>
  <si>
    <t>saraswathi and bramma</t>
  </si>
  <si>
    <t>Column17</t>
  </si>
  <si>
    <t>Column16</t>
  </si>
  <si>
    <t>Column15</t>
  </si>
  <si>
    <t>Column14</t>
  </si>
  <si>
    <t>Vowel2</t>
  </si>
  <si>
    <t>deity</t>
  </si>
  <si>
    <t>Enemy2</t>
  </si>
  <si>
    <t>Friend2</t>
  </si>
  <si>
    <t>Vowel</t>
  </si>
  <si>
    <t>Bird</t>
  </si>
  <si>
    <t>Krisha Paksha</t>
  </si>
  <si>
    <t>Both</t>
  </si>
  <si>
    <t>Shukla Paksha</t>
  </si>
  <si>
    <t xml:space="preserve">Friday </t>
  </si>
  <si>
    <t xml:space="preserve">Thursday </t>
  </si>
  <si>
    <t>Monday
Saturday</t>
  </si>
  <si>
    <t>Monday  Wednesday</t>
  </si>
  <si>
    <t>Sunday
Tuesday</t>
  </si>
  <si>
    <t>DayKP</t>
  </si>
  <si>
    <t>DaySP</t>
  </si>
  <si>
    <t>Krishna paksha Night</t>
  </si>
  <si>
    <t>Krishna paksha Day</t>
  </si>
  <si>
    <t>Shuklapaksha Night</t>
  </si>
  <si>
    <t>Shuklapaksha Day</t>
  </si>
  <si>
    <t>Sun,Tue</t>
  </si>
  <si>
    <t>Mon, Wed</t>
  </si>
  <si>
    <t>Anti(படு) Pakshi Vaara</t>
  </si>
  <si>
    <t>Pakshi becomes Anti(படு) on</t>
  </si>
  <si>
    <t>Wed,Fri</t>
  </si>
  <si>
    <t>Thu,Sat</t>
  </si>
  <si>
    <t>Friend1</t>
  </si>
  <si>
    <t>Friend12</t>
  </si>
  <si>
    <t>Friend23</t>
  </si>
  <si>
    <t>Enemy4</t>
  </si>
  <si>
    <t>Enemy25</t>
  </si>
  <si>
    <t>SP day Sukshma Job</t>
  </si>
  <si>
    <t>SP Night</t>
  </si>
  <si>
    <t>KP Day</t>
  </si>
  <si>
    <t>KP Night</t>
  </si>
  <si>
    <t>Day Yama</t>
  </si>
  <si>
    <t>Night Yama</t>
  </si>
  <si>
    <t>Terrible Grahas</t>
  </si>
  <si>
    <t>Divisor</t>
  </si>
  <si>
    <t>House Equivalent</t>
  </si>
  <si>
    <t>Shadvarga Vimshopaka</t>
  </si>
  <si>
    <t>Saptavarga Vimshopaka</t>
  </si>
  <si>
    <t>DasaVarga Vimshopaka</t>
  </si>
  <si>
    <t>ShodasaVarga Vimshopaka</t>
  </si>
  <si>
    <t>kiṁśuka</t>
  </si>
  <si>
    <t>vyañjana</t>
  </si>
  <si>
    <t>cāmarā</t>
  </si>
  <si>
    <t>chatraṁ</t>
  </si>
  <si>
    <t>kuṇḍala</t>
  </si>
  <si>
    <t>mukuṭā</t>
  </si>
  <si>
    <t>pārijātaṁ</t>
  </si>
  <si>
    <t>uttama</t>
  </si>
  <si>
    <t>gopura</t>
  </si>
  <si>
    <t>siṁhāsanaṁ</t>
  </si>
  <si>
    <t>pārāvataṁ</t>
  </si>
  <si>
    <t>devalokaṁ</t>
  </si>
  <si>
    <t>brahmalokā</t>
  </si>
  <si>
    <t>śakravāhana</t>
  </si>
  <si>
    <t>śrīdhāma</t>
  </si>
  <si>
    <t>bhedakaṁ</t>
  </si>
  <si>
    <t>kusum</t>
  </si>
  <si>
    <t>nāgapuṣpaṁ</t>
  </si>
  <si>
    <t>kandukā</t>
  </si>
  <si>
    <t>keralā</t>
  </si>
  <si>
    <t>kalpavṛkṣa</t>
  </si>
  <si>
    <t>candanavana</t>
  </si>
  <si>
    <t>pūrṇacandra</t>
  </si>
  <si>
    <t>uccaiḥśravā</t>
  </si>
  <si>
    <t>dhanvantari</t>
  </si>
  <si>
    <t>sūryakāntaṁ</t>
  </si>
  <si>
    <t>vidrumā</t>
  </si>
  <si>
    <t xml:space="preserve">śakrasiṁhāsanaṁ </t>
  </si>
  <si>
    <t>golokaṁ</t>
  </si>
  <si>
    <t>srīvallabhā</t>
  </si>
  <si>
    <t>10 Names</t>
  </si>
  <si>
    <t>6/7 Names</t>
  </si>
  <si>
    <t>16 Names</t>
  </si>
  <si>
    <t>Varga Names</t>
  </si>
  <si>
    <t>Sol Days/Deg</t>
  </si>
  <si>
    <t>Sol Days/Min</t>
  </si>
  <si>
    <t>Sol Days/Sec</t>
  </si>
  <si>
    <t>Moon Speed</t>
  </si>
  <si>
    <t>Dasa Days/Min</t>
  </si>
  <si>
    <t>Gemini/ Mithuna</t>
  </si>
  <si>
    <t>Cancer/ Karka</t>
  </si>
  <si>
    <t>Leo/ Simha</t>
  </si>
  <si>
    <t>Virgo/ Kanya</t>
  </si>
  <si>
    <t>Libra/ Tula</t>
  </si>
  <si>
    <t>Scorpio/ Vrishchika</t>
  </si>
  <si>
    <t>Saggittarius /Dhanush</t>
  </si>
  <si>
    <t>Capricorn/ Makara</t>
  </si>
  <si>
    <t>Aquarius/ Kumbha</t>
  </si>
  <si>
    <t>Pisces/ Meena</t>
  </si>
  <si>
    <t>Friends of Jup?</t>
  </si>
  <si>
    <t>Pāchakādi for Sun?</t>
  </si>
  <si>
    <t>Nothing?</t>
  </si>
  <si>
    <t>Solar Years</t>
  </si>
  <si>
    <t>TRUE</t>
  </si>
  <si>
    <t>Sun+Moon+Jupiter</t>
  </si>
  <si>
    <t>Day/Night Correction2</t>
  </si>
  <si>
    <t>Opposite Correction</t>
  </si>
  <si>
    <t>Mod360</t>
  </si>
  <si>
    <t>Border</t>
  </si>
  <si>
    <t>Nakshatra-Rashi</t>
  </si>
  <si>
    <t>Ashvini/Aries/Mesha</t>
  </si>
  <si>
    <t>Taurus/Rishabha</t>
  </si>
  <si>
    <t>Magha/Leo/Simha</t>
  </si>
  <si>
    <t>Scorpio/Vrischika</t>
  </si>
  <si>
    <t>Mula/Saggittarius/Dhanush</t>
  </si>
  <si>
    <t>varanamala</t>
  </si>
  <si>
    <t>ā</t>
  </si>
  <si>
    <t>ī</t>
  </si>
  <si>
    <t>ū</t>
  </si>
  <si>
    <t>ai</t>
  </si>
  <si>
    <t>au</t>
  </si>
  <si>
    <t>aṁ</t>
  </si>
  <si>
    <t>aḥ</t>
  </si>
  <si>
    <t>gha</t>
  </si>
  <si>
    <t>ṅa</t>
  </si>
  <si>
    <t>jha</t>
  </si>
  <si>
    <t>ña</t>
  </si>
  <si>
    <t>ṭha</t>
  </si>
  <si>
    <t>ḍha</t>
  </si>
  <si>
    <t>ṇa</t>
  </si>
  <si>
    <t>tha</t>
  </si>
  <si>
    <t>dha</t>
  </si>
  <si>
    <t>pha</t>
  </si>
  <si>
    <t>ba</t>
  </si>
  <si>
    <t>śa</t>
  </si>
  <si>
    <t>ṣa</t>
  </si>
  <si>
    <t>kṣa</t>
  </si>
  <si>
    <t>आ</t>
  </si>
  <si>
    <t>ई</t>
  </si>
  <si>
    <t>ऊ</t>
  </si>
  <si>
    <t>ऋ</t>
  </si>
  <si>
    <t>ऌ</t>
  </si>
  <si>
    <t>ऐ</t>
  </si>
  <si>
    <t>औ</t>
  </si>
  <si>
    <t>अः</t>
  </si>
  <si>
    <t>घ</t>
  </si>
  <si>
    <t>ङ</t>
  </si>
  <si>
    <t>झ</t>
  </si>
  <si>
    <t>ञ</t>
  </si>
  <si>
    <t>ठ</t>
  </si>
  <si>
    <t>ढ</t>
  </si>
  <si>
    <t>ण</t>
  </si>
  <si>
    <t>थ</t>
  </si>
  <si>
    <t>ध</t>
  </si>
  <si>
    <t>फ</t>
  </si>
  <si>
    <t>ब</t>
  </si>
  <si>
    <t>श</t>
  </si>
  <si>
    <t>ष</t>
  </si>
  <si>
    <t>क्ष</t>
  </si>
  <si>
    <t>ṛ</t>
  </si>
  <si>
    <t>ṛi</t>
  </si>
  <si>
    <t>ḷ</t>
  </si>
  <si>
    <t>ḷi</t>
  </si>
  <si>
    <t>Roman</t>
  </si>
  <si>
    <t>Column8</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</si>
  <si>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</si>
  <si>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</si>
  <si>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</si>
  <si>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</si>
  <si>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</si>
  <si>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</si>
  <si>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</si>
  <si>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</si>
  <si>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</si>
  <si>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</si>
  <si>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</si>
  <si>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</si>
  <si>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</si>
  <si>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</si>
  <si>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</si>
  <si>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</si>
  <si>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</si>
  <si>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</si>
  <si>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</si>
  <si>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</si>
  <si>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</si>
  <si>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</si>
  <si>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</si>
  <si>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</si>
  <si>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</si>
  <si>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</si>
  <si>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</si>
  <si>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</si>
  <si>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</si>
  <si>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</si>
  <si>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</si>
  <si>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</si>
  <si>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</si>
  <si>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</si>
  <si>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</si>
  <si>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</si>
  <si>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</si>
  <si>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</si>
  <si>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9?</t>
  </si>
  <si>
    <t>kṣa?</t>
  </si>
  <si>
    <t>क्ष?</t>
  </si>
  <si>
    <t>Katapayadi</t>
  </si>
  <si>
    <t>III</t>
  </si>
  <si>
    <t>II</t>
  </si>
  <si>
    <t>I</t>
  </si>
  <si>
    <t>H:M:S</t>
  </si>
  <si>
    <t>Asus(4 Secs)</t>
  </si>
  <si>
    <t>Signs</t>
  </si>
  <si>
    <t>Val3</t>
  </si>
  <si>
    <t>Val2</t>
  </si>
  <si>
    <t>Val1</t>
  </si>
  <si>
    <t>Palbhaa/पलभा</t>
  </si>
  <si>
    <t>Latitude</t>
  </si>
  <si>
    <t>Rashimana in</t>
  </si>
  <si>
    <t>Short Ascension</t>
  </si>
  <si>
    <t>Asus</t>
  </si>
  <si>
    <t>hr-mn-sc</t>
  </si>
  <si>
    <t>Long Ascension</t>
  </si>
  <si>
    <t>asus</t>
  </si>
  <si>
    <t>(Formula Given in BPHS and example from http://vedicastro.com/vedic-system-of-calculating-ascendant/)</t>
  </si>
  <si>
    <t>Lankodaya</t>
  </si>
  <si>
    <t>Ayanamsha</t>
  </si>
  <si>
    <t>Past</t>
  </si>
  <si>
    <t>Maana</t>
  </si>
  <si>
    <t>Sign Start Time</t>
  </si>
  <si>
    <t>Vigh or Pala</t>
  </si>
  <si>
    <t>Pala</t>
  </si>
  <si>
    <t>Corrected</t>
  </si>
  <si>
    <t>ViGh</t>
  </si>
  <si>
    <t>Time</t>
  </si>
  <si>
    <t>Dec</t>
  </si>
  <si>
    <t>sin</t>
  </si>
  <si>
    <t>Asus2</t>
  </si>
  <si>
    <t>Asus3</t>
  </si>
  <si>
    <t>Jhora</t>
  </si>
  <si>
    <t>A1</t>
  </si>
  <si>
    <t>%</t>
  </si>
  <si>
    <t>A2</t>
  </si>
  <si>
    <t>A3</t>
  </si>
  <si>
    <t>T1</t>
  </si>
  <si>
    <t>T2</t>
  </si>
  <si>
    <t>T3</t>
  </si>
  <si>
    <t>G1</t>
  </si>
  <si>
    <t>G2</t>
  </si>
  <si>
    <t>G3</t>
  </si>
  <si>
    <t>SD3</t>
  </si>
  <si>
    <t>Maha</t>
  </si>
  <si>
    <t>Antar</t>
  </si>
  <si>
    <t>Praty</t>
  </si>
  <si>
    <t>Suksma</t>
  </si>
  <si>
    <t>Dasa Sensitivity Days/Min</t>
  </si>
  <si>
    <t>&lt;-Corrections Days</t>
  </si>
  <si>
    <t>Maadhava</t>
  </si>
  <si>
    <t>Shukra</t>
  </si>
  <si>
    <t>Shuchi</t>
  </si>
  <si>
    <t>Nabha</t>
  </si>
  <si>
    <t>Nabhasya</t>
  </si>
  <si>
    <t>Isha</t>
  </si>
  <si>
    <t>Urja</t>
  </si>
  <si>
    <t>Saha</t>
  </si>
  <si>
    <t>Sahasya</t>
  </si>
  <si>
    <t>Tapa</t>
  </si>
  <si>
    <t>Tapasya</t>
  </si>
  <si>
    <t>Madhu</t>
  </si>
  <si>
    <t>Sanskrit  Months</t>
  </si>
  <si>
    <t>Season</t>
  </si>
  <si>
    <t>Vasanta</t>
  </si>
  <si>
    <t>Griishma</t>
  </si>
  <si>
    <t>Varsha</t>
  </si>
  <si>
    <t>Sharada</t>
  </si>
  <si>
    <t>Hemanta</t>
  </si>
  <si>
    <t>Shishira</t>
  </si>
  <si>
    <t>Tree</t>
  </si>
  <si>
    <t>Strychnos nux-vomica,(Strychnine),Kanjiram/ Yetti/ Etti/ Kuchala</t>
  </si>
  <si>
    <t>Phyllanthus emblica/ Emblica officinalis,(Indian Gooseberry/ Amla),Nelli/ Perunelli/ Aavali/ Amla/ Amalaki</t>
  </si>
  <si>
    <t>Ficus glomerata/ Ficus racemosa,(Cluster Fig/ Country Fig/ Fig),Athi/ Ambar/ Udumbara/ Gular</t>
  </si>
  <si>
    <t>Eugenia Jaambolana/ Syzygium cuminii,(Jamun/ Black Plum),Naval/ Jambhali/ Perunjaval</t>
  </si>
  <si>
    <t>Acacia catechu/ Diospyros ebunum,(Cutch Tree/ Milmesha/ Ebony),Karingali/ Karungali/ Kher</t>
  </si>
  <si>
    <t>Diospyros melanoxylon/ Ptero carpus santalinus/ Aquillaria agallocha,(Cashmere Tree/ Long Pepper/ Red Sandal),Kari /Kumbil/ Karai/ Thippilli/ Agar/ Krushnagus/ Agalichandanum/ Akil/ Sen Santhanam/ Aguru</t>
  </si>
  <si>
    <t>Bambusa vulgais/ Bamboosa arundinorea,(Bamboo),Mula/ Moongil/ Velu</t>
  </si>
  <si>
    <t>Ficus religiosa,(Sacred Fig/ Peepal/ Ficus),Arayal/ Arasamaram/ Pimpal/ Pipal/ Aal</t>
  </si>
  <si>
    <t>Calophyllum indophyllum/ Mesua ferrea,(Messua Tree/ Alexandrian Laurel/ Beauty Leaf Poon),Punna /Punnai/ Nagapoo/ Naagchafa/ Nagkeshar/ Nahar</t>
  </si>
  <si>
    <t>Ficus benghalensis,(Banyan Tree/ Indian Fig),Peral/ Alamaram/ Vatt/ Bargad</t>
  </si>
  <si>
    <t>Butea monosperma,(Flame of the Forest/ Parrot Tree),Plasu/ Chamata/ Palas/ Khakda/ Modugu/ Murikku/ Parasu/ Polash/ Desuka Jhad/ Dhak/ Chalcha</t>
  </si>
  <si>
    <t>Ficus tinctoria/ Nerium indicum/ Ficus arnottiana,(Indian Laurel/ Rose Laurel/ Indian Cleaner),Ithi/ Itti/ Arali/ Payari</t>
  </si>
  <si>
    <t>Spondias pinnata / Azadirachta indica/ Jasminum grandiflorum,(Hog Plum/ Neem/ Royal Jasmine / Azadirachta indica/ Jasminum grandiflorum),Ambazham/ Marima/ Nalini/ Kaatuma/ Velam/ Chameli/ Mulla/ Mullai</t>
  </si>
  <si>
    <t>Aegle marmelos,(Beal Tree/ Bengal Quince/ Stone Apple/ Wood Apple),Koovalam/ Vilvam/ Bel/ Bilvam/ Bilwa/</t>
  </si>
  <si>
    <t>Terminalia arjuna/ Lagerstroemia speciosa,(Arjuna Tree / Queen's Flower),Maruthu/ Neermaruthu/ Marutham/ Jarul/ Arjun</t>
  </si>
  <si>
    <t>Feronia elephantum/ Feronia limonia/ Mesua ferrea/ Limonia acidissima,(Governor's Plum/ Wood Apple/ Ceylon Ironwood/ Indian rose chestnut),Dadhipala/ Vayamkatha/ Vilamaram/ Kaith/ Naagkeshar/ Nahar</t>
  </si>
  <si>
    <t>Mimusops elengi/ Mesua ferrea,(Bullet Wood Tree),Elanji/ Magizh/ Magizham/ Maulshree/ Naagkeshar</t>
  </si>
  <si>
    <t>Aporusa lindleyana/ Calammus rotang/ Connatus wightii,(Bodh Tree/ Stunted Jack),Vetti/ Pachotti/ Kuttipala/ Prayan/ Sambar</t>
  </si>
  <si>
    <t>Boswellia serrata/ Mangiferus indicus/ Shorea robusta/ Hardwickia binate,(White Dammar/ Hardwickia/ Mango Tree/ Sal Tree),Kunthirikkam/ Veluthakunthirikom/ Acha/ Anjan/ Mamaram/ Raal/ Sal/ Shala/ Ashvakarna/</t>
  </si>
  <si>
    <t>Salix tetraspeama/ Tinos pora cardifodia/ Calamus pseudo-tenuis,(Fish Poison Tree/ Tinospora),Aattupala/ Aatrupalai/ Samudrakai/ Vanchikodi/ Vet</t>
  </si>
  <si>
    <t>Artocarpus heterophyllus/ Autocarpus cummunis,(Jack Fruit Tree/ Bread Fruit),Plavu/ Pila/ Pala/ Sakkai Pala/ Phanas</t>
  </si>
  <si>
    <t>Calotropis procera/ Calotropis gigantea,(Gigantic Swallow/ Swallow Wort),Erukku/ Vellerukku/ Rui</t>
  </si>
  <si>
    <t>Moringa oleifera/ Prosopis cinenaria/ Prosepsis speciosa/ Prosopis julifl ora,(Indian Gum Tree/ Indian Mesquit/ Kejari),Muringa/ Paarampu/ Muringai/ Vanni/ Vilaytikikar/ Shashi</t>
  </si>
  <si>
    <t>Anthocephalus cadambu/ Mitragyna parvifl ora/ Neolamarckia cadamba,(Kadam Tree/ Indian Oak),Kadambu/ Kadambam/ Katampu/ Valanch</t>
  </si>
  <si>
    <t>Gluta travancorica,(Shenduruni in Tamil),Thenmavu</t>
  </si>
  <si>
    <t>Azadirachta indica,(Margosa Tree/ Neem),Aryaveppu/ Veppu/ Vembu/ Kadu nimbi</t>
  </si>
  <si>
    <t>Madhuca longifolia/ Maduca indica,(Indian Butter Tree/ Maduca),Eluppa/ Iluppai/ Moha</t>
  </si>
  <si>
    <t>6th Stambana</t>
  </si>
  <si>
    <t>L-&gt;H</t>
  </si>
  <si>
    <t>1H</t>
  </si>
  <si>
    <t>2H</t>
  </si>
  <si>
    <t>3H</t>
  </si>
  <si>
    <t>5H</t>
  </si>
  <si>
    <t>6H</t>
  </si>
  <si>
    <t>7H</t>
  </si>
  <si>
    <t>8H</t>
  </si>
  <si>
    <t>10H</t>
  </si>
  <si>
    <t>11H</t>
  </si>
  <si>
    <t>12H</t>
  </si>
  <si>
    <t>1L</t>
  </si>
  <si>
    <t>Ashwini-1</t>
  </si>
  <si>
    <t>Dhanur</t>
  </si>
  <si>
    <t>Ashwini-2</t>
  </si>
  <si>
    <t>Seq</t>
  </si>
  <si>
    <t>KD9</t>
  </si>
  <si>
    <t>Nakshakra</t>
  </si>
  <si>
    <t>S</t>
  </si>
  <si>
    <t>Nx Type</t>
  </si>
  <si>
    <t>M2</t>
  </si>
  <si>
    <t>A</t>
  </si>
  <si>
    <t>Seq Type</t>
  </si>
  <si>
    <t>Row#</t>
  </si>
  <si>
    <t xml:space="preserve">Date </t>
  </si>
  <si>
    <t>Pada Deg</t>
  </si>
  <si>
    <t>M4</t>
  </si>
  <si>
    <t>Ending</t>
  </si>
  <si>
    <t>M1</t>
  </si>
  <si>
    <t>M3</t>
  </si>
  <si>
    <t>Savya2</t>
  </si>
  <si>
    <t>D9Savya</t>
  </si>
  <si>
    <t>Chakra</t>
  </si>
  <si>
    <t>Yrs</t>
  </si>
  <si>
    <t>B3</t>
  </si>
  <si>
    <t>B1</t>
  </si>
  <si>
    <t>B4</t>
  </si>
  <si>
    <t>B2</t>
  </si>
  <si>
    <t>A1,K1</t>
  </si>
  <si>
    <t>Ar,Sg</t>
  </si>
  <si>
    <t>A2,K2</t>
  </si>
  <si>
    <t>Ta,Cp</t>
  </si>
  <si>
    <t>A3,K3</t>
  </si>
  <si>
    <t>Ge,Aq</t>
  </si>
  <si>
    <t>A4,K4</t>
  </si>
  <si>
    <t>Cn,Pi</t>
  </si>
  <si>
    <t>R1,A1</t>
  </si>
  <si>
    <t>Sg,Cn</t>
  </si>
  <si>
    <t>Cp,Vi</t>
  </si>
  <si>
    <t>R2,A2</t>
  </si>
  <si>
    <t>R3,A3</t>
  </si>
  <si>
    <t>Aq,Li</t>
  </si>
  <si>
    <t>R4,A4</t>
  </si>
  <si>
    <t>Pi,Sc</t>
  </si>
  <si>
    <t>Ayush</t>
  </si>
  <si>
    <t>Ruling Graha</t>
  </si>
  <si>
    <t>Jupiter/Moon</t>
  </si>
  <si>
    <t xml:space="preserve">Rahu </t>
  </si>
  <si>
    <t>Mercury?</t>
  </si>
  <si>
    <t>Horaadi</t>
  </si>
  <si>
    <t>Deg*</t>
  </si>
  <si>
    <t>Total Staana Bala</t>
  </si>
  <si>
    <t>Total Horaadi</t>
  </si>
  <si>
    <t>Total Kaala</t>
  </si>
  <si>
    <t xml:space="preserve">Pinda </t>
  </si>
  <si>
    <t>Degree</t>
  </si>
  <si>
    <t>Nisarga</t>
  </si>
  <si>
    <t>Savana</t>
  </si>
  <si>
    <t>Paksha</t>
  </si>
  <si>
    <t>Solar</t>
  </si>
  <si>
    <t>Amsha</t>
  </si>
  <si>
    <t>Jataka</t>
  </si>
  <si>
    <t>Debility</t>
  </si>
  <si>
    <t>Longevity</t>
  </si>
  <si>
    <t>Ashtakavarga</t>
  </si>
  <si>
    <t>Rashmi</t>
  </si>
  <si>
    <t>Distance</t>
  </si>
  <si>
    <t>Factor</t>
  </si>
  <si>
    <t>Kaalachakra</t>
  </si>
  <si>
    <t>Year</t>
  </si>
  <si>
    <t>Ratio</t>
  </si>
  <si>
    <t>Equate to Solar</t>
  </si>
  <si>
    <t>Maana2</t>
  </si>
  <si>
    <t>Correction3</t>
  </si>
  <si>
    <t>Correction5</t>
  </si>
  <si>
    <t>MaanaR</t>
  </si>
  <si>
    <t>Age-A</t>
  </si>
  <si>
    <t>Age-N</t>
  </si>
  <si>
    <t>Age-P</t>
  </si>
  <si>
    <t>Age-R</t>
  </si>
  <si>
    <t>Age-K</t>
  </si>
  <si>
    <t>Oja-Yugma(0.5)-Ojas/Agni</t>
  </si>
  <si>
    <t>Uccha(1) (Akaasha)</t>
  </si>
  <si>
    <t>Sapta Vargaja(5.25)
(Vaayu)</t>
  </si>
  <si>
    <t>Kendradi(1) (Jala)</t>
  </si>
  <si>
    <t>Dreshkana(0.25) (Pritvi)</t>
  </si>
  <si>
    <t>Natonnata(1) (Varanada L)</t>
  </si>
  <si>
    <t>Paksha(1) (Lagna)</t>
  </si>
  <si>
    <t>Tribhaga(1) (Hora L)</t>
  </si>
  <si>
    <t>Ayana (Ghatika L)</t>
  </si>
  <si>
    <t>Cheshta Bala (7th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</si>
</sst>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3">
    <numFmt numFmtId="43" formatCode="_(* #,##0.00_);_(* \(#,##0.00\);_(* &quot;-&quot;??_);_(@_)"/>
    <numFmt numFmtId="164" formatCode="hh:mm\ AM/PM\ mmm\-dd\-yyyy"/>
    <numFmt numFmtId="165" formatCode="mmm\-dd\-yyyy\ ddd\ hh:mm:ss\ AM/PM\ "/>
    <numFmt numFmtId="166" formatCode="d\ mmm\ yyyy"/>
    <numFmt numFmtId="167" formatCode="hh:mm:ss\ AM/PM"/>
    <numFmt numFmtId="168" formatCode="d\-mmm\-yyyy\ h:mm:ss\ AM/PM"/>
    <numFmt numFmtId="169" formatCode="d\ mmm\ yy"/>
    <numFmt numFmtId="170" formatCode="dddd\,\ "/>
    <numFmt numFmtId="171" formatCode="[hh]:mm:ss.00"/>
    <numFmt numFmtId="172" formatCode="[hh]:mm:ss"/>
    <numFmt numFmtId="173" formatCode="0.00000"/>
    <numFmt numFmtId="174" formatCode="yyyy\-mmm\-d"/>
    <numFmt numFmtId="175" formatCode="dd\-mmm\-yyyy"/>
    <numFmt numFmtId="176" formatCode="ddd\ dd\-mmm\-yyyy"/>
    <numFmt numFmtId="177" formatCode="&quot;TRUE&quot;;&quot;TRUE&quot;;&quot;FALSE&quot;"/>
    <numFmt numFmtId="178" formatCode="d\-mmm\-yyyy"/>
    <numFmt numFmtId="179" formatCode="0.0"/>
    <numFmt numFmtId="180" formatCode="d\-mmm\-yyyy;@"/>
    <numFmt numFmtId="181" formatCode="d\-mmm\-yyyy\ h:mm"/>
    <numFmt numFmtId="182" formatCode="0.0000"/>
    <numFmt numFmtId="183" formatCode="0.000000000"/>
    <numFmt numFmtId="184" formatCode="0.000"/>
    <numFmt numFmtId="185" formatCode="ddd"/>
    <numFmt numFmtId="186" formatCode="[hh]:mm:ss\.ss"/>
    <numFmt numFmtId="187" formatCode="dd/mm/yy\ hh:mm"/>
    <numFmt numFmtId="188" formatCode="yyyy\-mmm"/>
    <numFmt numFmtId="189" formatCode="dd\-mmm\-yyyy\ hh:mmAM/PM"/>
    <numFmt numFmtId="190" formatCode="dd\-mmm\-yyyy\ ddd\ hh:mmAM/PM"/>
    <numFmt numFmtId="191" formatCode="&quot;Yes&quot;;&quot;Yes&quot;;&quot;No&quot;"/>
    <numFmt numFmtId="192" formatCode="[h]\°\ mm\'\ ss.00\&quot;\ "/>
    <numFmt numFmtId="193" formatCode="#,##0.00000000"/>
    <numFmt numFmtId="194" formatCode="_-* #,##0_-;\-* #,##0_-;_-* &quot;-&quot;??_-;_-@_-"/>
    <numFmt numFmtId="195" formatCode="#,##0_ ;\-#,##0\ "/>
    <numFmt numFmtId="196" formatCode="[$-4000439]0"/>
    <numFmt numFmtId="197" formatCode="[$-4000000]mm/dd/yy"/>
    <numFmt numFmtId="198" formatCode="m/d/yy;@"/>
    <numFmt numFmtId="199" formatCode="[$-F400]h:mm:ss\ AM/PM"/>
    <numFmt numFmtId="200" formatCode="[h]:mm:ss;@"/>
    <numFmt numFmtId="201" formatCode="0.00000000000000"/>
    <numFmt numFmtId="202" formatCode="[$-409]d\-mmm\-yyyy;@"/>
    <numFmt numFmtId="203" formatCode="dd\-mmm\-yyyy\ ddd\ hh:mm:ss"/>
    <numFmt numFmtId="204" formatCode="[h]:mm:ss.000;@"/>
    <numFmt numFmtId="205" formatCode="dd/mmm/yyyy\ hh:mm:ss\ AM/PM"/>
  </numFmts>
  <fonts count="205" x14ac:knownFonts="1">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8"/>
      <name val="Calibri"/>
      <family val="2"/>
    </font>
    <font>
      <sz val="8"/>
      <color indexed="8"/>
      <name val="Arial"/>
      <family val="2"/>
    </font>
    <font>
      <sz val="10"/>
      <color indexed="8"/>
      <name val="Times New Roman"/>
      <family val="1"/>
    </font>
    <font>
      <b/>
      <sz val="10"/>
      <name val="Arial"/>
      <family val="2"/>
    </font>
    <font>
      <b/>
      <i/>
      <sz val="10"/>
      <name val="Arial"/>
      <family val="2"/>
    </font>
    <font>
      <sz val="10"/>
      <color indexed="10"/>
      <name val="Arial"/>
      <family val="2"/>
    </font>
    <font>
      <vertAlign val="superscript"/>
      <sz val="10"/>
      <color indexed="10"/>
      <name val="Arial"/>
      <family val="2"/>
    </font>
    <font>
      <sz val="11"/>
      <color indexed="8"/>
      <name val="Arial"/>
      <family val="2"/>
    </font>
    <font>
      <b/>
      <sz val="11"/>
      <color indexed="8"/>
      <name val="Arial"/>
      <family val="2"/>
    </font>
    <font>
      <b/>
      <sz val="12"/>
      <name val="Arial"/>
      <family val="2"/>
    </font>
    <font>
      <sz val="10"/>
      <color indexed="30"/>
      <name val="Arial"/>
      <family val="2"/>
    </font>
    <font>
      <i/>
      <sz val="11"/>
      <color indexed="8"/>
      <name val="Calibri"/>
      <family val="2"/>
    </font>
    <font>
      <i/>
      <sz val="10"/>
      <color indexed="10"/>
      <name val="Arial"/>
      <family val="2"/>
    </font>
    <font>
      <sz val="10"/>
      <name val="Arial"/>
      <family val="2"/>
    </font>
    <font>
      <i/>
      <sz val="10"/>
      <name val="Arial"/>
      <family val="2"/>
    </font>
    <font>
      <b/>
      <sz val="10"/>
      <color indexed="8"/>
      <name val="Arial"/>
      <family val="2"/>
    </font>
    <font>
      <b/>
      <i/>
      <sz val="10"/>
      <color indexed="8"/>
      <name val="Arial"/>
      <family val="2"/>
    </font>
    <font>
      <b/>
      <i/>
      <sz val="10"/>
      <color indexed="9"/>
      <name val="Arial"/>
      <family val="2"/>
    </font>
    <font>
      <b/>
      <sz val="10"/>
      <color indexed="9"/>
      <name val="Arial"/>
      <family val="2"/>
    </font>
    <font>
      <vertAlign val="superscript"/>
      <sz val="11"/>
      <color indexed="8"/>
      <name val="Calibri"/>
      <family val="2"/>
    </font>
    <font>
      <b/>
      <sz val="10"/>
      <color indexed="10"/>
      <name val="Arial"/>
      <family val="2"/>
    </font>
    <font>
      <sz val="10"/>
      <color indexed="12"/>
      <name val="Arial"/>
      <family val="2"/>
    </font>
    <font>
      <b/>
      <sz val="10"/>
      <color indexed="12"/>
      <name val="Arial"/>
      <family val="2"/>
    </font>
    <font>
      <b/>
      <sz val="10"/>
      <color indexed="30"/>
      <name val="Arial"/>
      <family val="2"/>
    </font>
    <font>
      <sz val="10"/>
      <color indexed="40"/>
      <name val="Arial"/>
      <family val="2"/>
    </font>
    <font>
      <sz val="10"/>
      <color indexed="9"/>
      <name val="Arial"/>
      <family val="2"/>
    </font>
    <font>
      <sz val="9"/>
      <color indexed="9"/>
      <name val="Arial"/>
      <family val="2"/>
    </font>
    <font>
      <sz val="12"/>
      <name val="Times New Roman"/>
      <family val="1"/>
    </font>
    <font>
      <vertAlign val="superscript"/>
      <sz val="12"/>
      <name val="Times New Roman"/>
      <family val="1"/>
    </font>
    <font>
      <sz val="10"/>
      <color indexed="8"/>
      <name val="Calibri"/>
      <family val="2"/>
    </font>
    <font>
      <sz val="8"/>
      <name val="Arial"/>
      <family val="2"/>
    </font>
    <font>
      <b/>
      <sz val="8"/>
      <name val="Arial"/>
      <family val="2"/>
    </font>
    <font>
      <i/>
      <sz val="14"/>
      <color indexed="9"/>
      <name val="Times New Roman"/>
      <family val="1"/>
    </font>
    <font>
      <sz val="14"/>
      <color indexed="8"/>
      <name val="Times New Roman"/>
      <family val="1"/>
    </font>
    <font>
      <sz val="14"/>
      <color indexed="8"/>
      <name val="Arial"/>
      <family val="2"/>
    </font>
    <font>
      <b/>
      <i/>
      <sz val="12"/>
      <color indexed="9"/>
      <name val="Times New Roman"/>
      <family val="1"/>
    </font>
    <font>
      <sz val="12"/>
      <color indexed="8"/>
      <name val="Times New Roman"/>
      <family val="1"/>
    </font>
    <font>
      <b/>
      <sz val="10"/>
      <name val="Arial Unicode MS"/>
      <family val="2"/>
    </font>
    <font>
      <sz val="18"/>
      <name val="Arial Unicode MS"/>
      <family val="2"/>
    </font>
    <font>
      <sz val="10"/>
      <name val="Arial Unicode MS"/>
      <family val="2"/>
    </font>
    <font>
      <sz val="9"/>
      <color indexed="8"/>
      <name val="Arial Unicode MS"/>
      <family val="2"/>
    </font>
    <font>
      <sz val="9"/>
      <name val="Arial Unicode MS"/>
      <family val="2"/>
    </font>
    <font>
      <b/>
      <sz val="8"/>
      <color indexed="8"/>
      <name val="Calibri"/>
      <family val="2"/>
    </font>
    <font>
      <sz val="9"/>
      <color indexed="9"/>
      <name val="Arial Unicode MS"/>
      <family val="2"/>
    </font>
    <font>
      <i/>
      <sz val="9"/>
      <color indexed="8"/>
      <name val="Arial Unicode MS"/>
      <family val="2"/>
    </font>
    <font>
      <b/>
      <sz val="9"/>
      <name val="Arial Unicode MS"/>
      <family val="2"/>
    </font>
    <font>
      <b/>
      <sz val="9"/>
      <color indexed="8"/>
      <name val="Arial Unicode MS"/>
      <family val="2"/>
    </font>
    <font>
      <sz val="11"/>
      <color indexed="10"/>
      <name val="Arial"/>
      <family val="2"/>
    </font>
    <font>
      <i/>
      <sz val="10"/>
      <color indexed="9"/>
      <name val="Arial Unicode MS"/>
      <family val="2"/>
    </font>
    <font>
      <sz val="10"/>
      <color indexed="8"/>
      <name val="Arial Unicode MS"/>
      <family val="2"/>
    </font>
    <font>
      <i/>
      <sz val="8"/>
      <name val="Verdana"/>
      <family val="2"/>
    </font>
    <font>
      <sz val="8"/>
      <name val="Verdana"/>
      <family val="2"/>
    </font>
    <font>
      <sz val="8"/>
      <name val="URW Palladio IT"/>
    </font>
    <font>
      <i/>
      <sz val="8"/>
      <name val="URW Palladio IT"/>
    </font>
    <font>
      <b/>
      <sz val="8"/>
      <name val="URW Palladio IT"/>
    </font>
    <font>
      <sz val="11"/>
      <color indexed="58"/>
      <name val="Calibri"/>
      <family val="2"/>
    </font>
    <font>
      <sz val="11"/>
      <name val="Calibri"/>
      <family val="2"/>
    </font>
    <font>
      <sz val="11"/>
      <color indexed="9"/>
      <name val="Arial"/>
      <family val="2"/>
    </font>
    <font>
      <sz val="11"/>
      <color indexed="58"/>
      <name val="Arial"/>
      <family val="2"/>
    </font>
    <font>
      <sz val="11"/>
      <name val="Arial"/>
      <family val="2"/>
    </font>
    <font>
      <b/>
      <sz val="11"/>
      <name val="Arial"/>
      <family val="2"/>
    </font>
    <font>
      <sz val="12"/>
      <name val="Arial"/>
      <family val="2"/>
    </font>
    <font>
      <sz val="12"/>
      <color indexed="8"/>
      <name val="Arial"/>
      <family val="2"/>
    </font>
    <font>
      <sz val="9.0500000000000007"/>
      <color indexed="8"/>
      <name val="Arial"/>
      <family val="2"/>
    </font>
    <font>
      <sz val="9.0500000000000007"/>
      <color indexed="8"/>
      <name val="Lucida Sans Unicode"/>
      <family val="2"/>
    </font>
    <font>
      <sz val="12"/>
      <color indexed="19"/>
      <name val="Arial"/>
      <family val="2"/>
    </font>
    <font>
      <sz val="16"/>
      <color indexed="8"/>
      <name val="Calibri"/>
      <family val="2"/>
    </font>
    <font>
      <sz val="12"/>
      <color indexed="8"/>
      <name val="Lucida Sans Unicode"/>
      <family val="2"/>
    </font>
    <font>
      <sz val="12"/>
      <color indexed="19"/>
      <name val="Calibri"/>
      <family val="2"/>
    </font>
    <font>
      <sz val="16"/>
      <color indexed="8"/>
      <name val="Lucida Sans Unicode"/>
      <family val="2"/>
    </font>
    <font>
      <sz val="12"/>
      <color indexed="8"/>
      <name val="Calibri"/>
      <family val="2"/>
    </font>
    <font>
      <sz val="9"/>
      <color indexed="8"/>
      <name val="Lucida Sans Unicode"/>
      <family val="2"/>
    </font>
    <font>
      <b/>
      <sz val="12"/>
      <color indexed="19"/>
      <name val="Calibri"/>
      <family val="2"/>
    </font>
    <font>
      <sz val="16"/>
      <color indexed="8"/>
      <name val="Arial Unicode MS"/>
      <family val="2"/>
    </font>
    <font>
      <sz val="12"/>
      <color indexed="8"/>
      <name val="Arial Unicode MS"/>
      <family val="2"/>
    </font>
    <font>
      <sz val="16"/>
      <color indexed="19"/>
      <name val="Arial Unicode MS"/>
      <family val="2"/>
    </font>
    <font>
      <b/>
      <i/>
      <sz val="9"/>
      <color indexed="9"/>
      <name val="Arial"/>
      <family val="2"/>
    </font>
    <font>
      <i/>
      <sz val="10"/>
      <color indexed="8"/>
      <name val="Arial"/>
      <family val="2"/>
    </font>
    <font>
      <sz val="10"/>
      <color indexed="22"/>
      <name val="Arial"/>
      <family val="2"/>
    </font>
    <font>
      <b/>
      <sz val="8"/>
      <color indexed="8"/>
      <name val="Arial"/>
      <family val="2"/>
    </font>
    <font>
      <b/>
      <i/>
      <sz val="10"/>
      <color indexed="10"/>
      <name val="Arial"/>
      <family val="2"/>
    </font>
    <font>
      <sz val="10"/>
      <color indexed="47"/>
      <name val="Arial"/>
      <family val="2"/>
    </font>
    <font>
      <b/>
      <sz val="10"/>
      <color indexed="8"/>
      <name val="Calibri"/>
      <family val="2"/>
    </font>
    <font>
      <sz val="8"/>
      <name val="Calibri"/>
      <family val="2"/>
    </font>
    <font>
      <sz val="11"/>
      <color indexed="8"/>
      <name val="Calibri"/>
      <family val="2"/>
    </font>
    <font>
      <u/>
      <sz val="8.8000000000000007"/>
      <color indexed="12"/>
      <name val="Calibri"/>
      <family val="2"/>
    </font>
    <font>
      <b/>
      <sz val="9"/>
      <color indexed="9"/>
      <name val="Arial Unicode MS"/>
      <family val="2"/>
    </font>
    <font>
      <b/>
      <i/>
      <sz val="9"/>
      <color indexed="9"/>
      <name val="Arial Unicode MS"/>
      <family val="2"/>
    </font>
    <font>
      <b/>
      <sz val="13.5"/>
      <color indexed="8"/>
      <name val="Calibri"/>
      <family val="2"/>
    </font>
    <font>
      <sz val="8"/>
      <color indexed="8"/>
      <name val="Verdana"/>
      <family val="2"/>
    </font>
    <font>
      <b/>
      <sz val="10"/>
      <color indexed="9"/>
      <name val="Calibri"/>
      <family val="2"/>
    </font>
    <font>
      <sz val="11"/>
      <color indexed="8"/>
      <name val="Trebuchet MS"/>
      <family val="2"/>
    </font>
    <font>
      <sz val="11"/>
      <color indexed="8"/>
      <name val="Mangal"/>
      <family val="1"/>
    </font>
    <font>
      <sz val="11"/>
      <color indexed="10"/>
      <name val="Trebuchet MS"/>
      <family val="2"/>
    </font>
    <font>
      <b/>
      <sz val="11"/>
      <color indexed="10"/>
      <name val="Arial"/>
      <family val="2"/>
    </font>
    <font>
      <sz val="10"/>
      <color indexed="63"/>
      <name val="Tahoma"/>
      <family val="2"/>
    </font>
    <font>
      <sz val="9"/>
      <color indexed="8"/>
      <name val="Arial Unicode MS"/>
      <family val="2"/>
    </font>
    <font>
      <sz val="9"/>
      <color indexed="9"/>
      <name val="Arial Unicode MS"/>
      <family val="2"/>
    </font>
    <font>
      <sz val="9"/>
      <name val="Arial Unicode MS"/>
      <family val="2"/>
    </font>
    <font>
      <sz val="11"/>
      <color indexed="8"/>
      <name val="Calibri"/>
      <family val="2"/>
    </font>
    <font>
      <sz val="9"/>
      <color indexed="81"/>
      <name val="Tahoma"/>
      <family val="2"/>
    </font>
    <font>
      <sz val="9"/>
      <color indexed="8"/>
      <name val="Arial"/>
      <family val="2"/>
    </font>
    <font>
      <b/>
      <sz val="12"/>
      <color indexed="8"/>
      <name val="Arial Unicode MS"/>
      <family val="2"/>
    </font>
    <font>
      <sz val="11"/>
      <color indexed="8"/>
      <name val="Tahoma"/>
      <family val="2"/>
    </font>
    <font>
      <sz val="9"/>
      <color indexed="8"/>
      <name val="Arial Unicode MS"/>
      <family val="2"/>
    </font>
    <font>
      <sz val="9"/>
      <color indexed="9"/>
      <name val="Arial Unicode MS"/>
      <family val="2"/>
    </font>
    <font>
      <sz val="11"/>
      <color indexed="16"/>
      <name val="Calibri"/>
      <family val="2"/>
    </font>
    <font>
      <b/>
      <sz val="9"/>
      <color indexed="81"/>
      <name val="Tahoma"/>
      <family val="2"/>
    </font>
    <font>
      <b/>
      <u/>
      <sz val="10"/>
      <name val="Arial"/>
      <family val="2"/>
    </font>
    <font>
      <strike/>
      <sz val="11"/>
      <color indexed="8"/>
      <name val="Calibri"/>
      <family val="2"/>
    </font>
    <font>
      <strike/>
      <sz val="12"/>
      <color indexed="8"/>
      <name val="Calibri"/>
      <family val="2"/>
    </font>
    <font>
      <u val="double"/>
      <sz val="11"/>
      <color indexed="8"/>
      <name val="Calibri"/>
      <family val="2"/>
    </font>
    <font>
      <u val="double"/>
      <sz val="12"/>
      <color indexed="8"/>
      <name val="Calibri"/>
      <family val="2"/>
    </font>
    <font>
      <sz val="11"/>
      <color indexed="8"/>
      <name val="Arial Unicode MS"/>
      <family val="2"/>
    </font>
    <font>
      <sz val="18"/>
      <color indexed="8"/>
      <name val="Calibri"/>
      <family val="2"/>
    </font>
    <font>
      <sz val="8"/>
      <color indexed="8"/>
      <name val="Arial Unicode MS"/>
      <family val="2"/>
    </font>
    <font>
      <sz val="12"/>
      <color indexed="10"/>
      <name val="Calibri"/>
      <family val="2"/>
    </font>
    <font>
      <strike/>
      <sz val="14"/>
      <color indexed="8"/>
      <name val="Times New Roman"/>
      <family val="1"/>
    </font>
    <font>
      <sz val="12"/>
      <color indexed="8"/>
      <name val="Mangal"/>
      <family val="1"/>
    </font>
    <font>
      <sz val="12"/>
      <color indexed="8"/>
      <name val="Shusha"/>
    </font>
    <font>
      <sz val="14"/>
      <color indexed="8"/>
      <name val="Mangal"/>
      <family val="1"/>
    </font>
    <font>
      <sz val="14"/>
      <color indexed="8"/>
      <name val="Sanskrit 2003"/>
    </font>
    <font>
      <vertAlign val="superscript"/>
      <sz val="9"/>
      <color indexed="8"/>
      <name val="Arial Unicode MS"/>
      <family val="2"/>
    </font>
    <font>
      <sz val="9"/>
      <color indexed="8"/>
      <name val="Arial Unicode MS"/>
      <family val="2"/>
    </font>
    <font>
      <sz val="14"/>
      <color indexed="8"/>
      <name val="Calibri"/>
      <family val="2"/>
    </font>
    <font>
      <sz val="11"/>
      <color theme="1"/>
      <name val="Calibri"/>
      <family val="2"/>
      <scheme val="minor"/>
    </font>
    <font>
      <b/>
      <sz val="11"/>
      <color rgb="FFFFFFFF"/>
      <name val="Calibri"/>
      <family val="2"/>
    </font>
    <font>
      <sz val="11"/>
      <color rgb="FF000000"/>
      <name val="Calibri"/>
      <family val="2"/>
    </font>
    <font>
      <b/>
      <sz val="9"/>
      <color rgb="FF000000"/>
      <name val="Arial"/>
      <family val="2"/>
    </font>
    <font>
      <sz val="9"/>
      <color rgb="FF000000"/>
      <name val="Arial"/>
      <family val="2"/>
    </font>
    <font>
      <sz val="11"/>
      <color rgb="FFFFFFFF"/>
      <name val="Calibri"/>
      <family val="2"/>
    </font>
    <font>
      <sz val="10.5"/>
      <color rgb="FF606060"/>
      <name val="Helvetica"/>
      <family val="2"/>
    </font>
    <font>
      <sz val="10"/>
      <color rgb="FF606060"/>
      <name val="Helvetica"/>
      <family val="2"/>
    </font>
    <font>
      <b/>
      <sz val="10"/>
      <color rgb="FF606060"/>
      <name val="Helvetica"/>
      <family val="2"/>
    </font>
    <font>
      <sz val="11"/>
      <color indexed="8"/>
      <name val="Calibri"/>
      <family val="2"/>
      <scheme val="minor"/>
    </font>
    <font>
      <b/>
      <sz val="11"/>
      <color indexed="8"/>
      <name val="Calibri"/>
      <family val="2"/>
      <scheme val="minor"/>
    </font>
    <font>
      <sz val="9"/>
      <color rgb="FF666666"/>
      <name val="Tahoma"/>
      <family val="2"/>
    </font>
    <font>
      <b/>
      <sz val="11"/>
      <color theme="1"/>
      <name val="Arial"/>
      <family val="2"/>
    </font>
    <font>
      <sz val="11"/>
      <color theme="1"/>
      <name val="Arial"/>
      <family val="2"/>
    </font>
    <font>
      <sz val="11"/>
      <color theme="7" tint="-0.24994659260841701"/>
      <name val="Arial"/>
      <family val="2"/>
    </font>
    <font>
      <u/>
      <sz val="11"/>
      <color theme="1"/>
      <name val="Arial"/>
      <family val="2"/>
    </font>
    <font>
      <sz val="9"/>
      <color theme="1"/>
      <name val="Arial Unicode MS"/>
      <family val="2"/>
    </font>
    <font>
      <sz val="12"/>
      <color theme="1"/>
      <name val="Arial"/>
      <family val="2"/>
    </font>
    <font>
      <sz val="12"/>
      <color theme="1"/>
      <name val="Times New Roman"/>
      <family val="1"/>
    </font>
    <font>
      <b/>
      <u/>
      <sz val="10"/>
      <color rgb="FFFF0000"/>
      <name val="Arial"/>
      <family val="2"/>
    </font>
    <font>
      <b/>
      <u/>
      <sz val="12"/>
      <color rgb="FFFF0000"/>
      <name val="Times New Roman"/>
      <family val="1"/>
    </font>
    <font>
      <sz val="11"/>
      <color theme="0" tint="-0.14999847407452621"/>
      <name val="Calibri"/>
      <family val="2"/>
    </font>
    <font>
      <b/>
      <sz val="11"/>
      <color theme="0" tint="-0.14999847407452621"/>
      <name val="Calibri"/>
      <family val="2"/>
    </font>
    <font>
      <b/>
      <i/>
      <sz val="10"/>
      <color theme="1" tint="0.499984740745262"/>
      <name val="Arial"/>
      <family val="2"/>
    </font>
    <font>
      <sz val="11"/>
      <name val="Calibri"/>
      <family val="2"/>
      <scheme val="minor"/>
    </font>
    <font>
      <b/>
      <sz val="12"/>
      <color rgb="FFFF0000"/>
      <name val="Calibri"/>
      <family val="2"/>
    </font>
    <font>
      <b/>
      <sz val="11"/>
      <color rgb="FFFF0000"/>
      <name val="Calibri"/>
      <family val="2"/>
    </font>
    <font>
      <b/>
      <strike/>
      <sz val="11"/>
      <color rgb="FFFF0000"/>
      <name val="Calibri"/>
      <family val="2"/>
    </font>
    <font>
      <sz val="10"/>
      <color theme="1"/>
      <name val="Calibri"/>
      <family val="2"/>
      <scheme val="minor"/>
    </font>
    <font>
      <sz val="9"/>
      <color rgb="FFFFFFFF"/>
      <name val="Tahoma"/>
      <family val="2"/>
    </font>
    <font>
      <sz val="11"/>
      <color rgb="FFFFFFFF"/>
      <name val="Tahoma"/>
      <family val="2"/>
    </font>
    <font>
      <sz val="11"/>
      <color indexed="81"/>
      <name val="Tahoma"/>
      <family val="2"/>
    </font>
    <font>
      <sz val="14"/>
      <color indexed="81"/>
      <name val="Arial Unicode MS"/>
      <family val="2"/>
    </font>
    <font>
      <b/>
      <sz val="11"/>
      <color indexed="81"/>
      <name val="Tahoma"/>
      <family val="2"/>
    </font>
    <font>
      <sz val="9"/>
      <color indexed="8"/>
      <name val="Arial Unicode MS"/>
      <family val="2"/>
    </font>
    <font>
      <sz val="11"/>
      <color indexed="8"/>
      <name val="Lucida Console"/>
      <family val="3"/>
    </font>
    <font>
      <sz val="11"/>
      <color rgb="FFFF0000"/>
      <name val="Calibri"/>
      <family val="2"/>
    </font>
    <font>
      <sz val="8"/>
      <color indexed="8"/>
      <name val="Lucida Console"/>
      <family val="3"/>
    </font>
    <font>
      <sz val="9"/>
      <color indexed="8"/>
      <name val="Arial Unicode MS"/>
      <family val="2"/>
    </font>
    <font>
      <b/>
      <sz val="11"/>
      <color indexed="8"/>
      <name val="Calibri"/>
      <family val="2"/>
    </font>
    <font>
      <sz val="12"/>
      <name val="Arial Unicode MS"/>
      <family val="2"/>
    </font>
    <font>
      <sz val="11"/>
      <color indexed="8"/>
      <name val="Calibri"/>
      <family val="2"/>
      <scheme val="minor"/>
    </font>
    <font>
      <b/>
      <sz val="11"/>
      <color indexed="16"/>
      <name val="Calibri"/>
      <family val="2"/>
    </font>
    <font>
      <b/>
      <i/>
      <sz val="11"/>
      <color theme="1"/>
      <name val="Calibri"/>
      <family val="2"/>
      <scheme val="minor"/>
    </font>
    <font>
      <i/>
      <sz val="11"/>
      <color theme="1"/>
      <name val="Calibri"/>
      <family val="2"/>
      <scheme val="minor"/>
    </font>
    <font>
      <sz val="11"/>
      <color rgb="FFFF0000"/>
      <name val="Calibri"/>
      <family val="2"/>
      <scheme val="minor"/>
    </font>
    <font>
      <sz val="11"/>
      <color indexed="8"/>
      <name val="Calibri"/>
      <family val="2"/>
    </font>
    <font>
      <sz val="14"/>
      <color indexed="8"/>
      <name val="Arial Unicode MS"/>
      <family val="2"/>
    </font>
    <font>
      <sz val="9"/>
      <color indexed="8"/>
      <name val="Arial Unicode MS"/>
      <family val="2"/>
    </font>
    <font>
      <sz val="9"/>
      <color indexed="9"/>
      <name val="Arial Unicode MS"/>
      <family val="2"/>
    </font>
    <font>
      <b/>
      <sz val="11"/>
      <color rgb="FF000000"/>
      <name val="Calibri"/>
      <family val="2"/>
    </font>
    <font>
      <b/>
      <sz val="12"/>
      <color indexed="8"/>
      <name val="Times New Roman"/>
      <family val="1"/>
    </font>
    <font>
      <sz val="9"/>
      <color indexed="81"/>
      <name val="Tahoma"/>
    </font>
    <font>
      <b/>
      <sz val="9"/>
      <color indexed="81"/>
      <name val="Tahoma"/>
    </font>
    <font>
      <sz val="11"/>
      <color theme="0" tint="-0.34998626667073579"/>
      <name val="Calibri"/>
      <family val="2"/>
      <scheme val="minor"/>
    </font>
    <font>
      <sz val="11"/>
      <color theme="1"/>
      <name val="Calibri"/>
      <family val="2"/>
    </font>
  </fonts>
  <fills count="77">
    <fill>
      <patternFill patternType="none"/>
    </fill>
    <fill>
      <patternFill patternType="gray125"/>
    </fill>
    <fill>
      <patternFill patternType="solid">
        <fgColor indexed="31"/>
        <bgColor indexed="58"/>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58"/>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32"/>
      </patternFill>
    </fill>
    <fill>
      <patternFill patternType="darkGray">
        <fgColor indexed="30"/>
        <bgColor indexed="21"/>
      </patternFill>
    </fill>
    <fill>
      <patternFill patternType="solid">
        <fgColor indexed="20"/>
        <bgColor indexed="16"/>
      </patternFill>
    </fill>
    <fill>
      <patternFill patternType="solid">
        <fgColor indexed="49"/>
        <bgColor indexed="35"/>
      </patternFill>
    </fill>
    <fill>
      <patternFill patternType="solid">
        <fgColor indexed="52"/>
        <bgColor indexed="51"/>
      </patternFill>
    </fill>
    <fill>
      <patternFill patternType="solid">
        <fgColor indexed="62"/>
        <bgColor indexed="56"/>
      </patternFill>
    </fill>
    <fill>
      <patternFill patternType="solid">
        <fgColor indexed="10"/>
        <bgColor indexed="36"/>
      </patternFill>
    </fill>
    <fill>
      <patternFill patternType="solid">
        <fgColor indexed="57"/>
        <bgColor indexed="19"/>
      </patternFill>
    </fill>
    <fill>
      <patternFill patternType="solid">
        <fgColor indexed="53"/>
        <bgColor indexed="28"/>
      </patternFill>
    </fill>
    <fill>
      <patternFill patternType="solid">
        <fgColor indexed="22"/>
        <bgColor indexed="58"/>
      </patternFill>
    </fill>
    <fill>
      <patternFill patternType="solid">
        <fgColor indexed="55"/>
        <bgColor indexed="48"/>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indexed="13"/>
        <bgColor indexed="34"/>
      </patternFill>
    </fill>
    <fill>
      <patternFill patternType="solid">
        <fgColor indexed="18"/>
        <bgColor indexed="56"/>
      </patternFill>
    </fill>
    <fill>
      <patternFill patternType="solid">
        <fgColor indexed="37"/>
        <bgColor indexed="59"/>
      </patternFill>
    </fill>
    <fill>
      <patternFill patternType="solid">
        <fgColor indexed="61"/>
        <bgColor indexed="25"/>
      </patternFill>
    </fill>
    <fill>
      <patternFill patternType="solid">
        <fgColor indexed="38"/>
        <bgColor indexed="35"/>
      </patternFill>
    </fill>
    <fill>
      <patternFill patternType="solid">
        <fgColor indexed="34"/>
        <bgColor indexed="13"/>
      </patternFill>
    </fill>
    <fill>
      <patternFill patternType="solid">
        <fgColor indexed="36"/>
        <bgColor indexed="33"/>
      </patternFill>
    </fill>
    <fill>
      <patternFill patternType="solid">
        <fgColor indexed="60"/>
        <bgColor indexed="25"/>
      </patternFill>
    </fill>
    <fill>
      <patternFill patternType="solid">
        <fgColor indexed="39"/>
        <bgColor indexed="43"/>
      </patternFill>
    </fill>
    <fill>
      <patternFill patternType="solid">
        <fgColor indexed="33"/>
        <bgColor indexed="36"/>
      </patternFill>
    </fill>
    <fill>
      <patternFill patternType="solid">
        <fgColor indexed="32"/>
        <bgColor indexed="39"/>
      </patternFill>
    </fill>
    <fill>
      <patternFill patternType="solid">
        <fgColor indexed="25"/>
        <bgColor indexed="60"/>
      </patternFill>
    </fill>
    <fill>
      <patternFill patternType="solid">
        <fgColor indexed="40"/>
        <bgColor indexed="15"/>
      </patternFill>
    </fill>
    <fill>
      <patternFill patternType="darkGray">
        <fgColor indexed="35"/>
        <bgColor indexed="38"/>
      </patternFill>
    </fill>
    <fill>
      <patternFill patternType="solid">
        <fgColor indexed="15"/>
        <bgColor indexed="40"/>
      </patternFill>
    </fill>
    <fill>
      <patternFill patternType="solid">
        <fgColor indexed="48"/>
        <bgColor indexed="24"/>
      </patternFill>
    </fill>
    <fill>
      <patternFill patternType="solid">
        <fgColor indexed="12"/>
        <bgColor indexed="18"/>
      </patternFill>
    </fill>
    <fill>
      <patternFill patternType="solid">
        <fgColor indexed="14"/>
        <bgColor indexed="33"/>
      </patternFill>
    </fill>
    <fill>
      <patternFill patternType="solid">
        <fgColor indexed="8"/>
        <bgColor indexed="18"/>
      </patternFill>
    </fill>
    <fill>
      <patternFill patternType="solid">
        <fgColor indexed="21"/>
        <bgColor indexed="57"/>
      </patternFill>
    </fill>
    <fill>
      <patternFill patternType="solid">
        <fgColor indexed="58"/>
        <bgColor indexed="22"/>
      </patternFill>
    </fill>
    <fill>
      <patternFill patternType="solid">
        <fgColor indexed="41"/>
        <bgColor indexed="9"/>
      </patternFill>
    </fill>
    <fill>
      <patternFill patternType="darkGray">
        <fgColor indexed="35"/>
        <bgColor indexed="49"/>
      </patternFill>
    </fill>
    <fill>
      <patternFill patternType="solid">
        <fgColor indexed="58"/>
        <bgColor indexed="64"/>
      </patternFill>
    </fill>
    <fill>
      <patternFill patternType="solid">
        <fgColor indexed="13"/>
        <bgColor indexed="64"/>
      </patternFill>
    </fill>
    <fill>
      <patternFill patternType="solid">
        <fgColor indexed="49"/>
        <bgColor indexed="49"/>
      </patternFill>
    </fill>
    <fill>
      <patternFill patternType="solid">
        <fgColor indexed="44"/>
        <bgColor indexed="44"/>
      </patternFill>
    </fill>
    <fill>
      <patternFill patternType="solid">
        <fgColor indexed="27"/>
        <bgColor indexed="27"/>
      </patternFill>
    </fill>
    <fill>
      <patternFill patternType="solid">
        <fgColor rgb="FFF79646"/>
        <bgColor indexed="64"/>
      </patternFill>
    </fill>
    <fill>
      <patternFill patternType="solid">
        <fgColor rgb="FFFFFFFF"/>
        <bgColor indexed="64"/>
      </patternFill>
    </fill>
    <fill>
      <patternFill patternType="solid">
        <fgColor rgb="FFF2F2F2"/>
        <bgColor indexed="64"/>
      </patternFill>
    </fill>
    <fill>
      <patternFill patternType="solid">
        <fgColor rgb="FFF9F9F9"/>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rgb="FFFFFF00"/>
        <bgColor indexed="64"/>
      </patternFill>
    </fill>
    <fill>
      <patternFill patternType="solid">
        <fgColor rgb="FFCBCBCB"/>
        <bgColor indexed="64"/>
      </patternFill>
    </fill>
    <fill>
      <patternFill patternType="solid">
        <fgColor rgb="FFEFEFEF"/>
        <bgColor indexed="64"/>
      </patternFill>
    </fill>
    <fill>
      <patternFill patternType="solid">
        <fgColor theme="9"/>
        <bgColor theme="9"/>
      </patternFill>
    </fill>
    <fill>
      <patternFill patternType="solid">
        <fgColor theme="9" tint="0.59999389629810485"/>
        <bgColor theme="9" tint="0.59999389629810485"/>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tint="-4.9989318521683403E-2"/>
        <bgColor indexed="48"/>
      </patternFill>
    </fill>
    <fill>
      <patternFill patternType="solid">
        <fgColor theme="0"/>
        <bgColor indexed="59"/>
      </patternFill>
    </fill>
    <fill>
      <patternFill patternType="solid">
        <fgColor rgb="FF2629B4"/>
        <bgColor indexed="64"/>
      </patternFill>
    </fill>
    <fill>
      <patternFill patternType="solid">
        <fgColor rgb="FFA98B00"/>
        <bgColor indexed="64"/>
      </patternFill>
    </fill>
    <fill>
      <patternFill patternType="solid">
        <fgColor theme="9" tint="0.79998168889431442"/>
        <bgColor theme="9" tint="0.79998168889431442"/>
      </patternFill>
    </fill>
    <fill>
      <patternFill patternType="solid">
        <fgColor theme="9" tint="0.79998168889431442"/>
        <bgColor indexed="58"/>
      </patternFill>
    </fill>
    <fill>
      <patternFill patternType="solid">
        <fgColor theme="6" tint="0.79998168889431442"/>
        <bgColor theme="6" tint="0.79998168889431442"/>
      </patternFill>
    </fill>
  </fills>
  <borders count="27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hair">
        <color indexed="8"/>
      </left>
      <right/>
      <top/>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right/>
      <top/>
      <bottom style="medium">
        <color indexed="8"/>
      </bottom>
      <diagonal/>
    </border>
    <border>
      <left/>
      <right style="medium">
        <color indexed="8"/>
      </right>
      <top/>
      <bottom style="medium">
        <color indexed="8"/>
      </bottom>
      <diagonal/>
    </border>
    <border>
      <left/>
      <right style="hair">
        <color indexed="8"/>
      </right>
      <top/>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style="hair">
        <color indexed="8"/>
      </bottom>
      <diagonal/>
    </border>
    <border>
      <left/>
      <right style="hair">
        <color indexed="8"/>
      </right>
      <top/>
      <bottom style="hair">
        <color indexed="8"/>
      </bottom>
      <diagonal/>
    </border>
    <border>
      <left/>
      <right/>
      <top style="hair">
        <color indexed="8"/>
      </top>
      <bottom/>
      <diagonal/>
    </border>
    <border>
      <left/>
      <right/>
      <top/>
      <bottom style="hair">
        <color indexed="8"/>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hair">
        <color indexed="59"/>
      </left>
      <right style="hair">
        <color indexed="59"/>
      </right>
      <top style="hair">
        <color indexed="59"/>
      </top>
      <bottom style="hair">
        <color indexed="59"/>
      </bottom>
      <diagonal/>
    </border>
    <border>
      <left/>
      <right style="hair">
        <color indexed="59"/>
      </right>
      <top style="hair">
        <color indexed="59"/>
      </top>
      <bottom style="hair">
        <color indexed="59"/>
      </bottom>
      <diagonal/>
    </border>
    <border>
      <left style="hair">
        <color indexed="59"/>
      </left>
      <right style="hair">
        <color indexed="59"/>
      </right>
      <top/>
      <bottom style="hair">
        <color indexed="59"/>
      </bottom>
      <diagonal/>
    </border>
    <border>
      <left/>
      <right style="hair">
        <color indexed="28"/>
      </right>
      <top/>
      <bottom style="hair">
        <color indexed="28"/>
      </bottom>
      <diagonal/>
    </border>
    <border>
      <left style="hair">
        <color indexed="28"/>
      </left>
      <right style="hair">
        <color indexed="28"/>
      </right>
      <top/>
      <bottom style="hair">
        <color indexed="28"/>
      </bottom>
      <diagonal/>
    </border>
    <border>
      <left/>
      <right style="hair">
        <color indexed="28"/>
      </right>
      <top style="hair">
        <color indexed="28"/>
      </top>
      <bottom style="hair">
        <color indexed="28"/>
      </bottom>
      <diagonal/>
    </border>
    <border>
      <left/>
      <right/>
      <top style="medium">
        <color indexed="18"/>
      </top>
      <bottom style="hair">
        <color indexed="1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diagonalUp="1" diagonalDown="1">
      <left style="thin">
        <color indexed="8"/>
      </left>
      <right style="thin">
        <color indexed="8"/>
      </right>
      <top style="thin">
        <color indexed="8"/>
      </top>
      <bottom style="thin">
        <color indexed="8"/>
      </bottom>
      <diagonal style="hair">
        <color indexed="8"/>
      </diagonal>
    </border>
    <border diagonalUp="1" diagonalDown="1">
      <left style="thin">
        <color indexed="8"/>
      </left>
      <right/>
      <top style="thin">
        <color indexed="8"/>
      </top>
      <bottom style="thin">
        <color indexed="8"/>
      </bottom>
      <diagonal style="hair">
        <color indexed="8"/>
      </diagonal>
    </border>
    <border>
      <left style="thin">
        <color indexed="8"/>
      </left>
      <right style="thin">
        <color indexed="8"/>
      </right>
      <top/>
      <bottom style="thin">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diagonal/>
    </border>
    <border>
      <left style="hair">
        <color indexed="28"/>
      </left>
      <right style="hair">
        <color indexed="28"/>
      </right>
      <top style="hair">
        <color indexed="28"/>
      </top>
      <bottom style="hair">
        <color indexed="28"/>
      </bottom>
      <diagonal/>
    </border>
    <border>
      <left style="hair">
        <color indexed="23"/>
      </left>
      <right style="hair">
        <color indexed="23"/>
      </right>
      <top style="hair">
        <color indexed="23"/>
      </top>
      <bottom style="hair">
        <color indexed="23"/>
      </bottom>
      <diagonal/>
    </border>
    <border>
      <left style="medium">
        <color indexed="8"/>
      </left>
      <right style="medium">
        <color indexed="8"/>
      </right>
      <top style="medium">
        <color indexed="8"/>
      </top>
      <bottom style="thin">
        <color indexed="8"/>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medium">
        <color indexed="8"/>
      </left>
      <right style="medium">
        <color indexed="8"/>
      </right>
      <top/>
      <bottom style="medium">
        <color indexed="8"/>
      </bottom>
      <diagonal/>
    </border>
    <border>
      <left style="medium">
        <color indexed="10"/>
      </left>
      <right/>
      <top style="medium">
        <color indexed="10"/>
      </top>
      <bottom/>
      <diagonal/>
    </border>
    <border>
      <left/>
      <right/>
      <top style="medium">
        <color indexed="10"/>
      </top>
      <bottom/>
      <diagonal/>
    </border>
    <border>
      <left/>
      <right style="thin">
        <color indexed="16"/>
      </right>
      <top style="medium">
        <color indexed="10"/>
      </top>
      <bottom/>
      <diagonal/>
    </border>
    <border>
      <left style="hair">
        <color indexed="8"/>
      </left>
      <right/>
      <top style="medium">
        <color indexed="10"/>
      </top>
      <bottom/>
      <diagonal/>
    </border>
    <border>
      <left/>
      <right style="medium">
        <color indexed="10"/>
      </right>
      <top style="medium">
        <color indexed="10"/>
      </top>
      <bottom/>
      <diagonal/>
    </border>
    <border>
      <left style="medium">
        <color indexed="10"/>
      </left>
      <right/>
      <top/>
      <bottom/>
      <diagonal/>
    </border>
    <border>
      <left/>
      <right style="thin">
        <color indexed="16"/>
      </right>
      <top/>
      <bottom/>
      <diagonal/>
    </border>
    <border>
      <left/>
      <right style="medium">
        <color indexed="10"/>
      </right>
      <top/>
      <bottom/>
      <diagonal/>
    </border>
    <border>
      <left style="thin">
        <color indexed="16"/>
      </left>
      <right style="thin">
        <color indexed="16"/>
      </right>
      <top style="thin">
        <color indexed="16"/>
      </top>
      <bottom style="thin">
        <color indexed="16"/>
      </bottom>
      <diagonal/>
    </border>
    <border>
      <left style="medium">
        <color indexed="10"/>
      </left>
      <right/>
      <top/>
      <bottom style="thin">
        <color indexed="16"/>
      </bottom>
      <diagonal/>
    </border>
    <border>
      <left/>
      <right/>
      <top/>
      <bottom style="thin">
        <color indexed="16"/>
      </bottom>
      <diagonal/>
    </border>
    <border>
      <left/>
      <right style="thin">
        <color indexed="16"/>
      </right>
      <top/>
      <bottom style="thin">
        <color indexed="16"/>
      </bottom>
      <diagonal/>
    </border>
    <border>
      <left/>
      <right style="medium">
        <color indexed="10"/>
      </right>
      <top/>
      <bottom style="hair">
        <color indexed="8"/>
      </bottom>
      <diagonal/>
    </border>
    <border>
      <left style="medium">
        <color indexed="10"/>
      </left>
      <right/>
      <top style="hair">
        <color indexed="8"/>
      </top>
      <bottom/>
      <diagonal/>
    </border>
    <border>
      <left/>
      <right style="medium">
        <color indexed="10"/>
      </right>
      <top style="hair">
        <color indexed="8"/>
      </top>
      <bottom/>
      <diagonal/>
    </border>
    <border>
      <left style="medium">
        <color indexed="10"/>
      </left>
      <right/>
      <top/>
      <bottom style="medium">
        <color indexed="10"/>
      </bottom>
      <diagonal/>
    </border>
    <border>
      <left/>
      <right/>
      <top/>
      <bottom style="medium">
        <color indexed="10"/>
      </bottom>
      <diagonal/>
    </border>
    <border>
      <left/>
      <right style="hair">
        <color indexed="8"/>
      </right>
      <top/>
      <bottom style="medium">
        <color indexed="10"/>
      </bottom>
      <diagonal/>
    </border>
    <border>
      <left style="hair">
        <color indexed="8"/>
      </left>
      <right/>
      <top/>
      <bottom style="medium">
        <color indexed="10"/>
      </bottom>
      <diagonal/>
    </border>
    <border>
      <left/>
      <right style="medium">
        <color indexed="10"/>
      </right>
      <top/>
      <bottom style="medium">
        <color indexed="10"/>
      </bottom>
      <diagonal/>
    </border>
    <border>
      <left style="thick">
        <color indexed="10"/>
      </left>
      <right style="thick">
        <color indexed="10"/>
      </right>
      <top style="thick">
        <color indexed="10"/>
      </top>
      <bottom style="thick">
        <color indexed="10"/>
      </bottom>
      <diagonal/>
    </border>
    <border>
      <left style="medium">
        <color indexed="8"/>
      </left>
      <right style="medium">
        <color indexed="8"/>
      </right>
      <top style="medium">
        <color indexed="8"/>
      </top>
      <bottom style="medium">
        <color indexed="8"/>
      </bottom>
      <diagonal/>
    </border>
    <border>
      <left style="thick">
        <color indexed="21"/>
      </left>
      <right/>
      <top style="thick">
        <color indexed="21"/>
      </top>
      <bottom/>
      <diagonal/>
    </border>
    <border>
      <left/>
      <right/>
      <top style="thick">
        <color indexed="21"/>
      </top>
      <bottom/>
      <diagonal/>
    </border>
    <border>
      <left/>
      <right style="thick">
        <color indexed="21"/>
      </right>
      <top style="thick">
        <color indexed="21"/>
      </top>
      <bottom/>
      <diagonal/>
    </border>
    <border>
      <left style="thick">
        <color indexed="21"/>
      </left>
      <right/>
      <top style="thin">
        <color indexed="15"/>
      </top>
      <bottom/>
      <diagonal/>
    </border>
    <border>
      <left/>
      <right/>
      <top style="thin">
        <color indexed="15"/>
      </top>
      <bottom/>
      <diagonal/>
    </border>
    <border>
      <left/>
      <right style="thick">
        <color indexed="21"/>
      </right>
      <top style="thin">
        <color indexed="15"/>
      </top>
      <bottom/>
      <diagonal/>
    </border>
    <border>
      <left style="thick">
        <color indexed="21"/>
      </left>
      <right/>
      <top style="thin">
        <color indexed="15"/>
      </top>
      <bottom style="thick">
        <color indexed="21"/>
      </bottom>
      <diagonal/>
    </border>
    <border>
      <left/>
      <right/>
      <top style="thin">
        <color indexed="15"/>
      </top>
      <bottom style="thick">
        <color indexed="21"/>
      </bottom>
      <diagonal/>
    </border>
    <border>
      <left/>
      <right style="thick">
        <color indexed="21"/>
      </right>
      <top style="thin">
        <color indexed="15"/>
      </top>
      <bottom style="thick">
        <color indexed="21"/>
      </bottom>
      <diagonal/>
    </border>
    <border>
      <left/>
      <right/>
      <top style="hair">
        <color indexed="8"/>
      </top>
      <bottom style="hair">
        <color indexed="8"/>
      </bottom>
      <diagonal/>
    </border>
    <border>
      <left style="hair">
        <color indexed="8"/>
      </left>
      <right style="thick">
        <color indexed="21"/>
      </right>
      <top style="thin">
        <color indexed="15"/>
      </top>
      <bottom/>
      <diagonal/>
    </border>
    <border>
      <left style="hair">
        <color indexed="8"/>
      </left>
      <right style="thick">
        <color indexed="21"/>
      </right>
      <top style="thin">
        <color indexed="15"/>
      </top>
      <bottom style="hair">
        <color indexed="8"/>
      </bottom>
      <diagonal/>
    </border>
    <border>
      <left/>
      <right/>
      <top style="thin">
        <color indexed="15"/>
      </top>
      <bottom style="hair">
        <color indexed="8"/>
      </bottom>
      <diagonal/>
    </border>
    <border>
      <left style="medium">
        <color indexed="64"/>
      </left>
      <right style="thin">
        <color indexed="8"/>
      </right>
      <top style="medium">
        <color indexed="64"/>
      </top>
      <bottom style="thin">
        <color indexed="8"/>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9"/>
      </right>
      <top/>
      <bottom/>
      <diagonal/>
    </border>
    <border>
      <left/>
      <right style="thin">
        <color indexed="9"/>
      </right>
      <top/>
      <bottom/>
      <diagonal/>
    </border>
    <border>
      <left/>
      <right style="medium">
        <color indexed="64"/>
      </right>
      <top/>
      <bottom/>
      <diagonal/>
    </border>
    <border>
      <left/>
      <right/>
      <top style="medium">
        <color indexed="64"/>
      </top>
      <bottom style="thin">
        <color indexed="9"/>
      </bottom>
      <diagonal/>
    </border>
    <border>
      <left/>
      <right/>
      <top/>
      <bottom style="thin">
        <color indexed="9"/>
      </bottom>
      <diagonal/>
    </border>
    <border>
      <left style="thick">
        <color indexed="8"/>
      </left>
      <right style="thin">
        <color indexed="8"/>
      </right>
      <top style="thick">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54"/>
      </right>
      <top/>
      <bottom/>
      <diagonal/>
    </border>
    <border>
      <left/>
      <right style="hair">
        <color indexed="8"/>
      </right>
      <top style="hair">
        <color indexed="8"/>
      </top>
      <bottom style="hair">
        <color indexed="8"/>
      </bottom>
      <diagonal/>
    </border>
    <border diagonalUp="1">
      <left/>
      <right/>
      <top/>
      <bottom/>
      <diagonal style="thin">
        <color indexed="64"/>
      </diagonal>
    </border>
    <border diagonalDown="1">
      <left/>
      <right/>
      <top/>
      <bottom/>
      <diagonal style="thin">
        <color indexed="64"/>
      </diagonal>
    </border>
    <border>
      <left style="hair">
        <color indexed="8"/>
      </left>
      <right/>
      <top style="hair">
        <color indexed="8"/>
      </top>
      <bottom style="hair">
        <color indexed="8"/>
      </bottom>
      <diagonal/>
    </border>
    <border>
      <left style="hair">
        <color indexed="8"/>
      </left>
      <right style="hair">
        <color indexed="8"/>
      </right>
      <top style="hair">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diagonal/>
    </border>
    <border>
      <left style="medium">
        <color indexed="64"/>
      </left>
      <right style="medium">
        <color indexed="8"/>
      </right>
      <top/>
      <bottom style="medium">
        <color indexed="8"/>
      </bottom>
      <diagonal/>
    </border>
    <border>
      <left style="medium">
        <color indexed="8"/>
      </left>
      <right style="medium">
        <color indexed="8"/>
      </right>
      <top/>
      <bottom/>
      <diagonal/>
    </border>
    <border>
      <left/>
      <right style="thin">
        <color indexed="9"/>
      </right>
      <top/>
      <bottom style="thin">
        <color indexed="9"/>
      </bottom>
      <diagonal/>
    </border>
    <border>
      <left/>
      <right style="thin">
        <color indexed="54"/>
      </right>
      <top style="thin">
        <color indexed="54"/>
      </top>
      <bottom/>
      <diagonal/>
    </border>
    <border>
      <left/>
      <right/>
      <top style="thin">
        <color indexed="54"/>
      </top>
      <bottom/>
      <diagonal/>
    </border>
    <border>
      <left style="hair">
        <color indexed="8"/>
      </left>
      <right/>
      <top style="thin">
        <color indexed="15"/>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15"/>
      </top>
      <bottom/>
      <diagonal/>
    </border>
    <border>
      <left style="thin">
        <color indexed="64"/>
      </left>
      <right/>
      <top style="thin">
        <color indexed="15"/>
      </top>
      <bottom style="thin">
        <color indexed="64"/>
      </bottom>
      <diagonal/>
    </border>
    <border>
      <left/>
      <right/>
      <top style="thin">
        <color indexed="15"/>
      </top>
      <bottom style="thin">
        <color indexed="64"/>
      </bottom>
      <diagonal/>
    </border>
    <border>
      <left/>
      <right/>
      <top/>
      <bottom style="hair">
        <color indexed="59"/>
      </bottom>
      <diagonal/>
    </border>
    <border>
      <left style="medium">
        <color indexed="64"/>
      </left>
      <right/>
      <top style="hair">
        <color indexed="8"/>
      </top>
      <bottom style="hair">
        <color indexed="8"/>
      </bottom>
      <diagonal/>
    </border>
    <border>
      <left/>
      <right style="medium">
        <color indexed="64"/>
      </right>
      <top style="hair">
        <color indexed="8"/>
      </top>
      <bottom style="hair">
        <color indexed="8"/>
      </bottom>
      <diagonal/>
    </border>
    <border>
      <left style="medium">
        <color indexed="64"/>
      </left>
      <right/>
      <top style="thick">
        <color indexed="21"/>
      </top>
      <bottom/>
      <diagonal/>
    </border>
    <border>
      <left/>
      <right style="medium">
        <color indexed="64"/>
      </right>
      <top style="thick">
        <color indexed="21"/>
      </top>
      <bottom/>
      <diagonal/>
    </border>
    <border>
      <left style="medium">
        <color indexed="64"/>
      </left>
      <right/>
      <top style="thin">
        <color indexed="15"/>
      </top>
      <bottom/>
      <diagonal/>
    </border>
    <border>
      <left/>
      <right style="medium">
        <color indexed="64"/>
      </right>
      <top style="thin">
        <color indexed="15"/>
      </top>
      <bottom/>
      <diagonal/>
    </border>
    <border>
      <left style="medium">
        <color indexed="64"/>
      </left>
      <right/>
      <top style="thin">
        <color indexed="15"/>
      </top>
      <bottom style="thick">
        <color indexed="21"/>
      </bottom>
      <diagonal/>
    </border>
    <border>
      <left/>
      <right style="medium">
        <color indexed="64"/>
      </right>
      <top style="thin">
        <color indexed="15"/>
      </top>
      <bottom style="thick">
        <color indexed="21"/>
      </bottom>
      <diagonal/>
    </border>
    <border>
      <left style="medium">
        <color indexed="64"/>
      </left>
      <right/>
      <top style="thin">
        <color indexed="15"/>
      </top>
      <bottom style="hair">
        <color indexed="8"/>
      </bottom>
      <diagonal/>
    </border>
    <border>
      <left/>
      <right style="medium">
        <color indexed="64"/>
      </right>
      <top style="thin">
        <color indexed="15"/>
      </top>
      <bottom style="hair">
        <color indexed="8"/>
      </bottom>
      <diagonal/>
    </border>
    <border>
      <left/>
      <right style="hair">
        <color indexed="59"/>
      </right>
      <top/>
      <bottom/>
      <diagonal/>
    </border>
    <border>
      <left style="medium">
        <color indexed="64"/>
      </left>
      <right style="thin">
        <color indexed="9"/>
      </right>
      <top style="medium">
        <color indexed="64"/>
      </top>
      <bottom style="thin">
        <color indexed="9"/>
      </bottom>
      <diagonal/>
    </border>
    <border>
      <left/>
      <right style="thin">
        <color indexed="9"/>
      </right>
      <top style="medium">
        <color indexed="64"/>
      </top>
      <bottom style="thin">
        <color indexed="9"/>
      </bottom>
      <diagonal/>
    </border>
    <border>
      <left/>
      <right style="medium">
        <color indexed="64"/>
      </right>
      <top style="medium">
        <color indexed="64"/>
      </top>
      <bottom style="thin">
        <color indexed="9"/>
      </bottom>
      <diagonal/>
    </border>
    <border>
      <left style="medium">
        <color indexed="64"/>
      </left>
      <right style="thin">
        <color indexed="9"/>
      </right>
      <top/>
      <bottom style="thin">
        <color indexed="9"/>
      </bottom>
      <diagonal/>
    </border>
    <border>
      <left/>
      <right style="medium">
        <color indexed="64"/>
      </right>
      <top/>
      <bottom style="thin">
        <color indexed="9"/>
      </bottom>
      <diagonal/>
    </border>
    <border>
      <left style="medium">
        <color indexed="64"/>
      </left>
      <right style="thin">
        <color indexed="9"/>
      </right>
      <top/>
      <bottom style="medium">
        <color indexed="64"/>
      </bottom>
      <diagonal/>
    </border>
    <border>
      <left/>
      <right style="thin">
        <color indexed="9"/>
      </right>
      <top/>
      <bottom style="medium">
        <color indexed="64"/>
      </bottom>
      <diagonal/>
    </border>
    <border>
      <left style="thin">
        <color indexed="9"/>
      </left>
      <right style="thin">
        <color indexed="9"/>
      </right>
      <top style="medium">
        <color indexed="64"/>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bottom style="thin">
        <color indexed="64"/>
      </bottom>
      <diagonal/>
    </border>
    <border>
      <left/>
      <right/>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8"/>
      </top>
      <bottom style="thin">
        <color indexed="8"/>
      </bottom>
      <diagonal/>
    </border>
    <border>
      <left style="medium">
        <color indexed="64"/>
      </left>
      <right style="medium">
        <color indexed="64"/>
      </right>
      <top style="medium">
        <color indexed="64"/>
      </top>
      <bottom/>
      <diagonal/>
    </border>
    <border>
      <left style="hair">
        <color indexed="8"/>
      </left>
      <right style="hair">
        <color indexed="8"/>
      </right>
      <top style="hair">
        <color indexed="8"/>
      </top>
      <bottom style="thick">
        <color indexed="22"/>
      </bottom>
      <diagonal/>
    </border>
    <border>
      <left style="thin">
        <color indexed="8"/>
      </left>
      <right/>
      <top style="thick">
        <color indexed="8"/>
      </top>
      <bottom style="thin">
        <color indexed="8"/>
      </bottom>
      <diagonal/>
    </border>
    <border>
      <left/>
      <right style="thin">
        <color indexed="8"/>
      </right>
      <top style="thick">
        <color indexed="8"/>
      </top>
      <bottom style="thin">
        <color indexed="8"/>
      </bottom>
      <diagonal/>
    </border>
    <border>
      <left/>
      <right style="thick">
        <color indexed="8"/>
      </right>
      <top style="thick">
        <color indexed="8"/>
      </top>
      <bottom style="thin">
        <color indexed="8"/>
      </bottom>
      <diagonal/>
    </border>
    <border>
      <left style="thick">
        <color indexed="10"/>
      </left>
      <right style="hair">
        <color indexed="8"/>
      </right>
      <top/>
      <bottom/>
      <diagonal/>
    </border>
    <border>
      <left style="thin">
        <color rgb="FFF79646"/>
      </left>
      <right/>
      <top style="thin">
        <color rgb="FFF79646"/>
      </top>
      <bottom/>
      <diagonal/>
    </border>
    <border>
      <left/>
      <right/>
      <top style="thin">
        <color rgb="FFF79646"/>
      </top>
      <bottom/>
      <diagonal/>
    </border>
    <border>
      <left/>
      <right style="thin">
        <color rgb="FFF79646"/>
      </right>
      <top style="thin">
        <color rgb="FFF79646"/>
      </top>
      <bottom/>
      <diagonal/>
    </border>
    <border>
      <left style="thin">
        <color rgb="FFF79646"/>
      </left>
      <right/>
      <top style="thin">
        <color rgb="FFF79646"/>
      </top>
      <bottom style="thin">
        <color rgb="FFF79646"/>
      </bottom>
      <diagonal/>
    </border>
    <border>
      <left/>
      <right/>
      <top style="thin">
        <color rgb="FFF79646"/>
      </top>
      <bottom style="thin">
        <color rgb="FFF79646"/>
      </bottom>
      <diagonal/>
    </border>
    <border>
      <left/>
      <right style="thin">
        <color rgb="FFF79646"/>
      </right>
      <top style="thin">
        <color rgb="FFF79646"/>
      </top>
      <bottom style="thin">
        <color rgb="FFF79646"/>
      </bottom>
      <diagonal/>
    </border>
    <border>
      <left style="medium">
        <color rgb="FFAAAAAA"/>
      </left>
      <right style="medium">
        <color rgb="FFAAAAAA"/>
      </right>
      <top style="medium">
        <color rgb="FFAAAAAA"/>
      </top>
      <bottom style="medium">
        <color rgb="FFAAAAAA"/>
      </bottom>
      <diagonal/>
    </border>
    <border>
      <left/>
      <right style="thin">
        <color rgb="FF000000"/>
      </right>
      <top/>
      <bottom style="medium">
        <color rgb="FFCCCCCC"/>
      </bottom>
      <diagonal/>
    </border>
    <border>
      <left/>
      <right style="thin">
        <color rgb="FF000000"/>
      </right>
      <top/>
      <bottom style="thin">
        <color rgb="FF000000"/>
      </bottom>
      <diagonal/>
    </border>
    <border>
      <left/>
      <right style="thin">
        <color rgb="FF000000"/>
      </right>
      <top style="thin">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n">
        <color rgb="FF000000"/>
      </right>
      <top style="medium">
        <color rgb="FFCCCCCC"/>
      </top>
      <bottom style="medium">
        <color rgb="FFCCCCCC"/>
      </bottom>
      <diagonal/>
    </border>
    <border>
      <left style="medium">
        <color rgb="FFCCCCCC"/>
      </left>
      <right style="medium">
        <color rgb="FFCCCCCC"/>
      </right>
      <top style="medium">
        <color rgb="FFCCCCCC"/>
      </top>
      <bottom style="thin">
        <color rgb="FF000000"/>
      </bottom>
      <diagonal/>
    </border>
    <border>
      <left style="medium">
        <color rgb="FFCCCCCC"/>
      </left>
      <right style="thin">
        <color rgb="FF000000"/>
      </right>
      <top style="medium">
        <color rgb="FFCCCCCC"/>
      </top>
      <bottom style="thin">
        <color rgb="FF000000"/>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right/>
      <top style="thin">
        <color theme="9" tint="0.39997558519241921"/>
      </top>
      <bottom style="thin">
        <color theme="9" tint="0.39997558519241921"/>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bottom style="medium">
        <color rgb="FFFF0000"/>
      </bottom>
      <diagonal/>
    </border>
    <border>
      <left style="thin">
        <color theme="1"/>
      </left>
      <right/>
      <top/>
      <bottom/>
      <diagonal/>
    </border>
    <border>
      <left/>
      <right style="medium">
        <color rgb="FFFF0000"/>
      </right>
      <top/>
      <bottom style="medium">
        <color rgb="FFFF0000"/>
      </bottom>
      <diagonal/>
    </border>
    <border>
      <left/>
      <right style="medium">
        <color rgb="FFFF0000"/>
      </right>
      <top style="medium">
        <color rgb="FFFF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style="thin">
        <color theme="3"/>
      </top>
      <bottom style="medium">
        <color indexed="8"/>
      </bottom>
      <diagonal/>
    </border>
    <border>
      <left/>
      <right/>
      <top style="medium">
        <color theme="3"/>
      </top>
      <bottom/>
      <diagonal/>
    </border>
    <border>
      <left style="medium">
        <color theme="3"/>
      </left>
      <right/>
      <top/>
      <bottom style="medium">
        <color indexed="8"/>
      </bottom>
      <diagonal/>
    </border>
    <border>
      <left style="medium">
        <color theme="3"/>
      </left>
      <right/>
      <top style="medium">
        <color indexed="8"/>
      </top>
      <bottom/>
      <diagonal/>
    </border>
    <border>
      <left style="medium">
        <color theme="3"/>
      </left>
      <right/>
      <top/>
      <bottom style="medium">
        <color theme="3"/>
      </bottom>
      <diagonal/>
    </border>
    <border>
      <left/>
      <right/>
      <top/>
      <bottom style="medium">
        <color theme="3"/>
      </bottom>
      <diagonal/>
    </border>
    <border>
      <left style="medium">
        <color theme="3"/>
      </left>
      <right/>
      <top style="thin">
        <color theme="3"/>
      </top>
      <bottom/>
      <diagonal/>
    </border>
    <border>
      <left/>
      <right style="thin">
        <color rgb="FF000000"/>
      </right>
      <top style="thin">
        <color rgb="FF000000"/>
      </top>
      <bottom/>
      <diagonal/>
    </border>
    <border>
      <left/>
      <right style="thin">
        <color rgb="FF000000"/>
      </right>
      <top/>
      <bottom/>
      <diagonal/>
    </border>
    <border>
      <left style="thick">
        <color theme="1"/>
      </left>
      <right/>
      <top style="thick">
        <color theme="1"/>
      </top>
      <bottom/>
      <diagonal/>
    </border>
    <border>
      <left/>
      <right/>
      <top style="thick">
        <color theme="1"/>
      </top>
      <bottom/>
      <diagonal/>
    </border>
    <border>
      <left/>
      <right style="thick">
        <color theme="1"/>
      </right>
      <top style="thick">
        <color theme="1"/>
      </top>
      <bottom/>
      <diagonal/>
    </border>
    <border>
      <left style="thick">
        <color theme="1"/>
      </left>
      <right/>
      <top/>
      <bottom/>
      <diagonal/>
    </border>
    <border>
      <left/>
      <right style="thick">
        <color theme="1"/>
      </right>
      <top/>
      <bottom/>
      <diagonal/>
    </border>
    <border>
      <left style="thick">
        <color theme="1"/>
      </left>
      <right/>
      <top/>
      <bottom style="thick">
        <color theme="1"/>
      </bottom>
      <diagonal/>
    </border>
    <border>
      <left/>
      <right/>
      <top/>
      <bottom style="thick">
        <color theme="1"/>
      </bottom>
      <diagonal/>
    </border>
    <border>
      <left/>
      <right style="thick">
        <color theme="1"/>
      </right>
      <top/>
      <bottom style="thick">
        <color theme="1"/>
      </bottom>
      <diagonal/>
    </border>
    <border>
      <left style="medium">
        <color indexed="64"/>
      </left>
      <right/>
      <top style="medium">
        <color rgb="FFFF0000"/>
      </top>
      <bottom/>
      <diagonal/>
    </border>
    <border>
      <left/>
      <right/>
      <top style="medium">
        <color rgb="FFFF0000"/>
      </top>
      <bottom/>
      <diagonal/>
    </border>
    <border>
      <left/>
      <right style="medium">
        <color indexed="64"/>
      </right>
      <top style="medium">
        <color rgb="FFFF0000"/>
      </top>
      <bottom/>
      <diagonal/>
    </border>
    <border>
      <left style="medium">
        <color indexed="64"/>
      </left>
      <right/>
      <top/>
      <bottom style="thick">
        <color theme="1"/>
      </bottom>
      <diagonal/>
    </border>
    <border>
      <left/>
      <right style="medium">
        <color indexed="64"/>
      </right>
      <top/>
      <bottom style="thick">
        <color theme="1"/>
      </bottom>
      <diagonal/>
    </border>
    <border>
      <left/>
      <right style="thick">
        <color theme="1"/>
      </right>
      <top style="medium">
        <color rgb="FFFF0000"/>
      </top>
      <bottom/>
      <diagonal/>
    </border>
    <border>
      <left/>
      <right/>
      <top style="double">
        <color indexed="64"/>
      </top>
      <bottom/>
      <diagonal/>
    </border>
    <border>
      <left/>
      <right/>
      <top style="thin">
        <color theme="6"/>
      </top>
      <bottom/>
      <diagonal/>
    </border>
    <border>
      <left/>
      <right/>
      <top style="thin">
        <color theme="6"/>
      </top>
      <bottom style="thin">
        <color theme="6"/>
      </bottom>
      <diagonal/>
    </border>
    <border>
      <left/>
      <right/>
      <top style="thin">
        <color indexed="54"/>
      </top>
      <bottom style="thin">
        <color theme="9" tint="0.39997558519241921"/>
      </bottom>
      <diagonal/>
    </border>
    <border>
      <left/>
      <right/>
      <top/>
      <bottom style="thin">
        <color theme="9" tint="0.39997558519241921"/>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diagonal/>
    </border>
    <border>
      <left/>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style="thick">
        <color indexed="64"/>
      </right>
      <top style="thick">
        <color indexed="64"/>
      </top>
      <bottom/>
      <diagonal/>
    </border>
    <border>
      <left/>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style="thick">
        <color indexed="64"/>
      </right>
      <top/>
      <bottom style="thick">
        <color indexed="64"/>
      </bottom>
      <diagonal/>
    </border>
    <border>
      <left style="medium">
        <color rgb="FF9BBB59"/>
      </left>
      <right/>
      <top style="medium">
        <color rgb="FF9BBB59"/>
      </top>
      <bottom/>
      <diagonal/>
    </border>
    <border>
      <left/>
      <right/>
      <top style="medium">
        <color rgb="FF9BBB59"/>
      </top>
      <bottom/>
      <diagonal/>
    </border>
    <border>
      <left/>
      <right style="medium">
        <color rgb="FF9BBB59"/>
      </right>
      <top style="medium">
        <color rgb="FF9BBB59"/>
      </top>
      <bottom/>
      <diagonal/>
    </border>
    <border>
      <left style="medium">
        <color rgb="FF9BBB59"/>
      </left>
      <right/>
      <top style="medium">
        <color indexed="64"/>
      </top>
      <bottom/>
      <diagonal/>
    </border>
    <border>
      <left style="medium">
        <color rgb="FF9BBB59"/>
      </left>
      <right style="medium">
        <color indexed="64"/>
      </right>
      <top style="medium">
        <color indexed="64"/>
      </top>
      <bottom/>
      <diagonal/>
    </border>
    <border>
      <left style="medium">
        <color indexed="64"/>
      </left>
      <right/>
      <top style="medium">
        <color rgb="FF9BBB59"/>
      </top>
      <bottom/>
      <diagonal/>
    </border>
    <border>
      <left style="medium">
        <color rgb="FF9BBB59"/>
      </left>
      <right style="medium">
        <color indexed="64"/>
      </right>
      <top style="medium">
        <color rgb="FF9BBB59"/>
      </top>
      <bottom/>
      <diagonal/>
    </border>
    <border>
      <left style="medium">
        <color indexed="64"/>
      </left>
      <right/>
      <top style="medium">
        <color rgb="FF9BBB59"/>
      </top>
      <bottom style="medium">
        <color indexed="64"/>
      </bottom>
      <diagonal/>
    </border>
    <border>
      <left style="medium">
        <color rgb="FF9BBB59"/>
      </left>
      <right/>
      <top style="medium">
        <color rgb="FF9BBB59"/>
      </top>
      <bottom style="medium">
        <color indexed="64"/>
      </bottom>
      <diagonal/>
    </border>
    <border>
      <left style="medium">
        <color rgb="FF9BBB59"/>
      </left>
      <right style="medium">
        <color indexed="64"/>
      </right>
      <top style="medium">
        <color rgb="FF9BBB59"/>
      </top>
      <bottom style="medium">
        <color indexed="64"/>
      </bottom>
      <diagonal/>
    </border>
    <border>
      <left style="medium">
        <color rgb="FF9BBB59"/>
      </left>
      <right/>
      <top style="double">
        <color rgb="FF9BBB59"/>
      </top>
      <bottom style="medium">
        <color rgb="FF9BBB59"/>
      </bottom>
      <diagonal/>
    </border>
    <border>
      <left/>
      <right/>
      <top/>
      <bottom style="medium">
        <color rgb="FF9BBB59"/>
      </bottom>
      <diagonal/>
    </border>
    <border>
      <left/>
      <right style="medium">
        <color rgb="FF9BBB59"/>
      </right>
      <top style="double">
        <color rgb="FF9BBB59"/>
      </top>
      <bottom style="medium">
        <color rgb="FF9BBB59"/>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diagonal/>
    </border>
    <border>
      <left style="medium">
        <color rgb="FFFF0000"/>
      </left>
      <right/>
      <top/>
      <bottom style="medium">
        <color rgb="FFFF0000"/>
      </bottom>
      <diagonal/>
    </border>
    <border>
      <left style="medium">
        <color indexed="64"/>
      </left>
      <right style="medium">
        <color indexed="64"/>
      </right>
      <top style="medium">
        <color indexed="64"/>
      </top>
      <bottom style="medium">
        <color indexed="64"/>
      </bottom>
      <diagonal/>
    </border>
    <border>
      <left/>
      <right/>
      <top style="thin">
        <color theme="6" tint="0.39997558519241921"/>
      </top>
      <bottom style="thin">
        <color theme="6" tint="0.39997558519241921"/>
      </bottom>
      <diagonal/>
    </border>
  </borders>
  <cellStyleXfs count="337">
    <xf numFmtId="0" fontId="0" fillId="0" borderId="0"/>
    <xf numFmtId="0" fontId="108" fillId="2" borderId="0" applyNumberFormat="0" applyBorder="0" applyAlignment="0" applyProtection="0"/>
    <xf numFmtId="0" fontId="108" fillId="2" borderId="0" applyNumberFormat="0" applyBorder="0" applyAlignment="0" applyProtection="0"/>
    <xf numFmtId="0" fontId="108" fillId="2" borderId="0" applyNumberFormat="0" applyBorder="0" applyAlignment="0" applyProtection="0"/>
    <xf numFmtId="0" fontId="108" fillId="2" borderId="0" applyNumberFormat="0" applyBorder="0" applyAlignment="0" applyProtection="0"/>
    <xf numFmtId="0" fontId="108" fillId="2" borderId="0" applyNumberFormat="0" applyBorder="0" applyAlignment="0" applyProtection="0"/>
    <xf numFmtId="0" fontId="108" fillId="2" borderId="0" applyNumberFormat="0" applyBorder="0" applyAlignment="0" applyProtection="0"/>
    <xf numFmtId="0" fontId="108" fillId="2" borderId="0" applyNumberFormat="0" applyBorder="0" applyAlignment="0" applyProtection="0"/>
    <xf numFmtId="0" fontId="108" fillId="2"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4"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6"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9"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10"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5"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0" fillId="20" borderId="1"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0" fontId="11" fillId="21" borderId="2" applyNumberFormat="0" applyAlignment="0" applyProtection="0"/>
    <xf numFmtId="43" fontId="7" fillId="0" borderId="0" applyFill="0" applyBorder="0" applyAlignment="0" applyProtection="0"/>
    <xf numFmtId="0" fontId="108"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09" fillId="0" borderId="0" applyNumberFormat="0" applyFill="0" applyBorder="0" applyAlignment="0" applyProtection="0">
      <alignment vertical="top"/>
      <protection locked="0"/>
    </xf>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49" fillId="0" borderId="0"/>
    <xf numFmtId="0" fontId="108" fillId="23" borderId="7" applyNumberFormat="0" applyAlignment="0" applyProtection="0"/>
    <xf numFmtId="0" fontId="108" fillId="23" borderId="7" applyNumberFormat="0" applyAlignment="0" applyProtection="0"/>
    <xf numFmtId="0" fontId="108" fillId="23" borderId="7" applyNumberFormat="0" applyAlignment="0" applyProtection="0"/>
    <xf numFmtId="0" fontId="108" fillId="23" borderId="7" applyNumberFormat="0" applyAlignment="0" applyProtection="0"/>
    <xf numFmtId="0" fontId="108" fillId="23" borderId="7" applyNumberFormat="0" applyAlignment="0" applyProtection="0"/>
    <xf numFmtId="0" fontId="108" fillId="23" borderId="7" applyNumberFormat="0" applyAlignment="0" applyProtection="0"/>
    <xf numFmtId="0" fontId="108" fillId="23" borderId="7" applyNumberFormat="0" applyAlignment="0" applyProtection="0"/>
    <xf numFmtId="0" fontId="108" fillId="23" borderId="7"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20" fillId="20" borderId="8" applyNumberFormat="0" applyAlignment="0" applyProtection="0"/>
    <xf numFmtId="0" fontId="108" fillId="2" borderId="9" applyNumberFormat="0" applyAlignment="0" applyProtection="0"/>
    <xf numFmtId="0" fontId="108" fillId="2"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6" fillId="0" borderId="0"/>
    <xf numFmtId="0" fontId="4" fillId="0" borderId="0"/>
  </cellStyleXfs>
  <cellXfs count="1659">
    <xf numFmtId="0" fontId="0" fillId="0" borderId="0" xfId="0"/>
    <xf numFmtId="0" fontId="0" fillId="0" borderId="0" xfId="0" applyProtection="1"/>
    <xf numFmtId="166" fontId="0" fillId="0" borderId="0" xfId="0" applyNumberFormat="1" applyProtection="1"/>
    <xf numFmtId="167" fontId="27" fillId="0" borderId="0" xfId="0" applyNumberFormat="1" applyFont="1" applyAlignment="1" applyProtection="1"/>
    <xf numFmtId="0" fontId="0" fillId="0" borderId="0" xfId="0" applyNumberFormat="1" applyProtection="1"/>
    <xf numFmtId="20" fontId="0" fillId="0" borderId="0" xfId="0" applyNumberFormat="1" applyProtection="1"/>
    <xf numFmtId="168" fontId="0" fillId="0" borderId="0" xfId="0" applyNumberFormat="1" applyFont="1" applyProtection="1"/>
    <xf numFmtId="0" fontId="0" fillId="0" borderId="0" xfId="0" applyFont="1" applyAlignment="1" applyProtection="1"/>
    <xf numFmtId="2" fontId="0" fillId="0" borderId="0" xfId="0" applyNumberFormat="1" applyProtection="1"/>
    <xf numFmtId="168" fontId="22" fillId="0" borderId="0" xfId="0" applyNumberFormat="1" applyFont="1" applyProtection="1"/>
    <xf numFmtId="0" fontId="22" fillId="0" borderId="0" xfId="0" applyFont="1" applyProtection="1"/>
    <xf numFmtId="0" fontId="0" fillId="24" borderId="11" xfId="0" applyFont="1" applyFill="1" applyBorder="1" applyProtection="1"/>
    <xf numFmtId="2" fontId="0" fillId="0" borderId="11" xfId="0" applyNumberFormat="1" applyBorder="1" applyProtection="1"/>
    <xf numFmtId="0" fontId="28" fillId="0" borderId="11" xfId="0" applyFont="1" applyFill="1" applyBorder="1" applyProtection="1"/>
    <xf numFmtId="0" fontId="31" fillId="0" borderId="0" xfId="0" applyFont="1" applyProtection="1"/>
    <xf numFmtId="0" fontId="32" fillId="0" borderId="0" xfId="0" applyFont="1" applyProtection="1"/>
    <xf numFmtId="0" fontId="28" fillId="24" borderId="11" xfId="0" applyFont="1" applyFill="1" applyBorder="1" applyProtection="1"/>
    <xf numFmtId="2" fontId="27" fillId="0" borderId="11" xfId="0" applyNumberFormat="1" applyFont="1" applyBorder="1" applyProtection="1"/>
    <xf numFmtId="169" fontId="0" fillId="0" borderId="0" xfId="0" applyNumberFormat="1" applyProtection="1"/>
    <xf numFmtId="0" fontId="0" fillId="0" borderId="11" xfId="0" applyFont="1" applyBorder="1" applyProtection="1"/>
    <xf numFmtId="1" fontId="0" fillId="0" borderId="11" xfId="0" applyNumberFormat="1" applyBorder="1" applyProtection="1"/>
    <xf numFmtId="0" fontId="0" fillId="0" borderId="11" xfId="0" applyBorder="1" applyAlignment="1">
      <alignment shrinkToFit="1"/>
    </xf>
    <xf numFmtId="2" fontId="0" fillId="0" borderId="11" xfId="0" applyNumberFormat="1" applyBorder="1" applyAlignment="1" applyProtection="1"/>
    <xf numFmtId="0" fontId="0" fillId="0" borderId="11" xfId="0" applyNumberFormat="1" applyBorder="1" applyProtection="1"/>
    <xf numFmtId="0" fontId="27" fillId="0" borderId="11" xfId="0" applyFont="1" applyBorder="1" applyProtection="1"/>
    <xf numFmtId="1" fontId="27" fillId="0" borderId="11" xfId="0" applyNumberFormat="1" applyFont="1" applyBorder="1" applyProtection="1"/>
    <xf numFmtId="0" fontId="27" fillId="0" borderId="0" xfId="0" applyFont="1" applyProtection="1"/>
    <xf numFmtId="0" fontId="27" fillId="0" borderId="11" xfId="0" applyFont="1" applyBorder="1" applyAlignment="1" applyProtection="1">
      <alignment horizontal="center"/>
    </xf>
    <xf numFmtId="171" fontId="0" fillId="0" borderId="0" xfId="0" applyNumberFormat="1"/>
    <xf numFmtId="173" fontId="0" fillId="0" borderId="11" xfId="0" applyNumberFormat="1" applyBorder="1" applyAlignment="1" applyProtection="1"/>
    <xf numFmtId="0" fontId="0" fillId="0" borderId="11" xfId="0" applyFill="1" applyBorder="1" applyProtection="1"/>
    <xf numFmtId="0" fontId="28" fillId="0" borderId="0" xfId="0" applyFont="1" applyFill="1" applyBorder="1" applyProtection="1"/>
    <xf numFmtId="0" fontId="0" fillId="0" borderId="0" xfId="0" applyProtection="1">
      <protection locked="0"/>
    </xf>
    <xf numFmtId="0" fontId="0" fillId="0" borderId="0" xfId="0" applyFont="1" applyFill="1" applyBorder="1" applyProtection="1"/>
    <xf numFmtId="2" fontId="27" fillId="25" borderId="11" xfId="0" applyNumberFormat="1" applyFont="1" applyFill="1" applyBorder="1" applyAlignment="1" applyProtection="1">
      <alignment horizontal="left"/>
      <protection locked="0"/>
    </xf>
    <xf numFmtId="0" fontId="27" fillId="0" borderId="0" xfId="0" applyFont="1" applyProtection="1">
      <protection locked="0"/>
    </xf>
    <xf numFmtId="0" fontId="33" fillId="0" borderId="12" xfId="0" applyFont="1" applyBorder="1" applyProtection="1"/>
    <xf numFmtId="0" fontId="33" fillId="0" borderId="13" xfId="0" applyFont="1" applyBorder="1" applyProtection="1"/>
    <xf numFmtId="2" fontId="33" fillId="0" borderId="14" xfId="0" applyNumberFormat="1" applyFont="1" applyBorder="1" applyProtection="1"/>
    <xf numFmtId="0" fontId="33" fillId="0" borderId="0" xfId="0" applyFont="1" applyProtection="1"/>
    <xf numFmtId="2" fontId="28" fillId="0" borderId="15" xfId="0" applyNumberFormat="1" applyFont="1" applyBorder="1" applyProtection="1">
      <protection locked="0"/>
    </xf>
    <xf numFmtId="0" fontId="0" fillId="0" borderId="0" xfId="0" applyFont="1" applyBorder="1" applyProtection="1"/>
    <xf numFmtId="0" fontId="0" fillId="0" borderId="16" xfId="0" applyBorder="1" applyProtection="1"/>
    <xf numFmtId="168" fontId="0" fillId="0" borderId="15" xfId="0" applyNumberFormat="1" applyFont="1" applyBorder="1" applyProtection="1"/>
    <xf numFmtId="0" fontId="0" fillId="0" borderId="0" xfId="0" applyBorder="1" applyAlignment="1" applyProtection="1"/>
    <xf numFmtId="0" fontId="0" fillId="0" borderId="15" xfId="0" applyFont="1" applyBorder="1" applyProtection="1"/>
    <xf numFmtId="175" fontId="0" fillId="0" borderId="0" xfId="0" applyNumberFormat="1" applyAlignment="1" applyProtection="1"/>
    <xf numFmtId="0" fontId="34" fillId="0" borderId="15" xfId="0" applyFont="1" applyBorder="1" applyProtection="1"/>
    <xf numFmtId="174" fontId="34" fillId="0" borderId="0" xfId="0" applyNumberFormat="1" applyFont="1" applyBorder="1" applyAlignment="1" applyProtection="1"/>
    <xf numFmtId="174" fontId="34" fillId="0" borderId="16" xfId="0" applyNumberFormat="1" applyFont="1" applyBorder="1" applyAlignment="1" applyProtection="1"/>
    <xf numFmtId="175" fontId="34" fillId="0" borderId="0" xfId="0" applyNumberFormat="1" applyFont="1" applyAlignment="1" applyProtection="1"/>
    <xf numFmtId="0" fontId="34" fillId="0" borderId="0" xfId="0" applyFont="1" applyProtection="1"/>
    <xf numFmtId="0" fontId="34" fillId="0" borderId="0" xfId="0" applyNumberFormat="1" applyFont="1" applyBorder="1" applyAlignment="1" applyProtection="1"/>
    <xf numFmtId="0" fontId="29" fillId="0" borderId="15" xfId="0" applyFont="1" applyBorder="1" applyProtection="1"/>
    <xf numFmtId="0" fontId="29" fillId="0" borderId="0" xfId="0" applyFont="1" applyBorder="1" applyProtection="1"/>
    <xf numFmtId="174" fontId="29" fillId="0" borderId="0" xfId="0" applyNumberFormat="1" applyFont="1" applyBorder="1" applyAlignment="1" applyProtection="1"/>
    <xf numFmtId="174" fontId="29" fillId="0" borderId="16" xfId="0" applyNumberFormat="1" applyFont="1" applyBorder="1" applyAlignment="1" applyProtection="1"/>
    <xf numFmtId="175" fontId="29" fillId="0" borderId="0" xfId="0" applyNumberFormat="1" applyFont="1" applyAlignment="1" applyProtection="1"/>
    <xf numFmtId="0" fontId="29" fillId="0" borderId="0" xfId="0" applyFont="1" applyProtection="1"/>
    <xf numFmtId="0" fontId="29" fillId="0" borderId="0" xfId="0" applyNumberFormat="1" applyFont="1" applyBorder="1" applyAlignment="1" applyProtection="1"/>
    <xf numFmtId="0" fontId="34" fillId="0" borderId="0" xfId="0" applyFont="1" applyBorder="1" applyProtection="1"/>
    <xf numFmtId="0" fontId="29" fillId="0" borderId="15" xfId="0" applyFont="1" applyBorder="1" applyAlignment="1" applyProtection="1"/>
    <xf numFmtId="0" fontId="29" fillId="0" borderId="0" xfId="0" applyFont="1" applyBorder="1" applyAlignment="1" applyProtection="1"/>
    <xf numFmtId="0" fontId="29" fillId="0" borderId="0" xfId="0" applyFont="1" applyAlignment="1" applyProtection="1"/>
    <xf numFmtId="0" fontId="34" fillId="0" borderId="15" xfId="0" applyFont="1" applyBorder="1" applyAlignment="1" applyProtection="1"/>
    <xf numFmtId="0" fontId="34" fillId="0" borderId="0" xfId="0" applyFont="1" applyBorder="1" applyAlignment="1" applyProtection="1"/>
    <xf numFmtId="0" fontId="34" fillId="0" borderId="0" xfId="0" applyFont="1" applyAlignment="1" applyProtection="1"/>
    <xf numFmtId="0" fontId="29" fillId="0" borderId="17" xfId="0" applyFont="1" applyBorder="1" applyAlignment="1" applyProtection="1"/>
    <xf numFmtId="0" fontId="29" fillId="0" borderId="18" xfId="0" applyFont="1" applyBorder="1" applyAlignment="1" applyProtection="1"/>
    <xf numFmtId="174" fontId="29" fillId="0" borderId="19" xfId="0" applyNumberFormat="1" applyFont="1" applyBorder="1" applyAlignment="1" applyProtection="1"/>
    <xf numFmtId="0" fontId="35" fillId="0" borderId="0" xfId="0" applyFont="1"/>
    <xf numFmtId="176" fontId="0" fillId="0" borderId="0" xfId="0" applyNumberFormat="1"/>
    <xf numFmtId="0" fontId="36" fillId="0" borderId="0" xfId="0" applyFont="1" applyBorder="1" applyProtection="1"/>
    <xf numFmtId="0" fontId="37" fillId="0" borderId="0" xfId="0" applyFont="1" applyBorder="1" applyProtection="1"/>
    <xf numFmtId="2" fontId="28" fillId="25" borderId="15" xfId="0" applyNumberFormat="1" applyFont="1" applyFill="1" applyBorder="1" applyProtection="1">
      <protection locked="0"/>
    </xf>
    <xf numFmtId="168" fontId="37" fillId="0" borderId="15" xfId="0" applyNumberFormat="1" applyFont="1" applyBorder="1" applyProtection="1"/>
    <xf numFmtId="0" fontId="37" fillId="0" borderId="15" xfId="0" applyFont="1" applyBorder="1" applyProtection="1"/>
    <xf numFmtId="0" fontId="35" fillId="0" borderId="0" xfId="0" applyFont="1" applyBorder="1" applyAlignment="1" applyProtection="1"/>
    <xf numFmtId="0" fontId="38" fillId="0" borderId="0" xfId="0" applyFont="1" applyBorder="1" applyProtection="1"/>
    <xf numFmtId="0" fontId="35" fillId="0" borderId="0" xfId="0" applyFont="1" applyProtection="1">
      <protection locked="0"/>
    </xf>
    <xf numFmtId="2" fontId="0" fillId="0" borderId="0" xfId="0" applyNumberFormat="1" applyProtection="1">
      <protection locked="0"/>
    </xf>
    <xf numFmtId="0" fontId="39" fillId="7" borderId="0" xfId="0" applyFont="1" applyFill="1" applyBorder="1" applyAlignment="1" applyProtection="1">
      <protection locked="0"/>
    </xf>
    <xf numFmtId="0" fontId="40" fillId="7" borderId="0" xfId="0" applyFont="1" applyFill="1" applyBorder="1" applyAlignment="1" applyProtection="1">
      <alignment horizontal="center"/>
      <protection locked="0"/>
    </xf>
    <xf numFmtId="0" fontId="39" fillId="7" borderId="0" xfId="0" applyFont="1" applyFill="1" applyBorder="1" applyAlignment="1" applyProtection="1">
      <alignment horizontal="center"/>
      <protection locked="0"/>
    </xf>
    <xf numFmtId="2" fontId="39" fillId="7" borderId="0" xfId="0" applyNumberFormat="1" applyFont="1" applyFill="1" applyBorder="1" applyAlignment="1" applyProtection="1">
      <alignment horizontal="center"/>
      <protection locked="0"/>
    </xf>
    <xf numFmtId="176" fontId="39" fillId="7" borderId="0" xfId="0" applyNumberFormat="1" applyFont="1" applyFill="1"/>
    <xf numFmtId="0" fontId="39" fillId="7" borderId="0" xfId="0" applyFont="1" applyFill="1"/>
    <xf numFmtId="0" fontId="41" fillId="26" borderId="0" xfId="0" applyFont="1" applyFill="1" applyBorder="1" applyAlignment="1" applyProtection="1">
      <alignment horizontal="left"/>
      <protection locked="0"/>
    </xf>
    <xf numFmtId="178" fontId="38" fillId="6" borderId="0" xfId="0" applyNumberFormat="1" applyFont="1" applyFill="1" applyBorder="1" applyAlignment="1" applyProtection="1">
      <alignment horizontal="right"/>
      <protection locked="0"/>
    </xf>
    <xf numFmtId="178" fontId="37" fillId="6" borderId="0" xfId="0" applyNumberFormat="1" applyFont="1" applyFill="1" applyBorder="1" applyAlignment="1" applyProtection="1">
      <alignment horizontal="right"/>
      <protection locked="0"/>
    </xf>
    <xf numFmtId="0" fontId="42" fillId="26" borderId="0" xfId="0" applyFont="1" applyFill="1" applyBorder="1" applyAlignment="1" applyProtection="1">
      <alignment horizontal="left"/>
      <protection locked="0"/>
    </xf>
    <xf numFmtId="0" fontId="38" fillId="6" borderId="0" xfId="0" applyNumberFormat="1" applyFont="1" applyFill="1" applyBorder="1" applyAlignment="1" applyProtection="1">
      <alignment horizontal="right"/>
      <protection locked="0"/>
    </xf>
    <xf numFmtId="0" fontId="37" fillId="6" borderId="0" xfId="0" applyNumberFormat="1" applyFont="1" applyFill="1" applyBorder="1" applyAlignment="1" applyProtection="1">
      <alignment horizontal="right"/>
      <protection locked="0"/>
    </xf>
    <xf numFmtId="2" fontId="38" fillId="6" borderId="0" xfId="0" applyNumberFormat="1" applyFont="1" applyFill="1" applyBorder="1" applyAlignment="1" applyProtection="1">
      <alignment horizontal="right"/>
      <protection locked="0"/>
    </xf>
    <xf numFmtId="2" fontId="37" fillId="6" borderId="0" xfId="0" applyNumberFormat="1" applyFont="1" applyFill="1" applyBorder="1" applyAlignment="1" applyProtection="1">
      <alignment horizontal="right"/>
      <protection locked="0"/>
    </xf>
    <xf numFmtId="0" fontId="38" fillId="6" borderId="0" xfId="0" applyFont="1" applyFill="1" applyBorder="1" applyAlignment="1" applyProtection="1">
      <alignment horizontal="right"/>
      <protection locked="0"/>
    </xf>
    <xf numFmtId="0" fontId="37" fillId="6" borderId="0" xfId="0" applyFont="1" applyFill="1" applyBorder="1" applyAlignment="1" applyProtection="1">
      <alignment horizontal="right"/>
      <protection locked="0"/>
    </xf>
    <xf numFmtId="176" fontId="0" fillId="25" borderId="0" xfId="0" applyNumberFormat="1" applyFill="1" applyBorder="1" applyAlignment="1" applyProtection="1">
      <alignment shrinkToFit="1"/>
      <protection locked="0"/>
    </xf>
    <xf numFmtId="0" fontId="0" fillId="0" borderId="0" xfId="0" applyAlignment="1">
      <alignment wrapText="1"/>
    </xf>
    <xf numFmtId="179" fontId="0" fillId="0" borderId="0" xfId="0" applyNumberFormat="1"/>
    <xf numFmtId="0" fontId="27" fillId="0" borderId="0" xfId="0" applyFont="1"/>
    <xf numFmtId="0" fontId="27" fillId="0" borderId="15" xfId="0" applyFont="1" applyFill="1" applyBorder="1" applyProtection="1"/>
    <xf numFmtId="0" fontId="27" fillId="0" borderId="15" xfId="0" applyFont="1" applyBorder="1" applyProtection="1"/>
    <xf numFmtId="0" fontId="27" fillId="0" borderId="0" xfId="0" applyFont="1" applyBorder="1" applyAlignment="1" applyProtection="1">
      <alignment horizontal="center"/>
    </xf>
    <xf numFmtId="0" fontId="27" fillId="0" borderId="0" xfId="0" applyFont="1" applyBorder="1" applyProtection="1"/>
    <xf numFmtId="0" fontId="27" fillId="0" borderId="0" xfId="0" applyFont="1" applyAlignment="1">
      <alignment horizontal="center"/>
    </xf>
    <xf numFmtId="180" fontId="44" fillId="0" borderId="0" xfId="0" applyNumberFormat="1" applyFont="1"/>
    <xf numFmtId="0" fontId="0" fillId="0" borderId="0" xfId="0" applyAlignment="1">
      <alignment horizontal="center"/>
    </xf>
    <xf numFmtId="0" fontId="44" fillId="0" borderId="0" xfId="0" applyFont="1"/>
    <xf numFmtId="0" fontId="45" fillId="0" borderId="15" xfId="0" applyFont="1" applyBorder="1" applyProtection="1"/>
    <xf numFmtId="181" fontId="45" fillId="0" borderId="16" xfId="0" applyNumberFormat="1" applyFont="1" applyBorder="1" applyAlignment="1" applyProtection="1"/>
    <xf numFmtId="0" fontId="45" fillId="0" borderId="16" xfId="0" applyNumberFormat="1" applyFont="1" applyBorder="1" applyAlignment="1" applyProtection="1"/>
    <xf numFmtId="0" fontId="46" fillId="0" borderId="15" xfId="0" applyFont="1" applyBorder="1" applyAlignment="1" applyProtection="1">
      <alignment horizontal="center"/>
    </xf>
    <xf numFmtId="180" fontId="45" fillId="0" borderId="16" xfId="0" applyNumberFormat="1" applyFont="1" applyBorder="1" applyAlignment="1" applyProtection="1"/>
    <xf numFmtId="181" fontId="45" fillId="0" borderId="15" xfId="0" applyNumberFormat="1" applyFont="1" applyBorder="1" applyProtection="1"/>
    <xf numFmtId="181" fontId="29" fillId="0" borderId="16" xfId="0" applyNumberFormat="1" applyFont="1" applyBorder="1" applyAlignment="1" applyProtection="1"/>
    <xf numFmtId="0" fontId="44" fillId="0" borderId="15" xfId="0" applyFont="1" applyBorder="1" applyAlignment="1" applyProtection="1">
      <alignment horizontal="center"/>
    </xf>
    <xf numFmtId="180" fontId="29" fillId="0" borderId="16" xfId="0" applyNumberFormat="1" applyFont="1" applyBorder="1" applyAlignment="1" applyProtection="1"/>
    <xf numFmtId="181" fontId="29" fillId="0" borderId="15" xfId="0" applyNumberFormat="1" applyFont="1" applyBorder="1" applyProtection="1"/>
    <xf numFmtId="182" fontId="45" fillId="0" borderId="16" xfId="0" applyNumberFormat="1" applyFont="1" applyBorder="1" applyAlignment="1" applyProtection="1"/>
    <xf numFmtId="181" fontId="34" fillId="0" borderId="16" xfId="0" applyNumberFormat="1" applyFont="1" applyBorder="1" applyAlignment="1" applyProtection="1"/>
    <xf numFmtId="0" fontId="47" fillId="0" borderId="15" xfId="0" applyFont="1" applyBorder="1" applyAlignment="1" applyProtection="1">
      <alignment horizontal="center"/>
    </xf>
    <xf numFmtId="180" fontId="34" fillId="0" borderId="16" xfId="0" applyNumberFormat="1" applyFont="1" applyBorder="1" applyAlignment="1" applyProtection="1"/>
    <xf numFmtId="174" fontId="29" fillId="0" borderId="16" xfId="0" applyNumberFormat="1" applyFont="1" applyBorder="1" applyAlignment="1" applyProtection="1">
      <alignment horizontal="center"/>
    </xf>
    <xf numFmtId="174" fontId="44" fillId="0" borderId="16" xfId="0" applyNumberFormat="1" applyFont="1" applyBorder="1" applyAlignment="1" applyProtection="1">
      <alignment horizontal="center"/>
    </xf>
    <xf numFmtId="181" fontId="34" fillId="0" borderId="15" xfId="0" applyNumberFormat="1" applyFont="1" applyBorder="1" applyProtection="1"/>
    <xf numFmtId="181" fontId="29" fillId="0" borderId="15" xfId="0" applyNumberFormat="1" applyFont="1" applyBorder="1" applyAlignment="1" applyProtection="1"/>
    <xf numFmtId="181" fontId="34" fillId="0" borderId="15" xfId="0" applyNumberFormat="1" applyFont="1" applyBorder="1" applyAlignment="1" applyProtection="1"/>
    <xf numFmtId="181" fontId="29" fillId="0" borderId="19" xfId="0" applyNumberFormat="1" applyFont="1" applyBorder="1" applyAlignment="1" applyProtection="1"/>
    <xf numFmtId="180" fontId="29" fillId="0" borderId="19" xfId="0" applyNumberFormat="1" applyFont="1" applyBorder="1" applyAlignment="1" applyProtection="1"/>
    <xf numFmtId="181" fontId="29" fillId="0" borderId="17" xfId="0" applyNumberFormat="1" applyFont="1" applyBorder="1" applyAlignment="1" applyProtection="1"/>
    <xf numFmtId="14" fontId="0" fillId="0" borderId="0" xfId="0" applyNumberFormat="1"/>
    <xf numFmtId="0" fontId="45" fillId="0" borderId="0" xfId="0" applyFont="1"/>
    <xf numFmtId="0" fontId="0" fillId="25" borderId="11" xfId="0" applyFill="1" applyBorder="1"/>
    <xf numFmtId="0" fontId="27" fillId="0" borderId="16" xfId="0" applyFont="1" applyBorder="1" applyProtection="1"/>
    <xf numFmtId="180" fontId="45" fillId="0" borderId="0" xfId="0" applyNumberFormat="1" applyFont="1" applyBorder="1" applyAlignment="1" applyProtection="1"/>
    <xf numFmtId="175" fontId="29" fillId="0" borderId="0" xfId="0" applyNumberFormat="1" applyFont="1" applyBorder="1" applyAlignment="1" applyProtection="1"/>
    <xf numFmtId="0" fontId="48" fillId="0" borderId="0" xfId="0" applyFont="1" applyBorder="1" applyProtection="1"/>
    <xf numFmtId="1" fontId="29" fillId="0" borderId="0" xfId="0" applyNumberFormat="1" applyFont="1" applyBorder="1" applyAlignment="1" applyProtection="1"/>
    <xf numFmtId="174" fontId="49" fillId="0" borderId="16" xfId="0" applyNumberFormat="1" applyFont="1" applyBorder="1" applyAlignment="1" applyProtection="1"/>
    <xf numFmtId="0" fontId="45" fillId="0" borderId="0" xfId="0" applyFont="1" applyBorder="1" applyProtection="1"/>
    <xf numFmtId="175" fontId="45" fillId="0" borderId="16" xfId="0" applyNumberFormat="1" applyFont="1" applyBorder="1" applyAlignment="1" applyProtection="1"/>
    <xf numFmtId="183" fontId="29" fillId="0" borderId="0" xfId="0" applyNumberFormat="1" applyFont="1" applyBorder="1" applyAlignment="1" applyProtection="1"/>
    <xf numFmtId="174" fontId="49" fillId="0" borderId="0" xfId="0" applyNumberFormat="1" applyFont="1" applyBorder="1" applyAlignment="1" applyProtection="1"/>
    <xf numFmtId="174" fontId="45" fillId="0" borderId="16" xfId="0" applyNumberFormat="1" applyFont="1" applyBorder="1" applyAlignment="1" applyProtection="1"/>
    <xf numFmtId="174" fontId="44" fillId="0" borderId="0" xfId="0" applyNumberFormat="1" applyFont="1" applyBorder="1" applyAlignment="1" applyProtection="1"/>
    <xf numFmtId="174" fontId="44" fillId="0" borderId="16" xfId="0" applyNumberFormat="1" applyFont="1" applyBorder="1" applyAlignment="1" applyProtection="1"/>
    <xf numFmtId="0" fontId="44" fillId="0" borderId="15" xfId="0" applyFont="1" applyBorder="1" applyProtection="1"/>
    <xf numFmtId="180" fontId="44" fillId="0" borderId="0" xfId="0" applyNumberFormat="1" applyFont="1" applyBorder="1" applyAlignment="1" applyProtection="1"/>
    <xf numFmtId="0" fontId="44" fillId="0" borderId="0" xfId="0" applyFont="1" applyBorder="1" applyProtection="1"/>
    <xf numFmtId="174" fontId="0" fillId="0" borderId="0" xfId="0" applyNumberFormat="1"/>
    <xf numFmtId="0" fontId="48" fillId="0" borderId="15" xfId="0" applyFont="1" applyBorder="1" applyProtection="1"/>
    <xf numFmtId="180" fontId="48" fillId="0" borderId="0" xfId="0" applyNumberFormat="1" applyFont="1" applyBorder="1" applyAlignment="1" applyProtection="1"/>
    <xf numFmtId="174" fontId="48" fillId="0" borderId="16" xfId="0" applyNumberFormat="1" applyFont="1" applyBorder="1" applyAlignment="1" applyProtection="1"/>
    <xf numFmtId="0" fontId="0" fillId="0" borderId="0" xfId="0" applyAlignment="1">
      <alignment shrinkToFit="1"/>
    </xf>
    <xf numFmtId="0" fontId="50" fillId="13" borderId="20" xfId="0" applyFont="1" applyFill="1" applyBorder="1" applyAlignment="1">
      <alignment vertical="center"/>
    </xf>
    <xf numFmtId="0" fontId="50" fillId="13" borderId="21" xfId="0" applyFont="1" applyFill="1" applyBorder="1" applyAlignment="1">
      <alignment vertical="center"/>
    </xf>
    <xf numFmtId="0" fontId="50" fillId="13" borderId="22" xfId="0" applyFont="1" applyFill="1" applyBorder="1" applyAlignment="1">
      <alignment vertical="center"/>
    </xf>
    <xf numFmtId="0" fontId="37" fillId="0" borderId="20" xfId="0" applyFont="1" applyFill="1" applyBorder="1" applyAlignment="1">
      <alignment horizontal="left" vertical="center"/>
    </xf>
    <xf numFmtId="0" fontId="37" fillId="0" borderId="21" xfId="0" applyFont="1" applyFill="1" applyBorder="1" applyAlignment="1">
      <alignment horizontal="left" vertical="center"/>
    </xf>
    <xf numFmtId="0" fontId="37" fillId="0" borderId="22" xfId="0" applyFont="1" applyFill="1" applyBorder="1" applyAlignment="1">
      <alignment horizontal="left" vertical="center"/>
    </xf>
    <xf numFmtId="0" fontId="37" fillId="0" borderId="23" xfId="0" applyFont="1" applyFill="1" applyBorder="1" applyAlignment="1">
      <alignment horizontal="left" vertical="center"/>
    </xf>
    <xf numFmtId="0" fontId="37" fillId="0" borderId="24" xfId="0" applyFont="1" applyFill="1" applyBorder="1" applyAlignment="1">
      <alignment horizontal="left" vertical="center"/>
    </xf>
    <xf numFmtId="0" fontId="0" fillId="0" borderId="0" xfId="0" applyAlignment="1">
      <alignment horizontal="left"/>
    </xf>
    <xf numFmtId="0" fontId="22" fillId="0" borderId="0" xfId="0" applyFont="1" applyAlignment="1">
      <alignment shrinkToFit="1"/>
    </xf>
    <xf numFmtId="0" fontId="22" fillId="0" borderId="0" xfId="0" applyFont="1"/>
    <xf numFmtId="0" fontId="22" fillId="0" borderId="9" xfId="0" applyFont="1" applyBorder="1"/>
    <xf numFmtId="0" fontId="22" fillId="0" borderId="25" xfId="0" applyFont="1" applyBorder="1"/>
    <xf numFmtId="184" fontId="0" fillId="0" borderId="0" xfId="0" applyNumberFormat="1"/>
    <xf numFmtId="0" fontId="0" fillId="22" borderId="9" xfId="0" applyFont="1" applyFill="1" applyBorder="1"/>
    <xf numFmtId="2" fontId="0" fillId="22" borderId="25" xfId="0" applyNumberFormat="1" applyFill="1" applyBorder="1"/>
    <xf numFmtId="0" fontId="22" fillId="6" borderId="9" xfId="0" applyFont="1" applyFill="1" applyBorder="1"/>
    <xf numFmtId="0" fontId="0" fillId="0" borderId="9" xfId="0" applyFont="1" applyBorder="1"/>
    <xf numFmtId="0" fontId="0" fillId="0" borderId="25" xfId="0" applyBorder="1"/>
    <xf numFmtId="0" fontId="0" fillId="7" borderId="26" xfId="0" applyFont="1" applyFill="1" applyBorder="1"/>
    <xf numFmtId="2" fontId="0" fillId="7" borderId="27" xfId="0" applyNumberFormat="1" applyFill="1" applyBorder="1"/>
    <xf numFmtId="0" fontId="0" fillId="7" borderId="9" xfId="0" applyFont="1" applyFill="1" applyBorder="1"/>
    <xf numFmtId="2" fontId="0" fillId="7" borderId="25" xfId="0" applyNumberFormat="1" applyFill="1" applyBorder="1"/>
    <xf numFmtId="0" fontId="0" fillId="2" borderId="9" xfId="0" applyFont="1" applyFill="1" applyBorder="1"/>
    <xf numFmtId="0" fontId="0" fillId="7" borderId="28" xfId="0" applyFont="1" applyFill="1" applyBorder="1"/>
    <xf numFmtId="2" fontId="0" fillId="7" borderId="29" xfId="0" applyNumberFormat="1" applyFill="1" applyBorder="1"/>
    <xf numFmtId="0" fontId="22" fillId="22" borderId="26" xfId="0" applyFont="1" applyFill="1" applyBorder="1"/>
    <xf numFmtId="2" fontId="0" fillId="22" borderId="27" xfId="0" applyNumberFormat="1" applyFill="1" applyBorder="1"/>
    <xf numFmtId="0" fontId="22" fillId="22" borderId="9" xfId="0" applyFont="1" applyFill="1" applyBorder="1"/>
    <xf numFmtId="0" fontId="0" fillId="6" borderId="9" xfId="0" applyFont="1" applyFill="1" applyBorder="1"/>
    <xf numFmtId="0" fontId="0" fillId="6" borderId="25" xfId="0" applyFill="1" applyBorder="1"/>
    <xf numFmtId="0" fontId="22" fillId="22" borderId="28" xfId="0" applyFont="1" applyFill="1" applyBorder="1"/>
    <xf numFmtId="2" fontId="0" fillId="22" borderId="29" xfId="0" applyNumberFormat="1" applyFill="1" applyBorder="1"/>
    <xf numFmtId="0" fontId="0" fillId="22" borderId="26" xfId="0" applyFont="1" applyFill="1" applyBorder="1"/>
    <xf numFmtId="0" fontId="0" fillId="22" borderId="28" xfId="0" applyFont="1" applyFill="1" applyBorder="1"/>
    <xf numFmtId="0" fontId="0" fillId="0" borderId="26" xfId="0" applyBorder="1"/>
    <xf numFmtId="0" fontId="0" fillId="0" borderId="30" xfId="0" applyFont="1" applyBorder="1"/>
    <xf numFmtId="0" fontId="0" fillId="6" borderId="26" xfId="0" applyFill="1" applyBorder="1"/>
    <xf numFmtId="0" fontId="0" fillId="0" borderId="27" xfId="0" applyBorder="1"/>
    <xf numFmtId="0" fontId="0" fillId="0" borderId="28" xfId="0" applyBorder="1"/>
    <xf numFmtId="0" fontId="0" fillId="0" borderId="31" xfId="0" applyFont="1" applyBorder="1"/>
    <xf numFmtId="0" fontId="0" fillId="0" borderId="29" xfId="0" applyBorder="1"/>
    <xf numFmtId="0" fontId="0" fillId="2" borderId="9" xfId="309" applyFont="1"/>
    <xf numFmtId="0" fontId="0" fillId="0" borderId="26" xfId="0" applyBorder="1" applyAlignment="1">
      <alignment shrinkToFit="1"/>
    </xf>
    <xf numFmtId="0" fontId="0" fillId="0" borderId="30" xfId="0" applyBorder="1" applyAlignment="1">
      <alignment shrinkToFit="1"/>
    </xf>
    <xf numFmtId="0" fontId="0" fillId="0" borderId="27" xfId="0" applyBorder="1" applyAlignment="1">
      <alignment shrinkToFit="1"/>
    </xf>
    <xf numFmtId="0" fontId="0" fillId="0" borderId="9" xfId="0" applyBorder="1" applyAlignment="1">
      <alignment shrinkToFit="1"/>
    </xf>
    <xf numFmtId="0" fontId="22" fillId="25" borderId="0" xfId="0" applyFont="1" applyFill="1" applyAlignment="1">
      <alignment shrinkToFit="1"/>
    </xf>
    <xf numFmtId="0" fontId="0" fillId="0" borderId="25" xfId="0" applyBorder="1" applyAlignment="1">
      <alignment shrinkToFit="1"/>
    </xf>
    <xf numFmtId="166" fontId="0" fillId="0" borderId="0" xfId="0" applyNumberFormat="1" applyAlignment="1">
      <alignment shrinkToFit="1"/>
    </xf>
    <xf numFmtId="0" fontId="0" fillId="0" borderId="0" xfId="0" applyNumberFormat="1" applyAlignment="1">
      <alignment shrinkToFit="1"/>
    </xf>
    <xf numFmtId="166" fontId="0" fillId="0" borderId="25" xfId="0" applyNumberFormat="1" applyBorder="1" applyAlignment="1">
      <alignment shrinkToFit="1"/>
    </xf>
    <xf numFmtId="14" fontId="22" fillId="0" borderId="25" xfId="0" applyNumberFormat="1" applyFont="1" applyBorder="1" applyAlignment="1">
      <alignment shrinkToFit="1"/>
    </xf>
    <xf numFmtId="0" fontId="0" fillId="0" borderId="9" xfId="0" applyBorder="1" applyAlignment="1">
      <alignment horizontal="right" shrinkToFit="1"/>
    </xf>
    <xf numFmtId="2" fontId="0" fillId="0" borderId="0" xfId="0" applyNumberFormat="1" applyAlignment="1">
      <alignment shrinkToFit="1"/>
    </xf>
    <xf numFmtId="166" fontId="22" fillId="25" borderId="0" xfId="0" applyNumberFormat="1" applyFont="1" applyFill="1" applyAlignment="1">
      <alignment shrinkToFit="1"/>
    </xf>
    <xf numFmtId="166" fontId="0" fillId="0" borderId="25" xfId="0" applyNumberFormat="1" applyFont="1" applyBorder="1" applyAlignment="1">
      <alignment shrinkToFit="1"/>
    </xf>
    <xf numFmtId="0" fontId="0" fillId="0" borderId="28" xfId="0" applyBorder="1" applyAlignment="1">
      <alignment horizontal="right" shrinkToFit="1"/>
    </xf>
    <xf numFmtId="0" fontId="0" fillId="0" borderId="31" xfId="0" applyBorder="1" applyAlignment="1">
      <alignment shrinkToFit="1"/>
    </xf>
    <xf numFmtId="166" fontId="0" fillId="0" borderId="31" xfId="0" applyNumberFormat="1" applyBorder="1" applyAlignment="1">
      <alignment shrinkToFit="1"/>
    </xf>
    <xf numFmtId="166" fontId="0" fillId="0" borderId="29" xfId="0" applyNumberFormat="1" applyFont="1" applyBorder="1" applyAlignment="1">
      <alignment shrinkToFit="1"/>
    </xf>
    <xf numFmtId="0" fontId="0" fillId="0" borderId="28" xfId="0" applyBorder="1" applyAlignment="1">
      <alignment shrinkToFit="1"/>
    </xf>
    <xf numFmtId="0" fontId="108" fillId="0" borderId="0" xfId="218"/>
    <xf numFmtId="0" fontId="35" fillId="0" borderId="0" xfId="218" applyFont="1"/>
    <xf numFmtId="0" fontId="0" fillId="0" borderId="0" xfId="0" applyFont="1" applyAlignment="1">
      <alignment horizontal="center"/>
    </xf>
    <xf numFmtId="0" fontId="53" fillId="0" borderId="0" xfId="218" applyFont="1" applyAlignment="1">
      <alignment horizontal="center" wrapText="1"/>
    </xf>
    <xf numFmtId="0" fontId="53" fillId="0" borderId="20" xfId="218" applyFont="1" applyBorder="1" applyAlignment="1">
      <alignment horizontal="center" wrapText="1"/>
    </xf>
    <xf numFmtId="0" fontId="0" fillId="0" borderId="21" xfId="218" applyFont="1" applyBorder="1" applyAlignment="1">
      <alignment horizontal="center"/>
    </xf>
    <xf numFmtId="0" fontId="0" fillId="0" borderId="22" xfId="218" applyFont="1" applyBorder="1" applyAlignment="1">
      <alignment horizontal="center"/>
    </xf>
    <xf numFmtId="0" fontId="0" fillId="0" borderId="26" xfId="218" applyFont="1" applyBorder="1"/>
    <xf numFmtId="0" fontId="0" fillId="0" borderId="27" xfId="218" applyFont="1" applyBorder="1"/>
    <xf numFmtId="0" fontId="53" fillId="0" borderId="32" xfId="218" applyFont="1" applyBorder="1" applyAlignment="1">
      <alignment horizontal="center" wrapText="1"/>
    </xf>
    <xf numFmtId="0" fontId="108" fillId="0" borderId="0" xfId="218" applyBorder="1" applyAlignment="1">
      <alignment horizontal="center"/>
    </xf>
    <xf numFmtId="0" fontId="108" fillId="0" borderId="33" xfId="218" applyBorder="1" applyAlignment="1">
      <alignment horizontal="center"/>
    </xf>
    <xf numFmtId="0" fontId="108" fillId="0" borderId="9" xfId="218" applyBorder="1"/>
    <xf numFmtId="0" fontId="108" fillId="0" borderId="25" xfId="218" applyBorder="1"/>
    <xf numFmtId="185" fontId="108" fillId="25" borderId="0" xfId="218" applyNumberFormat="1" applyFill="1"/>
    <xf numFmtId="1" fontId="0" fillId="0" borderId="0" xfId="0" applyNumberFormat="1"/>
    <xf numFmtId="177" fontId="0" fillId="0" borderId="0" xfId="0" applyNumberFormat="1"/>
    <xf numFmtId="0" fontId="53" fillId="0" borderId="34" xfId="218" applyFont="1" applyBorder="1" applyAlignment="1">
      <alignment horizontal="center" wrapText="1"/>
    </xf>
    <xf numFmtId="0" fontId="108" fillId="0" borderId="23" xfId="218" applyBorder="1" applyAlignment="1">
      <alignment horizontal="center"/>
    </xf>
    <xf numFmtId="0" fontId="108" fillId="0" borderId="24" xfId="218" applyBorder="1" applyAlignment="1">
      <alignment horizontal="center"/>
    </xf>
    <xf numFmtId="0" fontId="108" fillId="0" borderId="28" xfId="218" applyBorder="1"/>
    <xf numFmtId="0" fontId="108" fillId="0" borderId="29" xfId="218" applyBorder="1"/>
    <xf numFmtId="0" fontId="108" fillId="0" borderId="35" xfId="218" applyBorder="1"/>
    <xf numFmtId="0" fontId="108" fillId="24" borderId="11" xfId="218" applyFill="1" applyBorder="1"/>
    <xf numFmtId="0" fontId="108" fillId="24" borderId="36" xfId="218" applyFill="1" applyBorder="1"/>
    <xf numFmtId="0" fontId="108" fillId="0" borderId="22" xfId="218" applyBorder="1"/>
    <xf numFmtId="0" fontId="108" fillId="0" borderId="11" xfId="218" applyBorder="1"/>
    <xf numFmtId="0" fontId="108" fillId="0" borderId="33" xfId="218" applyBorder="1"/>
    <xf numFmtId="185" fontId="108" fillId="0" borderId="0" xfId="218" applyNumberFormat="1"/>
    <xf numFmtId="0" fontId="108" fillId="0" borderId="37" xfId="218" applyBorder="1"/>
    <xf numFmtId="0" fontId="108" fillId="24" borderId="38" xfId="218" applyFill="1" applyBorder="1"/>
    <xf numFmtId="0" fontId="108" fillId="0" borderId="38" xfId="218" applyBorder="1"/>
    <xf numFmtId="0" fontId="108" fillId="24" borderId="39" xfId="218" applyFill="1" applyBorder="1"/>
    <xf numFmtId="0" fontId="108" fillId="0" borderId="24" xfId="218" applyBorder="1"/>
    <xf numFmtId="0" fontId="108" fillId="0" borderId="40" xfId="218" applyBorder="1"/>
    <xf numFmtId="0" fontId="108" fillId="24" borderId="41" xfId="218" applyFill="1" applyBorder="1"/>
    <xf numFmtId="0" fontId="108" fillId="0" borderId="41" xfId="218" applyBorder="1"/>
    <xf numFmtId="0" fontId="108" fillId="24" borderId="42" xfId="218" applyFill="1" applyBorder="1"/>
    <xf numFmtId="0" fontId="108" fillId="0" borderId="43" xfId="218" applyBorder="1"/>
    <xf numFmtId="0" fontId="108" fillId="24" borderId="44" xfId="218" applyFill="1" applyBorder="1"/>
    <xf numFmtId="0" fontId="108" fillId="0" borderId="44" xfId="218" applyBorder="1"/>
    <xf numFmtId="0" fontId="108" fillId="24" borderId="45" xfId="218" applyFill="1" applyBorder="1"/>
    <xf numFmtId="0" fontId="108" fillId="24" borderId="35" xfId="218" applyFill="1" applyBorder="1"/>
    <xf numFmtId="0" fontId="108" fillId="0" borderId="32" xfId="218" applyBorder="1"/>
    <xf numFmtId="0" fontId="108" fillId="0" borderId="0" xfId="218" applyBorder="1"/>
    <xf numFmtId="0" fontId="108" fillId="0" borderId="20" xfId="218" applyBorder="1"/>
    <xf numFmtId="0" fontId="108" fillId="0" borderId="21" xfId="218" applyBorder="1"/>
    <xf numFmtId="0" fontId="108" fillId="0" borderId="34" xfId="218" applyBorder="1"/>
    <xf numFmtId="0" fontId="108" fillId="0" borderId="23" xfId="218" applyBorder="1"/>
    <xf numFmtId="49" fontId="56" fillId="27" borderId="46" xfId="0" applyNumberFormat="1" applyFont="1" applyFill="1" applyBorder="1" applyAlignment="1"/>
    <xf numFmtId="49" fontId="56" fillId="27" borderId="47" xfId="0" applyNumberFormat="1" applyFont="1" applyFill="1" applyBorder="1" applyAlignment="1"/>
    <xf numFmtId="49" fontId="56" fillId="28" borderId="48" xfId="0" applyNumberFormat="1" applyFont="1" applyFill="1" applyBorder="1" applyAlignment="1">
      <alignment horizontal="left"/>
    </xf>
    <xf numFmtId="0" fontId="57" fillId="7" borderId="49" xfId="0" applyNumberFormat="1" applyFont="1" applyFill="1" applyBorder="1" applyAlignment="1">
      <alignment horizontal="left"/>
    </xf>
    <xf numFmtId="0" fontId="57" fillId="7" borderId="50" xfId="0" applyNumberFormat="1" applyFont="1" applyFill="1" applyBorder="1" applyAlignment="1">
      <alignment horizontal="left"/>
    </xf>
    <xf numFmtId="0" fontId="58" fillId="7" borderId="49" xfId="0" applyNumberFormat="1" applyFont="1" applyFill="1" applyBorder="1" applyAlignment="1">
      <alignment horizontal="left"/>
    </xf>
    <xf numFmtId="49" fontId="56" fillId="28" borderId="46" xfId="0" applyNumberFormat="1" applyFont="1" applyFill="1" applyBorder="1" applyAlignment="1">
      <alignment horizontal="left"/>
    </xf>
    <xf numFmtId="0" fontId="58" fillId="7" borderId="51" xfId="0" applyNumberFormat="1" applyFont="1" applyFill="1" applyBorder="1" applyAlignment="1">
      <alignment horizontal="left"/>
    </xf>
    <xf numFmtId="49" fontId="59" fillId="29" borderId="52" xfId="0" applyNumberFormat="1" applyFont="1" applyFill="1" applyBorder="1" applyAlignment="1"/>
    <xf numFmtId="49" fontId="60" fillId="8" borderId="0" xfId="0" applyNumberFormat="1" applyFont="1" applyFill="1" applyBorder="1" applyAlignment="1"/>
    <xf numFmtId="0" fontId="60" fillId="8" borderId="0" xfId="0" applyNumberFormat="1" applyFont="1" applyFill="1" applyBorder="1" applyAlignment="1"/>
    <xf numFmtId="0" fontId="0" fillId="0" borderId="0" xfId="0" applyAlignment="1">
      <alignment horizontal="right"/>
    </xf>
    <xf numFmtId="0" fontId="22" fillId="0" borderId="0" xfId="0" applyFont="1" applyAlignment="1">
      <alignment horizontal="right"/>
    </xf>
    <xf numFmtId="0" fontId="0" fillId="0" borderId="11" xfId="0" applyBorder="1" applyAlignment="1" applyProtection="1">
      <alignment horizontal="right"/>
    </xf>
    <xf numFmtId="186" fontId="0" fillId="0" borderId="11" xfId="0" applyNumberFormat="1" applyBorder="1" applyProtection="1"/>
    <xf numFmtId="0" fontId="0" fillId="25" borderId="0" xfId="0" applyFont="1" applyFill="1"/>
    <xf numFmtId="0" fontId="0" fillId="0" borderId="0" xfId="0" applyAlignment="1">
      <alignment horizontal="center" vertical="center"/>
    </xf>
    <xf numFmtId="0" fontId="0" fillId="30" borderId="0" xfId="0" applyFill="1" applyAlignment="1">
      <alignment horizontal="center" vertical="center"/>
    </xf>
    <xf numFmtId="0" fontId="0" fillId="31" borderId="0" xfId="0" applyFill="1" applyAlignment="1">
      <alignment horizontal="center" vertical="center"/>
    </xf>
    <xf numFmtId="0" fontId="0" fillId="22" borderId="0" xfId="0" applyFill="1" applyAlignment="1">
      <alignment horizontal="center" vertical="center"/>
    </xf>
    <xf numFmtId="0" fontId="0" fillId="32" borderId="0" xfId="0" applyFill="1" applyAlignment="1">
      <alignment horizontal="center" vertical="center"/>
    </xf>
    <xf numFmtId="0" fontId="0" fillId="33" borderId="0" xfId="0" applyFill="1" applyAlignment="1">
      <alignment horizontal="center" vertical="center"/>
    </xf>
    <xf numFmtId="0" fontId="0" fillId="34" borderId="0" xfId="0" applyFill="1" applyAlignment="1">
      <alignment horizontal="center" vertical="center"/>
    </xf>
    <xf numFmtId="0" fontId="0" fillId="35" borderId="0" xfId="0" applyFill="1" applyAlignment="1">
      <alignment horizontal="center" vertical="center"/>
    </xf>
    <xf numFmtId="0" fontId="0" fillId="36" borderId="0" xfId="0" applyFill="1" applyAlignment="1">
      <alignment horizontal="center" vertical="center"/>
    </xf>
    <xf numFmtId="0" fontId="0" fillId="10" borderId="0" xfId="0" applyFill="1" applyAlignment="1">
      <alignment horizontal="center" vertical="center"/>
    </xf>
    <xf numFmtId="0" fontId="0" fillId="37" borderId="0" xfId="0" applyFill="1" applyAlignment="1">
      <alignment horizontal="center" vertical="center"/>
    </xf>
    <xf numFmtId="0" fontId="0" fillId="8" borderId="0" xfId="0" applyFill="1" applyAlignment="1">
      <alignment horizontal="center" vertical="center"/>
    </xf>
    <xf numFmtId="0" fontId="0" fillId="38" borderId="0" xfId="0" applyFill="1" applyAlignment="1">
      <alignment horizontal="center" vertical="center"/>
    </xf>
    <xf numFmtId="0" fontId="0" fillId="29" borderId="0" xfId="0" applyFill="1" applyAlignment="1">
      <alignment horizontal="center" vertical="center"/>
    </xf>
    <xf numFmtId="0" fontId="0" fillId="0" borderId="0" xfId="0" applyBorder="1"/>
    <xf numFmtId="0" fontId="61" fillId="24" borderId="11" xfId="0" applyFont="1" applyFill="1" applyBorder="1" applyAlignment="1">
      <alignment horizontal="center" wrapText="1"/>
    </xf>
    <xf numFmtId="0" fontId="61" fillId="24" borderId="53" xfId="0" applyFont="1" applyFill="1" applyBorder="1" applyAlignment="1">
      <alignment horizontal="center" wrapText="1"/>
    </xf>
    <xf numFmtId="0" fontId="0" fillId="0" borderId="11" xfId="0" applyBorder="1"/>
    <xf numFmtId="0" fontId="61" fillId="24" borderId="54" xfId="0" applyFont="1" applyFill="1" applyBorder="1" applyAlignment="1">
      <alignment horizontal="center" wrapText="1"/>
    </xf>
    <xf numFmtId="0" fontId="61" fillId="24" borderId="11" xfId="0" applyFont="1" applyFill="1" applyBorder="1" applyAlignment="1">
      <alignment horizontal="right" vertical="center" wrapText="1"/>
    </xf>
    <xf numFmtId="0" fontId="63" fillId="15" borderId="11" xfId="0" applyFont="1" applyFill="1" applyBorder="1" applyAlignment="1">
      <alignment horizontal="center" vertical="center" wrapText="1"/>
    </xf>
    <xf numFmtId="0" fontId="63" fillId="15" borderId="55" xfId="0" applyFont="1" applyFill="1" applyBorder="1" applyAlignment="1">
      <alignment horizontal="center" vertical="center" wrapText="1"/>
    </xf>
    <xf numFmtId="0" fontId="61" fillId="24" borderId="54" xfId="0" applyFont="1" applyFill="1" applyBorder="1" applyAlignment="1">
      <alignment horizontal="left" vertical="center" wrapText="1"/>
    </xf>
    <xf numFmtId="0" fontId="63" fillId="15" borderId="53" xfId="0" applyFont="1" applyFill="1" applyBorder="1" applyAlignment="1">
      <alignment horizontal="center" vertical="center" wrapText="1"/>
    </xf>
    <xf numFmtId="0" fontId="63" fillId="11" borderId="11" xfId="0" applyFont="1" applyFill="1" applyBorder="1" applyAlignment="1">
      <alignment horizontal="center" vertical="center" wrapText="1"/>
    </xf>
    <xf numFmtId="0" fontId="63" fillId="11" borderId="55" xfId="0" applyFont="1" applyFill="1" applyBorder="1" applyAlignment="1">
      <alignment horizontal="center" vertical="center" wrapText="1"/>
    </xf>
    <xf numFmtId="0" fontId="63" fillId="15" borderId="56" xfId="0" applyFont="1" applyFill="1" applyBorder="1" applyAlignment="1">
      <alignment horizontal="center" vertical="center" wrapText="1"/>
    </xf>
    <xf numFmtId="0" fontId="61" fillId="24" borderId="11" xfId="0" applyFont="1" applyFill="1" applyBorder="1" applyAlignment="1">
      <alignment vertical="top" wrapText="1"/>
    </xf>
    <xf numFmtId="0" fontId="61" fillId="24" borderId="11" xfId="0" applyFont="1" applyFill="1" applyBorder="1" applyAlignment="1">
      <alignment horizontal="center" vertical="top" wrapText="1"/>
    </xf>
    <xf numFmtId="0" fontId="62" fillId="24" borderId="11" xfId="0" applyFont="1" applyFill="1" applyBorder="1" applyAlignment="1">
      <alignment horizontal="center" vertical="top" wrapText="1"/>
    </xf>
    <xf numFmtId="0" fontId="61" fillId="24" borderId="53" xfId="0" applyFont="1" applyFill="1" applyBorder="1" applyAlignment="1">
      <alignment horizontal="center" vertical="top" wrapText="1"/>
    </xf>
    <xf numFmtId="0" fontId="0" fillId="0" borderId="38" xfId="0" applyBorder="1"/>
    <xf numFmtId="0" fontId="0" fillId="39" borderId="0" xfId="0" applyFont="1" applyFill="1" applyAlignment="1">
      <alignment horizontal="center" vertical="center" wrapText="1"/>
    </xf>
    <xf numFmtId="0" fontId="0" fillId="25" borderId="0" xfId="0" applyFill="1" applyAlignment="1">
      <alignment horizontal="center" vertical="center"/>
    </xf>
    <xf numFmtId="0" fontId="0" fillId="25" borderId="0" xfId="0" applyFont="1" applyFill="1" applyAlignment="1">
      <alignment horizontal="center" vertical="center" wrapText="1"/>
    </xf>
    <xf numFmtId="0" fontId="0" fillId="34" borderId="0" xfId="0" applyFont="1" applyFill="1" applyAlignment="1">
      <alignment horizontal="left" vertical="center" wrapText="1"/>
    </xf>
    <xf numFmtId="0" fontId="0" fillId="2" borderId="0" xfId="0" applyFill="1" applyAlignment="1">
      <alignment horizontal="center" vertical="center"/>
    </xf>
    <xf numFmtId="0" fontId="0" fillId="6" borderId="0" xfId="0" applyFill="1" applyAlignment="1">
      <alignment horizontal="center" vertical="center"/>
    </xf>
    <xf numFmtId="0" fontId="0" fillId="6" borderId="0" xfId="0" applyFont="1" applyFill="1" applyAlignment="1">
      <alignment horizontal="right" vertical="center" wrapText="1"/>
    </xf>
    <xf numFmtId="0" fontId="0" fillId="25" borderId="0" xfId="0" applyFont="1" applyFill="1" applyAlignment="1">
      <alignment horizontal="left" vertical="center" wrapText="1"/>
    </xf>
    <xf numFmtId="0" fontId="0" fillId="40" borderId="0" xfId="0" applyFill="1" applyAlignment="1">
      <alignment horizontal="center" vertical="center"/>
    </xf>
    <xf numFmtId="0" fontId="0" fillId="40" borderId="0" xfId="0" applyFont="1" applyFill="1" applyAlignment="1">
      <alignment horizontal="center" vertical="center" wrapText="1"/>
    </xf>
    <xf numFmtId="0" fontId="0" fillId="6" borderId="0" xfId="0" applyFont="1" applyFill="1" applyAlignment="1">
      <alignment horizontal="center" vertical="center" wrapText="1"/>
    </xf>
    <xf numFmtId="0" fontId="0" fillId="39" borderId="0" xfId="0" applyFont="1" applyFill="1" applyAlignment="1">
      <alignment horizontal="left" vertical="center" wrapText="1"/>
    </xf>
    <xf numFmtId="22" fontId="108" fillId="25" borderId="0" xfId="218" applyNumberFormat="1" applyFill="1"/>
    <xf numFmtId="2" fontId="108" fillId="0" borderId="0" xfId="218" applyNumberFormat="1"/>
    <xf numFmtId="20" fontId="108" fillId="25" borderId="0" xfId="218" applyNumberFormat="1" applyFill="1"/>
    <xf numFmtId="173" fontId="108" fillId="0" borderId="0" xfId="218" applyNumberFormat="1"/>
    <xf numFmtId="0" fontId="108" fillId="25" borderId="0" xfId="218" applyFill="1"/>
    <xf numFmtId="0" fontId="64" fillId="0" borderId="0" xfId="0" applyFont="1" applyAlignment="1" applyProtection="1">
      <alignment horizontal="left" vertical="top"/>
      <protection locked="0"/>
    </xf>
    <xf numFmtId="0" fontId="64" fillId="0" borderId="0" xfId="0" applyFont="1" applyAlignment="1" applyProtection="1">
      <alignment horizontal="left" vertical="top" wrapText="1"/>
      <protection locked="0"/>
    </xf>
    <xf numFmtId="0" fontId="64" fillId="0" borderId="0" xfId="0" applyFont="1" applyFill="1" applyBorder="1" applyAlignment="1" applyProtection="1">
      <alignment horizontal="left" vertical="top"/>
      <protection locked="0"/>
    </xf>
    <xf numFmtId="0" fontId="65" fillId="0" borderId="0" xfId="0" applyFont="1" applyAlignment="1" applyProtection="1">
      <alignment horizontal="left" vertical="top" wrapText="1"/>
      <protection locked="0"/>
    </xf>
    <xf numFmtId="0" fontId="64" fillId="0" borderId="11" xfId="0" applyFont="1" applyFill="1" applyBorder="1" applyAlignment="1" applyProtection="1">
      <alignment horizontal="left" vertical="top"/>
    </xf>
    <xf numFmtId="0" fontId="64" fillId="0" borderId="11" xfId="0" applyFont="1" applyFill="1" applyBorder="1" applyAlignment="1" applyProtection="1">
      <alignment horizontal="left" vertical="top"/>
      <protection hidden="1"/>
    </xf>
    <xf numFmtId="0" fontId="64" fillId="0" borderId="0" xfId="0" applyFont="1" applyAlignment="1" applyProtection="1">
      <alignment horizontal="left" vertical="top" shrinkToFit="1"/>
      <protection locked="0"/>
    </xf>
    <xf numFmtId="2" fontId="64" fillId="0" borderId="0" xfId="0" applyNumberFormat="1" applyFont="1" applyAlignment="1" applyProtection="1">
      <alignment horizontal="left" vertical="top"/>
      <protection locked="0"/>
    </xf>
    <xf numFmtId="0" fontId="64" fillId="0" borderId="11" xfId="0" applyFont="1" applyBorder="1" applyAlignment="1" applyProtection="1">
      <alignment horizontal="left" vertical="top"/>
      <protection locked="0"/>
    </xf>
    <xf numFmtId="0" fontId="64" fillId="0" borderId="53" xfId="0" applyFont="1" applyBorder="1" applyAlignment="1" applyProtection="1">
      <alignment horizontal="left" vertical="top"/>
      <protection locked="0"/>
    </xf>
    <xf numFmtId="0" fontId="65" fillId="0" borderId="0" xfId="0" applyFont="1" applyAlignment="1" applyProtection="1">
      <alignment horizontal="left" vertical="top"/>
      <protection locked="0"/>
    </xf>
    <xf numFmtId="0" fontId="65" fillId="0" borderId="57" xfId="0" applyFont="1" applyFill="1" applyBorder="1" applyAlignment="1" applyProtection="1">
      <alignment horizontal="left" vertical="top"/>
    </xf>
    <xf numFmtId="0" fontId="65" fillId="0" borderId="0" xfId="0" applyFont="1" applyFill="1" applyBorder="1" applyAlignment="1" applyProtection="1">
      <alignment horizontal="left" vertical="top"/>
      <protection locked="0"/>
    </xf>
    <xf numFmtId="14" fontId="64" fillId="0" borderId="0" xfId="0" applyNumberFormat="1" applyFont="1" applyAlignment="1" applyProtection="1">
      <alignment horizontal="left" vertical="top" wrapText="1"/>
      <protection locked="0"/>
    </xf>
    <xf numFmtId="2" fontId="65" fillId="0" borderId="0" xfId="0" applyNumberFormat="1" applyFont="1" applyAlignment="1" applyProtection="1">
      <alignment horizontal="left" vertical="top"/>
    </xf>
    <xf numFmtId="0" fontId="64" fillId="0" borderId="0" xfId="0" applyFont="1" applyAlignment="1">
      <alignment horizontal="left" vertical="top"/>
    </xf>
    <xf numFmtId="0" fontId="64" fillId="0" borderId="58" xfId="0" applyFont="1" applyBorder="1" applyAlignment="1" applyProtection="1">
      <alignment horizontal="left" vertical="top"/>
      <protection locked="0"/>
    </xf>
    <xf numFmtId="0" fontId="64" fillId="0" borderId="58" xfId="0" applyFont="1" applyBorder="1" applyAlignment="1">
      <alignment horizontal="left" vertical="top"/>
    </xf>
    <xf numFmtId="0" fontId="65" fillId="0" borderId="58" xfId="0" applyFont="1" applyBorder="1" applyAlignment="1">
      <alignment horizontal="left" vertical="top" wrapText="1"/>
    </xf>
    <xf numFmtId="0" fontId="67" fillId="13" borderId="58" xfId="0" applyFont="1" applyFill="1" applyBorder="1" applyAlignment="1" applyProtection="1">
      <alignment horizontal="left" vertical="top"/>
      <protection locked="0"/>
    </xf>
    <xf numFmtId="0" fontId="64" fillId="7" borderId="58" xfId="0" applyFont="1" applyFill="1" applyBorder="1" applyAlignment="1" applyProtection="1">
      <alignment horizontal="left" vertical="top"/>
      <protection locked="0"/>
    </xf>
    <xf numFmtId="0" fontId="64" fillId="0" borderId="58" xfId="0" applyFont="1" applyFill="1" applyBorder="1" applyAlignment="1" applyProtection="1">
      <alignment horizontal="left" vertical="top"/>
      <protection locked="0"/>
    </xf>
    <xf numFmtId="178" fontId="64" fillId="0" borderId="0" xfId="0" applyNumberFormat="1" applyFont="1" applyAlignment="1" applyProtection="1">
      <alignment horizontal="left" vertical="top"/>
      <protection locked="0"/>
    </xf>
    <xf numFmtId="0" fontId="64" fillId="0" borderId="0" xfId="0" applyNumberFormat="1" applyFont="1" applyAlignment="1" applyProtection="1">
      <alignment horizontal="left" vertical="top"/>
      <protection locked="0"/>
    </xf>
    <xf numFmtId="2" fontId="64" fillId="0" borderId="0" xfId="0" applyNumberFormat="1" applyFont="1" applyAlignment="1" applyProtection="1">
      <alignment horizontal="left" vertical="top" wrapText="1"/>
      <protection locked="0"/>
    </xf>
    <xf numFmtId="0" fontId="65" fillId="0" borderId="0" xfId="0" applyFont="1" applyAlignment="1">
      <alignment horizontal="left" vertical="top" wrapText="1"/>
    </xf>
    <xf numFmtId="0" fontId="64" fillId="0" borderId="20" xfId="0" applyFont="1" applyBorder="1" applyAlignment="1">
      <alignment horizontal="left" vertical="top"/>
    </xf>
    <xf numFmtId="0" fontId="69" fillId="0" borderId="59" xfId="0" applyFont="1" applyBorder="1" applyAlignment="1">
      <alignment horizontal="left" vertical="top"/>
    </xf>
    <xf numFmtId="0" fontId="70" fillId="0" borderId="0" xfId="0" applyFont="1" applyAlignment="1">
      <alignment horizontal="left" vertical="top"/>
    </xf>
    <xf numFmtId="0" fontId="64" fillId="0" borderId="0" xfId="0" applyFont="1" applyAlignment="1">
      <alignment horizontal="left" vertical="top" wrapText="1"/>
    </xf>
    <xf numFmtId="0" fontId="64" fillId="7" borderId="49" xfId="0" applyNumberFormat="1" applyFont="1" applyFill="1" applyBorder="1" applyAlignment="1" applyProtection="1">
      <alignment horizontal="left" vertical="top"/>
      <protection locked="0"/>
    </xf>
    <xf numFmtId="0" fontId="64" fillId="0" borderId="0" xfId="0" applyFont="1" applyFill="1" applyBorder="1" applyAlignment="1" applyProtection="1">
      <alignment horizontal="left" vertical="top"/>
    </xf>
    <xf numFmtId="0" fontId="31" fillId="0" borderId="0" xfId="0" applyFont="1" applyAlignment="1">
      <alignment horizontal="left"/>
    </xf>
    <xf numFmtId="0" fontId="64" fillId="0" borderId="32" xfId="0" applyFont="1" applyBorder="1" applyAlignment="1">
      <alignment horizontal="left" vertical="top"/>
    </xf>
    <xf numFmtId="0" fontId="65" fillId="0" borderId="59" xfId="0" applyFont="1" applyBorder="1" applyAlignment="1">
      <alignment horizontal="left" vertical="top"/>
    </xf>
    <xf numFmtId="0" fontId="65" fillId="0" borderId="58" xfId="0" applyFont="1" applyBorder="1" applyAlignment="1">
      <alignment horizontal="left" vertical="top"/>
    </xf>
    <xf numFmtId="0" fontId="69" fillId="0" borderId="58" xfId="0" applyFont="1" applyBorder="1" applyAlignment="1">
      <alignment horizontal="left" vertical="top"/>
    </xf>
    <xf numFmtId="0" fontId="70" fillId="0" borderId="0" xfId="0" applyFont="1" applyAlignment="1" applyProtection="1">
      <alignment horizontal="left" vertical="top"/>
      <protection locked="0"/>
    </xf>
    <xf numFmtId="0" fontId="64" fillId="0" borderId="0" xfId="0" applyFont="1" applyBorder="1" applyAlignment="1">
      <alignment horizontal="left" vertical="top"/>
    </xf>
    <xf numFmtId="0" fontId="71" fillId="0" borderId="0" xfId="0" applyFont="1" applyAlignment="1">
      <alignment horizontal="left"/>
    </xf>
    <xf numFmtId="0" fontId="23" fillId="0" borderId="0" xfId="0" applyFont="1" applyAlignment="1">
      <alignment horizontal="left"/>
    </xf>
    <xf numFmtId="49" fontId="72" fillId="27" borderId="46" xfId="0" applyNumberFormat="1" applyFont="1" applyFill="1" applyBorder="1" applyAlignment="1">
      <alignment horizontal="center" vertical="top"/>
    </xf>
    <xf numFmtId="49" fontId="72" fillId="27" borderId="47" xfId="0" applyNumberFormat="1" applyFont="1" applyFill="1" applyBorder="1" applyAlignment="1">
      <alignment horizontal="center" vertical="top"/>
    </xf>
    <xf numFmtId="0" fontId="73" fillId="0" borderId="0" xfId="0" applyFont="1" applyAlignment="1" applyProtection="1">
      <alignment horizontal="center" vertical="top"/>
      <protection locked="0"/>
    </xf>
    <xf numFmtId="0" fontId="73" fillId="0" borderId="0" xfId="0" applyFont="1" applyFill="1" applyBorder="1" applyAlignment="1" applyProtection="1">
      <alignment horizontal="center" vertical="top"/>
      <protection locked="0"/>
    </xf>
    <xf numFmtId="49" fontId="72" fillId="27" borderId="47" xfId="0" applyNumberFormat="1" applyFont="1" applyFill="1" applyBorder="1" applyAlignment="1">
      <alignment horizontal="center" vertical="top" wrapText="1"/>
    </xf>
    <xf numFmtId="49" fontId="72" fillId="27" borderId="46" xfId="0" applyNumberFormat="1" applyFont="1" applyFill="1" applyBorder="1" applyAlignment="1">
      <alignment horizontal="center" vertical="top" wrapText="1"/>
    </xf>
    <xf numFmtId="49" fontId="72" fillId="28" borderId="48" xfId="0" applyNumberFormat="1" applyFont="1" applyFill="1" applyBorder="1" applyAlignment="1">
      <alignment horizontal="center" vertical="top"/>
    </xf>
    <xf numFmtId="0" fontId="73" fillId="7" borderId="49" xfId="0" applyNumberFormat="1" applyFont="1" applyFill="1" applyBorder="1" applyAlignment="1">
      <alignment horizontal="center" vertical="top"/>
    </xf>
    <xf numFmtId="0" fontId="73" fillId="7" borderId="50" xfId="0" applyNumberFormat="1" applyFont="1" applyFill="1" applyBorder="1" applyAlignment="1">
      <alignment horizontal="center" vertical="top"/>
    </xf>
    <xf numFmtId="49" fontId="72" fillId="28" borderId="46" xfId="0" applyNumberFormat="1" applyFont="1" applyFill="1" applyBorder="1" applyAlignment="1">
      <alignment horizontal="center" vertical="top"/>
    </xf>
    <xf numFmtId="0" fontId="73" fillId="7" borderId="51" xfId="0" applyNumberFormat="1" applyFont="1" applyFill="1" applyBorder="1" applyAlignment="1">
      <alignment horizontal="center" vertical="top"/>
    </xf>
    <xf numFmtId="0" fontId="73" fillId="7" borderId="60" xfId="0" applyNumberFormat="1" applyFont="1" applyFill="1" applyBorder="1" applyAlignment="1">
      <alignment horizontal="center" vertical="top"/>
    </xf>
    <xf numFmtId="0" fontId="73" fillId="0" borderId="0" xfId="0" applyFont="1" applyAlignment="1" applyProtection="1">
      <alignment horizontal="left" vertical="top"/>
      <protection locked="0"/>
    </xf>
    <xf numFmtId="0" fontId="73" fillId="0" borderId="0" xfId="0" applyFont="1" applyAlignment="1" applyProtection="1">
      <alignment horizontal="left" vertical="top" wrapText="1"/>
      <protection locked="0"/>
    </xf>
    <xf numFmtId="0" fontId="73" fillId="0" borderId="0" xfId="0" applyFont="1" applyFill="1" applyBorder="1" applyAlignment="1" applyProtection="1">
      <alignment horizontal="left" vertical="top"/>
      <protection locked="0"/>
    </xf>
    <xf numFmtId="0" fontId="67" fillId="41" borderId="58" xfId="0" applyFont="1" applyFill="1" applyBorder="1" applyAlignment="1">
      <alignment horizontal="left" vertical="top" wrapText="1"/>
    </xf>
    <xf numFmtId="0" fontId="65" fillId="15" borderId="58" xfId="0" applyFont="1" applyFill="1" applyBorder="1" applyAlignment="1">
      <alignment horizontal="left" vertical="top"/>
    </xf>
    <xf numFmtId="0" fontId="74" fillId="0" borderId="58" xfId="0" applyFont="1" applyBorder="1" applyAlignment="1">
      <alignment horizontal="left" vertical="top"/>
    </xf>
    <xf numFmtId="0" fontId="75" fillId="0" borderId="58" xfId="0" applyFont="1" applyBorder="1" applyAlignment="1">
      <alignment horizontal="left" vertical="top"/>
    </xf>
    <xf numFmtId="0" fontId="67" fillId="17" borderId="58" xfId="0" applyFont="1" applyFill="1" applyBorder="1" applyAlignment="1">
      <alignment horizontal="left" vertical="top"/>
    </xf>
    <xf numFmtId="0" fontId="65" fillId="0" borderId="61" xfId="0" applyFont="1" applyBorder="1" applyAlignment="1">
      <alignment horizontal="left" vertical="top"/>
    </xf>
    <xf numFmtId="0" fontId="65" fillId="17" borderId="58" xfId="0" applyFont="1" applyFill="1" applyBorder="1" applyAlignment="1">
      <alignment horizontal="left" vertical="top"/>
    </xf>
    <xf numFmtId="0" fontId="65" fillId="42" borderId="58" xfId="0" applyFont="1" applyFill="1" applyBorder="1" applyAlignment="1">
      <alignment horizontal="left" vertical="top"/>
    </xf>
    <xf numFmtId="0" fontId="65" fillId="0" borderId="61" xfId="0" applyFont="1" applyBorder="1" applyAlignment="1">
      <alignment horizontal="left" vertical="top" wrapText="1"/>
    </xf>
    <xf numFmtId="0" fontId="65" fillId="10" borderId="58" xfId="0" applyFont="1" applyFill="1" applyBorder="1" applyAlignment="1">
      <alignment horizontal="left" vertical="top"/>
    </xf>
    <xf numFmtId="0" fontId="65" fillId="25" borderId="58" xfId="0" applyFont="1" applyFill="1" applyBorder="1" applyAlignment="1">
      <alignment horizontal="left" vertical="top"/>
    </xf>
    <xf numFmtId="0" fontId="65" fillId="41" borderId="58" xfId="0" applyFont="1" applyFill="1" applyBorder="1" applyAlignment="1">
      <alignment horizontal="left" vertical="top"/>
    </xf>
    <xf numFmtId="0" fontId="0" fillId="0" borderId="58" xfId="0" applyBorder="1"/>
    <xf numFmtId="0" fontId="67" fillId="13" borderId="62" xfId="0" applyFont="1" applyFill="1" applyBorder="1" applyAlignment="1" applyProtection="1">
      <alignment horizontal="left" vertical="top"/>
      <protection locked="0"/>
    </xf>
    <xf numFmtId="0" fontId="64" fillId="0" borderId="59" xfId="0" applyFont="1" applyFill="1" applyBorder="1" applyAlignment="1" applyProtection="1">
      <alignment horizontal="left" vertical="top"/>
      <protection locked="0"/>
    </xf>
    <xf numFmtId="0" fontId="64" fillId="0" borderId="63" xfId="0" applyFont="1" applyFill="1" applyBorder="1" applyAlignment="1" applyProtection="1">
      <alignment horizontal="left" vertical="top"/>
      <protection locked="0"/>
    </xf>
    <xf numFmtId="0" fontId="64" fillId="0" borderId="64" xfId="0" applyFont="1" applyFill="1" applyBorder="1" applyAlignment="1" applyProtection="1">
      <alignment horizontal="left" vertical="top"/>
      <protection locked="0"/>
    </xf>
    <xf numFmtId="0" fontId="64" fillId="0" borderId="65" xfId="0" applyFont="1" applyFill="1" applyBorder="1" applyAlignment="1" applyProtection="1">
      <alignment horizontal="left" vertical="top"/>
      <protection locked="0"/>
    </xf>
    <xf numFmtId="0" fontId="0" fillId="0" borderId="58" xfId="0" applyFont="1" applyBorder="1" applyAlignment="1">
      <alignment horizontal="justify"/>
    </xf>
    <xf numFmtId="0" fontId="0" fillId="0" borderId="58" xfId="0" applyFont="1" applyBorder="1" applyAlignment="1">
      <alignment horizontal="justify" wrapText="1"/>
    </xf>
    <xf numFmtId="2" fontId="0" fillId="0" borderId="0" xfId="0" applyNumberFormat="1"/>
    <xf numFmtId="0" fontId="81" fillId="26" borderId="11" xfId="0" applyNumberFormat="1" applyFont="1" applyFill="1" applyBorder="1" applyAlignment="1">
      <alignment horizontal="center"/>
    </xf>
    <xf numFmtId="0" fontId="82" fillId="26" borderId="11" xfId="0" applyNumberFormat="1" applyFont="1" applyFill="1" applyBorder="1" applyAlignment="1">
      <alignment horizontal="center"/>
    </xf>
    <xf numFmtId="0" fontId="37" fillId="0" borderId="0" xfId="0" applyFont="1"/>
    <xf numFmtId="0" fontId="83" fillId="0" borderId="0" xfId="0" applyFont="1" applyAlignment="1">
      <alignment horizontal="left"/>
    </xf>
    <xf numFmtId="0" fontId="31" fillId="24" borderId="11" xfId="0" applyNumberFormat="1" applyFont="1" applyFill="1" applyBorder="1" applyAlignment="1"/>
    <xf numFmtId="167" fontId="82" fillId="0" borderId="11" xfId="0" applyNumberFormat="1" applyFont="1" applyBorder="1" applyAlignment="1">
      <alignment horizontal="left"/>
    </xf>
    <xf numFmtId="167" fontId="31" fillId="24" borderId="11" xfId="0" applyNumberFormat="1" applyFont="1" applyFill="1" applyBorder="1" applyAlignment="1"/>
    <xf numFmtId="187" fontId="83" fillId="0" borderId="0" xfId="0" applyNumberFormat="1" applyFont="1" applyAlignment="1">
      <alignment horizontal="left"/>
    </xf>
    <xf numFmtId="0" fontId="84" fillId="0" borderId="0" xfId="0" applyFont="1" applyAlignment="1">
      <alignment horizontal="left"/>
    </xf>
    <xf numFmtId="21" fontId="31" fillId="25" borderId="0" xfId="0" applyNumberFormat="1" applyFont="1" applyFill="1" applyBorder="1" applyAlignment="1">
      <alignment horizontal="left"/>
    </xf>
    <xf numFmtId="0" fontId="85" fillId="0" borderId="0" xfId="0" applyFont="1"/>
    <xf numFmtId="21" fontId="83" fillId="0" borderId="0" xfId="0" applyNumberFormat="1" applyFont="1" applyBorder="1" applyAlignment="1">
      <alignment horizontal="left"/>
    </xf>
    <xf numFmtId="0" fontId="89" fillId="6" borderId="66" xfId="0" applyFont="1" applyFill="1" applyBorder="1" applyAlignment="1">
      <alignment horizontal="center" vertical="center"/>
    </xf>
    <xf numFmtId="0" fontId="89" fillId="6" borderId="67" xfId="0" applyFont="1" applyFill="1" applyBorder="1" applyAlignment="1">
      <alignment horizontal="center" vertical="center"/>
    </xf>
    <xf numFmtId="0" fontId="89" fillId="6" borderId="68" xfId="0" applyFont="1" applyFill="1" applyBorder="1" applyAlignment="1">
      <alignment horizontal="center" vertical="center"/>
    </xf>
    <xf numFmtId="0" fontId="89" fillId="6" borderId="69" xfId="0" applyFont="1" applyFill="1" applyBorder="1" applyAlignment="1">
      <alignment horizontal="center" vertical="center"/>
    </xf>
    <xf numFmtId="0" fontId="89" fillId="6" borderId="70" xfId="0" applyFont="1" applyFill="1" applyBorder="1" applyAlignment="1">
      <alignment horizontal="center" vertical="center"/>
    </xf>
    <xf numFmtId="0" fontId="89" fillId="6" borderId="71" xfId="0" applyFont="1" applyFill="1" applyBorder="1" applyAlignment="1">
      <alignment horizontal="center" vertical="center"/>
    </xf>
    <xf numFmtId="0" fontId="89" fillId="6" borderId="0" xfId="0" applyFont="1" applyFill="1" applyAlignment="1">
      <alignment horizontal="center" vertical="center"/>
    </xf>
    <xf numFmtId="0" fontId="89" fillId="6" borderId="72" xfId="0" applyFont="1" applyFill="1" applyBorder="1" applyAlignment="1">
      <alignment horizontal="center" vertical="center"/>
    </xf>
    <xf numFmtId="0" fontId="89" fillId="6" borderId="9" xfId="0" applyFont="1" applyFill="1" applyBorder="1" applyAlignment="1">
      <alignment horizontal="center" vertical="center"/>
    </xf>
    <xf numFmtId="0" fontId="89" fillId="6" borderId="73" xfId="0" applyFont="1" applyFill="1" applyBorder="1" applyAlignment="1">
      <alignment horizontal="center" vertical="center"/>
    </xf>
    <xf numFmtId="0" fontId="89" fillId="6" borderId="74" xfId="0" applyFont="1" applyFill="1" applyBorder="1" applyAlignment="1">
      <alignment horizontal="center" vertical="center"/>
    </xf>
    <xf numFmtId="0" fontId="89" fillId="6" borderId="75" xfId="0" applyFont="1" applyFill="1" applyBorder="1" applyAlignment="1">
      <alignment horizontal="center" vertical="center"/>
    </xf>
    <xf numFmtId="0" fontId="89" fillId="6" borderId="76" xfId="0" applyFont="1" applyFill="1" applyBorder="1" applyAlignment="1">
      <alignment horizontal="center" vertical="center"/>
    </xf>
    <xf numFmtId="0" fontId="89" fillId="6" borderId="77" xfId="0" applyFont="1" applyFill="1" applyBorder="1" applyAlignment="1">
      <alignment horizontal="center" vertical="center"/>
    </xf>
    <xf numFmtId="0" fontId="89" fillId="6" borderId="28" xfId="0" applyFont="1" applyFill="1" applyBorder="1" applyAlignment="1">
      <alignment horizontal="center" vertical="center"/>
    </xf>
    <xf numFmtId="0" fontId="89" fillId="6" borderId="31" xfId="0" applyFont="1" applyFill="1" applyBorder="1" applyAlignment="1">
      <alignment horizontal="center" vertical="center"/>
    </xf>
    <xf numFmtId="0" fontId="89" fillId="6" borderId="78" xfId="0" applyFont="1" applyFill="1" applyBorder="1" applyAlignment="1">
      <alignment horizontal="center" vertical="center"/>
    </xf>
    <xf numFmtId="0" fontId="89" fillId="6" borderId="79" xfId="0" applyFont="1" applyFill="1" applyBorder="1" applyAlignment="1">
      <alignment horizontal="center" vertical="center"/>
    </xf>
    <xf numFmtId="0" fontId="89" fillId="6" borderId="30" xfId="0" applyFont="1" applyFill="1" applyBorder="1" applyAlignment="1">
      <alignment horizontal="center" vertical="center"/>
    </xf>
    <xf numFmtId="0" fontId="89" fillId="6" borderId="27" xfId="0" applyFont="1" applyFill="1" applyBorder="1" applyAlignment="1">
      <alignment horizontal="center" vertical="center"/>
    </xf>
    <xf numFmtId="0" fontId="89" fillId="6" borderId="26" xfId="0" applyFont="1" applyFill="1" applyBorder="1" applyAlignment="1">
      <alignment horizontal="center" vertical="center"/>
    </xf>
    <xf numFmtId="0" fontId="89" fillId="6" borderId="80" xfId="0" applyFont="1" applyFill="1" applyBorder="1" applyAlignment="1">
      <alignment horizontal="center" vertical="center"/>
    </xf>
    <xf numFmtId="0" fontId="89" fillId="6" borderId="25" xfId="0" applyFont="1" applyFill="1" applyBorder="1" applyAlignment="1">
      <alignment horizontal="center" vertical="center"/>
    </xf>
    <xf numFmtId="0" fontId="89" fillId="6" borderId="81" xfId="0" applyFont="1" applyFill="1" applyBorder="1" applyAlignment="1">
      <alignment horizontal="center" vertical="center"/>
    </xf>
    <xf numFmtId="0" fontId="89" fillId="6" borderId="82" xfId="0" applyFont="1" applyFill="1" applyBorder="1" applyAlignment="1">
      <alignment horizontal="center" vertical="center"/>
    </xf>
    <xf numFmtId="0" fontId="89" fillId="6" borderId="83" xfId="0" applyFont="1" applyFill="1" applyBorder="1" applyAlignment="1">
      <alignment horizontal="center" vertical="center"/>
    </xf>
    <xf numFmtId="0" fontId="89" fillId="6" borderId="84" xfId="0" applyFont="1" applyFill="1" applyBorder="1" applyAlignment="1">
      <alignment horizontal="center" vertical="center"/>
    </xf>
    <xf numFmtId="0" fontId="89" fillId="6" borderId="85" xfId="0" applyFont="1" applyFill="1" applyBorder="1" applyAlignment="1">
      <alignment horizontal="center" vertical="center"/>
    </xf>
    <xf numFmtId="0" fontId="90" fillId="0" borderId="0" xfId="0" applyFont="1" applyAlignment="1">
      <alignment horizontal="center"/>
    </xf>
    <xf numFmtId="0" fontId="92" fillId="6" borderId="66" xfId="0" applyFont="1" applyFill="1" applyBorder="1" applyAlignment="1">
      <alignment horizontal="center" vertical="center"/>
    </xf>
    <xf numFmtId="0" fontId="92" fillId="6" borderId="67" xfId="0" applyFont="1" applyFill="1" applyBorder="1" applyAlignment="1">
      <alignment horizontal="center" vertical="center"/>
    </xf>
    <xf numFmtId="0" fontId="92" fillId="6" borderId="68" xfId="0" applyFont="1" applyFill="1" applyBorder="1" applyAlignment="1">
      <alignment horizontal="center" vertical="center"/>
    </xf>
    <xf numFmtId="0" fontId="92" fillId="6" borderId="69" xfId="0" applyFont="1" applyFill="1" applyBorder="1" applyAlignment="1">
      <alignment horizontal="center" vertical="center"/>
    </xf>
    <xf numFmtId="0" fontId="92" fillId="6" borderId="70" xfId="0" applyFont="1" applyFill="1" applyBorder="1" applyAlignment="1">
      <alignment horizontal="center" vertical="center"/>
    </xf>
    <xf numFmtId="0" fontId="92" fillId="6" borderId="71" xfId="0" applyFont="1" applyFill="1" applyBorder="1" applyAlignment="1">
      <alignment horizontal="center" vertical="center"/>
    </xf>
    <xf numFmtId="0" fontId="92" fillId="6" borderId="0" xfId="0" applyFont="1" applyFill="1" applyAlignment="1">
      <alignment horizontal="center" vertical="center"/>
    </xf>
    <xf numFmtId="0" fontId="92" fillId="6" borderId="72" xfId="0" applyFont="1" applyFill="1" applyBorder="1" applyAlignment="1">
      <alignment horizontal="center" vertical="center"/>
    </xf>
    <xf numFmtId="0" fontId="92" fillId="6" borderId="9" xfId="0" applyFont="1" applyFill="1" applyBorder="1" applyAlignment="1">
      <alignment horizontal="center" vertical="center"/>
    </xf>
    <xf numFmtId="0" fontId="92" fillId="6" borderId="73" xfId="0" applyFont="1" applyFill="1" applyBorder="1" applyAlignment="1">
      <alignment horizontal="center" vertical="center"/>
    </xf>
    <xf numFmtId="0" fontId="92" fillId="6" borderId="74" xfId="0" applyFont="1" applyFill="1" applyBorder="1" applyAlignment="1">
      <alignment horizontal="center" vertical="center"/>
    </xf>
    <xf numFmtId="0" fontId="92" fillId="6" borderId="75" xfId="0" applyFont="1" applyFill="1" applyBorder="1" applyAlignment="1">
      <alignment horizontal="center" vertical="center"/>
    </xf>
    <xf numFmtId="0" fontId="92" fillId="6" borderId="76" xfId="0" applyFont="1" applyFill="1" applyBorder="1" applyAlignment="1">
      <alignment horizontal="center" vertical="center"/>
    </xf>
    <xf numFmtId="0" fontId="92" fillId="6" borderId="77" xfId="0" applyFont="1" applyFill="1" applyBorder="1" applyAlignment="1">
      <alignment horizontal="center" vertical="center"/>
    </xf>
    <xf numFmtId="0" fontId="92" fillId="6" borderId="28" xfId="0" applyFont="1" applyFill="1" applyBorder="1" applyAlignment="1">
      <alignment horizontal="center" vertical="center"/>
    </xf>
    <xf numFmtId="0" fontId="92" fillId="6" borderId="31" xfId="0" applyFont="1" applyFill="1" applyBorder="1" applyAlignment="1">
      <alignment horizontal="center" vertical="center"/>
    </xf>
    <xf numFmtId="0" fontId="92" fillId="6" borderId="78" xfId="0" applyFont="1" applyFill="1" applyBorder="1" applyAlignment="1">
      <alignment horizontal="center" vertical="center"/>
    </xf>
    <xf numFmtId="0" fontId="92" fillId="6" borderId="79" xfId="0" applyFont="1" applyFill="1" applyBorder="1" applyAlignment="1">
      <alignment horizontal="center" vertical="center"/>
    </xf>
    <xf numFmtId="0" fontId="92" fillId="6" borderId="30" xfId="0" applyFont="1" applyFill="1" applyBorder="1" applyAlignment="1">
      <alignment horizontal="center" vertical="center"/>
    </xf>
    <xf numFmtId="0" fontId="92" fillId="6" borderId="27" xfId="0" applyFont="1" applyFill="1" applyBorder="1" applyAlignment="1">
      <alignment horizontal="center" vertical="center"/>
    </xf>
    <xf numFmtId="0" fontId="92" fillId="6" borderId="26" xfId="0" applyFont="1" applyFill="1" applyBorder="1" applyAlignment="1">
      <alignment horizontal="center" vertical="center"/>
    </xf>
    <xf numFmtId="0" fontId="92" fillId="6" borderId="80" xfId="0" applyFont="1" applyFill="1" applyBorder="1" applyAlignment="1">
      <alignment horizontal="center" vertical="center"/>
    </xf>
    <xf numFmtId="0" fontId="92" fillId="6" borderId="25" xfId="0" applyFont="1" applyFill="1" applyBorder="1" applyAlignment="1">
      <alignment horizontal="center" vertical="center"/>
    </xf>
    <xf numFmtId="0" fontId="92" fillId="6" borderId="81" xfId="0" applyFont="1" applyFill="1" applyBorder="1" applyAlignment="1">
      <alignment horizontal="center" vertical="center"/>
    </xf>
    <xf numFmtId="0" fontId="92" fillId="6" borderId="82" xfId="0" applyFont="1" applyFill="1" applyBorder="1" applyAlignment="1">
      <alignment horizontal="center" vertical="center"/>
    </xf>
    <xf numFmtId="0" fontId="92" fillId="6" borderId="83" xfId="0" applyFont="1" applyFill="1" applyBorder="1" applyAlignment="1">
      <alignment horizontal="center" vertical="center"/>
    </xf>
    <xf numFmtId="0" fontId="92" fillId="6" borderId="84" xfId="0" applyFont="1" applyFill="1" applyBorder="1" applyAlignment="1">
      <alignment horizontal="center" vertical="center"/>
    </xf>
    <xf numFmtId="0" fontId="92" fillId="6" borderId="85" xfId="0" applyFont="1" applyFill="1" applyBorder="1" applyAlignment="1">
      <alignment horizontal="center" vertical="center"/>
    </xf>
    <xf numFmtId="0" fontId="93" fillId="0" borderId="31" xfId="0" applyFont="1" applyBorder="1" applyAlignment="1">
      <alignment horizontal="center"/>
    </xf>
    <xf numFmtId="0" fontId="89" fillId="6" borderId="74" xfId="0" applyFont="1" applyFill="1" applyBorder="1" applyAlignment="1">
      <alignment horizontal="center" vertical="center" wrapText="1"/>
    </xf>
    <xf numFmtId="0" fontId="93" fillId="0" borderId="9" xfId="0" applyFont="1" applyBorder="1" applyAlignment="1">
      <alignment horizontal="center" vertical="center" textRotation="90"/>
    </xf>
    <xf numFmtId="0" fontId="93" fillId="0" borderId="25" xfId="0" applyFont="1" applyBorder="1" applyAlignment="1">
      <alignment horizontal="center" vertical="center" textRotation="88"/>
    </xf>
    <xf numFmtId="0" fontId="0" fillId="0" borderId="9" xfId="0" applyBorder="1" applyAlignment="1">
      <alignment horizontal="center" vertical="center"/>
    </xf>
    <xf numFmtId="0" fontId="0" fillId="0" borderId="25" xfId="0" applyBorder="1" applyAlignment="1">
      <alignment horizontal="center" vertical="center"/>
    </xf>
    <xf numFmtId="0" fontId="96" fillId="6" borderId="74" xfId="0" applyFont="1" applyFill="1" applyBorder="1" applyAlignment="1">
      <alignment horizontal="center" vertical="center"/>
    </xf>
    <xf numFmtId="0" fontId="31" fillId="0" borderId="29" xfId="0" applyFont="1" applyBorder="1"/>
    <xf numFmtId="0" fontId="97" fillId="0" borderId="9" xfId="0" applyFont="1" applyBorder="1" applyAlignment="1">
      <alignment wrapText="1"/>
    </xf>
    <xf numFmtId="0" fontId="97" fillId="0" borderId="25" xfId="0" applyFont="1" applyBorder="1" applyAlignment="1">
      <alignment wrapText="1"/>
    </xf>
    <xf numFmtId="0" fontId="99" fillId="6" borderId="86" xfId="0" applyFont="1" applyFill="1" applyBorder="1" applyAlignment="1">
      <alignment horizontal="center" vertical="center" wrapText="1"/>
    </xf>
    <xf numFmtId="0" fontId="97" fillId="0" borderId="28" xfId="0" applyFont="1" applyBorder="1" applyAlignment="1">
      <alignment wrapText="1"/>
    </xf>
    <xf numFmtId="0" fontId="97" fillId="0" borderId="29" xfId="0" applyFont="1" applyBorder="1" applyAlignment="1">
      <alignment wrapText="1"/>
    </xf>
    <xf numFmtId="188" fontId="28" fillId="22" borderId="87" xfId="0" applyNumberFormat="1" applyFont="1" applyFill="1" applyBorder="1"/>
    <xf numFmtId="0" fontId="28" fillId="0" borderId="0" xfId="0" applyFont="1"/>
    <xf numFmtId="188" fontId="28" fillId="0" borderId="0" xfId="0" applyNumberFormat="1" applyFont="1"/>
    <xf numFmtId="188" fontId="100" fillId="43" borderId="88" xfId="0" applyNumberFormat="1" applyFont="1" applyFill="1" applyBorder="1" applyAlignment="1">
      <alignment horizontal="center"/>
    </xf>
    <xf numFmtId="0" fontId="100" fillId="43" borderId="89" xfId="0" applyFont="1" applyFill="1" applyBorder="1" applyAlignment="1">
      <alignment horizontal="center"/>
    </xf>
    <xf numFmtId="0" fontId="100" fillId="43" borderId="90" xfId="0" applyFont="1" applyFill="1" applyBorder="1" applyAlignment="1">
      <alignment horizontal="center"/>
    </xf>
    <xf numFmtId="188" fontId="49" fillId="44" borderId="91" xfId="0" applyNumberFormat="1" applyFont="1" applyFill="1" applyBorder="1" applyAlignment="1"/>
    <xf numFmtId="0" fontId="38" fillId="0" borderId="92" xfId="0" applyFont="1" applyFill="1" applyBorder="1" applyAlignment="1">
      <alignment horizontal="center"/>
    </xf>
    <xf numFmtId="0" fontId="101" fillId="0" borderId="92" xfId="0" applyFont="1" applyFill="1" applyBorder="1" applyAlignment="1">
      <alignment horizontal="center"/>
    </xf>
    <xf numFmtId="0" fontId="101" fillId="22" borderId="92" xfId="0" applyFont="1" applyFill="1" applyBorder="1" applyAlignment="1">
      <alignment horizontal="center"/>
    </xf>
    <xf numFmtId="0" fontId="101" fillId="22" borderId="93" xfId="0" applyFont="1" applyFill="1" applyBorder="1" applyAlignment="1">
      <alignment horizontal="center"/>
    </xf>
    <xf numFmtId="188" fontId="49" fillId="44" borderId="94" xfId="0" applyNumberFormat="1" applyFont="1" applyFill="1" applyBorder="1" applyAlignment="1"/>
    <xf numFmtId="0" fontId="101" fillId="22" borderId="95" xfId="0" applyFont="1" applyFill="1" applyBorder="1" applyAlignment="1">
      <alignment horizontal="center"/>
    </xf>
    <xf numFmtId="0" fontId="101" fillId="22" borderId="96" xfId="0" applyFont="1" applyFill="1" applyBorder="1" applyAlignment="1">
      <alignment horizontal="center"/>
    </xf>
    <xf numFmtId="0" fontId="47" fillId="7" borderId="0" xfId="0" applyFont="1" applyFill="1" applyAlignment="1">
      <alignment horizontal="left"/>
    </xf>
    <xf numFmtId="0" fontId="0" fillId="7" borderId="0" xfId="0" applyFill="1"/>
    <xf numFmtId="0" fontId="28" fillId="7" borderId="0" xfId="0" applyFont="1" applyFill="1"/>
    <xf numFmtId="0" fontId="28" fillId="22" borderId="11" xfId="0" applyFont="1" applyFill="1" applyBorder="1" applyAlignment="1">
      <alignment horizontal="center"/>
    </xf>
    <xf numFmtId="0" fontId="102" fillId="0" borderId="0" xfId="0" applyFont="1" applyFill="1" applyAlignment="1">
      <alignment horizontal="center"/>
    </xf>
    <xf numFmtId="0" fontId="28" fillId="0" borderId="0" xfId="0" applyFont="1" applyAlignment="1">
      <alignment horizontal="center"/>
    </xf>
    <xf numFmtId="0" fontId="28" fillId="23" borderId="11" xfId="0" applyFont="1" applyFill="1" applyBorder="1" applyAlignment="1">
      <alignment horizontal="center"/>
    </xf>
    <xf numFmtId="0" fontId="28" fillId="0" borderId="15" xfId="0" applyFont="1" applyBorder="1" applyAlignment="1">
      <alignment horizontal="center"/>
    </xf>
    <xf numFmtId="0" fontId="0" fillId="0" borderId="0" xfId="0" applyBorder="1" applyAlignment="1">
      <alignment horizontal="center"/>
    </xf>
    <xf numFmtId="0" fontId="28" fillId="0" borderId="0" xfId="0" applyFont="1" applyBorder="1" applyAlignment="1">
      <alignment horizontal="center"/>
    </xf>
    <xf numFmtId="0" fontId="0" fillId="0" borderId="0" xfId="0" applyFill="1" applyAlignment="1">
      <alignment horizontal="center"/>
    </xf>
    <xf numFmtId="0" fontId="28" fillId="0" borderId="0" xfId="0" applyFont="1" applyFill="1" applyBorder="1" applyAlignment="1">
      <alignment horizontal="center"/>
    </xf>
    <xf numFmtId="0" fontId="0" fillId="0" borderId="0" xfId="0" applyFill="1" applyBorder="1" applyAlignment="1">
      <alignment horizontal="center"/>
    </xf>
    <xf numFmtId="0" fontId="0" fillId="5" borderId="0" xfId="0" applyFont="1" applyFill="1" applyAlignment="1">
      <alignment horizontal="center"/>
    </xf>
    <xf numFmtId="0" fontId="37" fillId="0" borderId="0" xfId="0" applyFont="1" applyFill="1" applyBorder="1" applyAlignment="1">
      <alignment horizontal="center"/>
    </xf>
    <xf numFmtId="188" fontId="0" fillId="0" borderId="0" xfId="0" applyNumberFormat="1" applyAlignment="1">
      <alignment horizontal="center"/>
    </xf>
    <xf numFmtId="0" fontId="0" fillId="7" borderId="0" xfId="0" applyFill="1" applyAlignment="1">
      <alignment horizontal="center"/>
    </xf>
    <xf numFmtId="188" fontId="104" fillId="0" borderId="0" xfId="0" applyNumberFormat="1" applyFont="1"/>
    <xf numFmtId="0" fontId="29" fillId="0" borderId="0" xfId="0" applyFont="1"/>
    <xf numFmtId="168" fontId="0" fillId="0" borderId="0" xfId="0" applyNumberFormat="1" applyAlignment="1">
      <alignment horizontal="center"/>
    </xf>
    <xf numFmtId="15" fontId="0" fillId="0" borderId="0" xfId="0" applyNumberFormat="1" applyAlignment="1">
      <alignment horizontal="center"/>
    </xf>
    <xf numFmtId="15" fontId="37" fillId="0" borderId="0" xfId="0" applyNumberFormat="1" applyFont="1" applyFill="1" applyBorder="1" applyAlignment="1">
      <alignment horizontal="center"/>
    </xf>
    <xf numFmtId="175" fontId="0" fillId="0" borderId="0" xfId="0" applyNumberFormat="1" applyAlignment="1">
      <alignment horizontal="center"/>
    </xf>
    <xf numFmtId="0" fontId="53" fillId="0" borderId="0" xfId="0" applyFont="1"/>
    <xf numFmtId="0" fontId="24" fillId="0" borderId="0" xfId="0" applyFont="1"/>
    <xf numFmtId="0" fontId="103" fillId="45" borderId="97" xfId="0" applyFont="1" applyFill="1" applyBorder="1" applyAlignment="1">
      <alignment horizontal="center"/>
    </xf>
    <xf numFmtId="0" fontId="53" fillId="45" borderId="97" xfId="0" applyFont="1" applyFill="1" applyBorder="1"/>
    <xf numFmtId="0" fontId="27" fillId="45" borderId="97" xfId="0" applyFont="1" applyFill="1" applyBorder="1"/>
    <xf numFmtId="0" fontId="53" fillId="45" borderId="97" xfId="0" applyFont="1" applyFill="1" applyBorder="1" applyAlignment="1">
      <alignment horizontal="center" vertical="center"/>
    </xf>
    <xf numFmtId="0" fontId="103" fillId="0" borderId="0" xfId="0" applyFont="1" applyFill="1" applyAlignment="1">
      <alignment horizontal="center"/>
    </xf>
    <xf numFmtId="0" fontId="41" fillId="26" borderId="88" xfId="0" applyFont="1" applyFill="1" applyBorder="1" applyAlignment="1">
      <alignment horizontal="left"/>
    </xf>
    <xf numFmtId="0" fontId="41" fillId="43" borderId="89" xfId="0" applyFont="1" applyFill="1" applyBorder="1" applyAlignment="1">
      <alignment horizontal="center"/>
    </xf>
    <xf numFmtId="0" fontId="49" fillId="44" borderId="89" xfId="0" applyFont="1" applyFill="1" applyBorder="1" applyAlignment="1">
      <alignment horizontal="center"/>
    </xf>
    <xf numFmtId="0" fontId="42" fillId="44" borderId="90" xfId="0" applyFont="1" applyFill="1" applyBorder="1" applyAlignment="1">
      <alignment horizontal="center"/>
    </xf>
    <xf numFmtId="0" fontId="53" fillId="0" borderId="0" xfId="0" applyFont="1" applyAlignment="1">
      <alignment horizontal="center" vertical="center"/>
    </xf>
    <xf numFmtId="0" fontId="49" fillId="44" borderId="92" xfId="0" applyFont="1" applyFill="1" applyBorder="1" applyAlignment="1">
      <alignment horizontal="center"/>
    </xf>
    <xf numFmtId="0" fontId="42" fillId="44" borderId="92" xfId="0" applyFont="1" applyFill="1" applyBorder="1" applyAlignment="1">
      <alignment horizontal="center"/>
    </xf>
    <xf numFmtId="0" fontId="105" fillId="44" borderId="93" xfId="0" applyFont="1" applyFill="1" applyBorder="1" applyAlignment="1">
      <alignment horizontal="center"/>
    </xf>
    <xf numFmtId="0" fontId="42" fillId="44" borderId="95" xfId="0" applyFont="1" applyFill="1" applyBorder="1" applyAlignment="1">
      <alignment horizontal="center"/>
    </xf>
    <xf numFmtId="0" fontId="42" fillId="44" borderId="96" xfId="0" applyFont="1" applyFill="1" applyBorder="1" applyAlignment="1">
      <alignment horizontal="center"/>
    </xf>
    <xf numFmtId="0" fontId="53" fillId="0" borderId="0" xfId="0" applyFont="1" applyAlignment="1">
      <alignment horizontal="center"/>
    </xf>
    <xf numFmtId="0" fontId="53" fillId="7" borderId="0" xfId="0" applyFont="1" applyFill="1"/>
    <xf numFmtId="0" fontId="53" fillId="10" borderId="0" xfId="0" applyFont="1" applyFill="1"/>
    <xf numFmtId="0" fontId="53" fillId="46" borderId="0" xfId="0" applyFont="1" applyFill="1"/>
    <xf numFmtId="0" fontId="53" fillId="8" borderId="0" xfId="0" applyFont="1" applyFill="1"/>
    <xf numFmtId="0" fontId="15" fillId="0" borderId="4" xfId="243" applyFont="1"/>
    <xf numFmtId="177" fontId="27" fillId="0" borderId="0" xfId="0" applyNumberFormat="1" applyFont="1" applyAlignment="1">
      <alignment horizontal="center"/>
    </xf>
    <xf numFmtId="0" fontId="53" fillId="47" borderId="9" xfId="0" applyFont="1" applyFill="1" applyBorder="1"/>
    <xf numFmtId="0" fontId="0" fillId="47" borderId="0" xfId="0" applyFill="1" applyAlignment="1">
      <alignment horizontal="center"/>
    </xf>
    <xf numFmtId="0" fontId="0" fillId="6" borderId="0" xfId="0" applyFill="1"/>
    <xf numFmtId="0" fontId="0" fillId="47" borderId="9" xfId="0" applyFill="1" applyBorder="1"/>
    <xf numFmtId="0" fontId="0" fillId="47" borderId="28" xfId="0" applyFill="1" applyBorder="1"/>
    <xf numFmtId="0" fontId="0" fillId="47" borderId="31" xfId="0" applyFill="1" applyBorder="1" applyAlignment="1">
      <alignment horizontal="center"/>
    </xf>
    <xf numFmtId="0" fontId="41" fillId="43" borderId="26" xfId="0" applyFont="1" applyFill="1" applyBorder="1" applyAlignment="1">
      <alignment horizontal="center"/>
    </xf>
    <xf numFmtId="0" fontId="49" fillId="44" borderId="30" xfId="0" applyFont="1" applyFill="1" applyBorder="1" applyAlignment="1">
      <alignment horizontal="center"/>
    </xf>
    <xf numFmtId="0" fontId="42" fillId="26" borderId="91" xfId="0" applyFont="1" applyFill="1" applyBorder="1" applyAlignment="1">
      <alignment horizontal="left"/>
    </xf>
    <xf numFmtId="0" fontId="42" fillId="44" borderId="98" xfId="0" applyFont="1" applyFill="1" applyBorder="1" applyAlignment="1">
      <alignment horizontal="center"/>
    </xf>
    <xf numFmtId="0" fontId="49" fillId="44" borderId="92" xfId="0" applyNumberFormat="1" applyFont="1" applyFill="1" applyBorder="1" applyAlignment="1">
      <alignment horizontal="center"/>
    </xf>
    <xf numFmtId="0" fontId="42" fillId="26" borderId="94" xfId="0" applyFont="1" applyFill="1" applyBorder="1" applyAlignment="1">
      <alignment horizontal="left"/>
    </xf>
    <xf numFmtId="0" fontId="42" fillId="44" borderId="99" xfId="0" applyFont="1" applyFill="1" applyBorder="1" applyAlignment="1">
      <alignment horizontal="center"/>
    </xf>
    <xf numFmtId="0" fontId="49" fillId="44" borderId="100" xfId="0" applyFont="1" applyFill="1" applyBorder="1" applyAlignment="1">
      <alignment horizontal="center"/>
    </xf>
    <xf numFmtId="0" fontId="49" fillId="44" borderId="95" xfId="0" applyFont="1" applyFill="1" applyBorder="1" applyAlignment="1">
      <alignment horizontal="center"/>
    </xf>
    <xf numFmtId="0" fontId="41" fillId="44" borderId="92" xfId="0" applyNumberFormat="1" applyFont="1" applyFill="1" applyBorder="1" applyAlignment="1">
      <alignment horizontal="center"/>
    </xf>
    <xf numFmtId="0" fontId="53" fillId="0" borderId="0" xfId="0" applyFont="1" applyFill="1"/>
    <xf numFmtId="49" fontId="49" fillId="44" borderId="92" xfId="0" applyNumberFormat="1" applyFont="1" applyFill="1" applyBorder="1" applyAlignment="1">
      <alignment horizontal="center"/>
    </xf>
    <xf numFmtId="189" fontId="0" fillId="0" borderId="0" xfId="0" applyNumberFormat="1"/>
    <xf numFmtId="190" fontId="0" fillId="0" borderId="0" xfId="0" applyNumberFormat="1"/>
    <xf numFmtId="22" fontId="0" fillId="0" borderId="0" xfId="0" applyNumberFormat="1"/>
    <xf numFmtId="0" fontId="0" fillId="22" borderId="11" xfId="0" applyFill="1" applyBorder="1"/>
    <xf numFmtId="2" fontId="27" fillId="0" borderId="0" xfId="0" applyNumberFormat="1" applyFont="1"/>
    <xf numFmtId="182" fontId="0" fillId="0" borderId="0" xfId="0" applyNumberFormat="1"/>
    <xf numFmtId="0" fontId="0" fillId="0" borderId="11" xfId="0" applyFill="1" applyBorder="1"/>
    <xf numFmtId="49" fontId="0" fillId="0" borderId="11" xfId="0" applyNumberFormat="1" applyFill="1" applyBorder="1"/>
    <xf numFmtId="9" fontId="0" fillId="0" borderId="0" xfId="0" applyNumberFormat="1"/>
    <xf numFmtId="0" fontId="0" fillId="22" borderId="26" xfId="0" applyFill="1" applyBorder="1"/>
    <xf numFmtId="0" fontId="0" fillId="7" borderId="28" xfId="0" applyFill="1" applyBorder="1"/>
    <xf numFmtId="0" fontId="0" fillId="22" borderId="28" xfId="0" applyFill="1" applyBorder="1"/>
    <xf numFmtId="0" fontId="108" fillId="22" borderId="26" xfId="0" applyFont="1" applyFill="1" applyBorder="1"/>
    <xf numFmtId="0" fontId="108" fillId="22" borderId="9" xfId="0" applyFont="1" applyFill="1" applyBorder="1"/>
    <xf numFmtId="0" fontId="108" fillId="22" borderId="28" xfId="0" applyFont="1" applyFill="1" applyBorder="1"/>
    <xf numFmtId="0" fontId="0" fillId="22" borderId="9" xfId="0" applyFill="1" applyBorder="1"/>
    <xf numFmtId="2" fontId="0" fillId="0" borderId="29" xfId="0" applyNumberFormat="1" applyBorder="1"/>
    <xf numFmtId="0" fontId="0" fillId="0" borderId="9" xfId="0" applyBorder="1"/>
    <xf numFmtId="0" fontId="108" fillId="0" borderId="9" xfId="0" applyFont="1" applyBorder="1"/>
    <xf numFmtId="21" fontId="83" fillId="0" borderId="0" xfId="0" applyNumberFormat="1" applyFont="1" applyAlignment="1">
      <alignment horizontal="left"/>
    </xf>
    <xf numFmtId="21" fontId="84" fillId="0" borderId="0" xfId="0" applyNumberFormat="1" applyFont="1" applyAlignment="1">
      <alignment horizontal="left"/>
    </xf>
    <xf numFmtId="0" fontId="22" fillId="48" borderId="0" xfId="0" applyFont="1" applyFill="1"/>
    <xf numFmtId="0" fontId="22" fillId="49" borderId="0" xfId="0" applyFont="1" applyFill="1"/>
    <xf numFmtId="0" fontId="31" fillId="24" borderId="0" xfId="0" applyNumberFormat="1" applyFont="1" applyFill="1" applyBorder="1" applyAlignment="1"/>
    <xf numFmtId="167" fontId="82" fillId="0" borderId="0" xfId="0" applyNumberFormat="1" applyFont="1" applyBorder="1" applyAlignment="1">
      <alignment horizontal="left"/>
    </xf>
    <xf numFmtId="167" fontId="31" fillId="24" borderId="0" xfId="0" applyNumberFormat="1" applyFont="1" applyFill="1" applyBorder="1" applyAlignment="1"/>
    <xf numFmtId="0" fontId="28" fillId="23" borderId="101" xfId="0" applyFont="1" applyFill="1" applyBorder="1" applyAlignment="1">
      <alignment horizontal="center"/>
    </xf>
    <xf numFmtId="0" fontId="0" fillId="0" borderId="102" xfId="0" applyBorder="1" applyAlignment="1">
      <alignment horizontal="center"/>
    </xf>
    <xf numFmtId="0" fontId="0" fillId="0" borderId="103" xfId="0" applyBorder="1" applyAlignment="1">
      <alignment horizontal="center"/>
    </xf>
    <xf numFmtId="188" fontId="0" fillId="0" borderId="104" xfId="0" applyNumberFormat="1" applyBorder="1" applyAlignment="1">
      <alignment horizontal="center"/>
    </xf>
    <xf numFmtId="188" fontId="0" fillId="0" borderId="105" xfId="0" applyNumberFormat="1" applyBorder="1" applyAlignment="1">
      <alignment horizontal="center"/>
    </xf>
    <xf numFmtId="188" fontId="0" fillId="0" borderId="106" xfId="0" applyNumberFormat="1" applyBorder="1" applyAlignment="1">
      <alignment horizontal="center"/>
    </xf>
    <xf numFmtId="0" fontId="0" fillId="0" borderId="107" xfId="0" applyBorder="1" applyAlignment="1">
      <alignment horizontal="center"/>
    </xf>
    <xf numFmtId="2" fontId="28" fillId="0" borderId="0" xfId="0" applyNumberFormat="1" applyFont="1" applyBorder="1" applyAlignment="1">
      <alignment horizontal="center"/>
    </xf>
    <xf numFmtId="189" fontId="0" fillId="0" borderId="0" xfId="0" applyNumberFormat="1" applyAlignment="1">
      <alignment horizontal="center"/>
    </xf>
    <xf numFmtId="0" fontId="110" fillId="13" borderId="20" xfId="0" applyFont="1" applyFill="1" applyBorder="1" applyAlignment="1">
      <alignment horizontal="left" vertical="top"/>
    </xf>
    <xf numFmtId="0" fontId="70" fillId="0" borderId="0" xfId="0" applyFont="1" applyAlignment="1" applyProtection="1">
      <alignment horizontal="left" vertical="top" wrapText="1"/>
      <protection locked="0"/>
    </xf>
    <xf numFmtId="49" fontId="111" fillId="27" borderId="47" xfId="0" applyNumberFormat="1" applyFont="1" applyFill="1" applyBorder="1" applyAlignment="1" applyProtection="1">
      <alignment horizontal="left" vertical="top"/>
      <protection locked="0"/>
    </xf>
    <xf numFmtId="0" fontId="70" fillId="0" borderId="0" xfId="0" applyFont="1" applyFill="1" applyBorder="1" applyAlignment="1" applyProtection="1">
      <alignment horizontal="left" vertical="top"/>
      <protection locked="0"/>
    </xf>
    <xf numFmtId="0" fontId="69" fillId="0" borderId="0" xfId="0" applyFont="1" applyAlignment="1" applyProtection="1">
      <alignment horizontal="left" vertical="top"/>
      <protection locked="0"/>
    </xf>
    <xf numFmtId="168" fontId="70" fillId="0" borderId="0" xfId="0" applyNumberFormat="1" applyFont="1" applyFill="1" applyBorder="1" applyAlignment="1" applyProtection="1">
      <alignment horizontal="left" vertical="top"/>
    </xf>
    <xf numFmtId="0" fontId="22" fillId="0" borderId="0" xfId="0" applyFont="1" applyAlignment="1">
      <alignment horizontal="center"/>
    </xf>
    <xf numFmtId="0" fontId="35" fillId="0" borderId="0" xfId="0" applyFont="1" applyAlignment="1">
      <alignment horizontal="center"/>
    </xf>
    <xf numFmtId="180" fontId="29" fillId="0" borderId="0" xfId="0" applyNumberFormat="1" applyFont="1" applyBorder="1" applyAlignment="1" applyProtection="1"/>
    <xf numFmtId="0" fontId="0" fillId="0" borderId="0" xfId="0" quotePrefix="1"/>
    <xf numFmtId="13" fontId="0" fillId="0" borderId="0" xfId="0" quotePrefix="1" applyNumberFormat="1"/>
    <xf numFmtId="2" fontId="29" fillId="49" borderId="0" xfId="0" applyNumberFormat="1" applyFont="1" applyFill="1" applyBorder="1" applyAlignment="1" applyProtection="1"/>
    <xf numFmtId="14" fontId="0" fillId="0" borderId="104" xfId="0" applyNumberFormat="1" applyBorder="1" applyAlignment="1">
      <alignment horizontal="center"/>
    </xf>
    <xf numFmtId="14" fontId="0" fillId="0" borderId="105" xfId="0" applyNumberFormat="1" applyBorder="1" applyAlignment="1">
      <alignment horizontal="center"/>
    </xf>
    <xf numFmtId="14" fontId="0" fillId="0" borderId="106" xfId="0" applyNumberFormat="1" applyBorder="1" applyAlignment="1">
      <alignment horizontal="center"/>
    </xf>
    <xf numFmtId="14" fontId="0" fillId="0" borderId="103" xfId="0" applyNumberFormat="1" applyBorder="1"/>
    <xf numFmtId="0" fontId="0" fillId="0" borderId="103" xfId="0" applyBorder="1"/>
    <xf numFmtId="14" fontId="0" fillId="0" borderId="104" xfId="0" applyNumberFormat="1" applyBorder="1"/>
    <xf numFmtId="191" fontId="0" fillId="0" borderId="0" xfId="0" applyNumberFormat="1" applyAlignment="1">
      <alignment horizontal="left"/>
    </xf>
    <xf numFmtId="180" fontId="0" fillId="0" borderId="0" xfId="0" applyNumberFormat="1"/>
    <xf numFmtId="0" fontId="0" fillId="49" borderId="0" xfId="0" applyFill="1" applyAlignment="1">
      <alignment horizontal="center"/>
    </xf>
    <xf numFmtId="0" fontId="28" fillId="49" borderId="0" xfId="0" applyFont="1" applyFill="1" applyBorder="1" applyAlignment="1">
      <alignment horizontal="center"/>
    </xf>
    <xf numFmtId="2" fontId="28" fillId="49" borderId="0" xfId="0" applyNumberFormat="1" applyFont="1" applyFill="1" applyBorder="1" applyAlignment="1">
      <alignment horizontal="center"/>
    </xf>
    <xf numFmtId="0" fontId="0" fillId="5" borderId="0" xfId="0" applyFont="1" applyFill="1" applyAlignment="1">
      <alignment horizontal="center" wrapText="1"/>
    </xf>
    <xf numFmtId="0" fontId="0" fillId="5" borderId="0" xfId="0" applyFill="1" applyAlignment="1">
      <alignment horizontal="center" wrapText="1"/>
    </xf>
    <xf numFmtId="0" fontId="0" fillId="49" borderId="0" xfId="0" applyFill="1"/>
    <xf numFmtId="0" fontId="112" fillId="0" borderId="18" xfId="0" applyFont="1" applyBorder="1" applyAlignment="1">
      <alignment wrapText="1"/>
    </xf>
    <xf numFmtId="0" fontId="64" fillId="0" borderId="0" xfId="0" applyFont="1" applyFill="1" applyBorder="1" applyAlignment="1" applyProtection="1">
      <alignment vertical="top"/>
      <protection locked="0"/>
    </xf>
    <xf numFmtId="0" fontId="65" fillId="0" borderId="0" xfId="0" applyFont="1" applyFill="1" applyBorder="1" applyAlignment="1" applyProtection="1">
      <alignment vertical="top"/>
      <protection locked="0"/>
    </xf>
    <xf numFmtId="0" fontId="70" fillId="0" borderId="0" xfId="0" applyFont="1" applyFill="1" applyBorder="1" applyAlignment="1" applyProtection="1">
      <alignment vertical="top"/>
      <protection locked="0"/>
    </xf>
    <xf numFmtId="0" fontId="73" fillId="0" borderId="0" xfId="0" applyFont="1" applyFill="1" applyBorder="1" applyAlignment="1" applyProtection="1">
      <alignment vertical="top"/>
      <protection locked="0"/>
    </xf>
    <xf numFmtId="0" fontId="0" fillId="0" borderId="0" xfId="218" applyFont="1"/>
    <xf numFmtId="0" fontId="94" fillId="0" borderId="107" xfId="0" applyFont="1" applyBorder="1" applyAlignment="1">
      <alignment horizontal="center" vertical="center"/>
    </xf>
    <xf numFmtId="0" fontId="53" fillId="0" borderId="102" xfId="0" applyFont="1" applyBorder="1" applyAlignment="1">
      <alignment horizontal="center"/>
    </xf>
    <xf numFmtId="0" fontId="53" fillId="0" borderId="0" xfId="0" applyFont="1" applyBorder="1" applyAlignment="1">
      <alignment horizontal="center"/>
    </xf>
    <xf numFmtId="0" fontId="114" fillId="50" borderId="108" xfId="0" applyFont="1" applyFill="1" applyBorder="1" applyAlignment="1">
      <alignment horizontal="center" textRotation="90"/>
    </xf>
    <xf numFmtId="0" fontId="114" fillId="50" borderId="109" xfId="0" applyFont="1" applyFill="1" applyBorder="1" applyAlignment="1">
      <alignment horizontal="center" textRotation="90"/>
    </xf>
    <xf numFmtId="0" fontId="114" fillId="50" borderId="110" xfId="0" applyFont="1" applyFill="1" applyBorder="1" applyAlignment="1">
      <alignment horizontal="center" textRotation="90"/>
    </xf>
    <xf numFmtId="0" fontId="24" fillId="0" borderId="0" xfId="0" applyFont="1" applyBorder="1" applyAlignment="1">
      <alignment horizontal="center" textRotation="90"/>
    </xf>
    <xf numFmtId="0" fontId="0" fillId="51" borderId="111" xfId="0" applyFont="1" applyFill="1" applyBorder="1" applyAlignment="1">
      <alignment horizontal="center"/>
    </xf>
    <xf numFmtId="0" fontId="0" fillId="52" borderId="112" xfId="0" applyFont="1" applyFill="1" applyBorder="1" applyAlignment="1">
      <alignment horizontal="center"/>
    </xf>
    <xf numFmtId="0" fontId="0" fillId="51" borderId="105" xfId="0" applyFont="1" applyFill="1" applyBorder="1" applyAlignment="1">
      <alignment horizontal="center"/>
    </xf>
    <xf numFmtId="0" fontId="0" fillId="52" borderId="111" xfId="0" applyFont="1" applyFill="1" applyBorder="1" applyAlignment="1">
      <alignment horizontal="center"/>
    </xf>
    <xf numFmtId="0" fontId="0" fillId="51" borderId="112" xfId="0" applyFont="1" applyFill="1" applyBorder="1" applyAlignment="1">
      <alignment horizontal="center"/>
    </xf>
    <xf numFmtId="0" fontId="0" fillId="52" borderId="105" xfId="0" applyFont="1" applyFill="1" applyBorder="1" applyAlignment="1">
      <alignment horizontal="center"/>
    </xf>
    <xf numFmtId="0" fontId="94" fillId="0" borderId="0" xfId="0" applyFont="1" applyBorder="1" applyAlignment="1">
      <alignment horizontal="center" vertical="center"/>
    </xf>
    <xf numFmtId="0" fontId="24" fillId="0" borderId="0" xfId="0" applyFont="1" applyBorder="1" applyAlignment="1">
      <alignment horizontal="center"/>
    </xf>
    <xf numFmtId="0" fontId="0" fillId="51" borderId="105" xfId="0" applyFill="1" applyBorder="1" applyAlignment="1">
      <alignment horizontal="center"/>
    </xf>
    <xf numFmtId="0" fontId="0" fillId="52" borderId="112" xfId="0" applyFill="1" applyBorder="1" applyAlignment="1">
      <alignment horizontal="center"/>
    </xf>
    <xf numFmtId="0" fontId="94" fillId="0" borderId="0" xfId="0" applyFont="1" applyBorder="1" applyAlignment="1">
      <alignment horizontal="left" vertical="center"/>
    </xf>
    <xf numFmtId="0" fontId="115" fillId="0" borderId="11" xfId="0" applyFont="1" applyBorder="1" applyAlignment="1">
      <alignment vertical="top" wrapText="1"/>
    </xf>
    <xf numFmtId="0" fontId="117" fillId="0" borderId="11" xfId="0" applyFont="1" applyBorder="1" applyAlignment="1">
      <alignment vertical="top" wrapText="1"/>
    </xf>
    <xf numFmtId="0" fontId="32" fillId="0" borderId="11" xfId="0" applyFont="1" applyBorder="1" applyAlignment="1">
      <alignment vertical="top" wrapText="1"/>
    </xf>
    <xf numFmtId="0" fontId="118" fillId="0" borderId="11" xfId="0" applyFont="1" applyBorder="1" applyAlignment="1">
      <alignment vertical="top" wrapText="1"/>
    </xf>
    <xf numFmtId="0" fontId="115" fillId="0" borderId="113" xfId="0" applyFont="1" applyBorder="1" applyAlignment="1">
      <alignment vertical="top" wrapText="1"/>
    </xf>
    <xf numFmtId="0" fontId="115" fillId="0" borderId="114" xfId="0" applyFont="1" applyBorder="1" applyAlignment="1">
      <alignment vertical="top" wrapText="1"/>
    </xf>
    <xf numFmtId="0" fontId="115" fillId="0" borderId="115" xfId="0" applyFont="1" applyBorder="1" applyAlignment="1">
      <alignment vertical="top" wrapText="1"/>
    </xf>
    <xf numFmtId="0" fontId="117" fillId="0" borderId="115" xfId="0" applyFont="1" applyBorder="1" applyAlignment="1">
      <alignment vertical="top" wrapText="1"/>
    </xf>
    <xf numFmtId="0" fontId="118" fillId="0" borderId="115" xfId="0" applyFont="1" applyBorder="1" applyAlignment="1">
      <alignment vertical="top" wrapText="1"/>
    </xf>
    <xf numFmtId="0" fontId="115" fillId="0" borderId="116" xfId="0" applyFont="1" applyBorder="1" applyAlignment="1">
      <alignment vertical="top" wrapText="1"/>
    </xf>
    <xf numFmtId="0" fontId="115" fillId="0" borderId="117" xfId="0" applyFont="1" applyBorder="1" applyAlignment="1">
      <alignment vertical="top" wrapText="1"/>
    </xf>
    <xf numFmtId="0" fontId="117" fillId="0" borderId="117" xfId="0" applyFont="1" applyBorder="1" applyAlignment="1">
      <alignment vertical="top" wrapText="1"/>
    </xf>
    <xf numFmtId="0" fontId="115" fillId="0" borderId="118" xfId="0" applyFont="1" applyBorder="1" applyAlignment="1">
      <alignment vertical="top" wrapText="1"/>
    </xf>
    <xf numFmtId="0" fontId="119" fillId="0" borderId="0" xfId="0" applyFont="1" applyAlignment="1">
      <alignment horizontal="left" indent="1"/>
    </xf>
    <xf numFmtId="14" fontId="64" fillId="0" borderId="0" xfId="0" applyNumberFormat="1" applyFont="1" applyAlignment="1" applyProtection="1">
      <alignment horizontal="left" vertical="top"/>
      <protection locked="0"/>
    </xf>
    <xf numFmtId="192" fontId="108" fillId="0" borderId="0" xfId="218" applyNumberFormat="1"/>
    <xf numFmtId="0" fontId="0" fillId="0" borderId="0" xfId="0" applyAlignment="1">
      <alignment textRotation="90"/>
    </xf>
    <xf numFmtId="0" fontId="0" fillId="0" borderId="119" xfId="0" applyBorder="1"/>
    <xf numFmtId="0" fontId="0" fillId="0" borderId="104" xfId="0" applyBorder="1"/>
    <xf numFmtId="0" fontId="0" fillId="0" borderId="105" xfId="0" applyBorder="1"/>
    <xf numFmtId="0" fontId="0" fillId="0" borderId="106" xfId="0" applyBorder="1"/>
    <xf numFmtId="2" fontId="0" fillId="0" borderId="119" xfId="0" applyNumberFormat="1" applyBorder="1"/>
    <xf numFmtId="2" fontId="0" fillId="0" borderId="0" xfId="0" applyNumberFormat="1" applyBorder="1"/>
    <xf numFmtId="2" fontId="0" fillId="0" borderId="110" xfId="0" applyNumberFormat="1" applyBorder="1"/>
    <xf numFmtId="2" fontId="0" fillId="0" borderId="104" xfId="0" applyNumberFormat="1" applyBorder="1"/>
    <xf numFmtId="2" fontId="0" fillId="0" borderId="105" xfId="0" applyNumberFormat="1" applyBorder="1"/>
    <xf numFmtId="2" fontId="0" fillId="0" borderId="106" xfId="0" applyNumberFormat="1" applyBorder="1"/>
    <xf numFmtId="2" fontId="0" fillId="0" borderId="120" xfId="0" applyNumberFormat="1" applyBorder="1"/>
    <xf numFmtId="2" fontId="0" fillId="0" borderId="121" xfId="0" applyNumberFormat="1" applyBorder="1"/>
    <xf numFmtId="2" fontId="0" fillId="0" borderId="31" xfId="0" applyNumberFormat="1" applyBorder="1" applyAlignment="1">
      <alignment shrinkToFit="1"/>
    </xf>
    <xf numFmtId="0" fontId="0" fillId="49" borderId="25" xfId="0" applyFill="1" applyBorder="1" applyAlignment="1">
      <alignment shrinkToFit="1"/>
    </xf>
    <xf numFmtId="194" fontId="0" fillId="0" borderId="0" xfId="0" applyNumberFormat="1" applyFont="1" applyFill="1" applyBorder="1" applyProtection="1"/>
    <xf numFmtId="43" fontId="7" fillId="0" borderId="0" xfId="217" applyProtection="1"/>
    <xf numFmtId="194" fontId="7" fillId="0" borderId="0" xfId="217" applyNumberFormat="1" applyAlignment="1" applyProtection="1">
      <alignment horizontal="left" vertical="top"/>
      <protection locked="0"/>
    </xf>
    <xf numFmtId="0" fontId="65" fillId="24" borderId="11" xfId="0" applyFont="1" applyFill="1" applyBorder="1" applyAlignment="1">
      <alignment horizontal="left" vertical="top" wrapText="1"/>
    </xf>
    <xf numFmtId="0" fontId="64" fillId="24" borderId="13" xfId="0" applyFont="1" applyFill="1" applyBorder="1" applyAlignment="1">
      <alignment horizontal="left" vertical="top" wrapText="1"/>
    </xf>
    <xf numFmtId="49" fontId="67" fillId="0" borderId="122" xfId="0" applyNumberFormat="1" applyFont="1" applyFill="1" applyBorder="1" applyAlignment="1" applyProtection="1">
      <alignment horizontal="left" vertical="top"/>
      <protection locked="0"/>
    </xf>
    <xf numFmtId="49" fontId="67" fillId="0" borderId="0" xfId="0" applyNumberFormat="1" applyFont="1" applyFill="1" applyBorder="1" applyAlignment="1" applyProtection="1">
      <alignment horizontal="left" vertical="top"/>
      <protection locked="0"/>
    </xf>
    <xf numFmtId="49" fontId="67" fillId="0" borderId="0" xfId="0" applyNumberFormat="1" applyFont="1" applyFill="1" applyBorder="1" applyAlignment="1" applyProtection="1">
      <alignment vertical="top"/>
      <protection locked="0"/>
    </xf>
    <xf numFmtId="49" fontId="64" fillId="0" borderId="122" xfId="0" applyNumberFormat="1" applyFont="1" applyFill="1" applyBorder="1" applyAlignment="1" applyProtection="1">
      <alignment horizontal="left" vertical="top"/>
      <protection locked="0"/>
    </xf>
    <xf numFmtId="0" fontId="64" fillId="0" borderId="0" xfId="0" applyNumberFormat="1" applyFont="1" applyFill="1" applyBorder="1" applyAlignment="1" applyProtection="1">
      <alignment horizontal="left" vertical="top"/>
      <protection locked="0"/>
    </xf>
    <xf numFmtId="0" fontId="64" fillId="0" borderId="26" xfId="0" applyNumberFormat="1" applyFont="1" applyFill="1" applyBorder="1" applyAlignment="1" applyProtection="1">
      <alignment horizontal="left" vertical="top"/>
      <protection locked="0"/>
    </xf>
    <xf numFmtId="0" fontId="64" fillId="0" borderId="27" xfId="0" applyNumberFormat="1" applyFont="1" applyFill="1" applyBorder="1" applyAlignment="1" applyProtection="1">
      <alignment horizontal="left" vertical="top"/>
      <protection locked="0"/>
    </xf>
    <xf numFmtId="0" fontId="64" fillId="0" borderId="0" xfId="0" applyNumberFormat="1" applyFont="1" applyFill="1" applyBorder="1" applyAlignment="1" applyProtection="1">
      <alignment horizontal="left" vertical="top"/>
    </xf>
    <xf numFmtId="0" fontId="64" fillId="0" borderId="0" xfId="0" applyNumberFormat="1" applyFont="1" applyFill="1" applyBorder="1" applyAlignment="1">
      <alignment horizontal="left" vertical="top"/>
    </xf>
    <xf numFmtId="0" fontId="64" fillId="0" borderId="9" xfId="0" applyNumberFormat="1" applyFont="1" applyFill="1" applyBorder="1" applyAlignment="1" applyProtection="1">
      <alignment horizontal="left" vertical="top"/>
      <protection locked="0"/>
    </xf>
    <xf numFmtId="0" fontId="64" fillId="0" borderId="25" xfId="0" applyNumberFormat="1" applyFont="1" applyFill="1" applyBorder="1" applyAlignment="1" applyProtection="1">
      <alignment horizontal="left" vertical="top"/>
      <protection locked="0"/>
    </xf>
    <xf numFmtId="0" fontId="64" fillId="0" borderId="28" xfId="0" applyNumberFormat="1" applyFont="1" applyFill="1" applyBorder="1" applyAlignment="1" applyProtection="1">
      <alignment horizontal="left" vertical="top"/>
      <protection locked="0"/>
    </xf>
    <xf numFmtId="0" fontId="64" fillId="0" borderId="29" xfId="0" applyNumberFormat="1" applyFont="1" applyFill="1" applyBorder="1" applyAlignment="1" applyProtection="1">
      <alignment horizontal="left" vertical="top"/>
      <protection locked="0"/>
    </xf>
    <xf numFmtId="0" fontId="64" fillId="0" borderId="38" xfId="0" applyFont="1" applyBorder="1" applyAlignment="1" applyProtection="1">
      <alignment horizontal="left" vertical="top"/>
      <protection locked="0"/>
    </xf>
    <xf numFmtId="0" fontId="64" fillId="0" borderId="38" xfId="0" applyFont="1" applyBorder="1" applyAlignment="1" applyProtection="1">
      <alignment horizontal="left" vertical="top" wrapText="1"/>
      <protection locked="0"/>
    </xf>
    <xf numFmtId="0" fontId="64" fillId="0" borderId="123" xfId="0" applyFont="1" applyBorder="1" applyAlignment="1" applyProtection="1">
      <alignment horizontal="left" vertical="top"/>
      <protection locked="0"/>
    </xf>
    <xf numFmtId="0" fontId="64" fillId="0" borderId="57" xfId="0" applyFont="1" applyBorder="1" applyAlignment="1" applyProtection="1">
      <alignment horizontal="left" vertical="top"/>
      <protection locked="0"/>
    </xf>
    <xf numFmtId="1" fontId="0" fillId="22" borderId="25" xfId="0" applyNumberFormat="1" applyFill="1" applyBorder="1"/>
    <xf numFmtId="1" fontId="0" fillId="7" borderId="27" xfId="0" applyNumberFormat="1" applyFill="1" applyBorder="1"/>
    <xf numFmtId="1" fontId="0" fillId="7" borderId="25" xfId="0" applyNumberFormat="1" applyFill="1" applyBorder="1"/>
    <xf numFmtId="1" fontId="0" fillId="7" borderId="29" xfId="0" applyNumberFormat="1" applyFill="1" applyBorder="1"/>
    <xf numFmtId="1" fontId="0" fillId="22" borderId="27" xfId="0" applyNumberFormat="1" applyFill="1" applyBorder="1"/>
    <xf numFmtId="1" fontId="0" fillId="22" borderId="29" xfId="0" applyNumberFormat="1" applyFill="1" applyBorder="1"/>
    <xf numFmtId="1" fontId="0" fillId="6" borderId="25" xfId="0" applyNumberFormat="1" applyFill="1" applyBorder="1"/>
    <xf numFmtId="1" fontId="0" fillId="2" borderId="25" xfId="0" applyNumberFormat="1" applyFill="1" applyBorder="1"/>
    <xf numFmtId="1" fontId="0" fillId="6" borderId="27" xfId="0" applyNumberFormat="1" applyFill="1" applyBorder="1"/>
    <xf numFmtId="0" fontId="22" fillId="0" borderId="0" xfId="0" applyFont="1" applyAlignment="1">
      <alignment wrapText="1"/>
    </xf>
    <xf numFmtId="2" fontId="0" fillId="0" borderId="25" xfId="0" applyNumberFormat="1" applyBorder="1"/>
    <xf numFmtId="2" fontId="0" fillId="0" borderId="27" xfId="0" applyNumberFormat="1" applyBorder="1"/>
    <xf numFmtId="2" fontId="0" fillId="7" borderId="9" xfId="0" applyNumberFormat="1" applyFont="1" applyFill="1" applyBorder="1"/>
    <xf numFmtId="2" fontId="0" fillId="0" borderId="0" xfId="0" applyNumberFormat="1" applyFont="1" applyAlignment="1">
      <alignment shrinkToFit="1"/>
    </xf>
    <xf numFmtId="2" fontId="0" fillId="0" borderId="31" xfId="0" applyNumberFormat="1" applyFont="1" applyBorder="1" applyAlignment="1">
      <alignment shrinkToFit="1"/>
    </xf>
    <xf numFmtId="0" fontId="150" fillId="53" borderId="183" xfId="0" applyFont="1" applyFill="1" applyBorder="1" applyAlignment="1">
      <alignment wrapText="1"/>
    </xf>
    <xf numFmtId="0" fontId="150" fillId="53" borderId="184" xfId="0" applyFont="1" applyFill="1" applyBorder="1" applyAlignment="1">
      <alignment wrapText="1"/>
    </xf>
    <xf numFmtId="0" fontId="150" fillId="53" borderId="185" xfId="0" applyFont="1" applyFill="1" applyBorder="1" applyAlignment="1">
      <alignment wrapText="1"/>
    </xf>
    <xf numFmtId="0" fontId="151" fillId="54" borderId="183" xfId="0" applyFont="1" applyFill="1" applyBorder="1" applyAlignment="1">
      <alignment wrapText="1"/>
    </xf>
    <xf numFmtId="0" fontId="151" fillId="54" borderId="184" xfId="0" applyFont="1" applyFill="1" applyBorder="1" applyAlignment="1">
      <alignment wrapText="1"/>
    </xf>
    <xf numFmtId="0" fontId="151" fillId="54" borderId="185" xfId="0" applyFont="1" applyFill="1" applyBorder="1" applyAlignment="1">
      <alignment wrapText="1"/>
    </xf>
    <xf numFmtId="14" fontId="151" fillId="54" borderId="184" xfId="0" applyNumberFormat="1" applyFont="1" applyFill="1" applyBorder="1" applyAlignment="1">
      <alignment wrapText="1"/>
    </xf>
    <xf numFmtId="14" fontId="151" fillId="54" borderId="185" xfId="0" applyNumberFormat="1" applyFont="1" applyFill="1" applyBorder="1" applyAlignment="1">
      <alignment wrapText="1"/>
    </xf>
    <xf numFmtId="196" fontId="151" fillId="54" borderId="184" xfId="0" applyNumberFormat="1" applyFont="1" applyFill="1" applyBorder="1" applyAlignment="1">
      <alignment horizontal="right" wrapText="1"/>
    </xf>
    <xf numFmtId="196" fontId="151" fillId="54" borderId="185" xfId="0" applyNumberFormat="1" applyFont="1" applyFill="1" applyBorder="1" applyAlignment="1">
      <alignment horizontal="right" wrapText="1"/>
    </xf>
    <xf numFmtId="0" fontId="151" fillId="54" borderId="184" xfId="0" applyFont="1" applyFill="1" applyBorder="1" applyAlignment="1">
      <alignment horizontal="right" wrapText="1"/>
    </xf>
    <xf numFmtId="0" fontId="151" fillId="54" borderId="185" xfId="0" applyFont="1" applyFill="1" applyBorder="1" applyAlignment="1">
      <alignment horizontal="right" wrapText="1"/>
    </xf>
    <xf numFmtId="0" fontId="151" fillId="54" borderId="186" xfId="0" applyFont="1" applyFill="1" applyBorder="1" applyAlignment="1">
      <alignment wrapText="1"/>
    </xf>
    <xf numFmtId="0" fontId="151" fillId="54" borderId="187" xfId="0" applyFont="1" applyFill="1" applyBorder="1" applyAlignment="1">
      <alignment wrapText="1"/>
    </xf>
    <xf numFmtId="0" fontId="151" fillId="54" borderId="188" xfId="0" applyFont="1" applyFill="1" applyBorder="1" applyAlignment="1">
      <alignment wrapText="1"/>
    </xf>
    <xf numFmtId="0" fontId="120" fillId="0" borderId="0" xfId="0" applyFont="1" applyAlignment="1" applyProtection="1">
      <alignment horizontal="left" vertical="top" wrapText="1"/>
      <protection locked="0"/>
    </xf>
    <xf numFmtId="0" fontId="120" fillId="0" borderId="0" xfId="0" applyFont="1" applyAlignment="1" applyProtection="1">
      <alignment horizontal="left" vertical="top"/>
      <protection locked="0"/>
    </xf>
    <xf numFmtId="49" fontId="121" fillId="0" borderId="0" xfId="0" applyNumberFormat="1" applyFont="1" applyFill="1" applyBorder="1" applyAlignment="1" applyProtection="1">
      <alignment horizontal="left" vertical="top"/>
      <protection locked="0"/>
    </xf>
    <xf numFmtId="0" fontId="0" fillId="0" borderId="124" xfId="0" applyBorder="1" applyAlignment="1">
      <alignment horizontal="center" vertical="center"/>
    </xf>
    <xf numFmtId="0" fontId="0" fillId="0" borderId="125" xfId="0" applyBorder="1" applyAlignment="1">
      <alignment horizontal="center" vertical="center"/>
    </xf>
    <xf numFmtId="0" fontId="152" fillId="55" borderId="189" xfId="0" applyNumberFormat="1" applyFont="1" applyFill="1" applyBorder="1" applyAlignment="1">
      <alignment horizontal="center" vertical="center" wrapText="1"/>
    </xf>
    <xf numFmtId="0" fontId="109" fillId="55" borderId="189" xfId="267" applyNumberFormat="1" applyFill="1" applyBorder="1" applyAlignment="1" applyProtection="1">
      <alignment horizontal="center" vertical="center" wrapText="1"/>
    </xf>
    <xf numFmtId="0" fontId="64" fillId="0" borderId="0" xfId="0" applyNumberFormat="1" applyFont="1" applyFill="1" applyBorder="1" applyAlignment="1" applyProtection="1">
      <alignment vertical="top"/>
      <protection locked="0"/>
    </xf>
    <xf numFmtId="0" fontId="153" fillId="56" borderId="189" xfId="0" applyNumberFormat="1" applyFont="1" applyFill="1" applyBorder="1" applyAlignment="1">
      <alignment horizontal="right" wrapText="1"/>
    </xf>
    <xf numFmtId="0" fontId="122" fillId="0" borderId="0" xfId="0" applyFont="1" applyAlignment="1" applyProtection="1">
      <alignment horizontal="left" vertical="top"/>
      <protection locked="0"/>
    </xf>
    <xf numFmtId="0" fontId="120" fillId="0" borderId="0" xfId="0" applyFont="1" applyFill="1" applyBorder="1" applyAlignment="1" applyProtection="1">
      <alignment horizontal="left" vertical="top"/>
      <protection locked="0"/>
    </xf>
    <xf numFmtId="0" fontId="122" fillId="0" borderId="0" xfId="0" applyFont="1" applyFill="1" applyBorder="1" applyAlignment="1" applyProtection="1">
      <alignment horizontal="left" vertical="top"/>
      <protection locked="0"/>
    </xf>
    <xf numFmtId="0" fontId="120" fillId="0" borderId="63" xfId="0" applyFont="1" applyBorder="1" applyAlignment="1" applyProtection="1">
      <alignment horizontal="left" vertical="top"/>
      <protection locked="0"/>
    </xf>
    <xf numFmtId="197" fontId="151" fillId="54" borderId="184" xfId="0" applyNumberFormat="1" applyFont="1" applyFill="1" applyBorder="1" applyAlignment="1">
      <alignment wrapText="1"/>
    </xf>
    <xf numFmtId="197" fontId="151" fillId="54" borderId="185" xfId="0" applyNumberFormat="1" applyFont="1" applyFill="1" applyBorder="1" applyAlignment="1">
      <alignment wrapText="1"/>
    </xf>
    <xf numFmtId="198" fontId="151" fillId="54" borderId="184" xfId="0" applyNumberFormat="1" applyFont="1" applyFill="1" applyBorder="1" applyAlignment="1">
      <alignment wrapText="1"/>
    </xf>
    <xf numFmtId="198" fontId="151" fillId="54" borderId="185" xfId="0" applyNumberFormat="1" applyFont="1" applyFill="1" applyBorder="1" applyAlignment="1">
      <alignment wrapText="1"/>
    </xf>
    <xf numFmtId="0" fontId="154" fillId="57" borderId="183" xfId="0" applyFont="1" applyFill="1" applyBorder="1" applyAlignment="1">
      <alignment wrapText="1"/>
    </xf>
    <xf numFmtId="0" fontId="151" fillId="57" borderId="183" xfId="0" applyFont="1" applyFill="1" applyBorder="1" applyAlignment="1">
      <alignment wrapText="1"/>
    </xf>
    <xf numFmtId="0" fontId="151" fillId="57" borderId="186" xfId="0" applyFont="1" applyFill="1" applyBorder="1" applyAlignment="1">
      <alignment wrapText="1"/>
    </xf>
    <xf numFmtId="0" fontId="0" fillId="0" borderId="123" xfId="0" applyFont="1" applyBorder="1" applyAlignment="1">
      <alignment horizontal="justify"/>
    </xf>
    <xf numFmtId="0" fontId="0" fillId="0" borderId="126" xfId="0" applyFont="1" applyBorder="1" applyAlignment="1">
      <alignment horizontal="justify"/>
    </xf>
    <xf numFmtId="0" fontId="0" fillId="0" borderId="126" xfId="0" applyFont="1" applyBorder="1" applyAlignment="1">
      <alignment horizontal="justify" wrapText="1"/>
    </xf>
    <xf numFmtId="0" fontId="0" fillId="0" borderId="29" xfId="0" applyFont="1" applyBorder="1" applyAlignment="1">
      <alignment horizontal="justify"/>
    </xf>
    <xf numFmtId="0" fontId="0" fillId="0" borderId="64" xfId="0" applyFont="1" applyBorder="1" applyAlignment="1">
      <alignment horizontal="justify" wrapText="1"/>
    </xf>
    <xf numFmtId="0" fontId="0" fillId="0" borderId="64" xfId="0" applyFont="1" applyBorder="1" applyAlignment="1">
      <alignment horizontal="justify"/>
    </xf>
    <xf numFmtId="0" fontId="0" fillId="0" borderId="28" xfId="0" applyFont="1" applyBorder="1" applyAlignment="1">
      <alignment horizontal="justify"/>
    </xf>
    <xf numFmtId="0" fontId="0" fillId="0" borderId="27" xfId="0" applyFont="1" applyBorder="1" applyAlignment="1">
      <alignment horizontal="justify"/>
    </xf>
    <xf numFmtId="0" fontId="0" fillId="0" borderId="59" xfId="0" applyFont="1" applyBorder="1" applyAlignment="1">
      <alignment horizontal="justify"/>
    </xf>
    <xf numFmtId="0" fontId="0" fillId="0" borderId="26" xfId="0" applyFont="1" applyBorder="1" applyAlignment="1">
      <alignment horizontal="justify"/>
    </xf>
    <xf numFmtId="0" fontId="0" fillId="0" borderId="126" xfId="0" applyBorder="1" applyAlignment="1">
      <alignment horizontal="justify" wrapText="1"/>
    </xf>
    <xf numFmtId="0" fontId="70" fillId="7" borderId="58" xfId="0" applyFont="1" applyFill="1" applyBorder="1" applyAlignment="1" applyProtection="1">
      <alignment horizontal="left" vertical="top"/>
      <protection locked="0"/>
    </xf>
    <xf numFmtId="2" fontId="64" fillId="0" borderId="0" xfId="0" applyNumberFormat="1" applyFont="1" applyFill="1" applyBorder="1" applyAlignment="1" applyProtection="1">
      <alignment horizontal="left" vertical="top"/>
      <protection locked="0"/>
    </xf>
    <xf numFmtId="200" fontId="64" fillId="0" borderId="0" xfId="0" applyNumberFormat="1" applyFont="1" applyFill="1" applyBorder="1" applyAlignment="1" applyProtection="1">
      <alignment horizontal="left" vertical="top"/>
      <protection locked="0"/>
    </xf>
    <xf numFmtId="1" fontId="0" fillId="0" borderId="0" xfId="0" applyNumberFormat="1" applyProtection="1"/>
    <xf numFmtId="0" fontId="155" fillId="0" borderId="190" xfId="0" applyFont="1" applyFill="1" applyBorder="1" applyAlignment="1">
      <alignment vertical="top"/>
    </xf>
    <xf numFmtId="0" fontId="155" fillId="0" borderId="191" xfId="0" applyFont="1" applyFill="1" applyBorder="1" applyAlignment="1">
      <alignment vertical="top"/>
    </xf>
    <xf numFmtId="49" fontId="67" fillId="0" borderId="192" xfId="0" applyNumberFormat="1" applyFont="1" applyFill="1" applyBorder="1" applyAlignment="1" applyProtection="1">
      <alignment horizontal="left" vertical="top"/>
      <protection locked="0"/>
    </xf>
    <xf numFmtId="0" fontId="120" fillId="0" borderId="0" xfId="0" applyFont="1" applyBorder="1" applyAlignment="1" applyProtection="1">
      <alignment horizontal="left" vertical="top"/>
      <protection locked="0"/>
    </xf>
    <xf numFmtId="14" fontId="120" fillId="0" borderId="0" xfId="0" applyNumberFormat="1" applyFont="1" applyBorder="1" applyAlignment="1" applyProtection="1">
      <alignment horizontal="left" vertical="top"/>
      <protection locked="0"/>
    </xf>
    <xf numFmtId="194" fontId="7" fillId="0" borderId="0" xfId="217" applyNumberFormat="1" applyBorder="1" applyAlignment="1" applyProtection="1">
      <alignment horizontal="left" vertical="top"/>
      <protection locked="0"/>
    </xf>
    <xf numFmtId="0" fontId="37" fillId="0" borderId="34" xfId="0" quotePrefix="1" applyFont="1" applyFill="1" applyBorder="1" applyAlignment="1">
      <alignment horizontal="right" vertical="center"/>
    </xf>
    <xf numFmtId="0" fontId="37" fillId="0" borderId="34" xfId="0" applyFont="1" applyFill="1" applyBorder="1" applyAlignment="1">
      <alignment horizontal="right" vertical="center"/>
    </xf>
    <xf numFmtId="0" fontId="37" fillId="58" borderId="21" xfId="0" applyFont="1" applyFill="1" applyBorder="1" applyAlignment="1">
      <alignment horizontal="left" vertical="center"/>
    </xf>
    <xf numFmtId="0" fontId="37" fillId="59" borderId="21" xfId="0" applyFont="1" applyFill="1" applyBorder="1" applyAlignment="1">
      <alignment horizontal="left" vertical="center"/>
    </xf>
    <xf numFmtId="0" fontId="37" fillId="60" borderId="21" xfId="0" applyFont="1" applyFill="1" applyBorder="1" applyAlignment="1">
      <alignment horizontal="left" vertical="center"/>
    </xf>
    <xf numFmtId="0" fontId="0" fillId="61" borderId="0" xfId="0" applyFill="1" applyAlignment="1">
      <alignment shrinkToFit="1"/>
    </xf>
    <xf numFmtId="182" fontId="0" fillId="0" borderId="0" xfId="0" applyNumberFormat="1" applyAlignment="1">
      <alignment shrinkToFit="1"/>
    </xf>
    <xf numFmtId="0" fontId="123" fillId="0" borderId="64" xfId="0" applyFont="1" applyBorder="1" applyAlignment="1" applyProtection="1">
      <alignment horizontal="justify"/>
      <protection locked="0"/>
    </xf>
    <xf numFmtId="0" fontId="123" fillId="0" borderId="58" xfId="0" applyFont="1" applyBorder="1" applyAlignment="1">
      <alignment horizontal="justify" wrapText="1"/>
    </xf>
    <xf numFmtId="0" fontId="123" fillId="0" borderId="64" xfId="0" applyFont="1" applyBorder="1" applyAlignment="1">
      <alignment horizontal="justify" wrapText="1"/>
    </xf>
    <xf numFmtId="0" fontId="123" fillId="0" borderId="59" xfId="0" applyFont="1" applyBorder="1" applyAlignment="1">
      <alignment horizontal="justify" wrapText="1"/>
    </xf>
    <xf numFmtId="14" fontId="73" fillId="0" borderId="0" xfId="0" applyNumberFormat="1" applyFont="1" applyAlignment="1" applyProtection="1">
      <alignment horizontal="left" vertical="top"/>
      <protection locked="0"/>
    </xf>
    <xf numFmtId="194" fontId="37" fillId="0" borderId="0" xfId="217" applyNumberFormat="1" applyFont="1" applyAlignment="1" applyProtection="1">
      <alignment horizontal="left" vertical="top"/>
      <protection locked="0"/>
    </xf>
    <xf numFmtId="0" fontId="156" fillId="54" borderId="193" xfId="0" applyFont="1" applyFill="1" applyBorder="1" applyAlignment="1">
      <alignment vertical="top" wrapText="1"/>
    </xf>
    <xf numFmtId="0" fontId="156" fillId="54" borderId="194" xfId="0" applyFont="1" applyFill="1" applyBorder="1" applyAlignment="1">
      <alignment vertical="top" wrapText="1"/>
    </xf>
    <xf numFmtId="0" fontId="157" fillId="54" borderId="194" xfId="0" applyFont="1" applyFill="1" applyBorder="1" applyAlignment="1">
      <alignment vertical="top" wrapText="1"/>
    </xf>
    <xf numFmtId="0" fontId="53" fillId="0" borderId="0" xfId="0" applyFont="1" applyAlignment="1">
      <alignment wrapText="1"/>
    </xf>
    <xf numFmtId="0" fontId="156" fillId="54" borderId="195" xfId="0" applyFont="1" applyFill="1" applyBorder="1" applyAlignment="1">
      <alignment vertical="top" wrapText="1"/>
    </xf>
    <xf numFmtId="0" fontId="156" fillId="54" borderId="196" xfId="0" applyFont="1" applyFill="1" applyBorder="1" applyAlignment="1">
      <alignment vertical="top" wrapText="1"/>
    </xf>
    <xf numFmtId="0" fontId="156" fillId="54" borderId="196" xfId="0" quotePrefix="1" applyFont="1" applyFill="1" applyBorder="1" applyAlignment="1">
      <alignment vertical="top" wrapText="1"/>
    </xf>
    <xf numFmtId="2" fontId="22" fillId="0" borderId="0" xfId="0" applyNumberFormat="1" applyFont="1"/>
    <xf numFmtId="2" fontId="0" fillId="0" borderId="11" xfId="0" applyNumberFormat="1" applyFont="1" applyBorder="1" applyProtection="1"/>
    <xf numFmtId="14" fontId="0" fillId="0" borderId="0" xfId="0" applyNumberFormat="1" applyProtection="1">
      <protection locked="0"/>
    </xf>
    <xf numFmtId="0" fontId="23" fillId="0" borderId="0" xfId="0" applyFont="1" applyProtection="1"/>
    <xf numFmtId="164" fontId="23" fillId="0" borderId="0" xfId="0" applyNumberFormat="1" applyFont="1" applyAlignment="1" applyProtection="1">
      <alignment horizontal="center"/>
    </xf>
    <xf numFmtId="165" fontId="26" fillId="0" borderId="16" xfId="0" applyNumberFormat="1" applyFont="1" applyBorder="1" applyAlignment="1" applyProtection="1">
      <alignment horizontal="center"/>
    </xf>
    <xf numFmtId="164" fontId="0" fillId="0" borderId="16" xfId="0" applyNumberFormat="1" applyBorder="1" applyAlignment="1" applyProtection="1">
      <alignment horizontal="center"/>
    </xf>
    <xf numFmtId="0" fontId="22" fillId="24" borderId="11" xfId="0" applyNumberFormat="1" applyFont="1" applyFill="1" applyBorder="1" applyProtection="1"/>
    <xf numFmtId="2" fontId="22" fillId="24" borderId="11" xfId="0" applyNumberFormat="1" applyFont="1" applyFill="1" applyBorder="1" applyProtection="1"/>
    <xf numFmtId="0" fontId="0" fillId="24" borderId="11" xfId="0" applyFill="1" applyBorder="1" applyAlignment="1" applyProtection="1">
      <alignment shrinkToFit="1"/>
    </xf>
    <xf numFmtId="0" fontId="0" fillId="0" borderId="11" xfId="0" applyFill="1" applyBorder="1" applyAlignment="1" applyProtection="1">
      <alignment shrinkToFit="1"/>
    </xf>
    <xf numFmtId="0" fontId="0" fillId="0" borderId="0" xfId="0" applyFont="1" applyProtection="1"/>
    <xf numFmtId="0" fontId="27" fillId="0" borderId="11" xfId="0" applyFont="1" applyFill="1" applyBorder="1" applyAlignment="1" applyProtection="1">
      <alignment shrinkToFit="1"/>
    </xf>
    <xf numFmtId="0" fontId="0" fillId="0" borderId="11" xfId="0" applyBorder="1" applyAlignment="1" applyProtection="1">
      <alignment shrinkToFit="1"/>
    </xf>
    <xf numFmtId="0" fontId="27" fillId="0" borderId="11" xfId="0" applyFont="1" applyBorder="1" applyAlignment="1" applyProtection="1">
      <alignment shrinkToFit="1"/>
    </xf>
    <xf numFmtId="167" fontId="0" fillId="0" borderId="0" xfId="0" applyNumberFormat="1" applyProtection="1"/>
    <xf numFmtId="170" fontId="0" fillId="0" borderId="0" xfId="0" applyNumberFormat="1" applyProtection="1"/>
    <xf numFmtId="172" fontId="0" fillId="0" borderId="0" xfId="0" applyNumberFormat="1" applyProtection="1"/>
    <xf numFmtId="0" fontId="0" fillId="0" borderId="11" xfId="0" applyNumberFormat="1" applyFont="1" applyBorder="1" applyAlignment="1" applyProtection="1"/>
    <xf numFmtId="0" fontId="0" fillId="0" borderId="0" xfId="0" applyFill="1" applyBorder="1" applyAlignment="1" applyProtection="1">
      <alignment shrinkToFit="1"/>
    </xf>
    <xf numFmtId="20" fontId="0" fillId="0" borderId="0" xfId="0" applyNumberFormat="1" applyBorder="1" applyAlignment="1" applyProtection="1"/>
    <xf numFmtId="0" fontId="27" fillId="7" borderId="11" xfId="0" applyFont="1" applyFill="1" applyBorder="1" applyAlignment="1" applyProtection="1">
      <alignment wrapText="1"/>
    </xf>
    <xf numFmtId="0" fontId="27" fillId="7" borderId="127" xfId="0" applyFont="1" applyFill="1" applyBorder="1" applyAlignment="1" applyProtection="1">
      <alignment wrapText="1"/>
    </xf>
    <xf numFmtId="0" fontId="27" fillId="0" borderId="0" xfId="0" applyFont="1" applyFill="1" applyBorder="1" applyAlignment="1" applyProtection="1">
      <alignment wrapText="1"/>
    </xf>
    <xf numFmtId="0" fontId="0" fillId="0" borderId="11" xfId="0" applyFont="1" applyFill="1" applyBorder="1" applyAlignment="1" applyProtection="1">
      <alignment wrapText="1"/>
    </xf>
    <xf numFmtId="2" fontId="0" fillId="0" borderId="11" xfId="0" applyNumberFormat="1" applyFill="1" applyBorder="1" applyAlignment="1" applyProtection="1">
      <alignment wrapText="1"/>
    </xf>
    <xf numFmtId="0" fontId="0" fillId="0" borderId="128" xfId="0" applyFill="1" applyBorder="1" applyAlignment="1" applyProtection="1"/>
    <xf numFmtId="1" fontId="0" fillId="0" borderId="128" xfId="0" applyNumberFormat="1" applyFill="1" applyBorder="1" applyAlignment="1" applyProtection="1">
      <alignment wrapText="1"/>
    </xf>
    <xf numFmtId="1" fontId="0" fillId="0" borderId="11" xfId="0" applyNumberFormat="1" applyFill="1" applyBorder="1" applyAlignment="1" applyProtection="1">
      <alignment wrapText="1"/>
    </xf>
    <xf numFmtId="0" fontId="0" fillId="0" borderId="11" xfId="0" applyFill="1" applyBorder="1" applyAlignment="1" applyProtection="1"/>
    <xf numFmtId="0" fontId="0" fillId="0" borderId="0" xfId="0" applyFill="1" applyBorder="1" applyAlignment="1" applyProtection="1">
      <alignment wrapText="1"/>
    </xf>
    <xf numFmtId="2" fontId="0" fillId="0" borderId="11" xfId="0" applyNumberFormat="1" applyFill="1" applyBorder="1" applyAlignment="1" applyProtection="1"/>
    <xf numFmtId="0" fontId="0" fillId="0" borderId="129" xfId="0" applyFill="1" applyBorder="1" applyAlignment="1" applyProtection="1"/>
    <xf numFmtId="1" fontId="0" fillId="0" borderId="129" xfId="0" applyNumberFormat="1" applyFill="1" applyBorder="1" applyAlignment="1" applyProtection="1">
      <alignment wrapText="1"/>
    </xf>
    <xf numFmtId="0" fontId="0" fillId="0" borderId="0" xfId="0" applyAlignment="1" applyProtection="1">
      <alignment wrapText="1"/>
    </xf>
    <xf numFmtId="0" fontId="54" fillId="11" borderId="11" xfId="0" applyFont="1" applyFill="1" applyBorder="1" applyAlignment="1" applyProtection="1">
      <alignment horizontal="center" wrapText="1"/>
    </xf>
    <xf numFmtId="0" fontId="54" fillId="0" borderId="0" xfId="0" applyFont="1" applyAlignment="1" applyProtection="1">
      <alignment horizontal="center" wrapText="1"/>
    </xf>
    <xf numFmtId="0" fontId="54" fillId="0" borderId="0" xfId="0" applyFont="1" applyAlignment="1" applyProtection="1">
      <alignment horizontal="left" wrapText="1"/>
    </xf>
    <xf numFmtId="0" fontId="0" fillId="49" borderId="125" xfId="0" applyFill="1" applyBorder="1" applyAlignment="1" applyProtection="1">
      <alignment horizontal="center" vertical="center" wrapText="1"/>
    </xf>
    <xf numFmtId="0" fontId="0" fillId="49" borderId="0" xfId="0" applyFill="1" applyBorder="1" applyAlignment="1" applyProtection="1">
      <alignment horizontal="center" vertical="center" wrapText="1"/>
    </xf>
    <xf numFmtId="0" fontId="0" fillId="49" borderId="130" xfId="0" applyFill="1" applyBorder="1" applyAlignment="1" applyProtection="1">
      <alignment horizontal="center" vertical="center" wrapText="1"/>
    </xf>
    <xf numFmtId="0" fontId="0" fillId="49" borderId="124" xfId="0" applyFill="1" applyBorder="1" applyAlignment="1" applyProtection="1">
      <alignment horizontal="center" vertical="center" wrapText="1"/>
    </xf>
    <xf numFmtId="0" fontId="54" fillId="11" borderId="38" xfId="0" applyFont="1" applyFill="1" applyBorder="1" applyAlignment="1" applyProtection="1">
      <alignment horizontal="center" wrapText="1"/>
    </xf>
    <xf numFmtId="0" fontId="0" fillId="49" borderId="131" xfId="0" applyFill="1" applyBorder="1" applyAlignment="1" applyProtection="1">
      <alignment horizontal="center" vertical="center" wrapText="1"/>
    </xf>
    <xf numFmtId="0" fontId="0" fillId="0" borderId="132" xfId="0" applyBorder="1" applyAlignment="1" applyProtection="1">
      <alignment horizontal="center" vertical="center" wrapText="1"/>
    </xf>
    <xf numFmtId="0" fontId="54" fillId="11" borderId="53" xfId="0" applyFont="1" applyFill="1" applyBorder="1" applyAlignment="1" applyProtection="1">
      <alignment horizontal="center" wrapText="1"/>
    </xf>
    <xf numFmtId="2" fontId="0" fillId="0" borderId="11" xfId="0" applyNumberFormat="1" applyFont="1" applyBorder="1" applyProtection="1">
      <protection locked="0"/>
    </xf>
    <xf numFmtId="186" fontId="0" fillId="0" borderId="133" xfId="0" applyNumberFormat="1" applyFill="1" applyBorder="1" applyProtection="1"/>
    <xf numFmtId="0" fontId="22" fillId="61" borderId="0" xfId="0" applyFont="1" applyFill="1" applyAlignment="1">
      <alignment shrinkToFit="1"/>
    </xf>
    <xf numFmtId="14" fontId="22" fillId="0" borderId="0" xfId="0" applyNumberFormat="1" applyFont="1" applyAlignment="1">
      <alignment wrapText="1" shrinkToFit="1"/>
    </xf>
    <xf numFmtId="0" fontId="158" fillId="0" borderId="121" xfId="0" applyFont="1" applyBorder="1" applyAlignment="1">
      <alignment horizontal="center" wrapText="1"/>
    </xf>
    <xf numFmtId="0" fontId="158" fillId="0" borderId="134" xfId="0" applyFont="1" applyBorder="1" applyAlignment="1">
      <alignment horizontal="center" wrapText="1"/>
    </xf>
    <xf numFmtId="0" fontId="158" fillId="0" borderId="23" xfId="0" applyFont="1" applyBorder="1" applyAlignment="1">
      <alignment horizontal="center" wrapText="1"/>
    </xf>
    <xf numFmtId="0" fontId="158" fillId="0" borderId="65" xfId="0" applyFont="1" applyBorder="1" applyAlignment="1">
      <alignment horizontal="center" wrapText="1"/>
    </xf>
    <xf numFmtId="0" fontId="158" fillId="0" borderId="24" xfId="0" applyFont="1" applyBorder="1" applyAlignment="1">
      <alignment horizontal="center" wrapText="1"/>
    </xf>
    <xf numFmtId="0" fontId="159" fillId="0" borderId="24" xfId="0" applyFont="1" applyBorder="1" applyAlignment="1">
      <alignment horizontal="center" wrapText="1"/>
    </xf>
    <xf numFmtId="0" fontId="158" fillId="0" borderId="23" xfId="0" applyFont="1" applyBorder="1" applyAlignment="1">
      <alignment wrapText="1"/>
    </xf>
    <xf numFmtId="0" fontId="158" fillId="0" borderId="135" xfId="0" applyFont="1" applyBorder="1" applyAlignment="1">
      <alignment horizontal="center" wrapText="1"/>
    </xf>
    <xf numFmtId="0" fontId="158" fillId="0" borderId="33" xfId="0" applyFont="1" applyBorder="1" applyAlignment="1">
      <alignment horizontal="center" wrapText="1"/>
    </xf>
    <xf numFmtId="0" fontId="159" fillId="0" borderId="33" xfId="0" applyFont="1" applyBorder="1" applyAlignment="1">
      <alignment horizontal="center" wrapText="1"/>
    </xf>
    <xf numFmtId="0" fontId="158" fillId="0" borderId="0" xfId="0" applyFont="1" applyBorder="1" applyAlignment="1">
      <alignment wrapText="1"/>
    </xf>
    <xf numFmtId="0" fontId="125" fillId="0" borderId="0" xfId="0" applyFont="1" applyAlignment="1" applyProtection="1">
      <alignment horizontal="center" vertical="center"/>
      <protection locked="0"/>
    </xf>
    <xf numFmtId="0" fontId="125" fillId="0" borderId="0" xfId="0" applyFont="1" applyFill="1" applyBorder="1" applyAlignment="1" applyProtection="1">
      <alignment horizontal="center" vertical="center"/>
      <protection locked="0"/>
    </xf>
    <xf numFmtId="0" fontId="86" fillId="0" borderId="0" xfId="0" applyFont="1" applyAlignment="1">
      <alignment horizontal="center" vertical="center"/>
    </xf>
    <xf numFmtId="0" fontId="98" fillId="0" borderId="0" xfId="0" applyFont="1" applyAlignment="1" applyProtection="1">
      <alignment horizontal="left" vertical="top"/>
      <protection locked="0"/>
    </xf>
    <xf numFmtId="0" fontId="126" fillId="0" borderId="0" xfId="0" applyFont="1" applyAlignment="1" applyProtection="1">
      <alignment horizontal="left" vertical="top"/>
      <protection locked="0"/>
    </xf>
    <xf numFmtId="0" fontId="127" fillId="62" borderId="197" xfId="0" applyFont="1" applyFill="1" applyBorder="1" applyAlignment="1">
      <alignment horizontal="center" wrapText="1"/>
    </xf>
    <xf numFmtId="0" fontId="127" fillId="63" borderId="197" xfId="0" applyFont="1" applyFill="1" applyBorder="1" applyAlignment="1">
      <alignment horizontal="center" wrapText="1"/>
    </xf>
    <xf numFmtId="0" fontId="127" fillId="0" borderId="197" xfId="0" applyFont="1" applyBorder="1" applyAlignment="1">
      <alignment horizontal="center" wrapText="1"/>
    </xf>
    <xf numFmtId="0" fontId="160" fillId="62" borderId="197" xfId="0" applyFont="1" applyFill="1" applyBorder="1" applyAlignment="1">
      <alignment horizontal="center" wrapText="1"/>
    </xf>
    <xf numFmtId="0" fontId="160" fillId="0" borderId="197" xfId="0" applyFont="1" applyBorder="1" applyAlignment="1">
      <alignment horizontal="center" wrapText="1"/>
    </xf>
    <xf numFmtId="0" fontId="160" fillId="63" borderId="197" xfId="0" applyFont="1" applyFill="1" applyBorder="1" applyAlignment="1">
      <alignment horizontal="center" wrapText="1"/>
    </xf>
    <xf numFmtId="0" fontId="161" fillId="64" borderId="198" xfId="0" applyFont="1" applyFill="1" applyBorder="1" applyAlignment="1">
      <alignment horizontal="center" vertical="center"/>
    </xf>
    <xf numFmtId="20" fontId="161" fillId="64" borderId="198" xfId="0" applyNumberFormat="1" applyFont="1" applyFill="1" applyBorder="1" applyAlignment="1">
      <alignment horizontal="center" vertical="center"/>
    </xf>
    <xf numFmtId="0" fontId="161" fillId="64" borderId="199" xfId="0" applyFont="1" applyFill="1" applyBorder="1" applyAlignment="1">
      <alignment horizontal="center" vertical="center"/>
    </xf>
    <xf numFmtId="0" fontId="161" fillId="64" borderId="200" xfId="0" applyFont="1" applyFill="1" applyBorder="1" applyAlignment="1">
      <alignment horizontal="center" vertical="center"/>
    </xf>
    <xf numFmtId="0" fontId="162" fillId="65" borderId="200" xfId="0" applyFont="1" applyFill="1" applyBorder="1" applyAlignment="1">
      <alignment horizontal="center" vertical="center"/>
    </xf>
    <xf numFmtId="0" fontId="163" fillId="65" borderId="200" xfId="0" applyFont="1" applyFill="1" applyBorder="1" applyAlignment="1">
      <alignment horizontal="center" vertical="center"/>
    </xf>
    <xf numFmtId="0" fontId="164" fillId="65" borderId="201" xfId="0" applyNumberFormat="1" applyFont="1" applyFill="1" applyBorder="1" applyAlignment="1">
      <alignment horizontal="center" vertical="center"/>
    </xf>
    <xf numFmtId="0" fontId="162" fillId="66" borderId="200" xfId="0" applyFont="1" applyFill="1" applyBorder="1" applyAlignment="1">
      <alignment horizontal="center" vertical="center"/>
    </xf>
    <xf numFmtId="0" fontId="163" fillId="66" borderId="200" xfId="0" applyFont="1" applyFill="1" applyBorder="1" applyAlignment="1">
      <alignment horizontal="center" vertical="center"/>
    </xf>
    <xf numFmtId="0" fontId="164" fillId="66" borderId="200" xfId="0" applyNumberFormat="1" applyFont="1" applyFill="1" applyBorder="1" applyAlignment="1">
      <alignment horizontal="center" vertical="center"/>
    </xf>
    <xf numFmtId="0" fontId="162" fillId="66" borderId="201" xfId="0" applyFont="1" applyFill="1" applyBorder="1" applyAlignment="1">
      <alignment horizontal="center" vertical="center"/>
    </xf>
    <xf numFmtId="0" fontId="164" fillId="65" borderId="200" xfId="0" applyNumberFormat="1" applyFont="1" applyFill="1" applyBorder="1" applyAlignment="1">
      <alignment horizontal="center" vertical="center"/>
    </xf>
    <xf numFmtId="0" fontId="162" fillId="65" borderId="201" xfId="0" applyFont="1" applyFill="1" applyBorder="1" applyAlignment="1">
      <alignment horizontal="center" vertical="center"/>
    </xf>
    <xf numFmtId="0" fontId="162" fillId="66" borderId="201" xfId="0" applyFont="1" applyFill="1" applyBorder="1" applyAlignment="1">
      <alignment horizontal="center" vertical="center" wrapText="1"/>
    </xf>
    <xf numFmtId="0" fontId="164" fillId="66" borderId="201" xfId="0" applyNumberFormat="1" applyFont="1" applyFill="1" applyBorder="1" applyAlignment="1">
      <alignment horizontal="center" vertical="center"/>
    </xf>
    <xf numFmtId="0" fontId="161" fillId="64" borderId="202" xfId="0" applyFont="1" applyFill="1" applyBorder="1" applyAlignment="1">
      <alignment horizontal="center" vertical="center"/>
    </xf>
    <xf numFmtId="0" fontId="162" fillId="66" borderId="202" xfId="0" applyFont="1" applyFill="1" applyBorder="1" applyAlignment="1">
      <alignment horizontal="center" vertical="center"/>
    </xf>
    <xf numFmtId="0" fontId="163" fillId="66" borderId="202" xfId="0" applyFont="1" applyFill="1" applyBorder="1" applyAlignment="1">
      <alignment horizontal="center" vertical="center"/>
    </xf>
    <xf numFmtId="0" fontId="164" fillId="66" borderId="202" xfId="0" applyNumberFormat="1" applyFont="1" applyFill="1" applyBorder="1" applyAlignment="1">
      <alignment horizontal="center" vertical="center"/>
    </xf>
    <xf numFmtId="0" fontId="162" fillId="66" borderId="0" xfId="0" applyFont="1" applyFill="1" applyAlignment="1">
      <alignment horizontal="center" vertical="center"/>
    </xf>
    <xf numFmtId="0" fontId="31" fillId="0" borderId="0" xfId="0" applyFont="1" applyAlignment="1">
      <alignment horizontal="center" vertical="center"/>
    </xf>
    <xf numFmtId="0" fontId="64" fillId="0" borderId="63" xfId="0" applyFont="1" applyBorder="1" applyAlignment="1" applyProtection="1">
      <alignment horizontal="left" vertical="top"/>
      <protection locked="0"/>
    </xf>
    <xf numFmtId="0" fontId="67" fillId="13" borderId="123" xfId="0" applyFont="1" applyFill="1" applyBorder="1" applyAlignment="1" applyProtection="1">
      <alignment horizontal="left" vertical="top"/>
      <protection locked="0"/>
    </xf>
    <xf numFmtId="0" fontId="64" fillId="7" borderId="123" xfId="0" applyFont="1" applyFill="1" applyBorder="1" applyAlignment="1" applyProtection="1">
      <alignment horizontal="left" vertical="top"/>
      <protection locked="0"/>
    </xf>
    <xf numFmtId="0" fontId="64" fillId="0" borderId="123" xfId="0" applyFont="1" applyFill="1" applyBorder="1" applyAlignment="1" applyProtection="1">
      <alignment horizontal="left" vertical="top"/>
      <protection locked="0"/>
    </xf>
    <xf numFmtId="0" fontId="67" fillId="13" borderId="0" xfId="0" applyFont="1" applyFill="1" applyBorder="1" applyAlignment="1" applyProtection="1">
      <alignment horizontal="left" vertical="top"/>
      <protection locked="0"/>
    </xf>
    <xf numFmtId="0" fontId="64" fillId="7" borderId="0" xfId="0" applyFont="1" applyFill="1" applyBorder="1" applyAlignment="1" applyProtection="1">
      <alignment horizontal="left" vertical="top"/>
      <protection locked="0"/>
    </xf>
    <xf numFmtId="0" fontId="70" fillId="7" borderId="0" xfId="0" applyFont="1" applyFill="1" applyBorder="1" applyAlignment="1" applyProtection="1">
      <alignment horizontal="left" vertical="top"/>
      <protection locked="0"/>
    </xf>
    <xf numFmtId="0" fontId="153" fillId="67" borderId="189" xfId="0" applyNumberFormat="1" applyFont="1" applyFill="1" applyBorder="1" applyAlignment="1">
      <alignment wrapText="1"/>
    </xf>
    <xf numFmtId="0" fontId="153" fillId="60" borderId="189" xfId="0" applyNumberFormat="1" applyFont="1" applyFill="1" applyBorder="1" applyAlignment="1">
      <alignment wrapText="1"/>
    </xf>
    <xf numFmtId="0" fontId="152" fillId="60" borderId="189" xfId="0" applyNumberFormat="1" applyFont="1" applyFill="1" applyBorder="1" applyAlignment="1">
      <alignment wrapText="1"/>
    </xf>
    <xf numFmtId="0" fontId="153" fillId="68" borderId="189" xfId="0" applyNumberFormat="1" applyFont="1" applyFill="1" applyBorder="1" applyAlignment="1">
      <alignment wrapText="1"/>
    </xf>
    <xf numFmtId="0" fontId="153" fillId="67" borderId="189" xfId="0" applyNumberFormat="1" applyFont="1" applyFill="1" applyBorder="1" applyAlignment="1">
      <alignment vertical="top"/>
    </xf>
    <xf numFmtId="0" fontId="64" fillId="59" borderId="0" xfId="0" applyNumberFormat="1" applyFont="1" applyFill="1" applyAlignment="1" applyProtection="1">
      <alignment horizontal="left" vertical="top"/>
      <protection locked="0"/>
    </xf>
    <xf numFmtId="0" fontId="64" fillId="61" borderId="0" xfId="0" applyNumberFormat="1" applyFont="1" applyFill="1" applyAlignment="1" applyProtection="1">
      <alignment horizontal="left" vertical="top"/>
      <protection locked="0"/>
    </xf>
    <xf numFmtId="0" fontId="64" fillId="69" borderId="0" xfId="0" applyNumberFormat="1" applyFont="1" applyFill="1" applyAlignment="1" applyProtection="1">
      <alignment horizontal="left" vertical="top"/>
      <protection locked="0"/>
    </xf>
    <xf numFmtId="0" fontId="153" fillId="67" borderId="189" xfId="0" applyNumberFormat="1" applyFont="1" applyFill="1" applyBorder="1" applyAlignment="1">
      <alignment horizontal="left" vertical="top" wrapText="1"/>
    </xf>
    <xf numFmtId="0" fontId="153" fillId="60" borderId="189" xfId="0" applyNumberFormat="1" applyFont="1" applyFill="1" applyBorder="1" applyAlignment="1">
      <alignment vertical="top" wrapText="1"/>
    </xf>
    <xf numFmtId="0" fontId="153" fillId="68" borderId="189" xfId="0" applyNumberFormat="1" applyFont="1" applyFill="1" applyBorder="1" applyAlignment="1">
      <alignment vertical="top" wrapText="1"/>
    </xf>
    <xf numFmtId="0" fontId="128" fillId="0" borderId="63" xfId="0" applyFont="1" applyBorder="1" applyAlignment="1" applyProtection="1">
      <alignment horizontal="left" vertical="top" wrapText="1"/>
      <protection locked="0"/>
    </xf>
    <xf numFmtId="0" fontId="128" fillId="0" borderId="0" xfId="0" applyFont="1" applyAlignment="1" applyProtection="1">
      <alignment horizontal="left" vertical="top" wrapText="1"/>
      <protection locked="0"/>
    </xf>
    <xf numFmtId="200" fontId="165" fillId="0" borderId="203" xfId="0" applyNumberFormat="1" applyFont="1" applyFill="1" applyBorder="1" applyAlignment="1">
      <alignment horizontal="left" vertical="top"/>
    </xf>
    <xf numFmtId="21" fontId="64" fillId="0" borderId="0" xfId="0" applyNumberFormat="1" applyFont="1" applyFill="1" applyBorder="1" applyAlignment="1" applyProtection="1">
      <alignment horizontal="left" vertical="top"/>
      <protection locked="0"/>
    </xf>
    <xf numFmtId="49" fontId="64" fillId="0" borderId="0" xfId="0" applyNumberFormat="1" applyFont="1" applyFill="1" applyBorder="1" applyAlignment="1" applyProtection="1">
      <alignment horizontal="left" vertical="top"/>
      <protection locked="0"/>
    </xf>
    <xf numFmtId="0" fontId="68" fillId="0" borderId="0" xfId="0" applyNumberFormat="1" applyFont="1" applyFill="1" applyBorder="1" applyAlignment="1" applyProtection="1">
      <alignment horizontal="left" vertical="top"/>
      <protection locked="0"/>
    </xf>
    <xf numFmtId="0" fontId="68" fillId="0" borderId="0" xfId="0" applyNumberFormat="1" applyFont="1" applyFill="1" applyBorder="1" applyAlignment="1">
      <alignment horizontal="left" vertical="top"/>
    </xf>
    <xf numFmtId="0" fontId="166" fillId="0" borderId="0" xfId="0" applyNumberFormat="1" applyFont="1" applyFill="1" applyBorder="1" applyAlignment="1">
      <alignment horizontal="center" vertical="top"/>
    </xf>
    <xf numFmtId="0" fontId="167" fillId="0" borderId="0" xfId="0" applyNumberFormat="1" applyFont="1" applyFill="1" applyBorder="1" applyAlignment="1">
      <alignment horizontal="center" vertical="top"/>
    </xf>
    <xf numFmtId="200" fontId="60" fillId="8" borderId="0" xfId="0" applyNumberFormat="1" applyFont="1" applyFill="1" applyBorder="1" applyAlignment="1"/>
    <xf numFmtId="2" fontId="0" fillId="0" borderId="30" xfId="0" applyNumberFormat="1" applyBorder="1"/>
    <xf numFmtId="49" fontId="130" fillId="0" borderId="137" xfId="0" applyNumberFormat="1" applyFont="1" applyFill="1" applyBorder="1" applyAlignment="1" applyProtection="1">
      <alignment horizontal="left" vertical="top" shrinkToFit="1"/>
      <protection locked="0"/>
    </xf>
    <xf numFmtId="0" fontId="130" fillId="0" borderId="138" xfId="0" applyNumberFormat="1" applyFont="1" applyFill="1" applyBorder="1" applyAlignment="1" applyProtection="1">
      <alignment horizontal="left" vertical="top" shrinkToFit="1"/>
      <protection locked="0"/>
    </xf>
    <xf numFmtId="0" fontId="130" fillId="0" borderId="0" xfId="0" applyFont="1" applyFill="1" applyBorder="1" applyAlignment="1" applyProtection="1">
      <alignment horizontal="left" vertical="top" shrinkToFit="1"/>
      <protection locked="0"/>
    </xf>
    <xf numFmtId="184" fontId="130" fillId="0" borderId="138" xfId="0" applyNumberFormat="1" applyFont="1" applyFill="1" applyBorder="1" applyAlignment="1" applyProtection="1">
      <alignment horizontal="left" vertical="top" shrinkToFit="1"/>
      <protection locked="0"/>
    </xf>
    <xf numFmtId="0" fontId="130" fillId="0" borderId="138" xfId="0" applyNumberFormat="1" applyFont="1" applyFill="1" applyBorder="1" applyAlignment="1">
      <alignment horizontal="left" vertical="top" shrinkToFit="1"/>
    </xf>
    <xf numFmtId="0" fontId="130" fillId="0" borderId="0" xfId="0" applyFont="1" applyFill="1" applyBorder="1" applyAlignment="1" applyProtection="1">
      <alignment vertical="top" shrinkToFit="1"/>
      <protection locked="0"/>
    </xf>
    <xf numFmtId="0" fontId="130" fillId="0" borderId="0" xfId="0" applyNumberFormat="1" applyFont="1" applyFill="1" applyBorder="1" applyAlignment="1" applyProtection="1">
      <alignment horizontal="left" vertical="top" shrinkToFit="1"/>
      <protection locked="0"/>
    </xf>
    <xf numFmtId="200" fontId="130" fillId="0" borderId="0" xfId="0" applyNumberFormat="1" applyFont="1" applyFill="1" applyBorder="1" applyAlignment="1" applyProtection="1">
      <alignment horizontal="left" vertical="top" shrinkToFit="1"/>
      <protection locked="0"/>
    </xf>
    <xf numFmtId="0" fontId="31" fillId="24" borderId="0" xfId="0" applyNumberFormat="1" applyFont="1" applyFill="1" applyBorder="1" applyAlignment="1">
      <alignment horizontal="center"/>
    </xf>
    <xf numFmtId="0" fontId="31" fillId="24" borderId="11" xfId="0" applyNumberFormat="1" applyFont="1" applyFill="1" applyBorder="1" applyAlignment="1">
      <alignment horizontal="center"/>
    </xf>
    <xf numFmtId="0" fontId="85" fillId="0" borderId="0" xfId="0" applyFont="1" applyAlignment="1">
      <alignment horizontal="center"/>
    </xf>
    <xf numFmtId="199" fontId="64" fillId="0" borderId="0" xfId="0" applyNumberFormat="1" applyFont="1" applyAlignment="1" applyProtection="1">
      <alignment horizontal="left" vertical="top"/>
      <protection locked="0"/>
    </xf>
    <xf numFmtId="1" fontId="49" fillId="44" borderId="92" xfId="0" applyNumberFormat="1" applyFont="1" applyFill="1" applyBorder="1" applyAlignment="1">
      <alignment horizontal="center"/>
    </xf>
    <xf numFmtId="49" fontId="42" fillId="44" borderId="139" xfId="0" applyNumberFormat="1" applyFont="1" applyFill="1" applyBorder="1" applyAlignment="1">
      <alignment horizontal="center"/>
    </xf>
    <xf numFmtId="0" fontId="42" fillId="44" borderId="139" xfId="0" applyFont="1" applyFill="1" applyBorder="1" applyAlignment="1">
      <alignment horizontal="center"/>
    </xf>
    <xf numFmtId="0" fontId="49" fillId="44" borderId="31" xfId="0" applyFont="1" applyFill="1" applyBorder="1" applyAlignment="1">
      <alignment horizontal="center"/>
    </xf>
    <xf numFmtId="0" fontId="49" fillId="44" borderId="140" xfId="0" applyFont="1" applyFill="1" applyBorder="1" applyAlignment="1">
      <alignment horizontal="center"/>
    </xf>
    <xf numFmtId="0" fontId="49" fillId="44" borderId="141" xfId="0" applyFont="1" applyFill="1" applyBorder="1" applyAlignment="1">
      <alignment horizontal="center"/>
    </xf>
    <xf numFmtId="1" fontId="49" fillId="44" borderId="142" xfId="0" applyNumberFormat="1" applyFont="1" applyFill="1" applyBorder="1" applyAlignment="1">
      <alignment horizontal="center"/>
    </xf>
    <xf numFmtId="1" fontId="49" fillId="44" borderId="143" xfId="0" applyNumberFormat="1" applyFont="1" applyFill="1" applyBorder="1" applyAlignment="1">
      <alignment horizontal="center"/>
    </xf>
    <xf numFmtId="1" fontId="49" fillId="44" borderId="144" xfId="0" applyNumberFormat="1" applyFont="1" applyFill="1" applyBorder="1" applyAlignment="1">
      <alignment horizontal="center"/>
    </xf>
    <xf numFmtId="0" fontId="0" fillId="0" borderId="0" xfId="0" applyAlignment="1">
      <alignment horizontal="left" vertical="top"/>
    </xf>
    <xf numFmtId="0" fontId="0" fillId="0" borderId="0" xfId="0" applyBorder="1" applyAlignment="1">
      <alignment horizontal="left" vertical="top"/>
    </xf>
    <xf numFmtId="0" fontId="53" fillId="0" borderId="0" xfId="0" applyFont="1" applyBorder="1" applyAlignment="1">
      <alignment horizontal="left" vertical="top"/>
    </xf>
    <xf numFmtId="0" fontId="70" fillId="0" borderId="0" xfId="0" applyNumberFormat="1" applyFont="1" applyFill="1" applyBorder="1" applyAlignment="1" applyProtection="1">
      <alignment vertical="top"/>
      <protection locked="0"/>
    </xf>
    <xf numFmtId="0" fontId="128" fillId="0" borderId="0" xfId="0" applyNumberFormat="1" applyFont="1" applyAlignment="1" applyProtection="1">
      <alignment horizontal="left" vertical="top"/>
      <protection locked="0"/>
    </xf>
    <xf numFmtId="4" fontId="128" fillId="0" borderId="0" xfId="0" applyNumberFormat="1" applyFont="1" applyAlignment="1" applyProtection="1">
      <alignment horizontal="left" vertical="top"/>
      <protection locked="0"/>
    </xf>
    <xf numFmtId="0" fontId="98" fillId="0" borderId="0" xfId="0" applyFont="1" applyFill="1" applyBorder="1" applyAlignment="1" applyProtection="1">
      <alignment horizontal="left" vertical="top"/>
      <protection locked="0"/>
    </xf>
    <xf numFmtId="0" fontId="22" fillId="7" borderId="26" xfId="0" applyFont="1" applyFill="1" applyBorder="1"/>
    <xf numFmtId="0" fontId="22" fillId="7" borderId="9" xfId="0" applyFont="1" applyFill="1" applyBorder="1"/>
    <xf numFmtId="0" fontId="22" fillId="7" borderId="28" xfId="0" applyFont="1" applyFill="1" applyBorder="1"/>
    <xf numFmtId="2" fontId="0" fillId="0" borderId="132" xfId="0" applyNumberFormat="1" applyBorder="1" applyAlignment="1">
      <alignment horizontal="center" shrinkToFit="1"/>
    </xf>
    <xf numFmtId="0" fontId="0" fillId="0" borderId="132" xfId="0" applyBorder="1" applyAlignment="1">
      <alignment horizontal="center" shrinkToFit="1"/>
    </xf>
    <xf numFmtId="166" fontId="0" fillId="0" borderId="132" xfId="0" applyNumberFormat="1" applyBorder="1" applyAlignment="1">
      <alignment horizontal="center" shrinkToFit="1"/>
    </xf>
    <xf numFmtId="166" fontId="0" fillId="0" borderId="132" xfId="0" applyNumberFormat="1" applyFont="1" applyBorder="1" applyAlignment="1">
      <alignment horizontal="center" shrinkToFit="1"/>
    </xf>
    <xf numFmtId="0" fontId="0" fillId="0" borderId="0" xfId="0" applyAlignment="1">
      <alignment horizontal="center" shrinkToFit="1"/>
    </xf>
    <xf numFmtId="2" fontId="0" fillId="0" borderId="0" xfId="0" applyNumberFormat="1" applyAlignment="1">
      <alignment horizontal="center" shrinkToFit="1"/>
    </xf>
    <xf numFmtId="166" fontId="0" fillId="0" borderId="0" xfId="0" applyNumberFormat="1" applyAlignment="1">
      <alignment horizontal="center" shrinkToFit="1"/>
    </xf>
    <xf numFmtId="166" fontId="0" fillId="0" borderId="25" xfId="0" applyNumberFormat="1" applyBorder="1" applyAlignment="1">
      <alignment horizontal="center" shrinkToFit="1"/>
    </xf>
    <xf numFmtId="2" fontId="0" fillId="0" borderId="0" xfId="0" applyNumberFormat="1" applyFont="1" applyAlignment="1">
      <alignment horizontal="center" shrinkToFit="1"/>
    </xf>
    <xf numFmtId="0" fontId="0" fillId="0" borderId="0" xfId="0" applyAlignment="1"/>
    <xf numFmtId="0" fontId="64" fillId="0" borderId="0" xfId="0" applyFont="1" applyAlignment="1" applyProtection="1">
      <alignment vertical="top"/>
      <protection locked="0"/>
    </xf>
    <xf numFmtId="0" fontId="94" fillId="0" borderId="0" xfId="0" applyFont="1" applyAlignment="1"/>
    <xf numFmtId="0" fontId="98" fillId="0" borderId="0" xfId="0" applyFont="1" applyAlignment="1" applyProtection="1">
      <alignment vertical="top"/>
      <protection locked="0"/>
    </xf>
    <xf numFmtId="202" fontId="64" fillId="0" borderId="0" xfId="0" applyNumberFormat="1" applyFont="1" applyAlignment="1" applyProtection="1">
      <alignment horizontal="left" vertical="top"/>
      <protection locked="0"/>
    </xf>
    <xf numFmtId="194" fontId="64" fillId="0" borderId="0" xfId="0" applyNumberFormat="1" applyFont="1" applyAlignment="1" applyProtection="1">
      <alignment horizontal="left" vertical="top" wrapText="1"/>
      <protection locked="0"/>
    </xf>
    <xf numFmtId="0" fontId="27" fillId="0" borderId="21" xfId="0" applyFont="1" applyFill="1" applyBorder="1" applyAlignment="1">
      <alignment horizontal="left" vertical="center"/>
    </xf>
    <xf numFmtId="0" fontId="28" fillId="0" borderId="21" xfId="0" applyFont="1" applyFill="1" applyBorder="1" applyAlignment="1">
      <alignment horizontal="left" vertical="center"/>
    </xf>
    <xf numFmtId="0" fontId="168" fillId="0" borderId="21" xfId="0" applyFont="1" applyFill="1" applyBorder="1" applyAlignment="1">
      <alignment horizontal="left" vertical="center"/>
    </xf>
    <xf numFmtId="0" fontId="169" fillId="0" borderId="21" xfId="0" applyFont="1" applyFill="1" applyBorder="1" applyAlignment="1">
      <alignment horizontal="left" vertical="center"/>
    </xf>
    <xf numFmtId="0" fontId="170" fillId="0" borderId="0" xfId="0" applyFont="1" applyAlignment="1">
      <alignment wrapText="1"/>
    </xf>
    <xf numFmtId="0" fontId="171" fillId="0" borderId="9" xfId="0" applyFont="1" applyBorder="1"/>
    <xf numFmtId="0" fontId="171" fillId="0" borderId="25" xfId="0" applyFont="1" applyBorder="1"/>
    <xf numFmtId="0" fontId="170" fillId="0" borderId="9" xfId="0" applyFont="1" applyBorder="1"/>
    <xf numFmtId="2" fontId="170" fillId="0" borderId="25" xfId="0" applyNumberFormat="1" applyFont="1" applyBorder="1"/>
    <xf numFmtId="0" fontId="170" fillId="0" borderId="26" xfId="0" applyFont="1" applyBorder="1"/>
    <xf numFmtId="2" fontId="170" fillId="0" borderId="27" xfId="0" applyNumberFormat="1" applyFont="1" applyBorder="1"/>
    <xf numFmtId="0" fontId="171" fillId="0" borderId="26" xfId="0" applyFont="1" applyBorder="1"/>
    <xf numFmtId="0" fontId="170" fillId="0" borderId="28" xfId="0" applyFont="1" applyBorder="1"/>
    <xf numFmtId="2" fontId="170" fillId="0" borderId="29" xfId="0" applyNumberFormat="1" applyFont="1" applyBorder="1"/>
    <xf numFmtId="0" fontId="172" fillId="0" borderId="21" xfId="0" applyFont="1" applyFill="1" applyBorder="1" applyAlignment="1">
      <alignment horizontal="left" vertical="center"/>
    </xf>
    <xf numFmtId="0" fontId="22" fillId="0" borderId="0" xfId="0" applyFont="1" applyAlignment="1">
      <alignment horizontal="center" shrinkToFit="1"/>
    </xf>
    <xf numFmtId="0" fontId="22" fillId="0" borderId="25" xfId="0" applyFont="1" applyBorder="1" applyAlignment="1">
      <alignment horizontal="center" shrinkToFit="1"/>
    </xf>
    <xf numFmtId="0" fontId="0" fillId="0" borderId="0" xfId="0" applyFont="1" applyAlignment="1">
      <alignment horizontal="center" shrinkToFit="1"/>
    </xf>
    <xf numFmtId="166" fontId="22" fillId="25" borderId="0" xfId="0" applyNumberFormat="1" applyFont="1" applyFill="1" applyAlignment="1">
      <alignment horizontal="center" shrinkToFit="1"/>
    </xf>
    <xf numFmtId="166" fontId="22" fillId="0" borderId="0" xfId="0" applyNumberFormat="1" applyFont="1" applyAlignment="1">
      <alignment horizontal="center" shrinkToFit="1"/>
    </xf>
    <xf numFmtId="166" fontId="22" fillId="0" borderId="25" xfId="0" applyNumberFormat="1" applyFont="1" applyBorder="1" applyAlignment="1">
      <alignment horizontal="center" shrinkToFit="1"/>
    </xf>
    <xf numFmtId="0" fontId="0" fillId="0" borderId="31" xfId="0" applyBorder="1" applyAlignment="1">
      <alignment horizontal="center" shrinkToFit="1"/>
    </xf>
    <xf numFmtId="166" fontId="0" fillId="0" borderId="31" xfId="0" applyNumberFormat="1" applyBorder="1" applyAlignment="1">
      <alignment horizontal="center" shrinkToFit="1"/>
    </xf>
    <xf numFmtId="166" fontId="0" fillId="0" borderId="29" xfId="0" applyNumberFormat="1" applyBorder="1" applyAlignment="1">
      <alignment horizontal="center" shrinkToFit="1"/>
    </xf>
    <xf numFmtId="0" fontId="149" fillId="0" borderId="0" xfId="292"/>
    <xf numFmtId="203" fontId="149" fillId="0" borderId="0" xfId="292" applyNumberFormat="1"/>
    <xf numFmtId="203" fontId="149" fillId="0" borderId="0" xfId="292" applyNumberFormat="1" applyAlignment="1">
      <alignment horizontal="center"/>
    </xf>
    <xf numFmtId="0" fontId="149" fillId="0" borderId="0" xfId="292" applyAlignment="1">
      <alignment horizontal="center"/>
    </xf>
    <xf numFmtId="0" fontId="173" fillId="0" borderId="0" xfId="292" applyFont="1" applyAlignment="1">
      <alignment horizontal="center"/>
    </xf>
    <xf numFmtId="21" fontId="149" fillId="0" borderId="0" xfId="292" applyNumberFormat="1"/>
    <xf numFmtId="204" fontId="149" fillId="0" borderId="0" xfId="292" applyNumberFormat="1"/>
    <xf numFmtId="201" fontId="149" fillId="0" borderId="0" xfId="292" applyNumberFormat="1"/>
    <xf numFmtId="0" fontId="64" fillId="0" borderId="0" xfId="0" applyFont="1" applyBorder="1" applyAlignment="1" applyProtection="1">
      <alignment horizontal="left" vertical="top"/>
      <protection locked="0"/>
    </xf>
    <xf numFmtId="0" fontId="65" fillId="0" borderId="0" xfId="0" applyFont="1" applyBorder="1" applyAlignment="1">
      <alignment horizontal="left" vertical="top" wrapText="1"/>
    </xf>
    <xf numFmtId="0" fontId="128" fillId="0" borderId="0" xfId="0" applyFont="1" applyAlignment="1" applyProtection="1">
      <alignment horizontal="left" vertical="top"/>
      <protection locked="0"/>
    </xf>
    <xf numFmtId="0" fontId="134" fillId="0" borderId="0" xfId="0" applyFont="1" applyBorder="1" applyAlignment="1">
      <alignment horizontal="left"/>
    </xf>
    <xf numFmtId="0" fontId="136" fillId="0" borderId="0" xfId="0" applyFont="1" applyBorder="1" applyAlignment="1">
      <alignment horizontal="left" vertical="center"/>
    </xf>
    <xf numFmtId="0" fontId="128" fillId="0" borderId="0" xfId="0" applyNumberFormat="1" applyFont="1" applyFill="1" applyBorder="1" applyAlignment="1" applyProtection="1">
      <alignment horizontal="left" vertical="top"/>
      <protection locked="0"/>
    </xf>
    <xf numFmtId="49" fontId="129" fillId="0" borderId="0" xfId="0" applyNumberFormat="1" applyFont="1" applyFill="1" applyBorder="1" applyAlignment="1" applyProtection="1">
      <alignment horizontal="left" vertical="top"/>
      <protection locked="0"/>
    </xf>
    <xf numFmtId="0" fontId="137" fillId="0" borderId="0" xfId="0" applyNumberFormat="1" applyFont="1" applyFill="1" applyBorder="1" applyAlignment="1">
      <alignment horizontal="left" vertical="top"/>
    </xf>
    <xf numFmtId="0" fontId="137" fillId="0" borderId="0" xfId="0" applyFont="1" applyFill="1" applyBorder="1" applyAlignment="1" applyProtection="1">
      <alignment horizontal="left" vertical="top"/>
      <protection locked="0"/>
    </xf>
    <xf numFmtId="0" fontId="70" fillId="0" borderId="0" xfId="0" applyNumberFormat="1" applyFont="1" applyFill="1" applyBorder="1" applyAlignment="1" applyProtection="1">
      <alignment horizontal="left" vertical="top"/>
      <protection locked="0"/>
    </xf>
    <xf numFmtId="0" fontId="65" fillId="0" borderId="145" xfId="0" applyFont="1" applyFill="1" applyBorder="1" applyAlignment="1" applyProtection="1">
      <alignment vertical="top"/>
      <protection locked="0"/>
    </xf>
    <xf numFmtId="0" fontId="174" fillId="0" borderId="0" xfId="0" applyFont="1" applyBorder="1" applyAlignment="1">
      <alignment horizontal="left" vertical="top"/>
    </xf>
    <xf numFmtId="0" fontId="138" fillId="0" borderId="0" xfId="0" applyFont="1" applyBorder="1" applyAlignment="1">
      <alignment horizontal="left" vertical="top"/>
    </xf>
    <xf numFmtId="0" fontId="139" fillId="0" borderId="0" xfId="0" applyFont="1" applyAlignment="1" applyProtection="1">
      <alignment horizontal="left" vertical="top"/>
      <protection locked="0"/>
    </xf>
    <xf numFmtId="2" fontId="128" fillId="0" borderId="0" xfId="0" applyNumberFormat="1" applyFont="1" applyAlignment="1" applyProtection="1">
      <alignment horizontal="left" vertical="top"/>
      <protection locked="0"/>
    </xf>
    <xf numFmtId="0" fontId="128" fillId="0" borderId="58" xfId="0" applyFont="1" applyBorder="1" applyAlignment="1" applyProtection="1">
      <alignment horizontal="left" vertical="top"/>
      <protection locked="0"/>
    </xf>
    <xf numFmtId="0" fontId="128" fillId="0" borderId="0" xfId="0" applyFont="1" applyFill="1" applyBorder="1" applyAlignment="1" applyProtection="1">
      <alignment horizontal="left" vertical="top"/>
      <protection locked="0"/>
    </xf>
    <xf numFmtId="193" fontId="128" fillId="0" borderId="0" xfId="0" applyNumberFormat="1" applyFont="1" applyFill="1" applyBorder="1" applyAlignment="1" applyProtection="1">
      <alignment horizontal="left" vertical="top"/>
      <protection locked="0"/>
    </xf>
    <xf numFmtId="0" fontId="53" fillId="0" borderId="0" xfId="0" applyFont="1" applyBorder="1"/>
    <xf numFmtId="0" fontId="53" fillId="0" borderId="107" xfId="0" applyFont="1" applyBorder="1"/>
    <xf numFmtId="0" fontId="53" fillId="0" borderId="102" xfId="0" applyFont="1" applyBorder="1"/>
    <xf numFmtId="0" fontId="53" fillId="0" borderId="103" xfId="0" applyFont="1" applyBorder="1"/>
    <xf numFmtId="0" fontId="53" fillId="0" borderId="119" xfId="0" applyFont="1" applyBorder="1"/>
    <xf numFmtId="0" fontId="53" fillId="0" borderId="110" xfId="0" applyFont="1" applyBorder="1"/>
    <xf numFmtId="0" fontId="53" fillId="45" borderId="146" xfId="0" applyFont="1" applyFill="1" applyBorder="1"/>
    <xf numFmtId="0" fontId="53" fillId="45" borderId="147" xfId="0" applyFont="1" applyFill="1" applyBorder="1"/>
    <xf numFmtId="0" fontId="49" fillId="44" borderId="148" xfId="0" applyFont="1" applyFill="1" applyBorder="1" applyAlignment="1">
      <alignment horizontal="center"/>
    </xf>
    <xf numFmtId="0" fontId="49" fillId="44" borderId="149" xfId="0" applyFont="1" applyFill="1" applyBorder="1" applyAlignment="1">
      <alignment horizontal="center"/>
    </xf>
    <xf numFmtId="0" fontId="49" fillId="44" borderId="150" xfId="0" applyNumberFormat="1" applyFont="1" applyFill="1" applyBorder="1" applyAlignment="1">
      <alignment horizontal="center"/>
    </xf>
    <xf numFmtId="0" fontId="49" fillId="44" borderId="151" xfId="0" applyNumberFormat="1" applyFont="1" applyFill="1" applyBorder="1" applyAlignment="1">
      <alignment horizontal="center"/>
    </xf>
    <xf numFmtId="0" fontId="49" fillId="44" borderId="152" xfId="0" applyFont="1" applyFill="1" applyBorder="1" applyAlignment="1">
      <alignment horizontal="center"/>
    </xf>
    <xf numFmtId="0" fontId="49" fillId="44" borderId="153" xfId="0" applyFont="1" applyFill="1" applyBorder="1" applyAlignment="1">
      <alignment horizontal="center"/>
    </xf>
    <xf numFmtId="0" fontId="49" fillId="44" borderId="154" xfId="0" applyFont="1" applyFill="1" applyBorder="1" applyAlignment="1">
      <alignment horizontal="center"/>
    </xf>
    <xf numFmtId="0" fontId="49" fillId="44" borderId="155" xfId="0" applyFont="1" applyFill="1" applyBorder="1" applyAlignment="1">
      <alignment horizontal="center"/>
    </xf>
    <xf numFmtId="49" fontId="49" fillId="44" borderId="150" xfId="0" applyNumberFormat="1" applyFont="1" applyFill="1" applyBorder="1" applyAlignment="1">
      <alignment horizontal="center"/>
    </xf>
    <xf numFmtId="49" fontId="49" fillId="44" borderId="151" xfId="0" applyNumberFormat="1" applyFont="1" applyFill="1" applyBorder="1" applyAlignment="1">
      <alignment horizontal="center"/>
    </xf>
    <xf numFmtId="0" fontId="0" fillId="0" borderId="0" xfId="0" applyAlignment="1">
      <alignment vertical="top"/>
    </xf>
    <xf numFmtId="179" fontId="0" fillId="0" borderId="0" xfId="0" applyNumberFormat="1" applyAlignment="1">
      <alignment vertical="top"/>
    </xf>
    <xf numFmtId="0" fontId="0" fillId="0" borderId="0" xfId="0" applyAlignment="1">
      <alignment vertical="top" wrapText="1"/>
    </xf>
    <xf numFmtId="166" fontId="0" fillId="0" borderId="0" xfId="0" applyNumberFormat="1" applyAlignment="1">
      <alignment vertical="top"/>
    </xf>
    <xf numFmtId="2" fontId="0" fillId="0" borderId="0" xfId="0" applyNumberFormat="1" applyAlignment="1">
      <alignment vertical="top"/>
    </xf>
    <xf numFmtId="0" fontId="0" fillId="0" borderId="0" xfId="0" applyAlignment="1">
      <alignment horizontal="center" vertical="top"/>
    </xf>
    <xf numFmtId="0" fontId="0" fillId="0" borderId="27"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22" fillId="0" borderId="30" xfId="0" applyFont="1" applyBorder="1" applyAlignment="1">
      <alignment vertical="top"/>
    </xf>
    <xf numFmtId="0" fontId="0" fillId="0" borderId="30" xfId="0" applyFont="1" applyBorder="1" applyAlignment="1">
      <alignment vertical="top"/>
    </xf>
    <xf numFmtId="179" fontId="22" fillId="0" borderId="30" xfId="0" applyNumberFormat="1" applyFont="1" applyBorder="1" applyAlignment="1">
      <alignment vertical="top"/>
    </xf>
    <xf numFmtId="0" fontId="0" fillId="0" borderId="9" xfId="0" applyFont="1" applyBorder="1" applyAlignment="1">
      <alignment vertical="top"/>
    </xf>
    <xf numFmtId="171" fontId="0" fillId="0" borderId="0" xfId="0" applyNumberFormat="1" applyAlignment="1">
      <alignment vertical="top"/>
    </xf>
    <xf numFmtId="0" fontId="79" fillId="0" borderId="0" xfId="0" applyFont="1" applyAlignment="1">
      <alignment vertical="top"/>
    </xf>
    <xf numFmtId="179" fontId="79" fillId="0" borderId="0" xfId="0" applyNumberFormat="1" applyFont="1" applyAlignment="1">
      <alignment vertical="top"/>
    </xf>
    <xf numFmtId="0" fontId="0" fillId="0" borderId="29" xfId="0" applyBorder="1" applyAlignment="1">
      <alignment vertical="top"/>
    </xf>
    <xf numFmtId="0" fontId="0" fillId="0" borderId="28" xfId="0" applyBorder="1" applyAlignment="1">
      <alignment vertical="top"/>
    </xf>
    <xf numFmtId="0" fontId="0" fillId="0" borderId="31" xfId="0" applyFont="1" applyBorder="1" applyAlignment="1">
      <alignment vertical="top"/>
    </xf>
    <xf numFmtId="0" fontId="79" fillId="0" borderId="31" xfId="0" applyFont="1" applyBorder="1" applyAlignment="1">
      <alignment vertical="top"/>
    </xf>
    <xf numFmtId="166" fontId="0" fillId="0" borderId="31" xfId="0" applyNumberFormat="1" applyBorder="1" applyAlignment="1">
      <alignment vertical="top"/>
    </xf>
    <xf numFmtId="179" fontId="0" fillId="0" borderId="31" xfId="0" applyNumberFormat="1" applyBorder="1" applyAlignment="1">
      <alignment vertical="top"/>
    </xf>
    <xf numFmtId="0" fontId="79" fillId="0" borderId="30" xfId="0" applyFont="1" applyBorder="1" applyAlignment="1">
      <alignment vertical="top"/>
    </xf>
    <xf numFmtId="166" fontId="0" fillId="0" borderId="30" xfId="0" applyNumberFormat="1" applyBorder="1" applyAlignment="1">
      <alignment vertical="top"/>
    </xf>
    <xf numFmtId="179" fontId="0" fillId="0" borderId="30" xfId="0" applyNumberFormat="1" applyBorder="1" applyAlignment="1">
      <alignment vertical="top"/>
    </xf>
    <xf numFmtId="179" fontId="80" fillId="0" borderId="0" xfId="0" applyNumberFormat="1" applyFont="1" applyAlignment="1">
      <alignment vertical="top"/>
    </xf>
    <xf numFmtId="179" fontId="0" fillId="0" borderId="31" xfId="0" applyNumberFormat="1" applyFont="1" applyBorder="1" applyAlignment="1">
      <alignment vertical="top"/>
    </xf>
    <xf numFmtId="0" fontId="80" fillId="0" borderId="0" xfId="0" applyFont="1" applyAlignment="1">
      <alignment vertical="top"/>
    </xf>
    <xf numFmtId="0" fontId="0" fillId="0" borderId="107" xfId="0" applyBorder="1"/>
    <xf numFmtId="0" fontId="0" fillId="0" borderId="102" xfId="0" applyBorder="1"/>
    <xf numFmtId="0" fontId="0" fillId="0" borderId="0" xfId="0" applyNumberFormat="1" applyBorder="1"/>
    <xf numFmtId="0" fontId="0" fillId="0" borderId="110" xfId="0" applyBorder="1"/>
    <xf numFmtId="0" fontId="0" fillId="0" borderId="0" xfId="0" applyNumberFormat="1"/>
    <xf numFmtId="0" fontId="0" fillId="0" borderId="105" xfId="0" applyNumberFormat="1" applyBorder="1"/>
    <xf numFmtId="0" fontId="0" fillId="0" borderId="0" xfId="0" applyBorder="1" applyAlignment="1">
      <alignment horizontal="left"/>
    </xf>
    <xf numFmtId="0" fontId="57" fillId="7" borderId="49" xfId="0" applyNumberFormat="1" applyFont="1" applyFill="1" applyBorder="1" applyAlignment="1">
      <alignment horizontal="center"/>
    </xf>
    <xf numFmtId="0" fontId="141" fillId="7" borderId="50" xfId="0" applyNumberFormat="1" applyFont="1" applyFill="1" applyBorder="1" applyAlignment="1">
      <alignment horizontal="left"/>
    </xf>
    <xf numFmtId="0" fontId="141" fillId="7" borderId="49" xfId="0" applyNumberFormat="1" applyFont="1" applyFill="1" applyBorder="1" applyAlignment="1">
      <alignment horizontal="left"/>
    </xf>
    <xf numFmtId="49" fontId="56" fillId="27" borderId="156" xfId="0" applyNumberFormat="1" applyFont="1" applyFill="1" applyBorder="1" applyAlignment="1"/>
    <xf numFmtId="0" fontId="11" fillId="50" borderId="0" xfId="0" applyFont="1" applyFill="1" applyAlignment="1">
      <alignment vertical="center"/>
    </xf>
    <xf numFmtId="0" fontId="94" fillId="0" borderId="119" xfId="0" applyFont="1" applyBorder="1" applyAlignment="1">
      <alignment vertical="center" wrapText="1"/>
    </xf>
    <xf numFmtId="0" fontId="114" fillId="50" borderId="108" xfId="0" applyFont="1" applyFill="1" applyBorder="1" applyAlignment="1">
      <alignment horizontal="center" vertical="top" textRotation="90"/>
    </xf>
    <xf numFmtId="0" fontId="114" fillId="50" borderId="109" xfId="0" applyFont="1" applyFill="1" applyBorder="1" applyAlignment="1">
      <alignment horizontal="center" vertical="top" textRotation="90"/>
    </xf>
    <xf numFmtId="0" fontId="114" fillId="50" borderId="110" xfId="0" applyFont="1" applyFill="1" applyBorder="1" applyAlignment="1">
      <alignment horizontal="center" vertical="top" textRotation="90"/>
    </xf>
    <xf numFmtId="0" fontId="0" fillId="51" borderId="157" xfId="0" applyFont="1" applyFill="1" applyBorder="1" applyAlignment="1">
      <alignment horizontal="center" vertical="center"/>
    </xf>
    <xf numFmtId="0" fontId="0" fillId="51" borderId="158" xfId="0" applyFont="1" applyFill="1" applyBorder="1" applyAlignment="1">
      <alignment horizontal="center" vertical="center"/>
    </xf>
    <xf numFmtId="0" fontId="0" fillId="51" borderId="159" xfId="0" applyFont="1" applyFill="1" applyBorder="1" applyAlignment="1">
      <alignment horizontal="center" vertical="center"/>
    </xf>
    <xf numFmtId="0" fontId="135" fillId="51" borderId="157" xfId="0" applyFont="1" applyFill="1" applyBorder="1" applyAlignment="1">
      <alignment horizontal="center" vertical="center"/>
    </xf>
    <xf numFmtId="0" fontId="175" fillId="51" borderId="159" xfId="0" applyFont="1" applyFill="1" applyBorder="1" applyAlignment="1">
      <alignment horizontal="center" vertical="center"/>
    </xf>
    <xf numFmtId="0" fontId="0" fillId="52" borderId="160" xfId="0" applyFont="1" applyFill="1" applyBorder="1" applyAlignment="1">
      <alignment horizontal="center" vertical="center"/>
    </xf>
    <xf numFmtId="0" fontId="133" fillId="52" borderId="136" xfId="0" applyFont="1" applyFill="1" applyBorder="1" applyAlignment="1">
      <alignment horizontal="center" vertical="center"/>
    </xf>
    <xf numFmtId="0" fontId="0" fillId="52" borderId="161" xfId="0" applyFont="1" applyFill="1" applyBorder="1" applyAlignment="1">
      <alignment horizontal="center" vertical="center"/>
    </xf>
    <xf numFmtId="0" fontId="0" fillId="52" borderId="136" xfId="0" applyFont="1" applyFill="1" applyBorder="1" applyAlignment="1">
      <alignment horizontal="center" vertical="center"/>
    </xf>
    <xf numFmtId="0" fontId="135" fillId="52" borderId="160" xfId="0" applyFont="1" applyFill="1" applyBorder="1" applyAlignment="1">
      <alignment horizontal="center" vertical="center"/>
    </xf>
    <xf numFmtId="0" fontId="175" fillId="52" borderId="136" xfId="0" applyFont="1" applyFill="1" applyBorder="1" applyAlignment="1">
      <alignment horizontal="center" vertical="center"/>
    </xf>
    <xf numFmtId="0" fontId="0" fillId="51" borderId="162" xfId="0" applyFont="1" applyFill="1" applyBorder="1" applyAlignment="1">
      <alignment horizontal="center" vertical="center"/>
    </xf>
    <xf numFmtId="0" fontId="0" fillId="51" borderId="163" xfId="0" applyFont="1" applyFill="1" applyBorder="1" applyAlignment="1">
      <alignment horizontal="center" vertical="center"/>
    </xf>
    <xf numFmtId="0" fontId="0" fillId="51" borderId="106" xfId="0" applyFont="1" applyFill="1" applyBorder="1" applyAlignment="1">
      <alignment horizontal="center" vertical="center"/>
    </xf>
    <xf numFmtId="0" fontId="135" fillId="51" borderId="162" xfId="0" applyFont="1" applyFill="1" applyBorder="1" applyAlignment="1">
      <alignment horizontal="center" vertical="center"/>
    </xf>
    <xf numFmtId="0" fontId="175" fillId="51" borderId="162" xfId="0" applyFont="1" applyFill="1" applyBorder="1" applyAlignment="1">
      <alignment horizontal="center" vertical="center"/>
    </xf>
    <xf numFmtId="0" fontId="0" fillId="52" borderId="157" xfId="0" applyFont="1" applyFill="1" applyBorder="1" applyAlignment="1">
      <alignment horizontal="center" vertical="center"/>
    </xf>
    <xf numFmtId="0" fontId="0" fillId="52" borderId="158" xfId="0" applyFont="1" applyFill="1" applyBorder="1" applyAlignment="1">
      <alignment horizontal="center" vertical="center"/>
    </xf>
    <xf numFmtId="0" fontId="0" fillId="52" borderId="159" xfId="0" applyFont="1" applyFill="1" applyBorder="1" applyAlignment="1">
      <alignment horizontal="center" vertical="center"/>
    </xf>
    <xf numFmtId="0" fontId="135" fillId="52" borderId="158" xfId="0" applyFont="1" applyFill="1" applyBorder="1" applyAlignment="1">
      <alignment horizontal="center" vertical="center"/>
    </xf>
    <xf numFmtId="0" fontId="175" fillId="52" borderId="159" xfId="0" applyFont="1" applyFill="1" applyBorder="1" applyAlignment="1">
      <alignment horizontal="center" vertical="center"/>
    </xf>
    <xf numFmtId="0" fontId="0" fillId="51" borderId="160" xfId="0" applyFont="1" applyFill="1" applyBorder="1" applyAlignment="1">
      <alignment horizontal="center" vertical="center"/>
    </xf>
    <xf numFmtId="0" fontId="0" fillId="51" borderId="136" xfId="0" applyFont="1" applyFill="1" applyBorder="1" applyAlignment="1">
      <alignment horizontal="center" vertical="center"/>
    </xf>
    <xf numFmtId="0" fontId="0" fillId="51" borderId="161" xfId="0" applyFont="1" applyFill="1" applyBorder="1" applyAlignment="1">
      <alignment horizontal="center" vertical="center"/>
    </xf>
    <xf numFmtId="0" fontId="135" fillId="51" borderId="136" xfId="0" applyFont="1" applyFill="1" applyBorder="1" applyAlignment="1">
      <alignment horizontal="center" vertical="center"/>
    </xf>
    <xf numFmtId="0" fontId="175" fillId="51" borderId="136" xfId="0" applyFont="1" applyFill="1" applyBorder="1" applyAlignment="1">
      <alignment horizontal="center" vertical="center"/>
    </xf>
    <xf numFmtId="0" fontId="0" fillId="52" borderId="162" xfId="0" applyFont="1" applyFill="1" applyBorder="1" applyAlignment="1">
      <alignment horizontal="center" vertical="center"/>
    </xf>
    <xf numFmtId="0" fontId="0" fillId="52" borderId="163" xfId="0" applyFont="1" applyFill="1" applyBorder="1" applyAlignment="1">
      <alignment horizontal="center" vertical="center"/>
    </xf>
    <xf numFmtId="0" fontId="0" fillId="52" borderId="106" xfId="0" applyFont="1" applyFill="1" applyBorder="1" applyAlignment="1">
      <alignment horizontal="center" vertical="center"/>
    </xf>
    <xf numFmtId="0" fontId="175" fillId="52" borderId="106" xfId="0" applyFont="1" applyFill="1" applyBorder="1" applyAlignment="1">
      <alignment horizontal="center" vertical="center"/>
    </xf>
    <xf numFmtId="0" fontId="175" fillId="52" borderId="162" xfId="0" applyFont="1" applyFill="1" applyBorder="1" applyAlignment="1">
      <alignment horizontal="center" vertical="center"/>
    </xf>
    <xf numFmtId="0" fontId="135" fillId="52" borderId="163" xfId="0" applyFont="1" applyFill="1" applyBorder="1" applyAlignment="1">
      <alignment horizontal="center" vertical="center"/>
    </xf>
    <xf numFmtId="0" fontId="175" fillId="51" borderId="157" xfId="0" applyFont="1" applyFill="1" applyBorder="1" applyAlignment="1">
      <alignment horizontal="center" vertical="center"/>
    </xf>
    <xf numFmtId="0" fontId="135" fillId="51" borderId="158" xfId="0" applyFont="1" applyFill="1" applyBorder="1" applyAlignment="1">
      <alignment horizontal="center" vertical="center"/>
    </xf>
    <xf numFmtId="0" fontId="135" fillId="52" borderId="136" xfId="0" applyFont="1" applyFill="1" applyBorder="1" applyAlignment="1">
      <alignment horizontal="center" vertical="center"/>
    </xf>
    <xf numFmtId="0" fontId="135" fillId="51" borderId="163" xfId="0" applyFont="1" applyFill="1" applyBorder="1" applyAlignment="1">
      <alignment horizontal="center" vertical="center"/>
    </xf>
    <xf numFmtId="0" fontId="175" fillId="51" borderId="106" xfId="0" applyFont="1" applyFill="1" applyBorder="1" applyAlignment="1">
      <alignment horizontal="center" vertical="center"/>
    </xf>
    <xf numFmtId="0" fontId="175" fillId="52" borderId="157" xfId="0" applyFont="1" applyFill="1" applyBorder="1" applyAlignment="1">
      <alignment horizontal="center" vertical="center"/>
    </xf>
    <xf numFmtId="0" fontId="133" fillId="52" borderId="106" xfId="0" applyFont="1" applyFill="1" applyBorder="1" applyAlignment="1">
      <alignment horizontal="center" vertical="center"/>
    </xf>
    <xf numFmtId="0" fontId="135" fillId="51" borderId="164" xfId="0" applyFont="1" applyFill="1" applyBorder="1" applyAlignment="1">
      <alignment horizontal="center" vertical="center"/>
    </xf>
    <xf numFmtId="0" fontId="135" fillId="52" borderId="165" xfId="0" applyFont="1" applyFill="1" applyBorder="1" applyAlignment="1">
      <alignment horizontal="center" vertical="center"/>
    </xf>
    <xf numFmtId="0" fontId="135" fillId="51" borderId="166" xfId="0" applyFont="1" applyFill="1" applyBorder="1" applyAlignment="1">
      <alignment horizontal="center" vertical="center"/>
    </xf>
    <xf numFmtId="0" fontId="135" fillId="52" borderId="159" xfId="0" applyFont="1" applyFill="1" applyBorder="1" applyAlignment="1">
      <alignment horizontal="center" vertical="center"/>
    </xf>
    <xf numFmtId="0" fontId="135" fillId="51" borderId="161" xfId="0" applyFont="1" applyFill="1" applyBorder="1" applyAlignment="1">
      <alignment horizontal="center" vertical="center"/>
    </xf>
    <xf numFmtId="0" fontId="135" fillId="52" borderId="106" xfId="0" applyFont="1" applyFill="1" applyBorder="1" applyAlignment="1">
      <alignment horizontal="center" vertical="center"/>
    </xf>
    <xf numFmtId="0" fontId="133" fillId="51" borderId="157" xfId="0" applyFont="1" applyFill="1" applyBorder="1" applyAlignment="1">
      <alignment horizontal="center" vertical="center"/>
    </xf>
    <xf numFmtId="0" fontId="176" fillId="52" borderId="106" xfId="0" applyFont="1" applyFill="1" applyBorder="1" applyAlignment="1">
      <alignment horizontal="center" vertical="center"/>
    </xf>
    <xf numFmtId="0" fontId="176" fillId="52" borderId="162" xfId="0" applyFont="1" applyFill="1" applyBorder="1" applyAlignment="1">
      <alignment horizontal="center" vertical="center"/>
    </xf>
    <xf numFmtId="0" fontId="176" fillId="51" borderId="159" xfId="0" applyFont="1" applyFill="1" applyBorder="1" applyAlignment="1">
      <alignment horizontal="center" vertical="center"/>
    </xf>
    <xf numFmtId="0" fontId="176" fillId="51" borderId="157" xfId="0" applyFont="1" applyFill="1" applyBorder="1" applyAlignment="1">
      <alignment horizontal="center" vertical="center"/>
    </xf>
    <xf numFmtId="0" fontId="133" fillId="51" borderId="106" xfId="0" applyFont="1" applyFill="1" applyBorder="1" applyAlignment="1">
      <alignment horizontal="center" vertical="center"/>
    </xf>
    <xf numFmtId="0" fontId="133" fillId="51" borderId="162" xfId="0" applyFont="1" applyFill="1" applyBorder="1" applyAlignment="1">
      <alignment horizontal="center" vertical="center"/>
    </xf>
    <xf numFmtId="0" fontId="135" fillId="52" borderId="161" xfId="0" applyFont="1" applyFill="1" applyBorder="1" applyAlignment="1">
      <alignment horizontal="center" vertical="center"/>
    </xf>
    <xf numFmtId="0" fontId="175" fillId="52" borderId="161" xfId="0" applyFont="1" applyFill="1" applyBorder="1" applyAlignment="1">
      <alignment horizontal="center" vertical="center"/>
    </xf>
    <xf numFmtId="0" fontId="133" fillId="52" borderId="161" xfId="0" applyFont="1" applyFill="1" applyBorder="1" applyAlignment="1">
      <alignment horizontal="center" vertical="center"/>
    </xf>
    <xf numFmtId="0" fontId="133" fillId="52" borderId="160" xfId="0" applyFont="1" applyFill="1" applyBorder="1" applyAlignment="1">
      <alignment horizontal="center" vertical="center"/>
    </xf>
    <xf numFmtId="0" fontId="94" fillId="0" borderId="107" xfId="0" applyFont="1" applyBorder="1" applyAlignment="1">
      <alignment horizontal="left" vertical="center"/>
    </xf>
    <xf numFmtId="0" fontId="53" fillId="0" borderId="102" xfId="0" applyFont="1" applyBorder="1" applyAlignment="1">
      <alignment horizontal="left"/>
    </xf>
    <xf numFmtId="0" fontId="53" fillId="0" borderId="0" xfId="0" applyFont="1" applyBorder="1" applyAlignment="1">
      <alignment horizontal="left"/>
    </xf>
    <xf numFmtId="0" fontId="113" fillId="0" borderId="0" xfId="0" applyFont="1" applyBorder="1" applyAlignment="1">
      <alignment horizontal="left"/>
    </xf>
    <xf numFmtId="0" fontId="142" fillId="0" borderId="0" xfId="0" applyFont="1"/>
    <xf numFmtId="0" fontId="144" fillId="0" borderId="0" xfId="0" applyFont="1"/>
    <xf numFmtId="0" fontId="145" fillId="0" borderId="0" xfId="0" applyFont="1" applyAlignment="1">
      <alignment vertical="top" wrapText="1"/>
    </xf>
    <xf numFmtId="0" fontId="145" fillId="0" borderId="0" xfId="0" applyFont="1" applyAlignment="1">
      <alignment vertical="top"/>
    </xf>
    <xf numFmtId="0" fontId="64" fillId="0" borderId="106" xfId="0" applyFont="1" applyBorder="1" applyAlignment="1">
      <alignment vertical="top" wrapText="1"/>
    </xf>
    <xf numFmtId="0" fontId="64" fillId="0" borderId="105" xfId="0" applyFont="1" applyBorder="1" applyAlignment="1">
      <alignment vertical="top" wrapText="1"/>
    </xf>
    <xf numFmtId="0" fontId="70" fillId="0" borderId="106" xfId="0" applyFont="1" applyBorder="1" applyAlignment="1">
      <alignment vertical="top" wrapText="1"/>
    </xf>
    <xf numFmtId="0" fontId="70" fillId="0" borderId="105" xfId="0" applyFont="1" applyBorder="1" applyAlignment="1">
      <alignment vertical="top" wrapText="1"/>
    </xf>
    <xf numFmtId="0" fontId="64" fillId="0" borderId="110" xfId="0" applyFont="1" applyBorder="1" applyAlignment="1">
      <alignment vertical="top" wrapText="1"/>
    </xf>
    <xf numFmtId="0" fontId="64" fillId="0" borderId="0" xfId="0" applyFont="1" applyBorder="1" applyAlignment="1">
      <alignment vertical="top" wrapText="1"/>
    </xf>
    <xf numFmtId="0" fontId="64" fillId="0" borderId="110" xfId="0" applyFont="1" applyBorder="1" applyAlignment="1" applyProtection="1">
      <alignment vertical="top" wrapText="1"/>
      <protection locked="0"/>
    </xf>
    <xf numFmtId="0" fontId="70" fillId="0" borderId="121" xfId="0" applyFont="1" applyBorder="1" applyAlignment="1" applyProtection="1">
      <alignment vertical="top" wrapText="1"/>
      <protection locked="0"/>
    </xf>
    <xf numFmtId="0" fontId="64" fillId="61" borderId="110" xfId="0" applyFont="1" applyFill="1" applyBorder="1" applyAlignment="1" applyProtection="1">
      <alignment vertical="top" wrapText="1"/>
      <protection locked="0"/>
    </xf>
    <xf numFmtId="0" fontId="0" fillId="0" borderId="210" xfId="0" applyBorder="1"/>
    <xf numFmtId="49" fontId="0" fillId="0" borderId="0" xfId="0" applyNumberFormat="1" applyProtection="1">
      <protection locked="0"/>
    </xf>
    <xf numFmtId="0" fontId="147" fillId="0" borderId="110" xfId="0" applyFont="1" applyBorder="1" applyAlignment="1" applyProtection="1">
      <alignment vertical="top" wrapText="1"/>
      <protection locked="0"/>
    </xf>
    <xf numFmtId="0" fontId="147" fillId="0" borderId="0" xfId="0" applyFont="1" applyBorder="1" applyAlignment="1" applyProtection="1">
      <alignment vertical="top" wrapText="1"/>
      <protection locked="0"/>
    </xf>
    <xf numFmtId="0" fontId="64" fillId="7" borderId="58" xfId="0" applyFont="1" applyFill="1" applyBorder="1" applyAlignment="1" applyProtection="1">
      <alignment horizontal="left" vertical="top" wrapText="1"/>
      <protection locked="0"/>
    </xf>
    <xf numFmtId="0" fontId="90" fillId="0" borderId="0" xfId="0" applyFont="1" applyAlignment="1">
      <alignment horizontal="center" vertical="center"/>
    </xf>
    <xf numFmtId="0" fontId="144" fillId="0" borderId="213" xfId="0" applyFont="1" applyBorder="1" applyAlignment="1">
      <alignment horizontal="justify" vertical="top" wrapText="1"/>
    </xf>
    <xf numFmtId="0" fontId="144" fillId="0" borderId="214" xfId="0" applyFont="1" applyBorder="1" applyAlignment="1">
      <alignment horizontal="justify" vertical="top" wrapText="1"/>
    </xf>
    <xf numFmtId="0" fontId="148" fillId="0" borderId="215" xfId="0" applyFont="1" applyBorder="1" applyAlignment="1">
      <alignment horizontal="justify" vertical="top" wrapText="1"/>
    </xf>
    <xf numFmtId="0" fontId="148" fillId="0" borderId="216" xfId="0" applyFont="1" applyBorder="1" applyAlignment="1">
      <alignment horizontal="justify" vertical="top" wrapText="1"/>
    </xf>
    <xf numFmtId="0" fontId="37" fillId="0" borderId="0" xfId="0" applyFont="1" applyFill="1" applyBorder="1" applyAlignment="1">
      <alignment horizontal="left" vertical="center"/>
    </xf>
    <xf numFmtId="0" fontId="37" fillId="0" borderId="32" xfId="0" applyFont="1" applyFill="1" applyBorder="1" applyAlignment="1">
      <alignment horizontal="left" vertical="center"/>
    </xf>
    <xf numFmtId="0" fontId="172" fillId="0" borderId="0" xfId="0" applyFont="1" applyFill="1" applyBorder="1" applyAlignment="1">
      <alignment horizontal="left" vertical="center"/>
    </xf>
    <xf numFmtId="0" fontId="37" fillId="59" borderId="0" xfId="0" applyFont="1" applyFill="1" applyBorder="1" applyAlignment="1">
      <alignment horizontal="left" vertical="center"/>
    </xf>
    <xf numFmtId="0" fontId="37" fillId="0" borderId="217" xfId="0" applyFont="1" applyFill="1" applyBorder="1" applyAlignment="1">
      <alignment horizontal="left" vertical="center"/>
    </xf>
    <xf numFmtId="0" fontId="37" fillId="0" borderId="218" xfId="0" applyFont="1" applyFill="1" applyBorder="1" applyAlignment="1">
      <alignment horizontal="left" vertical="center"/>
    </xf>
    <xf numFmtId="0" fontId="132" fillId="0" borderId="218" xfId="0" applyFont="1" applyFill="1" applyBorder="1" applyAlignment="1">
      <alignment horizontal="left" vertical="center"/>
    </xf>
    <xf numFmtId="0" fontId="37" fillId="58" borderId="218" xfId="0" applyFont="1" applyFill="1" applyBorder="1" applyAlignment="1">
      <alignment horizontal="left" vertical="center"/>
    </xf>
    <xf numFmtId="0" fontId="37" fillId="0" borderId="220" xfId="0" applyFont="1" applyFill="1" applyBorder="1" applyAlignment="1">
      <alignment horizontal="left" vertical="center"/>
    </xf>
    <xf numFmtId="0" fontId="37" fillId="0" borderId="222" xfId="0" applyFont="1" applyFill="1" applyBorder="1" applyAlignment="1">
      <alignment horizontal="left" vertical="center"/>
    </xf>
    <xf numFmtId="0" fontId="37" fillId="0" borderId="223" xfId="0" applyFont="1" applyFill="1" applyBorder="1" applyAlignment="1">
      <alignment horizontal="left" vertical="center"/>
    </xf>
    <xf numFmtId="2" fontId="0" fillId="2" borderId="25" xfId="0" applyNumberFormat="1" applyFill="1" applyBorder="1"/>
    <xf numFmtId="0" fontId="0" fillId="2" borderId="9" xfId="0" applyFill="1" applyBorder="1"/>
    <xf numFmtId="2" fontId="0" fillId="6" borderId="25" xfId="0" applyNumberFormat="1" applyFill="1" applyBorder="1"/>
    <xf numFmtId="0" fontId="0" fillId="6" borderId="9" xfId="0" applyFill="1" applyBorder="1"/>
    <xf numFmtId="0" fontId="0" fillId="0" borderId="30" xfId="0" applyBorder="1"/>
    <xf numFmtId="2" fontId="22" fillId="22" borderId="29" xfId="0" applyNumberFormat="1" applyFont="1" applyFill="1" applyBorder="1"/>
    <xf numFmtId="0" fontId="64" fillId="0" borderId="167" xfId="0" applyFont="1" applyBorder="1" applyAlignment="1" applyProtection="1">
      <alignment horizontal="left" vertical="top"/>
      <protection locked="0"/>
    </xf>
    <xf numFmtId="199" fontId="64" fillId="0" borderId="167" xfId="0" applyNumberFormat="1" applyFont="1" applyBorder="1" applyAlignment="1" applyProtection="1">
      <alignment horizontal="left" vertical="top"/>
      <protection locked="0"/>
    </xf>
    <xf numFmtId="199" fontId="64" fillId="0" borderId="0" xfId="0" applyNumberFormat="1" applyFont="1" applyBorder="1" applyAlignment="1" applyProtection="1">
      <alignment horizontal="left" vertical="top"/>
      <protection locked="0"/>
    </xf>
    <xf numFmtId="0" fontId="64" fillId="0" borderId="0" xfId="0" applyFont="1" applyBorder="1" applyAlignment="1" applyProtection="1">
      <alignment horizontal="left" vertical="top" wrapText="1"/>
      <protection locked="0"/>
    </xf>
    <xf numFmtId="0" fontId="64" fillId="0" borderId="167" xfId="0" applyFont="1" applyBorder="1" applyAlignment="1" applyProtection="1">
      <alignment horizontal="left" vertical="top" wrapText="1"/>
      <protection locked="0"/>
    </xf>
    <xf numFmtId="0" fontId="177" fillId="0" borderId="0" xfId="0" applyFont="1" applyAlignment="1">
      <alignment vertical="center"/>
    </xf>
    <xf numFmtId="0" fontId="177" fillId="0" borderId="168" xfId="0" applyFont="1" applyBorder="1" applyAlignment="1">
      <alignment vertical="center" wrapText="1"/>
    </xf>
    <xf numFmtId="0" fontId="177" fillId="0" borderId="169" xfId="0" applyFont="1" applyBorder="1" applyAlignment="1">
      <alignment vertical="center" wrapText="1"/>
    </xf>
    <xf numFmtId="0" fontId="177" fillId="0" borderId="170" xfId="0" applyFont="1" applyBorder="1" applyAlignment="1">
      <alignment vertical="center" wrapText="1"/>
    </xf>
    <xf numFmtId="0" fontId="177" fillId="0" borderId="171" xfId="0" applyFont="1" applyBorder="1" applyAlignment="1">
      <alignment vertical="center" wrapText="1"/>
    </xf>
    <xf numFmtId="0" fontId="177" fillId="0" borderId="172" xfId="0" applyFont="1" applyBorder="1" applyAlignment="1">
      <alignment vertical="center" wrapText="1"/>
    </xf>
    <xf numFmtId="0" fontId="177" fillId="0" borderId="173" xfId="0" applyFont="1" applyBorder="1" applyAlignment="1">
      <alignment vertical="center" wrapText="1"/>
    </xf>
    <xf numFmtId="0" fontId="177" fillId="0" borderId="174" xfId="0" applyFont="1" applyBorder="1" applyAlignment="1">
      <alignment vertical="center" wrapText="1"/>
    </xf>
    <xf numFmtId="0" fontId="177" fillId="0" borderId="175" xfId="0" applyFont="1" applyBorder="1" applyAlignment="1">
      <alignment vertical="center" wrapText="1"/>
    </xf>
    <xf numFmtId="0" fontId="31" fillId="70" borderId="11" xfId="0" applyNumberFormat="1" applyFont="1" applyFill="1" applyBorder="1" applyAlignment="1"/>
    <xf numFmtId="167" fontId="82" fillId="70" borderId="11" xfId="0" applyNumberFormat="1" applyFont="1" applyFill="1" applyBorder="1" applyAlignment="1">
      <alignment horizontal="left"/>
    </xf>
    <xf numFmtId="167" fontId="31" fillId="70" borderId="11" xfId="0" applyNumberFormat="1" applyFont="1" applyFill="1" applyBorder="1" applyAlignment="1"/>
    <xf numFmtId="0" fontId="31" fillId="70" borderId="11" xfId="0" applyNumberFormat="1" applyFont="1" applyFill="1" applyBorder="1" applyAlignment="1">
      <alignment horizontal="center"/>
    </xf>
    <xf numFmtId="0" fontId="83" fillId="71" borderId="11" xfId="0" applyNumberFormat="1" applyFont="1" applyFill="1" applyBorder="1" applyAlignment="1"/>
    <xf numFmtId="0" fontId="83" fillId="70" borderId="11" xfId="0" applyNumberFormat="1" applyFont="1" applyFill="1" applyBorder="1" applyAlignment="1"/>
    <xf numFmtId="0" fontId="0" fillId="0" borderId="12" xfId="0" applyBorder="1"/>
    <xf numFmtId="0" fontId="0" fillId="0" borderId="12" xfId="0" pivotButton="1" applyBorder="1"/>
    <xf numFmtId="0" fontId="0" fillId="0" borderId="53" xfId="0" applyBorder="1"/>
    <xf numFmtId="0" fontId="0" fillId="0" borderId="38" xfId="0" applyNumberFormat="1" applyBorder="1"/>
    <xf numFmtId="0" fontId="0" fillId="0" borderId="133" xfId="0" applyNumberFormat="1" applyBorder="1"/>
    <xf numFmtId="0" fontId="0" fillId="0" borderId="11" xfId="0" applyNumberFormat="1" applyBorder="1"/>
    <xf numFmtId="0" fontId="147" fillId="0" borderId="0" xfId="0" applyFont="1" applyAlignment="1" applyProtection="1">
      <alignment horizontal="left" vertical="top"/>
      <protection locked="0"/>
    </xf>
    <xf numFmtId="0" fontId="53" fillId="0" borderId="0" xfId="0" applyFont="1" applyAlignment="1"/>
    <xf numFmtId="0" fontId="64" fillId="0" borderId="0" xfId="0" applyFont="1" applyAlignment="1" applyProtection="1">
      <alignment horizontal="center" vertical="top"/>
      <protection locked="0"/>
    </xf>
    <xf numFmtId="0" fontId="53" fillId="0" borderId="0" xfId="0" applyFont="1"/>
    <xf numFmtId="0" fontId="53" fillId="0" borderId="0" xfId="0" applyFont="1"/>
    <xf numFmtId="0" fontId="0" fillId="0" borderId="0" xfId="0" applyAlignment="1">
      <alignment horizontal="center"/>
    </xf>
    <xf numFmtId="0" fontId="22" fillId="0" borderId="0" xfId="0" applyFont="1" applyBorder="1" applyAlignment="1">
      <alignment horizontal="left"/>
    </xf>
    <xf numFmtId="0" fontId="183" fillId="0" borderId="0" xfId="0" applyFont="1" applyFill="1" applyBorder="1" applyAlignment="1" applyProtection="1">
      <alignment horizontal="left" vertical="top"/>
      <protection locked="0"/>
    </xf>
    <xf numFmtId="0" fontId="183" fillId="0" borderId="63" xfId="0" applyFont="1" applyFill="1" applyBorder="1" applyAlignment="1" applyProtection="1">
      <alignment horizontal="left" vertical="top"/>
      <protection locked="0"/>
    </xf>
    <xf numFmtId="0" fontId="64" fillId="0" borderId="63" xfId="0" applyFont="1" applyBorder="1" applyAlignment="1" applyProtection="1">
      <alignment horizontal="left" vertical="top" wrapText="1"/>
      <protection locked="0"/>
    </xf>
    <xf numFmtId="0" fontId="184" fillId="0" borderId="0" xfId="0" applyFont="1"/>
    <xf numFmtId="0" fontId="185" fillId="0" borderId="0" xfId="0" applyFont="1" applyBorder="1" applyAlignment="1">
      <alignment horizontal="left"/>
    </xf>
    <xf numFmtId="0" fontId="175" fillId="0" borderId="0" xfId="0" applyFont="1" applyBorder="1" applyAlignment="1">
      <alignment horizontal="left"/>
    </xf>
    <xf numFmtId="0" fontId="184" fillId="57" borderId="0" xfId="0" applyFont="1" applyFill="1" applyBorder="1" applyAlignment="1">
      <alignment vertical="top" wrapText="1"/>
    </xf>
    <xf numFmtId="0" fontId="70" fillId="0" borderId="25" xfId="0" applyNumberFormat="1" applyFont="1" applyFill="1" applyBorder="1" applyAlignment="1" applyProtection="1">
      <alignment horizontal="left" vertical="top"/>
      <protection locked="0"/>
    </xf>
    <xf numFmtId="0" fontId="70" fillId="0" borderId="29" xfId="0" applyNumberFormat="1" applyFont="1" applyFill="1" applyBorder="1" applyAlignment="1" applyProtection="1">
      <alignment horizontal="left" vertical="top"/>
      <protection locked="0"/>
    </xf>
    <xf numFmtId="0" fontId="70" fillId="0" borderId="27" xfId="0" applyNumberFormat="1" applyFont="1" applyFill="1" applyBorder="1" applyAlignment="1" applyProtection="1">
      <alignment horizontal="left" vertical="top"/>
      <protection locked="0"/>
    </xf>
    <xf numFmtId="0" fontId="53" fillId="0" borderId="0" xfId="0" applyFont="1"/>
    <xf numFmtId="0" fontId="53" fillId="0" borderId="0" xfId="0" applyFont="1" applyAlignment="1">
      <alignment horizontal="center" vertical="center"/>
    </xf>
    <xf numFmtId="0" fontId="53" fillId="45" borderId="30" xfId="0" applyFont="1" applyFill="1" applyBorder="1"/>
    <xf numFmtId="0" fontId="53" fillId="0" borderId="104" xfId="0" applyFont="1" applyBorder="1"/>
    <xf numFmtId="0" fontId="53" fillId="0" borderId="105" xfId="0" applyFont="1" applyBorder="1"/>
    <xf numFmtId="0" fontId="53" fillId="0" borderId="106" xfId="0" applyFont="1" applyBorder="1"/>
    <xf numFmtId="0" fontId="53" fillId="7" borderId="107" xfId="0" applyFont="1" applyFill="1" applyBorder="1"/>
    <xf numFmtId="0" fontId="53" fillId="10" borderId="102" xfId="0" applyFont="1" applyFill="1" applyBorder="1"/>
    <xf numFmtId="0" fontId="53" fillId="46" borderId="102" xfId="0" applyFont="1" applyFill="1" applyBorder="1"/>
    <xf numFmtId="0" fontId="53" fillId="8" borderId="103" xfId="0" applyFont="1" applyFill="1" applyBorder="1"/>
    <xf numFmtId="0" fontId="53" fillId="7" borderId="119" xfId="0" applyFont="1" applyFill="1" applyBorder="1"/>
    <xf numFmtId="0" fontId="53" fillId="10" borderId="0" xfId="0" applyFont="1" applyFill="1" applyBorder="1"/>
    <xf numFmtId="0" fontId="53" fillId="46" borderId="0" xfId="0" applyFont="1" applyFill="1" applyBorder="1"/>
    <xf numFmtId="0" fontId="53" fillId="8" borderId="110" xfId="0" applyFont="1" applyFill="1" applyBorder="1"/>
    <xf numFmtId="0" fontId="53" fillId="7" borderId="104" xfId="0" applyFont="1" applyFill="1" applyBorder="1"/>
    <xf numFmtId="0" fontId="53" fillId="10" borderId="105" xfId="0" applyFont="1" applyFill="1" applyBorder="1"/>
    <xf numFmtId="0" fontId="53" fillId="46" borderId="105" xfId="0" applyFont="1" applyFill="1" applyBorder="1"/>
    <xf numFmtId="0" fontId="53" fillId="8" borderId="106" xfId="0" applyFont="1" applyFill="1" applyBorder="1"/>
    <xf numFmtId="0" fontId="53" fillId="0" borderId="0" xfId="0" applyFont="1"/>
    <xf numFmtId="0" fontId="53" fillId="0" borderId="0" xfId="0" applyFont="1"/>
    <xf numFmtId="0" fontId="7" fillId="0" borderId="20" xfId="0" applyFont="1" applyFill="1" applyBorder="1" applyAlignment="1">
      <alignment horizontal="left" vertical="center"/>
    </xf>
    <xf numFmtId="0" fontId="37" fillId="0" borderId="34" xfId="0" quotePrefix="1" applyFont="1" applyFill="1" applyBorder="1" applyAlignment="1">
      <alignment horizontal="center" vertical="center"/>
    </xf>
    <xf numFmtId="0" fontId="37" fillId="0" borderId="32" xfId="0" quotePrefix="1" applyFont="1" applyFill="1" applyBorder="1" applyAlignment="1">
      <alignment horizontal="center" vertical="center"/>
    </xf>
    <xf numFmtId="0" fontId="37" fillId="0" borderId="219" xfId="0" quotePrefix="1" applyFont="1" applyFill="1" applyBorder="1" applyAlignment="1">
      <alignment horizontal="center" vertical="center"/>
    </xf>
    <xf numFmtId="0" fontId="37" fillId="0" borderId="221" xfId="0" quotePrefix="1" applyFont="1" applyFill="1" applyBorder="1" applyAlignment="1">
      <alignment horizontal="center" vertical="center"/>
    </xf>
    <xf numFmtId="0" fontId="7" fillId="0" borderId="220" xfId="0" applyFont="1" applyFill="1" applyBorder="1" applyAlignment="1">
      <alignment horizontal="left" vertical="center"/>
    </xf>
    <xf numFmtId="0" fontId="22" fillId="0" borderId="11" xfId="0" applyFont="1" applyBorder="1" applyAlignment="1">
      <alignment horizontal="center" vertical="center"/>
    </xf>
    <xf numFmtId="0" fontId="64" fillId="0" borderId="0" xfId="0" applyFont="1" applyAlignment="1" applyProtection="1">
      <alignment horizontal="center" vertical="center"/>
      <protection locked="0"/>
    </xf>
    <xf numFmtId="0" fontId="0" fillId="0" borderId="133" xfId="0" applyBorder="1" applyAlignment="1">
      <alignment horizontal="center" vertical="center"/>
    </xf>
    <xf numFmtId="0" fontId="187" fillId="0" borderId="0" xfId="0" applyFont="1" applyAlignment="1" applyProtection="1">
      <alignment horizontal="center" vertical="center"/>
      <protection locked="0"/>
    </xf>
    <xf numFmtId="0" fontId="188" fillId="0" borderId="133" xfId="0" applyFont="1" applyBorder="1" applyAlignment="1" applyProtection="1">
      <alignment horizontal="center" vertical="center"/>
      <protection locked="0"/>
    </xf>
    <xf numFmtId="0" fontId="187" fillId="0" borderId="0" xfId="0" applyFont="1" applyAlignment="1" applyProtection="1">
      <alignment horizontal="left" vertical="top" wrapText="1"/>
      <protection locked="0"/>
    </xf>
    <xf numFmtId="0" fontId="187" fillId="0" borderId="63" xfId="0" applyFont="1" applyBorder="1" applyAlignment="1" applyProtection="1">
      <alignment horizontal="left" vertical="top"/>
      <protection locked="0"/>
    </xf>
    <xf numFmtId="20" fontId="64" fillId="0" borderId="0" xfId="0" applyNumberFormat="1" applyFont="1" applyAlignment="1" applyProtection="1">
      <alignment horizontal="left" vertical="top"/>
      <protection locked="0"/>
    </xf>
    <xf numFmtId="20" fontId="64" fillId="0" borderId="0" xfId="0" applyNumberFormat="1" applyFont="1" applyBorder="1" applyAlignment="1" applyProtection="1">
      <alignment horizontal="left" vertical="top"/>
      <protection locked="0"/>
    </xf>
    <xf numFmtId="0" fontId="64" fillId="0" borderId="240" xfId="0" applyFont="1" applyBorder="1" applyAlignment="1" applyProtection="1">
      <alignment horizontal="left" vertical="top"/>
      <protection locked="0"/>
    </xf>
    <xf numFmtId="0" fontId="69" fillId="0" borderId="0" xfId="0" applyFont="1" applyFill="1" applyBorder="1" applyAlignment="1" applyProtection="1">
      <alignment horizontal="left" vertical="top"/>
      <protection locked="0"/>
    </xf>
    <xf numFmtId="0" fontId="69" fillId="0" borderId="167" xfId="0" applyFont="1" applyFill="1" applyBorder="1" applyAlignment="1" applyProtection="1">
      <alignment horizontal="left" vertical="top"/>
      <protection locked="0"/>
    </xf>
    <xf numFmtId="0" fontId="70" fillId="0" borderId="0" xfId="0" applyFont="1" applyBorder="1" applyAlignment="1" applyProtection="1">
      <alignment horizontal="left" vertical="top"/>
      <protection locked="0"/>
    </xf>
    <xf numFmtId="21" fontId="64" fillId="0" borderId="0" xfId="0" applyNumberFormat="1" applyFont="1" applyAlignment="1" applyProtection="1">
      <alignment horizontal="left" vertical="top"/>
      <protection locked="0"/>
    </xf>
    <xf numFmtId="0" fontId="70" fillId="0" borderId="240" xfId="0" applyFont="1" applyBorder="1" applyAlignment="1" applyProtection="1">
      <alignment horizontal="left" vertical="top"/>
      <protection locked="0"/>
    </xf>
    <xf numFmtId="0" fontId="70" fillId="0" borderId="167" xfId="0" applyFont="1" applyBorder="1" applyAlignment="1" applyProtection="1">
      <alignment horizontal="left" vertical="top"/>
      <protection locked="0"/>
    </xf>
    <xf numFmtId="0" fontId="189" fillId="7" borderId="55" xfId="0" applyFont="1" applyFill="1" applyBorder="1" applyAlignment="1">
      <alignment horizontal="center" vertical="center" wrapText="1"/>
    </xf>
    <xf numFmtId="0" fontId="189" fillId="7" borderId="11" xfId="0" applyFont="1" applyFill="1" applyBorder="1" applyAlignment="1">
      <alignment horizontal="center" vertical="center" wrapText="1"/>
    </xf>
    <xf numFmtId="0" fontId="189" fillId="7" borderId="56" xfId="0" applyFont="1" applyFill="1" applyBorder="1" applyAlignment="1">
      <alignment horizontal="center" vertical="center" wrapText="1"/>
    </xf>
    <xf numFmtId="0" fontId="190" fillId="0" borderId="0" xfId="0" applyFont="1" applyAlignment="1" applyProtection="1">
      <alignment horizontal="left" vertical="top" wrapText="1"/>
      <protection locked="0"/>
    </xf>
    <xf numFmtId="0" fontId="187" fillId="0" borderId="0" xfId="0" applyFont="1" applyFill="1" applyBorder="1" applyAlignment="1" applyProtection="1">
      <alignment horizontal="left" vertical="top"/>
      <protection locked="0"/>
    </xf>
    <xf numFmtId="0" fontId="191" fillId="0" borderId="0" xfId="0" applyFont="1" applyFill="1" applyBorder="1" applyAlignment="1" applyProtection="1">
      <alignment horizontal="left" vertical="top" shrinkToFit="1"/>
      <protection locked="0"/>
    </xf>
    <xf numFmtId="0" fontId="6" fillId="0" borderId="0" xfId="335" applyAlignment="1">
      <alignment horizontal="center" vertical="center"/>
    </xf>
    <xf numFmtId="0" fontId="6" fillId="0" borderId="0" xfId="335" applyAlignment="1">
      <alignment horizontal="center" vertical="center"/>
    </xf>
    <xf numFmtId="0" fontId="192" fillId="0" borderId="0" xfId="335" applyFont="1" applyAlignment="1">
      <alignment horizontal="center" vertical="center"/>
    </xf>
    <xf numFmtId="0" fontId="6" fillId="0" borderId="106" xfId="335" applyBorder="1" applyAlignment="1">
      <alignment horizontal="center" vertical="center"/>
    </xf>
    <xf numFmtId="0" fontId="6" fillId="0" borderId="105" xfId="335" applyBorder="1" applyAlignment="1">
      <alignment horizontal="center" vertical="center"/>
    </xf>
    <xf numFmtId="0" fontId="6" fillId="0" borderId="104" xfId="335" applyBorder="1" applyAlignment="1">
      <alignment horizontal="center" vertical="center"/>
    </xf>
    <xf numFmtId="0" fontId="193" fillId="0" borderId="104" xfId="335" applyFont="1" applyBorder="1" applyAlignment="1">
      <alignment horizontal="center" vertical="center"/>
    </xf>
    <xf numFmtId="0" fontId="6" fillId="0" borderId="121" xfId="335" applyBorder="1" applyAlignment="1">
      <alignment horizontal="center" vertical="center"/>
    </xf>
    <xf numFmtId="0" fontId="193" fillId="0" borderId="105" xfId="335" applyFont="1" applyBorder="1" applyAlignment="1">
      <alignment horizontal="center" vertical="center"/>
    </xf>
    <xf numFmtId="0" fontId="6" fillId="0" borderId="110" xfId="335" applyBorder="1" applyAlignment="1">
      <alignment horizontal="center" vertical="center"/>
    </xf>
    <xf numFmtId="0" fontId="6" fillId="0" borderId="0" xfId="335" applyBorder="1" applyAlignment="1">
      <alignment horizontal="center" vertical="center"/>
    </xf>
    <xf numFmtId="0" fontId="6" fillId="0" borderId="119" xfId="335" applyBorder="1" applyAlignment="1">
      <alignment horizontal="center" vertical="center"/>
    </xf>
    <xf numFmtId="0" fontId="193" fillId="0" borderId="119" xfId="335" applyFont="1" applyBorder="1" applyAlignment="1">
      <alignment horizontal="center" vertical="center"/>
    </xf>
    <xf numFmtId="0" fontId="6" fillId="0" borderId="120" xfId="335" applyBorder="1" applyAlignment="1">
      <alignment horizontal="center" vertical="center"/>
    </xf>
    <xf numFmtId="0" fontId="193" fillId="0" borderId="0" xfId="335" applyFont="1" applyBorder="1" applyAlignment="1">
      <alignment horizontal="center" vertical="center"/>
    </xf>
    <xf numFmtId="0" fontId="6" fillId="0" borderId="103" xfId="335" applyBorder="1" applyAlignment="1">
      <alignment horizontal="center" vertical="center"/>
    </xf>
    <xf numFmtId="0" fontId="6" fillId="0" borderId="102" xfId="335" applyBorder="1" applyAlignment="1">
      <alignment horizontal="center" vertical="center"/>
    </xf>
    <xf numFmtId="0" fontId="6" fillId="0" borderId="107" xfId="335" applyBorder="1" applyAlignment="1">
      <alignment horizontal="center" vertical="center"/>
    </xf>
    <xf numFmtId="0" fontId="193" fillId="0" borderId="107" xfId="335" applyFont="1" applyBorder="1" applyAlignment="1">
      <alignment horizontal="center" vertical="center"/>
    </xf>
    <xf numFmtId="0" fontId="6" fillId="0" borderId="177" xfId="335" applyBorder="1" applyAlignment="1">
      <alignment horizontal="center" vertical="center" wrapText="1"/>
    </xf>
    <xf numFmtId="0" fontId="193" fillId="0" borderId="102" xfId="335" applyFont="1" applyBorder="1" applyAlignment="1">
      <alignment horizontal="center" vertical="center"/>
    </xf>
    <xf numFmtId="20" fontId="6" fillId="0" borderId="0" xfId="335" applyNumberFormat="1" applyAlignment="1">
      <alignment horizontal="center" vertical="center"/>
    </xf>
    <xf numFmtId="0" fontId="193" fillId="0" borderId="0" xfId="335" applyFont="1" applyAlignment="1">
      <alignment horizontal="center" vertical="center"/>
    </xf>
    <xf numFmtId="20" fontId="193" fillId="0" borderId="0" xfId="335" applyNumberFormat="1" applyFont="1" applyAlignment="1">
      <alignment horizontal="center" vertical="center"/>
    </xf>
    <xf numFmtId="0" fontId="6" fillId="0" borderId="0" xfId="335" applyAlignment="1">
      <alignment vertical="center"/>
    </xf>
    <xf numFmtId="0" fontId="6" fillId="0" borderId="0" xfId="335" applyAlignment="1">
      <alignment horizontal="center" vertical="center" wrapText="1"/>
    </xf>
    <xf numFmtId="20" fontId="192" fillId="0" borderId="0" xfId="335" applyNumberFormat="1" applyFont="1" applyAlignment="1">
      <alignment horizontal="center" vertical="center"/>
    </xf>
    <xf numFmtId="0" fontId="6" fillId="0" borderId="0" xfId="335" applyAlignment="1">
      <alignment horizontal="left" vertical="top"/>
    </xf>
    <xf numFmtId="0" fontId="6" fillId="0" borderId="0" xfId="335" applyAlignment="1"/>
    <xf numFmtId="0" fontId="6" fillId="67" borderId="0" xfId="335" applyFill="1" applyAlignment="1"/>
    <xf numFmtId="13" fontId="6" fillId="0" borderId="0" xfId="335" applyNumberFormat="1" applyAlignment="1">
      <alignment horizontal="left" vertical="top"/>
    </xf>
    <xf numFmtId="13" fontId="6" fillId="0" borderId="241" xfId="335" applyNumberFormat="1" applyFont="1" applyBorder="1" applyAlignment="1">
      <alignment horizontal="left" vertical="top"/>
    </xf>
    <xf numFmtId="13" fontId="194" fillId="0" borderId="241" xfId="335" applyNumberFormat="1" applyFont="1" applyBorder="1" applyAlignment="1">
      <alignment horizontal="left" vertical="top"/>
    </xf>
    <xf numFmtId="13" fontId="6" fillId="0" borderId="242" xfId="335" applyNumberFormat="1" applyFont="1" applyBorder="1" applyAlignment="1">
      <alignment horizontal="left" vertical="top"/>
    </xf>
    <xf numFmtId="13" fontId="194" fillId="0" borderId="242" xfId="335" applyNumberFormat="1" applyFont="1" applyBorder="1" applyAlignment="1">
      <alignment horizontal="left" vertical="top"/>
    </xf>
    <xf numFmtId="13" fontId="173" fillId="0" borderId="0" xfId="335" applyNumberFormat="1" applyFont="1" applyAlignment="1">
      <alignment horizontal="left" vertical="top"/>
    </xf>
    <xf numFmtId="0" fontId="27" fillId="0" borderId="23" xfId="0" applyFont="1" applyFill="1" applyBorder="1" applyAlignment="1">
      <alignment horizontal="left" vertical="center"/>
    </xf>
    <xf numFmtId="0" fontId="5" fillId="0" borderId="0" xfId="335" applyFont="1" applyAlignment="1">
      <alignment horizontal="center" vertical="center"/>
    </xf>
    <xf numFmtId="21" fontId="6" fillId="0" borderId="0" xfId="335" applyNumberFormat="1" applyAlignment="1">
      <alignment horizontal="center" vertical="center"/>
    </xf>
    <xf numFmtId="0" fontId="5" fillId="0" borderId="0" xfId="335" applyFont="1" applyAlignment="1">
      <alignment horizontal="left" vertical="top"/>
    </xf>
    <xf numFmtId="0" fontId="98" fillId="0" borderId="0" xfId="0" applyFont="1" applyAlignment="1">
      <alignment horizontal="center" vertical="center"/>
    </xf>
    <xf numFmtId="0" fontId="22" fillId="0" borderId="133" xfId="0" applyFont="1" applyBorder="1" applyAlignment="1" applyProtection="1">
      <alignment horizontal="center" vertical="center"/>
      <protection locked="0"/>
    </xf>
    <xf numFmtId="199" fontId="0" fillId="0" borderId="0" xfId="0" applyNumberFormat="1"/>
    <xf numFmtId="0" fontId="0" fillId="0" borderId="0" xfId="0" applyAlignment="1">
      <alignment vertical="center" wrapText="1"/>
    </xf>
    <xf numFmtId="0" fontId="0" fillId="0" borderId="0" xfId="0" applyAlignment="1">
      <alignment vertical="center" textRotation="180" wrapText="1"/>
    </xf>
    <xf numFmtId="0" fontId="0" fillId="0" borderId="207" xfId="0" applyBorder="1" applyAlignment="1">
      <alignment vertical="center" wrapText="1"/>
    </xf>
    <xf numFmtId="0" fontId="0" fillId="0" borderId="204" xfId="0" applyBorder="1" applyAlignment="1">
      <alignment vertical="center" wrapText="1"/>
    </xf>
    <xf numFmtId="0" fontId="0" fillId="0" borderId="205" xfId="0" applyBorder="1" applyAlignment="1">
      <alignment vertical="center" wrapText="1"/>
    </xf>
    <xf numFmtId="0" fontId="0" fillId="0" borderId="206" xfId="0" applyBorder="1" applyAlignment="1">
      <alignment vertical="center" wrapText="1"/>
    </xf>
    <xf numFmtId="0" fontId="0" fillId="0" borderId="212" xfId="0" applyBorder="1" applyAlignment="1">
      <alignment vertical="center" wrapText="1"/>
    </xf>
    <xf numFmtId="0" fontId="0" fillId="0" borderId="208" xfId="0" applyBorder="1" applyAlignment="1">
      <alignment vertical="center" wrapText="1"/>
    </xf>
    <xf numFmtId="0" fontId="0" fillId="0" borderId="209" xfId="0" applyBorder="1" applyAlignment="1">
      <alignment vertical="center" textRotation="180" wrapText="1"/>
    </xf>
    <xf numFmtId="0" fontId="0" fillId="0" borderId="209" xfId="0" applyBorder="1" applyAlignment="1">
      <alignment vertical="center" wrapText="1"/>
    </xf>
    <xf numFmtId="0" fontId="0" fillId="0" borderId="207" xfId="0" applyBorder="1" applyAlignment="1">
      <alignment vertical="center" textRotation="180" wrapText="1"/>
    </xf>
    <xf numFmtId="0" fontId="0" fillId="0" borderId="208" xfId="0" applyBorder="1" applyAlignment="1">
      <alignment vertical="center" textRotation="180" wrapText="1"/>
    </xf>
    <xf numFmtId="0" fontId="0" fillId="0" borderId="0" xfId="0" applyBorder="1" applyAlignment="1">
      <alignment vertical="center" wrapText="1"/>
    </xf>
    <xf numFmtId="0" fontId="0" fillId="0" borderId="211" xfId="0" applyBorder="1" applyAlignment="1">
      <alignment vertical="center" textRotation="180" wrapText="1"/>
    </xf>
    <xf numFmtId="0" fontId="7" fillId="0" borderId="23" xfId="0" applyFont="1" applyFill="1" applyBorder="1" applyAlignment="1">
      <alignment horizontal="left" vertical="center"/>
    </xf>
    <xf numFmtId="2" fontId="195" fillId="0" borderId="11" xfId="0" applyNumberFormat="1" applyFont="1" applyBorder="1" applyProtection="1"/>
    <xf numFmtId="2" fontId="195" fillId="0" borderId="11" xfId="0" applyNumberFormat="1" applyFont="1" applyBorder="1" applyProtection="1">
      <protection locked="0"/>
    </xf>
    <xf numFmtId="0" fontId="165" fillId="0" borderId="203" xfId="0" applyNumberFormat="1" applyFont="1" applyBorder="1" applyAlignment="1">
      <alignment horizontal="left" vertical="top"/>
    </xf>
    <xf numFmtId="0" fontId="165" fillId="74" borderId="203" xfId="0" applyNumberFormat="1" applyFont="1" applyFill="1" applyBorder="1" applyAlignment="1">
      <alignment horizontal="left" vertical="top"/>
    </xf>
    <xf numFmtId="0" fontId="130" fillId="0" borderId="243" xfId="0" applyNumberFormat="1" applyFont="1" applyBorder="1" applyAlignment="1">
      <alignment horizontal="left" vertical="top" shrinkToFit="1"/>
    </xf>
    <xf numFmtId="0" fontId="165" fillId="74" borderId="244" xfId="0" applyNumberFormat="1" applyFont="1" applyFill="1" applyBorder="1" applyAlignment="1">
      <alignment horizontal="left" vertical="top"/>
    </xf>
    <xf numFmtId="0" fontId="196" fillId="0" borderId="0" xfId="0" applyFont="1" applyAlignment="1" applyProtection="1">
      <alignment horizontal="left" vertical="top"/>
      <protection locked="0"/>
    </xf>
    <xf numFmtId="0" fontId="196" fillId="0" borderId="0" xfId="0" applyFont="1" applyFill="1" applyBorder="1" applyAlignment="1" applyProtection="1">
      <alignment horizontal="left" vertical="top"/>
      <protection locked="0"/>
    </xf>
    <xf numFmtId="199" fontId="196" fillId="0" borderId="0" xfId="0" applyNumberFormat="1" applyFont="1" applyAlignment="1" applyProtection="1">
      <alignment horizontal="left" vertical="top"/>
      <protection locked="0"/>
    </xf>
    <xf numFmtId="0" fontId="196" fillId="0" borderId="0" xfId="0" applyFont="1" applyAlignment="1" applyProtection="1">
      <alignment horizontal="left" vertical="top" wrapText="1"/>
      <protection locked="0"/>
    </xf>
    <xf numFmtId="0" fontId="196" fillId="0" borderId="0" xfId="0" applyFont="1" applyFill="1" applyBorder="1" applyAlignment="1" applyProtection="1">
      <alignment vertical="top"/>
      <protection locked="0"/>
    </xf>
    <xf numFmtId="0" fontId="137" fillId="0" borderId="0" xfId="0" applyFont="1" applyAlignment="1" applyProtection="1">
      <alignment horizontal="left" vertical="top"/>
      <protection locked="0"/>
    </xf>
    <xf numFmtId="0" fontId="137" fillId="0" borderId="107" xfId="0" applyFont="1" applyFill="1" applyBorder="1" applyAlignment="1" applyProtection="1">
      <alignment horizontal="left" vertical="top"/>
      <protection locked="0"/>
    </xf>
    <xf numFmtId="0" fontId="137" fillId="0" borderId="102" xfId="0" applyFont="1" applyFill="1" applyBorder="1" applyAlignment="1" applyProtection="1">
      <alignment horizontal="left" vertical="top"/>
      <protection locked="0"/>
    </xf>
    <xf numFmtId="0" fontId="137" fillId="0" borderId="103" xfId="0" applyFont="1" applyFill="1" applyBorder="1" applyAlignment="1" applyProtection="1">
      <alignment horizontal="left" vertical="top"/>
      <protection locked="0"/>
    </xf>
    <xf numFmtId="0" fontId="137" fillId="0" borderId="119" xfId="0" applyFont="1" applyFill="1" applyBorder="1" applyAlignment="1" applyProtection="1">
      <alignment horizontal="left" vertical="top"/>
      <protection locked="0"/>
    </xf>
    <xf numFmtId="0" fontId="137" fillId="0" borderId="110" xfId="0" applyFont="1" applyFill="1" applyBorder="1" applyAlignment="1" applyProtection="1">
      <alignment horizontal="left" vertical="top"/>
      <protection locked="0"/>
    </xf>
    <xf numFmtId="0" fontId="137" fillId="0" borderId="104" xfId="0" applyFont="1" applyFill="1" applyBorder="1" applyAlignment="1" applyProtection="1">
      <alignment horizontal="left" vertical="top"/>
      <protection locked="0"/>
    </xf>
    <xf numFmtId="0" fontId="137" fillId="0" borderId="105" xfId="0" applyFont="1" applyFill="1" applyBorder="1" applyAlignment="1" applyProtection="1">
      <alignment horizontal="left" vertical="top"/>
      <protection locked="0"/>
    </xf>
    <xf numFmtId="0" fontId="137" fillId="0" borderId="106" xfId="0" applyFont="1" applyFill="1" applyBorder="1" applyAlignment="1" applyProtection="1">
      <alignment horizontal="left" vertical="top"/>
      <protection locked="0"/>
    </xf>
    <xf numFmtId="0" fontId="137" fillId="0" borderId="119" xfId="0" applyFont="1" applyBorder="1" applyAlignment="1" applyProtection="1">
      <alignment horizontal="left" vertical="top"/>
      <protection locked="0"/>
    </xf>
    <xf numFmtId="0" fontId="137" fillId="0" borderId="0" xfId="0" applyFont="1" applyBorder="1" applyAlignment="1" applyProtection="1">
      <alignment horizontal="left" vertical="top"/>
      <protection locked="0"/>
    </xf>
    <xf numFmtId="0" fontId="137" fillId="0" borderId="110" xfId="0" applyFont="1" applyBorder="1" applyAlignment="1" applyProtection="1">
      <alignment horizontal="left" vertical="top"/>
      <protection locked="0"/>
    </xf>
    <xf numFmtId="0" fontId="0" fillId="0" borderId="0" xfId="0" applyProtection="1"/>
    <xf numFmtId="0" fontId="0" fillId="0" borderId="0" xfId="218" applyFont="1"/>
    <xf numFmtId="0" fontId="0" fillId="0" borderId="0" xfId="218" applyFont="1"/>
    <xf numFmtId="21" fontId="0" fillId="0" borderId="0" xfId="0" applyNumberFormat="1"/>
    <xf numFmtId="0" fontId="0" fillId="61" borderId="0" xfId="0" applyFill="1"/>
    <xf numFmtId="179" fontId="108" fillId="0" borderId="0" xfId="218" applyNumberFormat="1"/>
    <xf numFmtId="0" fontId="108" fillId="0" borderId="0" xfId="218" applyAlignment="1">
      <alignment horizontal="left" vertical="top"/>
    </xf>
    <xf numFmtId="0" fontId="0" fillId="0" borderId="0" xfId="218" applyFont="1"/>
    <xf numFmtId="0" fontId="108" fillId="0" borderId="0" xfId="218"/>
    <xf numFmtId="199" fontId="108" fillId="0" borderId="0" xfId="218" applyNumberFormat="1"/>
    <xf numFmtId="0" fontId="0" fillId="0" borderId="0" xfId="218" applyFont="1"/>
    <xf numFmtId="0" fontId="108" fillId="0" borderId="0" xfId="218"/>
    <xf numFmtId="21" fontId="22" fillId="0" borderId="0" xfId="218" applyNumberFormat="1" applyFont="1"/>
    <xf numFmtId="0" fontId="0" fillId="0" borderId="0" xfId="218" applyFont="1"/>
    <xf numFmtId="0" fontId="0" fillId="0" borderId="0" xfId="218" applyFont="1"/>
    <xf numFmtId="0" fontId="108" fillId="0" borderId="0" xfId="218"/>
    <xf numFmtId="0" fontId="0" fillId="0" borderId="0" xfId="0" applyNumberFormat="1" applyFont="1" applyFill="1" applyBorder="1" applyAlignment="1" applyProtection="1"/>
    <xf numFmtId="21" fontId="0" fillId="0" borderId="0" xfId="0" applyNumberFormat="1" applyFont="1" applyFill="1" applyBorder="1" applyAlignment="1" applyProtection="1"/>
    <xf numFmtId="179" fontId="0" fillId="0" borderId="0" xfId="0" applyNumberFormat="1" applyFont="1" applyFill="1" applyBorder="1" applyAlignment="1" applyProtection="1"/>
    <xf numFmtId="199" fontId="0" fillId="0" borderId="0" xfId="0" applyNumberFormat="1" applyFont="1" applyFill="1" applyBorder="1" applyAlignment="1" applyProtection="1"/>
    <xf numFmtId="0" fontId="0" fillId="0" borderId="0" xfId="0" applyNumberFormat="1" applyFont="1" applyFill="1" applyBorder="1" applyAlignment="1" applyProtection="1">
      <alignment horizontal="left" vertical="top"/>
    </xf>
    <xf numFmtId="199" fontId="185" fillId="0" borderId="0" xfId="218" applyNumberFormat="1" applyFont="1"/>
    <xf numFmtId="0" fontId="108" fillId="0" borderId="0" xfId="218" applyFill="1"/>
    <xf numFmtId="0" fontId="0" fillId="0" borderId="0" xfId="218" applyFont="1" applyFill="1"/>
    <xf numFmtId="0" fontId="108" fillId="0" borderId="0" xfId="218" applyFill="1" applyAlignment="1">
      <alignment horizontal="left" vertical="top"/>
    </xf>
    <xf numFmtId="179" fontId="108" fillId="0" borderId="0" xfId="218" applyNumberFormat="1" applyFill="1"/>
    <xf numFmtId="199" fontId="108" fillId="0" borderId="0" xfId="218" applyNumberFormat="1" applyFill="1"/>
    <xf numFmtId="21" fontId="108" fillId="0" borderId="0" xfId="218" applyNumberFormat="1" applyFill="1"/>
    <xf numFmtId="0" fontId="108" fillId="0" borderId="0" xfId="218" applyNumberFormat="1" applyFill="1"/>
    <xf numFmtId="0" fontId="184" fillId="57" borderId="245" xfId="0" applyFont="1" applyFill="1" applyBorder="1" applyAlignment="1">
      <alignment vertical="top" wrapText="1"/>
    </xf>
    <xf numFmtId="0" fontId="186" fillId="57" borderId="249" xfId="0" applyFont="1" applyFill="1" applyBorder="1" applyAlignment="1">
      <alignment vertical="top"/>
    </xf>
    <xf numFmtId="0" fontId="186" fillId="57" borderId="247" xfId="0" applyFont="1" applyFill="1" applyBorder="1" applyAlignment="1">
      <alignment vertical="center" wrapText="1"/>
    </xf>
    <xf numFmtId="0" fontId="186" fillId="57" borderId="248" xfId="0" applyFont="1" applyFill="1" applyBorder="1" applyAlignment="1">
      <alignment vertical="center"/>
    </xf>
    <xf numFmtId="0" fontId="184" fillId="57" borderId="246" xfId="0" applyFont="1" applyFill="1" applyBorder="1" applyAlignment="1">
      <alignment horizontal="center" vertical="center"/>
    </xf>
    <xf numFmtId="0" fontId="186" fillId="57" borderId="250" xfId="0" applyFont="1" applyFill="1" applyBorder="1" applyAlignment="1">
      <alignment vertical="center" wrapText="1"/>
    </xf>
    <xf numFmtId="0" fontId="186" fillId="57" borderId="248" xfId="0" applyFont="1" applyFill="1" applyBorder="1" applyAlignment="1">
      <alignment vertical="center" wrapText="1"/>
    </xf>
    <xf numFmtId="0" fontId="184" fillId="57" borderId="251" xfId="0" applyFont="1" applyFill="1" applyBorder="1" applyAlignment="1">
      <alignment vertical="top" wrapText="1"/>
    </xf>
    <xf numFmtId="0" fontId="186" fillId="57" borderId="252" xfId="0" applyFont="1" applyFill="1" applyBorder="1" applyAlignment="1">
      <alignment horizontal="center" vertical="top" wrapText="1"/>
    </xf>
    <xf numFmtId="0" fontId="186" fillId="57" borderId="253" xfId="0" applyFont="1" applyFill="1" applyBorder="1" applyAlignment="1">
      <alignment horizontal="left" vertical="center"/>
    </xf>
    <xf numFmtId="0" fontId="186" fillId="57" borderId="254" xfId="0" applyFont="1" applyFill="1" applyBorder="1" applyAlignment="1">
      <alignment vertical="top"/>
    </xf>
    <xf numFmtId="0" fontId="186" fillId="57" borderId="255" xfId="0" applyFont="1" applyFill="1" applyBorder="1" applyAlignment="1">
      <alignment horizontal="center" vertical="top"/>
    </xf>
    <xf numFmtId="0" fontId="184" fillId="57" borderId="252" xfId="0" applyFont="1" applyFill="1" applyBorder="1" applyAlignment="1">
      <alignment vertical="top" wrapText="1"/>
    </xf>
    <xf numFmtId="0" fontId="186" fillId="57" borderId="245" xfId="0" applyFont="1" applyFill="1" applyBorder="1" applyAlignment="1">
      <alignment horizontal="right" vertical="center"/>
    </xf>
    <xf numFmtId="0" fontId="184" fillId="57" borderId="256" xfId="0" applyFont="1" applyFill="1" applyBorder="1" applyAlignment="1">
      <alignment vertical="top" wrapText="1"/>
    </xf>
    <xf numFmtId="0" fontId="186" fillId="57" borderId="257" xfId="0" applyFont="1" applyFill="1" applyBorder="1" applyAlignment="1">
      <alignment horizontal="center"/>
    </xf>
    <xf numFmtId="0" fontId="186" fillId="57" borderId="258" xfId="0" applyFont="1" applyFill="1" applyBorder="1" applyAlignment="1">
      <alignment horizontal="center" wrapText="1"/>
    </xf>
    <xf numFmtId="0" fontId="184" fillId="57" borderId="257" xfId="0" applyFont="1" applyFill="1" applyBorder="1" applyAlignment="1">
      <alignment vertical="top" wrapText="1"/>
    </xf>
    <xf numFmtId="0" fontId="186" fillId="57" borderId="254" xfId="0" applyFont="1" applyFill="1" applyBorder="1" applyAlignment="1"/>
    <xf numFmtId="0" fontId="186" fillId="57" borderId="259" xfId="0" applyFont="1" applyFill="1" applyBorder="1" applyAlignment="1"/>
    <xf numFmtId="180" fontId="0" fillId="0" borderId="0" xfId="0" applyNumberFormat="1" applyAlignment="1">
      <alignment horizontal="center"/>
    </xf>
    <xf numFmtId="180" fontId="27" fillId="0" borderId="0" xfId="0" applyNumberFormat="1" applyFont="1" applyAlignment="1">
      <alignment horizontal="center"/>
    </xf>
    <xf numFmtId="181" fontId="27" fillId="0" borderId="0" xfId="0" applyNumberFormat="1" applyFont="1" applyAlignment="1">
      <alignment horizontal="center"/>
    </xf>
    <xf numFmtId="181" fontId="0" fillId="0" borderId="0" xfId="0" applyNumberFormat="1"/>
    <xf numFmtId="194" fontId="7" fillId="0" borderId="0" xfId="217" applyNumberFormat="1" applyFont="1" applyAlignment="1" applyProtection="1">
      <alignment horizontal="left" vertical="top"/>
      <protection locked="0"/>
    </xf>
    <xf numFmtId="0" fontId="197" fillId="0" borderId="0" xfId="0" applyNumberFormat="1" applyFont="1" applyFill="1" applyBorder="1" applyAlignment="1" applyProtection="1">
      <alignment horizontal="left" vertical="top"/>
      <protection locked="0"/>
    </xf>
    <xf numFmtId="49" fontId="198" fillId="0" borderId="0" xfId="0" applyNumberFormat="1" applyFont="1" applyFill="1" applyBorder="1" applyAlignment="1" applyProtection="1">
      <alignment horizontal="left" vertical="top"/>
      <protection locked="0"/>
    </xf>
    <xf numFmtId="0" fontId="199" fillId="61" borderId="183" xfId="0" applyFont="1" applyFill="1" applyBorder="1" applyAlignment="1">
      <alignment wrapText="1"/>
    </xf>
    <xf numFmtId="0" fontId="199" fillId="61" borderId="184" xfId="0" applyFont="1" applyFill="1" applyBorder="1" applyAlignment="1">
      <alignment wrapText="1"/>
    </xf>
    <xf numFmtId="0" fontId="199" fillId="61" borderId="185" xfId="0" applyFont="1" applyFill="1" applyBorder="1" applyAlignment="1">
      <alignment wrapText="1"/>
    </xf>
    <xf numFmtId="0" fontId="60" fillId="0" borderId="0" xfId="0" applyFont="1" applyAlignment="1">
      <alignment vertical="center"/>
    </xf>
    <xf numFmtId="1" fontId="200" fillId="0" borderId="260" xfId="0" applyNumberFormat="1" applyFont="1" applyBorder="1" applyAlignment="1">
      <alignment horizontal="center" vertical="center" wrapText="1"/>
    </xf>
    <xf numFmtId="1" fontId="200" fillId="0" borderId="261" xfId="0" applyNumberFormat="1" applyFont="1" applyBorder="1" applyAlignment="1">
      <alignment horizontal="center" vertical="center" wrapText="1"/>
    </xf>
    <xf numFmtId="1" fontId="200" fillId="0" borderId="262" xfId="0" applyNumberFormat="1" applyFont="1" applyBorder="1" applyAlignment="1">
      <alignment horizontal="center" vertical="center" wrapText="1"/>
    </xf>
    <xf numFmtId="1" fontId="60" fillId="0" borderId="107" xfId="0" applyNumberFormat="1" applyFont="1" applyBorder="1" applyAlignment="1">
      <alignment horizontal="center" vertical="center" wrapText="1"/>
    </xf>
    <xf numFmtId="1" fontId="200" fillId="0" borderId="263" xfId="0" applyNumberFormat="1" applyFont="1" applyBorder="1" applyAlignment="1">
      <alignment horizontal="center" vertical="center" wrapText="1"/>
    </xf>
    <xf numFmtId="1" fontId="60" fillId="0" borderId="263" xfId="0" applyNumberFormat="1" applyFont="1" applyBorder="1" applyAlignment="1">
      <alignment horizontal="center" vertical="center" wrapText="1"/>
    </xf>
    <xf numFmtId="1" fontId="60" fillId="0" borderId="264" xfId="0" applyNumberFormat="1" applyFont="1" applyBorder="1" applyAlignment="1">
      <alignment horizontal="center" vertical="center" wrapText="1"/>
    </xf>
    <xf numFmtId="1" fontId="60" fillId="0" borderId="265" xfId="0" applyNumberFormat="1" applyFont="1" applyBorder="1" applyAlignment="1">
      <alignment horizontal="center" vertical="center" wrapText="1"/>
    </xf>
    <xf numFmtId="1" fontId="60" fillId="0" borderId="260" xfId="0" applyNumberFormat="1" applyFont="1" applyBorder="1" applyAlignment="1">
      <alignment horizontal="center" vertical="center" wrapText="1"/>
    </xf>
    <xf numFmtId="1" fontId="60" fillId="0" borderId="266" xfId="0" applyNumberFormat="1" applyFont="1" applyBorder="1" applyAlignment="1">
      <alignment horizontal="center" vertical="center" wrapText="1"/>
    </xf>
    <xf numFmtId="1" fontId="200" fillId="0" borderId="265" xfId="0" applyNumberFormat="1" applyFont="1" applyBorder="1" applyAlignment="1">
      <alignment horizontal="center" vertical="center" wrapText="1"/>
    </xf>
    <xf numFmtId="1" fontId="60" fillId="0" borderId="267" xfId="0" applyNumberFormat="1" applyFont="1" applyBorder="1" applyAlignment="1">
      <alignment horizontal="center" vertical="center" wrapText="1"/>
    </xf>
    <xf numFmtId="1" fontId="200" fillId="0" borderId="268" xfId="0" applyNumberFormat="1" applyFont="1" applyBorder="1" applyAlignment="1">
      <alignment horizontal="center" vertical="center" wrapText="1"/>
    </xf>
    <xf numFmtId="1" fontId="60" fillId="0" borderId="268" xfId="0" applyNumberFormat="1" applyFont="1" applyBorder="1" applyAlignment="1">
      <alignment horizontal="center" vertical="center" wrapText="1"/>
    </xf>
    <xf numFmtId="1" fontId="60" fillId="0" borderId="269" xfId="0" applyNumberFormat="1" applyFont="1" applyBorder="1" applyAlignment="1">
      <alignment horizontal="center" vertical="center" wrapText="1"/>
    </xf>
    <xf numFmtId="1" fontId="200" fillId="0" borderId="270" xfId="0" applyNumberFormat="1" applyFont="1" applyBorder="1" applyAlignment="1">
      <alignment horizontal="center" vertical="center" wrapText="1"/>
    </xf>
    <xf numFmtId="1" fontId="200" fillId="0" borderId="271" xfId="0" applyNumberFormat="1" applyFont="1" applyBorder="1" applyAlignment="1">
      <alignment horizontal="center" vertical="center" wrapText="1"/>
    </xf>
    <xf numFmtId="1" fontId="200" fillId="0" borderId="272" xfId="0" applyNumberFormat="1" applyFont="1" applyBorder="1" applyAlignment="1">
      <alignment horizontal="center" vertical="center" wrapText="1"/>
    </xf>
    <xf numFmtId="0" fontId="0" fillId="58" borderId="0" xfId="0" applyFill="1" applyAlignment="1">
      <alignment horizontal="center" vertical="center"/>
    </xf>
    <xf numFmtId="0" fontId="0" fillId="75" borderId="0" xfId="0" applyFill="1" applyAlignment="1">
      <alignment horizontal="center" vertical="center"/>
    </xf>
    <xf numFmtId="0" fontId="4" fillId="0" borderId="0" xfId="336" applyAlignment="1">
      <alignment horizontal="center" vertical="center"/>
    </xf>
    <xf numFmtId="0" fontId="4" fillId="0" borderId="0" xfId="336"/>
    <xf numFmtId="0" fontId="4" fillId="67" borderId="273" xfId="336" applyFill="1" applyBorder="1" applyAlignment="1">
      <alignment horizontal="center" vertical="center"/>
    </xf>
    <xf numFmtId="14" fontId="4" fillId="0" borderId="0" xfId="336" applyNumberFormat="1"/>
    <xf numFmtId="0" fontId="4" fillId="59" borderId="0" xfId="336" applyFill="1" applyAlignment="1">
      <alignment horizontal="center" vertical="center"/>
    </xf>
    <xf numFmtId="0" fontId="4" fillId="58" borderId="273" xfId="336" applyFill="1" applyBorder="1" applyAlignment="1">
      <alignment horizontal="center" vertical="center"/>
    </xf>
    <xf numFmtId="0" fontId="4" fillId="58" borderId="0" xfId="336" applyFill="1" applyAlignment="1">
      <alignment horizontal="center" vertical="center"/>
    </xf>
    <xf numFmtId="0" fontId="3" fillId="0" borderId="0" xfId="336" applyFont="1"/>
    <xf numFmtId="0" fontId="3" fillId="0" borderId="0" xfId="336" applyFont="1" applyAlignment="1">
      <alignment horizontal="center" vertical="center"/>
    </xf>
    <xf numFmtId="0" fontId="3" fillId="59" borderId="0" xfId="336" applyFont="1" applyFill="1" applyAlignment="1">
      <alignment horizontal="center" vertical="center"/>
    </xf>
    <xf numFmtId="0" fontId="3" fillId="58" borderId="0" xfId="336" applyFont="1" applyFill="1" applyAlignment="1">
      <alignment horizontal="center" vertical="center"/>
    </xf>
    <xf numFmtId="0" fontId="2" fillId="0" borderId="0" xfId="336" applyFont="1"/>
    <xf numFmtId="0" fontId="1" fillId="0" borderId="0" xfId="336" applyFont="1" applyAlignment="1">
      <alignment horizontal="center" vertical="center"/>
    </xf>
    <xf numFmtId="0" fontId="203" fillId="0" borderId="0" xfId="336" applyFont="1" applyAlignment="1">
      <alignment horizontal="center" vertical="center"/>
    </xf>
    <xf numFmtId="0" fontId="7" fillId="0" borderId="22" xfId="0" applyFont="1" applyFill="1" applyBorder="1" applyAlignment="1">
      <alignment horizontal="left" vertical="center"/>
    </xf>
    <xf numFmtId="0" fontId="7" fillId="0" borderId="24" xfId="0" applyFont="1" applyFill="1" applyBorder="1" applyAlignment="1">
      <alignment horizontal="left" vertical="center"/>
    </xf>
    <xf numFmtId="0" fontId="27" fillId="0" borderId="0" xfId="0" applyFont="1" applyFill="1" applyBorder="1" applyAlignment="1">
      <alignment horizontal="left" vertical="center"/>
    </xf>
    <xf numFmtId="0" fontId="37" fillId="0" borderId="33" xfId="0" applyFont="1" applyFill="1" applyBorder="1" applyAlignment="1">
      <alignment horizontal="left" vertical="center"/>
    </xf>
    <xf numFmtId="0" fontId="37" fillId="0" borderId="135" xfId="0" applyFont="1" applyFill="1" applyBorder="1" applyAlignment="1">
      <alignment horizontal="left" vertical="center"/>
    </xf>
    <xf numFmtId="2" fontId="0" fillId="0" borderId="107" xfId="0" applyNumberFormat="1" applyBorder="1"/>
    <xf numFmtId="2" fontId="0" fillId="0" borderId="102" xfId="0" applyNumberFormat="1" applyBorder="1"/>
    <xf numFmtId="2" fontId="0" fillId="0" borderId="103" xfId="0" applyNumberFormat="1" applyBorder="1"/>
    <xf numFmtId="2" fontId="0" fillId="0" borderId="177" xfId="0" applyNumberFormat="1" applyBorder="1"/>
    <xf numFmtId="2" fontId="0" fillId="0" borderId="169" xfId="0" applyNumberFormat="1" applyBorder="1"/>
    <xf numFmtId="2" fontId="0" fillId="0" borderId="130" xfId="0" applyNumberFormat="1" applyBorder="1"/>
    <xf numFmtId="2" fontId="0" fillId="0" borderId="174" xfId="0" applyNumberFormat="1" applyBorder="1"/>
    <xf numFmtId="0" fontId="0" fillId="0" borderId="276" xfId="0" applyBorder="1" applyAlignment="1">
      <alignment horizontal="left" vertical="center" readingOrder="1"/>
    </xf>
    <xf numFmtId="2" fontId="0" fillId="0" borderId="276" xfId="0" applyNumberFormat="1" applyBorder="1" applyAlignment="1">
      <alignment horizontal="left" vertical="center" readingOrder="1"/>
    </xf>
    <xf numFmtId="2" fontId="0" fillId="0" borderId="0" xfId="0" applyNumberFormat="1" applyBorder="1" applyAlignment="1">
      <alignment horizontal="left" vertical="center" readingOrder="1"/>
    </xf>
    <xf numFmtId="2" fontId="0" fillId="0" borderId="105" xfId="0" applyNumberFormat="1" applyBorder="1" applyAlignment="1">
      <alignment horizontal="left" vertical="center" readingOrder="1"/>
    </xf>
    <xf numFmtId="2" fontId="0" fillId="0" borderId="119" xfId="0" applyNumberFormat="1" applyBorder="1" applyAlignment="1">
      <alignment horizontal="left" vertical="center" readingOrder="1"/>
    </xf>
    <xf numFmtId="2" fontId="0" fillId="0" borderId="104" xfId="0" applyNumberFormat="1" applyBorder="1" applyAlignment="1">
      <alignment horizontal="left" vertical="center" readingOrder="1"/>
    </xf>
    <xf numFmtId="2" fontId="0" fillId="0" borderId="110" xfId="0" applyNumberFormat="1" applyBorder="1" applyAlignment="1">
      <alignment horizontal="left" vertical="center" readingOrder="1"/>
    </xf>
    <xf numFmtId="2" fontId="0" fillId="0" borderId="106" xfId="0" applyNumberFormat="1" applyBorder="1" applyAlignment="1">
      <alignment horizontal="left" vertical="center" readingOrder="1"/>
    </xf>
    <xf numFmtId="0" fontId="0" fillId="0" borderId="107" xfId="0" applyBorder="1" applyAlignment="1">
      <alignment horizontal="left" vertical="center" readingOrder="1"/>
    </xf>
    <xf numFmtId="0" fontId="0" fillId="0" borderId="102" xfId="0" applyBorder="1" applyAlignment="1">
      <alignment horizontal="left" vertical="center" readingOrder="1"/>
    </xf>
    <xf numFmtId="0" fontId="0" fillId="0" borderId="103" xfId="0" applyBorder="1" applyAlignment="1">
      <alignment horizontal="left" vertical="center" readingOrder="1"/>
    </xf>
    <xf numFmtId="0" fontId="165" fillId="76" borderId="277" xfId="0" applyFont="1" applyFill="1" applyBorder="1" applyAlignment="1">
      <alignment horizontal="left" vertical="top"/>
    </xf>
    <xf numFmtId="0" fontId="53" fillId="0" borderId="0" xfId="0" applyFont="1" applyAlignment="1">
      <alignment horizontal="center" vertical="center"/>
    </xf>
    <xf numFmtId="0" fontId="53" fillId="0" borderId="0" xfId="0" applyFont="1"/>
    <xf numFmtId="179" fontId="0" fillId="0" borderId="110" xfId="0" applyNumberFormat="1" applyBorder="1"/>
    <xf numFmtId="1" fontId="0" fillId="0" borderId="0" xfId="0" applyNumberFormat="1" applyBorder="1"/>
    <xf numFmtId="0" fontId="0" fillId="0" borderId="104" xfId="0" applyFill="1" applyBorder="1"/>
    <xf numFmtId="179" fontId="0" fillId="0" borderId="0" xfId="0" applyNumberFormat="1" applyBorder="1"/>
    <xf numFmtId="2" fontId="19" fillId="22" borderId="119" xfId="284" applyNumberFormat="1" applyBorder="1"/>
    <xf numFmtId="0" fontId="0" fillId="0" borderId="119" xfId="0" quotePrefix="1" applyBorder="1"/>
    <xf numFmtId="0" fontId="0" fillId="0" borderId="110" xfId="0" applyFill="1" applyBorder="1"/>
    <xf numFmtId="0" fontId="0" fillId="0" borderId="106" xfId="0" applyFill="1" applyBorder="1"/>
    <xf numFmtId="0" fontId="0" fillId="0" borderId="119" xfId="0" applyFill="1" applyBorder="1"/>
    <xf numFmtId="2" fontId="19" fillId="22" borderId="0" xfId="284" applyNumberFormat="1" applyBorder="1"/>
    <xf numFmtId="0" fontId="0" fillId="0" borderId="0" xfId="0" quotePrefix="1" applyBorder="1"/>
    <xf numFmtId="1" fontId="0" fillId="0" borderId="102" xfId="0" applyNumberFormat="1" applyBorder="1"/>
    <xf numFmtId="179" fontId="0" fillId="0" borderId="103" xfId="0" applyNumberFormat="1" applyBorder="1"/>
    <xf numFmtId="179" fontId="0" fillId="0" borderId="102" xfId="0" applyNumberFormat="1" applyBorder="1"/>
    <xf numFmtId="2" fontId="204" fillId="0" borderId="120" xfId="0" applyNumberFormat="1" applyFont="1" applyBorder="1"/>
    <xf numFmtId="2" fontId="204" fillId="0" borderId="121" xfId="0" applyNumberFormat="1" applyFont="1" applyBorder="1"/>
    <xf numFmtId="0" fontId="0" fillId="0" borderId="121" xfId="0" applyBorder="1" applyAlignment="1">
      <alignment textRotation="90"/>
    </xf>
    <xf numFmtId="0" fontId="0" fillId="0" borderId="106" xfId="0" applyBorder="1" applyAlignment="1">
      <alignment textRotation="90"/>
    </xf>
    <xf numFmtId="0" fontId="55" fillId="0" borderId="38" xfId="0" applyFont="1" applyBorder="1" applyAlignment="1" applyProtection="1">
      <alignment horizontal="center" wrapText="1"/>
    </xf>
    <xf numFmtId="195" fontId="7" fillId="0" borderId="0" xfId="217" applyNumberFormat="1" applyProtection="1"/>
    <xf numFmtId="14" fontId="0" fillId="0" borderId="0" xfId="0" applyNumberFormat="1" applyProtection="1"/>
    <xf numFmtId="0" fontId="0" fillId="0" borderId="0" xfId="0" applyProtection="1"/>
    <xf numFmtId="0" fontId="28" fillId="0" borderId="0" xfId="0" applyFont="1" applyBorder="1" applyAlignment="1" applyProtection="1"/>
    <xf numFmtId="168" fontId="29" fillId="0" borderId="0" xfId="0" applyNumberFormat="1" applyFont="1" applyBorder="1" applyAlignment="1" applyProtection="1">
      <alignment horizontal="center"/>
    </xf>
    <xf numFmtId="0" fontId="27" fillId="0" borderId="15" xfId="0" applyFont="1" applyBorder="1" applyAlignment="1" applyProtection="1">
      <alignment horizontal="center"/>
    </xf>
    <xf numFmtId="0" fontId="27" fillId="0" borderId="0" xfId="0" applyFont="1" applyAlignment="1" applyProtection="1">
      <alignment horizontal="center"/>
    </xf>
    <xf numFmtId="0" fontId="27" fillId="0" borderId="11" xfId="0" applyFont="1" applyBorder="1" applyAlignment="1" applyProtection="1">
      <alignment horizontal="center"/>
    </xf>
    <xf numFmtId="0" fontId="27" fillId="0" borderId="176" xfId="0" applyFont="1" applyBorder="1" applyAlignment="1" applyProtection="1">
      <alignment horizontal="center"/>
    </xf>
    <xf numFmtId="205" fontId="0" fillId="0" borderId="0" xfId="0" applyNumberFormat="1" applyProtection="1"/>
    <xf numFmtId="0" fontId="0" fillId="0" borderId="102" xfId="0" applyBorder="1" applyAlignment="1">
      <alignment horizontal="center"/>
    </xf>
    <xf numFmtId="0" fontId="0" fillId="0" borderId="103" xfId="0" applyBorder="1" applyAlignment="1">
      <alignment horizontal="center"/>
    </xf>
    <xf numFmtId="0" fontId="0" fillId="0" borderId="107" xfId="0" applyBorder="1" applyAlignment="1">
      <alignment horizontal="center"/>
    </xf>
    <xf numFmtId="0" fontId="0" fillId="0" borderId="177" xfId="0" applyBorder="1" applyAlignment="1">
      <alignment horizontal="center" textRotation="90"/>
    </xf>
    <xf numFmtId="0" fontId="0" fillId="0" borderId="120" xfId="0" applyBorder="1" applyAlignment="1">
      <alignment horizontal="center" textRotation="90"/>
    </xf>
    <xf numFmtId="0" fontId="0" fillId="0" borderId="121" xfId="0" applyBorder="1" applyAlignment="1">
      <alignment horizontal="center" textRotation="90"/>
    </xf>
    <xf numFmtId="0" fontId="0" fillId="0" borderId="177" xfId="0" applyBorder="1" applyAlignment="1">
      <alignment horizontal="center" vertical="center" textRotation="90"/>
    </xf>
    <xf numFmtId="0" fontId="0" fillId="0" borderId="120" xfId="0" applyBorder="1" applyAlignment="1">
      <alignment horizontal="center" textRotation="90" wrapText="1"/>
    </xf>
    <xf numFmtId="0" fontId="0" fillId="0" borderId="119" xfId="0" applyBorder="1" applyAlignment="1">
      <alignment horizontal="center" vertical="center" textRotation="90"/>
    </xf>
    <xf numFmtId="0" fontId="0" fillId="0" borderId="0" xfId="0" applyBorder="1" applyAlignment="1">
      <alignment horizontal="center" vertical="center" textRotation="90"/>
    </xf>
    <xf numFmtId="0" fontId="0" fillId="0" borderId="110" xfId="0" applyBorder="1" applyAlignment="1">
      <alignment horizontal="center" vertical="center" textRotation="90"/>
    </xf>
    <xf numFmtId="0" fontId="0" fillId="0" borderId="120" xfId="0" applyBorder="1" applyAlignment="1">
      <alignment horizontal="center" vertical="center" textRotation="90"/>
    </xf>
    <xf numFmtId="0" fontId="0" fillId="0" borderId="121" xfId="0" applyBorder="1" applyAlignment="1">
      <alignment horizontal="center" vertical="center" textRotation="90"/>
    </xf>
    <xf numFmtId="0" fontId="0" fillId="0" borderId="177" xfId="0" applyBorder="1" applyAlignment="1">
      <alignment horizontal="center"/>
    </xf>
    <xf numFmtId="0" fontId="0" fillId="0" borderId="120" xfId="0" applyBorder="1" applyAlignment="1">
      <alignment horizontal="center"/>
    </xf>
    <xf numFmtId="0" fontId="0" fillId="0" borderId="121" xfId="0" applyBorder="1" applyAlignment="1">
      <alignment horizontal="center"/>
    </xf>
    <xf numFmtId="2" fontId="0" fillId="0" borderId="177" xfId="0" applyNumberFormat="1" applyBorder="1" applyAlignment="1">
      <alignment horizontal="center"/>
    </xf>
    <xf numFmtId="2" fontId="0" fillId="0" borderId="120" xfId="0" applyNumberFormat="1" applyBorder="1" applyAlignment="1">
      <alignment horizontal="center"/>
    </xf>
    <xf numFmtId="2" fontId="0" fillId="0" borderId="121" xfId="0" applyNumberFormat="1" applyBorder="1" applyAlignment="1">
      <alignment horizontal="center"/>
    </xf>
    <xf numFmtId="174" fontId="0" fillId="0" borderId="16" xfId="0" applyNumberFormat="1" applyBorder="1" applyAlignment="1" applyProtection="1"/>
    <xf numFmtId="0" fontId="0" fillId="0" borderId="16" xfId="0" applyBorder="1" applyAlignment="1" applyProtection="1"/>
    <xf numFmtId="0" fontId="0" fillId="0" borderId="0" xfId="0" applyBorder="1" applyAlignment="1" applyProtection="1"/>
    <xf numFmtId="0" fontId="0" fillId="0" borderId="0" xfId="0" applyFont="1" applyAlignment="1" applyProtection="1">
      <alignment horizontal="right"/>
    </xf>
    <xf numFmtId="0" fontId="33" fillId="0" borderId="12" xfId="0" applyFont="1" applyBorder="1" applyProtection="1"/>
    <xf numFmtId="173" fontId="35" fillId="0" borderId="0" xfId="0" applyNumberFormat="1" applyFont="1" applyBorder="1" applyAlignment="1" applyProtection="1"/>
    <xf numFmtId="0" fontId="35" fillId="0" borderId="16" xfId="0" applyFont="1" applyBorder="1" applyAlignment="1" applyProtection="1"/>
    <xf numFmtId="177" fontId="35" fillId="0" borderId="16" xfId="0" applyNumberFormat="1" applyFont="1" applyBorder="1" applyAlignment="1" applyProtection="1">
      <alignment horizontal="left"/>
    </xf>
    <xf numFmtId="0" fontId="0" fillId="0" borderId="0" xfId="0" applyAlignment="1">
      <alignment horizontal="center" wrapText="1" shrinkToFit="1"/>
    </xf>
    <xf numFmtId="0" fontId="22" fillId="0" borderId="59" xfId="0" applyFont="1" applyBorder="1" applyAlignment="1">
      <alignment horizontal="center" shrinkToFit="1"/>
    </xf>
    <xf numFmtId="0" fontId="22" fillId="0" borderId="0" xfId="0" applyFont="1" applyAlignment="1">
      <alignment horizontal="center"/>
    </xf>
    <xf numFmtId="0" fontId="0" fillId="0" borderId="0" xfId="0" applyFont="1" applyAlignment="1">
      <alignment wrapText="1"/>
    </xf>
    <xf numFmtId="0" fontId="171" fillId="0" borderId="59" xfId="0" applyFont="1" applyBorder="1" applyAlignment="1">
      <alignment horizontal="center" shrinkToFit="1"/>
    </xf>
    <xf numFmtId="0" fontId="4" fillId="67" borderId="274" xfId="336" applyFill="1" applyBorder="1" applyAlignment="1">
      <alignment horizontal="center" vertical="center"/>
    </xf>
    <xf numFmtId="0" fontId="4" fillId="67" borderId="212" xfId="336" applyFill="1" applyBorder="1" applyAlignment="1">
      <alignment horizontal="center" vertical="center"/>
    </xf>
    <xf numFmtId="0" fontId="4" fillId="67" borderId="275" xfId="336" applyFill="1" applyBorder="1" applyAlignment="1">
      <alignment horizontal="center" vertical="center"/>
    </xf>
    <xf numFmtId="0" fontId="4" fillId="67" borderId="211" xfId="336" applyFill="1" applyBorder="1" applyAlignment="1">
      <alignment horizontal="center" vertical="center"/>
    </xf>
    <xf numFmtId="0" fontId="4" fillId="58" borderId="274" xfId="336" applyFill="1" applyBorder="1" applyAlignment="1">
      <alignment horizontal="center" vertical="center"/>
    </xf>
    <xf numFmtId="0" fontId="4" fillId="58" borderId="212" xfId="336" applyFill="1" applyBorder="1" applyAlignment="1">
      <alignment horizontal="center" vertical="center"/>
    </xf>
    <xf numFmtId="0" fontId="4" fillId="58" borderId="275" xfId="336" applyFill="1" applyBorder="1" applyAlignment="1">
      <alignment horizontal="center" vertical="center"/>
    </xf>
    <xf numFmtId="0" fontId="4" fillId="58" borderId="211" xfId="336" applyFill="1" applyBorder="1" applyAlignment="1">
      <alignment horizontal="center" vertical="center"/>
    </xf>
    <xf numFmtId="0" fontId="53" fillId="0" borderId="0" xfId="0" applyFont="1"/>
    <xf numFmtId="0" fontId="53" fillId="0" borderId="0" xfId="0" applyFont="1" applyAlignment="1">
      <alignment horizontal="center" vertical="center"/>
    </xf>
    <xf numFmtId="0" fontId="53" fillId="0" borderId="0" xfId="0" applyFont="1" applyAlignment="1">
      <alignment horizontal="center" vertical="center" wrapText="1"/>
    </xf>
    <xf numFmtId="0" fontId="53" fillId="45" borderId="97" xfId="0" applyFont="1" applyFill="1" applyBorder="1"/>
    <xf numFmtId="0" fontId="53" fillId="0" borderId="0" xfId="0" applyFont="1" applyFill="1" applyAlignment="1">
      <alignment horizontal="center" vertical="center"/>
    </xf>
    <xf numFmtId="0" fontId="53" fillId="24" borderId="0" xfId="0" applyFont="1" applyFill="1" applyAlignment="1">
      <alignment horizontal="center" vertical="center"/>
    </xf>
    <xf numFmtId="0" fontId="15" fillId="0" borderId="4" xfId="243" applyFont="1" applyAlignment="1">
      <alignment horizontal="center"/>
    </xf>
    <xf numFmtId="0" fontId="15" fillId="0" borderId="178" xfId="243" applyFont="1" applyBorder="1" applyAlignment="1">
      <alignment horizontal="center"/>
    </xf>
    <xf numFmtId="0" fontId="15" fillId="0" borderId="0" xfId="243" applyFont="1" applyBorder="1" applyAlignment="1">
      <alignment horizontal="center"/>
    </xf>
    <xf numFmtId="0" fontId="53" fillId="0" borderId="0" xfId="0" applyFont="1" applyAlignment="1">
      <alignment horizontal="center"/>
    </xf>
    <xf numFmtId="0" fontId="116" fillId="0" borderId="179" xfId="0" applyFont="1" applyBorder="1" applyAlignment="1">
      <alignment vertical="top" wrapText="1"/>
    </xf>
    <xf numFmtId="0" fontId="116" fillId="0" borderId="180" xfId="0" applyFont="1" applyBorder="1" applyAlignment="1">
      <alignment vertical="top" wrapText="1"/>
    </xf>
    <xf numFmtId="0" fontId="65" fillId="0" borderId="0" xfId="0" applyFont="1" applyFill="1" applyBorder="1" applyAlignment="1" applyProtection="1">
      <alignment horizontal="center" vertical="top"/>
      <protection locked="0"/>
    </xf>
    <xf numFmtId="0" fontId="116" fillId="0" borderId="181" xfId="0" applyFont="1" applyBorder="1" applyAlignment="1">
      <alignment vertical="top" wrapText="1"/>
    </xf>
    <xf numFmtId="0" fontId="112" fillId="0" borderId="18" xfId="0" applyFont="1" applyBorder="1" applyAlignment="1">
      <alignment horizontal="center" wrapText="1"/>
    </xf>
    <xf numFmtId="0" fontId="64" fillId="0" borderId="0" xfId="0" applyFont="1" applyAlignment="1">
      <alignment horizontal="left" vertical="top"/>
    </xf>
    <xf numFmtId="0" fontId="0" fillId="0" borderId="58" xfId="0" applyFont="1" applyBorder="1" applyAlignment="1">
      <alignment horizontal="justify"/>
    </xf>
    <xf numFmtId="0" fontId="69" fillId="0" borderId="58" xfId="0" applyFont="1" applyBorder="1" applyAlignment="1">
      <alignment horizontal="left" vertical="top"/>
    </xf>
    <xf numFmtId="0" fontId="65" fillId="0" borderId="58" xfId="0" applyFont="1" applyBorder="1" applyAlignment="1">
      <alignment horizontal="left" vertical="top"/>
    </xf>
    <xf numFmtId="0" fontId="64" fillId="0" borderId="0" xfId="0" applyFont="1" applyBorder="1" applyAlignment="1">
      <alignment horizontal="left" vertical="top" wrapText="1"/>
    </xf>
    <xf numFmtId="0" fontId="178" fillId="72" borderId="224" xfId="0" applyFont="1" applyFill="1" applyBorder="1" applyAlignment="1">
      <alignment horizontal="justify" vertical="center" wrapText="1"/>
    </xf>
    <xf numFmtId="0" fontId="178" fillId="72" borderId="225" xfId="0" applyFont="1" applyFill="1" applyBorder="1" applyAlignment="1">
      <alignment horizontal="justify" vertical="center" wrapText="1"/>
    </xf>
    <xf numFmtId="0" fontId="178" fillId="72" borderId="191" xfId="0" applyFont="1" applyFill="1" applyBorder="1" applyAlignment="1">
      <alignment horizontal="justify" vertical="center" wrapText="1"/>
    </xf>
    <xf numFmtId="0" fontId="179" fillId="73" borderId="224" xfId="0" applyFont="1" applyFill="1" applyBorder="1" applyAlignment="1">
      <alignment horizontal="justify" vertical="center" wrapText="1"/>
    </xf>
    <xf numFmtId="0" fontId="179" fillId="73" borderId="225" xfId="0" applyFont="1" applyFill="1" applyBorder="1" applyAlignment="1">
      <alignment horizontal="justify" vertical="center" wrapText="1"/>
    </xf>
    <xf numFmtId="0" fontId="179" fillId="73" borderId="191" xfId="0" applyFont="1" applyFill="1" applyBorder="1" applyAlignment="1">
      <alignment horizontal="justify" vertical="center" wrapText="1"/>
    </xf>
    <xf numFmtId="0" fontId="108" fillId="0" borderId="35" xfId="218" applyBorder="1" applyAlignment="1">
      <alignment horizontal="center" vertical="center" wrapText="1"/>
    </xf>
    <xf numFmtId="0" fontId="0" fillId="0" borderId="21" xfId="218" applyFont="1" applyBorder="1" applyAlignment="1">
      <alignment horizontal="center"/>
    </xf>
    <xf numFmtId="0" fontId="0" fillId="23" borderId="62" xfId="218" applyFont="1" applyFill="1" applyBorder="1" applyAlignment="1">
      <alignment horizontal="center"/>
    </xf>
    <xf numFmtId="0" fontId="108" fillId="23" borderId="35" xfId="218" applyFill="1" applyBorder="1" applyAlignment="1">
      <alignment horizontal="center"/>
    </xf>
    <xf numFmtId="0" fontId="0" fillId="0" borderId="0" xfId="0" applyFont="1"/>
    <xf numFmtId="0" fontId="0" fillId="0" borderId="0" xfId="218" applyFont="1"/>
    <xf numFmtId="0" fontId="108" fillId="0" borderId="0" xfId="218"/>
    <xf numFmtId="0" fontId="53" fillId="0" borderId="0" xfId="218" applyFont="1" applyBorder="1" applyAlignment="1">
      <alignment horizontal="center" wrapText="1"/>
    </xf>
    <xf numFmtId="188" fontId="44" fillId="0" borderId="0" xfId="0" applyNumberFormat="1" applyFont="1" applyBorder="1" applyAlignment="1"/>
    <xf numFmtId="0" fontId="28" fillId="0" borderId="16" xfId="0" applyFont="1" applyBorder="1" applyAlignment="1">
      <alignment horizontal="center"/>
    </xf>
    <xf numFmtId="0" fontId="0" fillId="31" borderId="0" xfId="0" applyFill="1" applyAlignment="1">
      <alignment horizontal="center" vertical="center"/>
    </xf>
    <xf numFmtId="0" fontId="0" fillId="32" borderId="0" xfId="0" applyFill="1" applyAlignment="1">
      <alignment horizontal="center" vertical="center"/>
    </xf>
    <xf numFmtId="0" fontId="0" fillId="34" borderId="0" xfId="0" applyFill="1" applyAlignment="1">
      <alignment horizontal="center" vertical="center"/>
    </xf>
    <xf numFmtId="0" fontId="0" fillId="36" borderId="0" xfId="0" applyFill="1" applyAlignment="1">
      <alignment horizontal="center" vertical="center"/>
    </xf>
    <xf numFmtId="0" fontId="0" fillId="30" borderId="0" xfId="0" applyFill="1" applyAlignment="1">
      <alignment horizontal="center" vertical="center"/>
    </xf>
    <xf numFmtId="0" fontId="0" fillId="10" borderId="0" xfId="0" applyFill="1" applyAlignment="1">
      <alignment horizontal="center" vertical="center"/>
    </xf>
    <xf numFmtId="0" fontId="0" fillId="35" borderId="0" xfId="0" applyFill="1" applyAlignment="1">
      <alignment horizontal="center" vertical="center"/>
    </xf>
    <xf numFmtId="0" fontId="0" fillId="33" borderId="0" xfId="0" applyFill="1" applyAlignment="1">
      <alignment horizontal="center" vertical="center"/>
    </xf>
    <xf numFmtId="0" fontId="0" fillId="22" borderId="0" xfId="0" applyFill="1" applyAlignment="1">
      <alignment horizontal="center" vertical="center"/>
    </xf>
    <xf numFmtId="0" fontId="61" fillId="24" borderId="11" xfId="0" applyFont="1" applyFill="1" applyBorder="1" applyAlignment="1">
      <alignment horizontal="center" wrapText="1"/>
    </xf>
    <xf numFmtId="0" fontId="61" fillId="24" borderId="11" xfId="0" applyFont="1" applyFill="1" applyBorder="1" applyAlignment="1">
      <alignment horizontal="left" vertical="center" wrapText="1"/>
    </xf>
    <xf numFmtId="0" fontId="27" fillId="0" borderId="11" xfId="0" applyFont="1" applyBorder="1" applyAlignment="1">
      <alignment horizontal="center" vertical="center" wrapText="1"/>
    </xf>
    <xf numFmtId="0" fontId="27" fillId="0" borderId="11" xfId="0" applyFont="1" applyBorder="1" applyAlignment="1">
      <alignment horizontal="center"/>
    </xf>
    <xf numFmtId="0" fontId="95" fillId="0" borderId="9" xfId="0" applyFont="1" applyBorder="1" applyAlignment="1">
      <alignment horizontal="center" vertical="center" textRotation="90"/>
    </xf>
    <xf numFmtId="0" fontId="88" fillId="0" borderId="25" xfId="0" applyFont="1" applyBorder="1" applyAlignment="1">
      <alignment horizontal="center" vertical="center" textRotation="88"/>
    </xf>
    <xf numFmtId="0" fontId="88" fillId="0" borderId="31" xfId="0" applyFont="1" applyBorder="1" applyAlignment="1">
      <alignment horizontal="center"/>
    </xf>
    <xf numFmtId="0" fontId="0" fillId="0" borderId="26" xfId="0" applyFont="1" applyBorder="1" applyAlignment="1">
      <alignment horizontal="center"/>
    </xf>
    <xf numFmtId="0" fontId="97" fillId="0" borderId="31" xfId="0" applyFont="1" applyBorder="1" applyAlignment="1">
      <alignment horizontal="center" wrapText="1"/>
    </xf>
    <xf numFmtId="0" fontId="97" fillId="0" borderId="26" xfId="0" applyFont="1" applyBorder="1" applyAlignment="1">
      <alignment horizontal="center" wrapText="1"/>
    </xf>
    <xf numFmtId="0" fontId="97" fillId="0" borderId="0" xfId="0" applyFont="1" applyAlignment="1">
      <alignment horizontal="center" wrapText="1"/>
    </xf>
    <xf numFmtId="0" fontId="97" fillId="0" borderId="9" xfId="0" applyFont="1" applyBorder="1" applyAlignment="1">
      <alignment horizontal="right" vertical="center" textRotation="90" wrapText="1"/>
    </xf>
    <xf numFmtId="0" fontId="97" fillId="0" borderId="182" xfId="0" applyFont="1" applyBorder="1" applyAlignment="1">
      <alignment horizontal="center" vertical="center" textRotation="88"/>
    </xf>
    <xf numFmtId="0" fontId="93" fillId="0" borderId="31" xfId="0" applyFont="1" applyBorder="1" applyAlignment="1">
      <alignment horizontal="center"/>
    </xf>
    <xf numFmtId="0" fontId="31" fillId="0" borderId="26" xfId="0" applyFont="1" applyBorder="1" applyAlignment="1">
      <alignment horizontal="center"/>
    </xf>
    <xf numFmtId="0" fontId="87" fillId="0" borderId="0" xfId="0" applyFont="1" applyAlignment="1">
      <alignment horizontal="center"/>
    </xf>
    <xf numFmtId="0" fontId="94" fillId="0" borderId="30" xfId="0" applyFont="1" applyBorder="1" applyAlignment="1">
      <alignment horizontal="center"/>
    </xf>
    <xf numFmtId="0" fontId="90" fillId="0" borderId="0" xfId="0" applyFont="1" applyAlignment="1">
      <alignment horizontal="center"/>
    </xf>
    <xf numFmtId="0" fontId="91" fillId="0" borderId="9" xfId="0" applyFont="1" applyBorder="1" applyAlignment="1">
      <alignment horizontal="center" vertical="center" textRotation="90"/>
    </xf>
    <xf numFmtId="0" fontId="88" fillId="0" borderId="9" xfId="0" applyFont="1" applyBorder="1" applyAlignment="1">
      <alignment horizontal="center" vertical="center"/>
    </xf>
    <xf numFmtId="0" fontId="88" fillId="0" borderId="25" xfId="0" applyFont="1" applyBorder="1" applyAlignment="1">
      <alignment horizontal="center" vertical="center"/>
    </xf>
    <xf numFmtId="0" fontId="93" fillId="0" borderId="25" xfId="0" applyFont="1" applyBorder="1" applyAlignment="1">
      <alignment horizontal="center" vertical="center"/>
    </xf>
    <xf numFmtId="0" fontId="53" fillId="0" borderId="107" xfId="0" applyFont="1" applyBorder="1" applyAlignment="1">
      <alignment horizontal="left" vertical="center"/>
    </xf>
    <xf numFmtId="0" fontId="53" fillId="0" borderId="102" xfId="0" applyFont="1" applyBorder="1" applyAlignment="1">
      <alignment horizontal="left" vertical="center"/>
    </xf>
    <xf numFmtId="0" fontId="53" fillId="0" borderId="103" xfId="0" applyFont="1" applyBorder="1" applyAlignment="1">
      <alignment horizontal="left" vertical="center"/>
    </xf>
    <xf numFmtId="0" fontId="53" fillId="0" borderId="107" xfId="0" applyFont="1" applyBorder="1" applyAlignment="1">
      <alignment horizontal="center" vertical="center"/>
    </xf>
    <xf numFmtId="0" fontId="53" fillId="0" borderId="102" xfId="0" applyFont="1" applyBorder="1" applyAlignment="1">
      <alignment horizontal="center" vertical="center"/>
    </xf>
    <xf numFmtId="0" fontId="53" fillId="0" borderId="103" xfId="0" applyFont="1" applyBorder="1" applyAlignment="1">
      <alignment horizontal="center" vertical="center"/>
    </xf>
    <xf numFmtId="0" fontId="94" fillId="0" borderId="119" xfId="0" applyFont="1" applyBorder="1" applyAlignment="1">
      <alignment horizontal="center" vertical="center" wrapText="1"/>
    </xf>
    <xf numFmtId="0" fontId="94" fillId="0" borderId="119" xfId="0" applyFont="1" applyBorder="1" applyAlignment="1">
      <alignment horizontal="center" vertical="center"/>
    </xf>
    <xf numFmtId="0" fontId="94" fillId="0" borderId="104" xfId="0" applyFont="1" applyBorder="1" applyAlignment="1">
      <alignment horizontal="center" vertical="center"/>
    </xf>
    <xf numFmtId="0" fontId="94" fillId="0" borderId="107" xfId="0" applyFont="1" applyBorder="1" applyAlignment="1">
      <alignment horizontal="center" vertical="center" wrapText="1"/>
    </xf>
    <xf numFmtId="0" fontId="31" fillId="24" borderId="0" xfId="0" applyNumberFormat="1" applyFont="1" applyFill="1" applyBorder="1" applyAlignment="1">
      <alignment horizontal="center"/>
    </xf>
    <xf numFmtId="0" fontId="177" fillId="0" borderId="0" xfId="0" applyFont="1" applyAlignment="1">
      <alignment horizontal="center" vertical="center"/>
    </xf>
    <xf numFmtId="0" fontId="177" fillId="0" borderId="168" xfId="0" applyFont="1" applyBorder="1" applyAlignment="1">
      <alignment horizontal="center" vertical="center"/>
    </xf>
    <xf numFmtId="0" fontId="177" fillId="0" borderId="170" xfId="0" applyFont="1" applyBorder="1" applyAlignment="1">
      <alignment horizontal="center" vertical="center"/>
    </xf>
    <xf numFmtId="0" fontId="177" fillId="0" borderId="173" xfId="0" applyFont="1" applyBorder="1" applyAlignment="1">
      <alignment horizontal="center" vertical="center"/>
    </xf>
    <xf numFmtId="0" fontId="177" fillId="0" borderId="175" xfId="0" applyFont="1" applyBorder="1" applyAlignment="1">
      <alignment horizontal="center" vertical="center"/>
    </xf>
    <xf numFmtId="0" fontId="0" fillId="0" borderId="0" xfId="0" applyFont="1" applyAlignment="1">
      <alignment vertical="top"/>
    </xf>
    <xf numFmtId="0" fontId="6" fillId="0" borderId="0" xfId="335" applyAlignment="1">
      <alignment horizontal="center" vertical="center"/>
    </xf>
    <xf numFmtId="0" fontId="6" fillId="0" borderId="177" xfId="335" applyBorder="1" applyAlignment="1">
      <alignment horizontal="center" vertical="center" wrapText="1"/>
    </xf>
    <xf numFmtId="0" fontId="6" fillId="0" borderId="120" xfId="335" applyBorder="1" applyAlignment="1">
      <alignment horizontal="center" vertical="center" wrapText="1"/>
    </xf>
    <xf numFmtId="0" fontId="6" fillId="0" borderId="121" xfId="335" applyBorder="1" applyAlignment="1">
      <alignment horizontal="center" vertical="center" wrapText="1"/>
    </xf>
    <xf numFmtId="0" fontId="6" fillId="0" borderId="119" xfId="335" applyBorder="1" applyAlignment="1">
      <alignment horizontal="center" vertical="center" wrapText="1"/>
    </xf>
    <xf numFmtId="0" fontId="192" fillId="0" borderId="119" xfId="335" applyFont="1" applyBorder="1" applyAlignment="1">
      <alignment horizontal="center" vertical="center" wrapText="1"/>
    </xf>
    <xf numFmtId="0" fontId="192" fillId="0" borderId="119" xfId="335" applyFont="1" applyBorder="1" applyAlignment="1">
      <alignment horizontal="center" vertical="center"/>
    </xf>
    <xf numFmtId="0" fontId="0" fillId="0" borderId="207" xfId="0" applyBorder="1" applyAlignment="1">
      <alignment horizontal="center" vertical="center" textRotation="180" wrapText="1"/>
    </xf>
    <xf numFmtId="0" fontId="0" fillId="0" borderId="208" xfId="0" applyBorder="1" applyAlignment="1">
      <alignment horizontal="center" vertical="center" textRotation="180" wrapText="1"/>
    </xf>
    <xf numFmtId="0" fontId="0" fillId="0" borderId="209" xfId="0" applyBorder="1" applyAlignment="1">
      <alignment horizontal="center" vertical="center" textRotation="180" wrapText="1"/>
    </xf>
    <xf numFmtId="0" fontId="138" fillId="0" borderId="234" xfId="0" applyFont="1" applyBorder="1" applyAlignment="1">
      <alignment horizontal="center" vertical="center" wrapText="1"/>
    </xf>
    <xf numFmtId="0" fontId="138" fillId="0" borderId="235" xfId="0" applyFont="1" applyBorder="1" applyAlignment="1">
      <alignment horizontal="center" vertical="center" wrapText="1"/>
    </xf>
    <xf numFmtId="0" fontId="138" fillId="0" borderId="236" xfId="0" applyFont="1" applyBorder="1" applyAlignment="1">
      <alignment horizontal="center" vertical="center" wrapText="1"/>
    </xf>
    <xf numFmtId="0" fontId="138" fillId="0" borderId="119" xfId="0" applyFont="1" applyBorder="1" applyAlignment="1">
      <alignment horizontal="center" vertical="center" wrapText="1"/>
    </xf>
    <xf numFmtId="0" fontId="138" fillId="0" borderId="0" xfId="0" applyFont="1" applyBorder="1" applyAlignment="1">
      <alignment horizontal="center" vertical="center" wrapText="1"/>
    </xf>
    <xf numFmtId="0" fontId="138" fillId="0" borderId="110" xfId="0" applyFont="1" applyBorder="1" applyAlignment="1">
      <alignment horizontal="center" vertical="center" wrapText="1"/>
    </xf>
    <xf numFmtId="0" fontId="138" fillId="0" borderId="237" xfId="0" applyFont="1" applyBorder="1" applyAlignment="1">
      <alignment horizontal="center" vertical="center" wrapText="1"/>
    </xf>
    <xf numFmtId="0" fontId="138" fillId="0" borderId="232" xfId="0" applyFont="1" applyBorder="1" applyAlignment="1">
      <alignment horizontal="center" vertical="center" wrapText="1"/>
    </xf>
    <xf numFmtId="0" fontId="138" fillId="0" borderId="238" xfId="0" applyFont="1" applyBorder="1" applyAlignment="1">
      <alignment horizontal="center" vertical="center" wrapText="1"/>
    </xf>
    <xf numFmtId="0" fontId="138" fillId="0" borderId="239" xfId="0" applyFont="1" applyBorder="1" applyAlignment="1">
      <alignment horizontal="center" vertical="center" wrapText="1"/>
    </xf>
    <xf numFmtId="0" fontId="138" fillId="0" borderId="230" xfId="0" applyFont="1" applyBorder="1" applyAlignment="1">
      <alignment horizontal="center" vertical="center" wrapText="1"/>
    </xf>
    <xf numFmtId="0" fontId="138" fillId="0" borderId="233" xfId="0" applyFont="1" applyBorder="1" applyAlignment="1">
      <alignment horizontal="center" vertical="center" wrapText="1"/>
    </xf>
    <xf numFmtId="0" fontId="138" fillId="0" borderId="105" xfId="0" applyFont="1" applyBorder="1" applyAlignment="1">
      <alignment horizontal="center" vertical="center" wrapText="1"/>
    </xf>
    <xf numFmtId="0" fontId="138" fillId="0" borderId="102" xfId="0" applyFont="1" applyBorder="1" applyAlignment="1">
      <alignment horizontal="center" vertical="center" wrapText="1"/>
    </xf>
    <xf numFmtId="0" fontId="0" fillId="0" borderId="204" xfId="0" applyBorder="1" applyAlignment="1">
      <alignment horizontal="center" vertical="center" wrapText="1"/>
    </xf>
    <xf numFmtId="0" fontId="0" fillId="0" borderId="205" xfId="0" applyBorder="1" applyAlignment="1">
      <alignment horizontal="center" vertical="center" wrapText="1"/>
    </xf>
    <xf numFmtId="0" fontId="138" fillId="0" borderId="103" xfId="0" applyFont="1" applyBorder="1" applyAlignment="1">
      <alignment horizontal="center" vertical="center" wrapText="1"/>
    </xf>
    <xf numFmtId="0" fontId="138" fillId="0" borderId="0" xfId="0" applyFont="1" applyAlignment="1">
      <alignment horizontal="center" vertical="center" wrapText="1"/>
    </xf>
    <xf numFmtId="0" fontId="138" fillId="0" borderId="106" xfId="0" applyFont="1" applyBorder="1" applyAlignment="1">
      <alignment horizontal="center" vertical="center" wrapText="1"/>
    </xf>
    <xf numFmtId="0" fontId="138" fillId="0" borderId="226" xfId="0" applyFont="1" applyBorder="1" applyAlignment="1">
      <alignment horizontal="center" vertical="center" wrapText="1"/>
    </xf>
    <xf numFmtId="0" fontId="138" fillId="0" borderId="227" xfId="0" applyFont="1" applyBorder="1" applyAlignment="1">
      <alignment horizontal="center" vertical="center" wrapText="1"/>
    </xf>
    <xf numFmtId="0" fontId="138" fillId="0" borderId="228" xfId="0" applyFont="1" applyBorder="1" applyAlignment="1">
      <alignment horizontal="center" vertical="center" wrapText="1"/>
    </xf>
    <xf numFmtId="0" fontId="138" fillId="0" borderId="229" xfId="0" applyFont="1" applyBorder="1" applyAlignment="1">
      <alignment horizontal="center" vertical="center" wrapText="1"/>
    </xf>
    <xf numFmtId="0" fontId="138" fillId="0" borderId="231" xfId="0" applyFont="1" applyBorder="1" applyAlignment="1">
      <alignment horizontal="center" vertical="center" wrapText="1"/>
    </xf>
    <xf numFmtId="0" fontId="0" fillId="0" borderId="206" xfId="0" applyBorder="1" applyAlignment="1">
      <alignment horizontal="center" vertical="center" wrapText="1"/>
    </xf>
    <xf numFmtId="0" fontId="138" fillId="0" borderId="107" xfId="0" applyFont="1" applyBorder="1" applyAlignment="1">
      <alignment horizontal="center" vertical="center" wrapText="1"/>
    </xf>
  </cellXfs>
  <cellStyles count="337">
    <cellStyle name="20% - Accent1" xfId="1" builtinId="30" customBuiltin="1"/>
    <cellStyle name="20% - Accent1 1" xfId="2" xr:uid="{00000000-0005-0000-0000-000001000000}"/>
    <cellStyle name="20% - Accent1 2" xfId="3" xr:uid="{00000000-0005-0000-0000-000002000000}"/>
    <cellStyle name="20% - Accent1 3" xfId="4" xr:uid="{00000000-0005-0000-0000-000003000000}"/>
    <cellStyle name="20% - Accent1 4" xfId="5" xr:uid="{00000000-0005-0000-0000-000004000000}"/>
    <cellStyle name="20% - Accent1 5" xfId="6" xr:uid="{00000000-0005-0000-0000-000005000000}"/>
    <cellStyle name="20% - Accent1 6" xfId="7" xr:uid="{00000000-0005-0000-0000-000006000000}"/>
    <cellStyle name="20% - Accent1 7" xfId="8" xr:uid="{00000000-0005-0000-0000-000007000000}"/>
    <cellStyle name="20% - Accent2" xfId="9" builtinId="34" customBuiltin="1"/>
    <cellStyle name="20% - Accent2 1" xfId="10" xr:uid="{00000000-0005-0000-0000-000009000000}"/>
    <cellStyle name="20% - Accent2 2" xfId="11" xr:uid="{00000000-0005-0000-0000-00000A000000}"/>
    <cellStyle name="20% - Accent2 3" xfId="12" xr:uid="{00000000-0005-0000-0000-00000B000000}"/>
    <cellStyle name="20% - Accent2 4" xfId="13" xr:uid="{00000000-0005-0000-0000-00000C000000}"/>
    <cellStyle name="20% - Accent2 5" xfId="14" xr:uid="{00000000-0005-0000-0000-00000D000000}"/>
    <cellStyle name="20% - Accent2 6" xfId="15" xr:uid="{00000000-0005-0000-0000-00000E000000}"/>
    <cellStyle name="20% - Accent2 7" xfId="16" xr:uid="{00000000-0005-0000-0000-00000F000000}"/>
    <cellStyle name="20% - Accent3" xfId="17" builtinId="38" customBuiltin="1"/>
    <cellStyle name="20% - Accent3 1" xfId="18" xr:uid="{00000000-0005-0000-0000-000011000000}"/>
    <cellStyle name="20% - Accent3 2" xfId="19" xr:uid="{00000000-0005-0000-0000-000012000000}"/>
    <cellStyle name="20% - Accent3 3" xfId="20" xr:uid="{00000000-0005-0000-0000-000013000000}"/>
    <cellStyle name="20% - Accent3 4" xfId="21" xr:uid="{00000000-0005-0000-0000-000014000000}"/>
    <cellStyle name="20% - Accent3 5" xfId="22" xr:uid="{00000000-0005-0000-0000-000015000000}"/>
    <cellStyle name="20% - Accent3 6" xfId="23" xr:uid="{00000000-0005-0000-0000-000016000000}"/>
    <cellStyle name="20% - Accent3 7" xfId="24" xr:uid="{00000000-0005-0000-0000-000017000000}"/>
    <cellStyle name="20% - Accent4" xfId="25" builtinId="42" customBuiltin="1"/>
    <cellStyle name="20% - Accent4 1" xfId="26" xr:uid="{00000000-0005-0000-0000-000019000000}"/>
    <cellStyle name="20% - Accent4 2" xfId="27" xr:uid="{00000000-0005-0000-0000-00001A000000}"/>
    <cellStyle name="20% - Accent4 3" xfId="28" xr:uid="{00000000-0005-0000-0000-00001B000000}"/>
    <cellStyle name="20% - Accent4 4" xfId="29" xr:uid="{00000000-0005-0000-0000-00001C000000}"/>
    <cellStyle name="20% - Accent4 5" xfId="30" xr:uid="{00000000-0005-0000-0000-00001D000000}"/>
    <cellStyle name="20% - Accent4 6" xfId="31" xr:uid="{00000000-0005-0000-0000-00001E000000}"/>
    <cellStyle name="20% - Accent4 7" xfId="32" xr:uid="{00000000-0005-0000-0000-00001F000000}"/>
    <cellStyle name="20% - Accent5" xfId="33" builtinId="46" customBuiltin="1"/>
    <cellStyle name="20% - Accent5 1" xfId="34" xr:uid="{00000000-0005-0000-0000-000021000000}"/>
    <cellStyle name="20% - Accent5 2" xfId="35" xr:uid="{00000000-0005-0000-0000-000022000000}"/>
    <cellStyle name="20% - Accent5 3" xfId="36" xr:uid="{00000000-0005-0000-0000-000023000000}"/>
    <cellStyle name="20% - Accent5 4" xfId="37" xr:uid="{00000000-0005-0000-0000-000024000000}"/>
    <cellStyle name="20% - Accent5 5" xfId="38" xr:uid="{00000000-0005-0000-0000-000025000000}"/>
    <cellStyle name="20% - Accent5 6" xfId="39" xr:uid="{00000000-0005-0000-0000-000026000000}"/>
    <cellStyle name="20% - Accent5 7" xfId="40" xr:uid="{00000000-0005-0000-0000-000027000000}"/>
    <cellStyle name="20% - Accent6" xfId="41" builtinId="50" customBuiltin="1"/>
    <cellStyle name="20% - Accent6 1" xfId="42" xr:uid="{00000000-0005-0000-0000-000029000000}"/>
    <cellStyle name="20% - Accent6 2" xfId="43" xr:uid="{00000000-0005-0000-0000-00002A000000}"/>
    <cellStyle name="20% - Accent6 3" xfId="44" xr:uid="{00000000-0005-0000-0000-00002B000000}"/>
    <cellStyle name="20% - Accent6 4" xfId="45" xr:uid="{00000000-0005-0000-0000-00002C000000}"/>
    <cellStyle name="20% - Accent6 5" xfId="46" xr:uid="{00000000-0005-0000-0000-00002D000000}"/>
    <cellStyle name="20% - Accent6 6" xfId="47" xr:uid="{00000000-0005-0000-0000-00002E000000}"/>
    <cellStyle name="20% - Accent6 7" xfId="48" xr:uid="{00000000-0005-0000-0000-00002F000000}"/>
    <cellStyle name="40% - Accent1" xfId="49" builtinId="31" customBuiltin="1"/>
    <cellStyle name="40% - Accent1 1" xfId="50" xr:uid="{00000000-0005-0000-0000-000031000000}"/>
    <cellStyle name="40% - Accent1 2" xfId="51" xr:uid="{00000000-0005-0000-0000-000032000000}"/>
    <cellStyle name="40% - Accent1 3" xfId="52" xr:uid="{00000000-0005-0000-0000-000033000000}"/>
    <cellStyle name="40% - Accent1 4" xfId="53" xr:uid="{00000000-0005-0000-0000-000034000000}"/>
    <cellStyle name="40% - Accent1 5" xfId="54" xr:uid="{00000000-0005-0000-0000-000035000000}"/>
    <cellStyle name="40% - Accent1 6" xfId="55" xr:uid="{00000000-0005-0000-0000-000036000000}"/>
    <cellStyle name="40% - Accent1 7" xfId="56" xr:uid="{00000000-0005-0000-0000-000037000000}"/>
    <cellStyle name="40% - Accent2" xfId="57" builtinId="35" customBuiltin="1"/>
    <cellStyle name="40% - Accent2 1" xfId="58" xr:uid="{00000000-0005-0000-0000-000039000000}"/>
    <cellStyle name="40% - Accent2 2" xfId="59" xr:uid="{00000000-0005-0000-0000-00003A000000}"/>
    <cellStyle name="40% - Accent2 3" xfId="60" xr:uid="{00000000-0005-0000-0000-00003B000000}"/>
    <cellStyle name="40% - Accent2 4" xfId="61" xr:uid="{00000000-0005-0000-0000-00003C000000}"/>
    <cellStyle name="40% - Accent2 5" xfId="62" xr:uid="{00000000-0005-0000-0000-00003D000000}"/>
    <cellStyle name="40% - Accent2 6" xfId="63" xr:uid="{00000000-0005-0000-0000-00003E000000}"/>
    <cellStyle name="40% - Accent2 7" xfId="64" xr:uid="{00000000-0005-0000-0000-00003F000000}"/>
    <cellStyle name="40% - Accent3" xfId="65" builtinId="39" customBuiltin="1"/>
    <cellStyle name="40% - Accent3 1" xfId="66" xr:uid="{00000000-0005-0000-0000-000041000000}"/>
    <cellStyle name="40% - Accent3 2" xfId="67" xr:uid="{00000000-0005-0000-0000-000042000000}"/>
    <cellStyle name="40% - Accent3 3" xfId="68" xr:uid="{00000000-0005-0000-0000-000043000000}"/>
    <cellStyle name="40% - Accent3 4" xfId="69" xr:uid="{00000000-0005-0000-0000-000044000000}"/>
    <cellStyle name="40% - Accent3 5" xfId="70" xr:uid="{00000000-0005-0000-0000-000045000000}"/>
    <cellStyle name="40% - Accent3 6" xfId="71" xr:uid="{00000000-0005-0000-0000-000046000000}"/>
    <cellStyle name="40% - Accent3 7" xfId="72" xr:uid="{00000000-0005-0000-0000-000047000000}"/>
    <cellStyle name="40% - Accent4" xfId="73" builtinId="43" customBuiltin="1"/>
    <cellStyle name="40% - Accent4 1" xfId="74" xr:uid="{00000000-0005-0000-0000-000049000000}"/>
    <cellStyle name="40% - Accent4 2" xfId="75" xr:uid="{00000000-0005-0000-0000-00004A000000}"/>
    <cellStyle name="40% - Accent4 3" xfId="76" xr:uid="{00000000-0005-0000-0000-00004B000000}"/>
    <cellStyle name="40% - Accent4 4" xfId="77" xr:uid="{00000000-0005-0000-0000-00004C000000}"/>
    <cellStyle name="40% - Accent4 5" xfId="78" xr:uid="{00000000-0005-0000-0000-00004D000000}"/>
    <cellStyle name="40% - Accent4 6" xfId="79" xr:uid="{00000000-0005-0000-0000-00004E000000}"/>
    <cellStyle name="40% - Accent4 7" xfId="80" xr:uid="{00000000-0005-0000-0000-00004F000000}"/>
    <cellStyle name="40% - Accent5" xfId="81" builtinId="47" customBuiltin="1"/>
    <cellStyle name="40% - Accent5 1" xfId="82" xr:uid="{00000000-0005-0000-0000-000051000000}"/>
    <cellStyle name="40% - Accent5 2" xfId="83" xr:uid="{00000000-0005-0000-0000-000052000000}"/>
    <cellStyle name="40% - Accent5 3" xfId="84" xr:uid="{00000000-0005-0000-0000-000053000000}"/>
    <cellStyle name="40% - Accent5 4" xfId="85" xr:uid="{00000000-0005-0000-0000-000054000000}"/>
    <cellStyle name="40% - Accent5 5" xfId="86" xr:uid="{00000000-0005-0000-0000-000055000000}"/>
    <cellStyle name="40% - Accent5 6" xfId="87" xr:uid="{00000000-0005-0000-0000-000056000000}"/>
    <cellStyle name="40% - Accent5 7" xfId="88" xr:uid="{00000000-0005-0000-0000-000057000000}"/>
    <cellStyle name="40% - Accent6" xfId="89" builtinId="51" customBuiltin="1"/>
    <cellStyle name="40% - Accent6 1" xfId="90" xr:uid="{00000000-0005-0000-0000-000059000000}"/>
    <cellStyle name="40% - Accent6 2" xfId="91" xr:uid="{00000000-0005-0000-0000-00005A000000}"/>
    <cellStyle name="40% - Accent6 3" xfId="92" xr:uid="{00000000-0005-0000-0000-00005B000000}"/>
    <cellStyle name="40% - Accent6 4" xfId="93" xr:uid="{00000000-0005-0000-0000-00005C000000}"/>
    <cellStyle name="40% - Accent6 5" xfId="94" xr:uid="{00000000-0005-0000-0000-00005D000000}"/>
    <cellStyle name="40% - Accent6 6" xfId="95" xr:uid="{00000000-0005-0000-0000-00005E000000}"/>
    <cellStyle name="40% - Accent6 7" xfId="96" xr:uid="{00000000-0005-0000-0000-00005F000000}"/>
    <cellStyle name="60% - Accent1" xfId="97" builtinId="32" customBuiltin="1"/>
    <cellStyle name="60% - Accent1 1" xfId="98" xr:uid="{00000000-0005-0000-0000-000061000000}"/>
    <cellStyle name="60% - Accent1 2" xfId="99" xr:uid="{00000000-0005-0000-0000-000062000000}"/>
    <cellStyle name="60% - Accent1 3" xfId="100" xr:uid="{00000000-0005-0000-0000-000063000000}"/>
    <cellStyle name="60% - Accent1 4" xfId="101" xr:uid="{00000000-0005-0000-0000-000064000000}"/>
    <cellStyle name="60% - Accent1 5" xfId="102" xr:uid="{00000000-0005-0000-0000-000065000000}"/>
    <cellStyle name="60% - Accent1 6" xfId="103" xr:uid="{00000000-0005-0000-0000-000066000000}"/>
    <cellStyle name="60% - Accent1 7" xfId="104" xr:uid="{00000000-0005-0000-0000-000067000000}"/>
    <cellStyle name="60% - Accent2" xfId="105" builtinId="36" customBuiltin="1"/>
    <cellStyle name="60% - Accent2 1" xfId="106" xr:uid="{00000000-0005-0000-0000-000069000000}"/>
    <cellStyle name="60% - Accent2 2" xfId="107" xr:uid="{00000000-0005-0000-0000-00006A000000}"/>
    <cellStyle name="60% - Accent2 3" xfId="108" xr:uid="{00000000-0005-0000-0000-00006B000000}"/>
    <cellStyle name="60% - Accent2 4" xfId="109" xr:uid="{00000000-0005-0000-0000-00006C000000}"/>
    <cellStyle name="60% - Accent2 5" xfId="110" xr:uid="{00000000-0005-0000-0000-00006D000000}"/>
    <cellStyle name="60% - Accent2 6" xfId="111" xr:uid="{00000000-0005-0000-0000-00006E000000}"/>
    <cellStyle name="60% - Accent2 7" xfId="112" xr:uid="{00000000-0005-0000-0000-00006F000000}"/>
    <cellStyle name="60% - Accent3" xfId="113" builtinId="40" customBuiltin="1"/>
    <cellStyle name="60% - Accent3 1" xfId="114" xr:uid="{00000000-0005-0000-0000-000071000000}"/>
    <cellStyle name="60% - Accent3 2" xfId="115" xr:uid="{00000000-0005-0000-0000-000072000000}"/>
    <cellStyle name="60% - Accent3 3" xfId="116" xr:uid="{00000000-0005-0000-0000-000073000000}"/>
    <cellStyle name="60% - Accent3 4" xfId="117" xr:uid="{00000000-0005-0000-0000-000074000000}"/>
    <cellStyle name="60% - Accent3 5" xfId="118" xr:uid="{00000000-0005-0000-0000-000075000000}"/>
    <cellStyle name="60% - Accent3 6" xfId="119" xr:uid="{00000000-0005-0000-0000-000076000000}"/>
    <cellStyle name="60% - Accent3 7" xfId="120" xr:uid="{00000000-0005-0000-0000-000077000000}"/>
    <cellStyle name="60% - Accent4" xfId="121" builtinId="44" customBuiltin="1"/>
    <cellStyle name="60% - Accent4 1" xfId="122" xr:uid="{00000000-0005-0000-0000-000079000000}"/>
    <cellStyle name="60% - Accent4 2" xfId="123" xr:uid="{00000000-0005-0000-0000-00007A000000}"/>
    <cellStyle name="60% - Accent4 3" xfId="124" xr:uid="{00000000-0005-0000-0000-00007B000000}"/>
    <cellStyle name="60% - Accent4 4" xfId="125" xr:uid="{00000000-0005-0000-0000-00007C000000}"/>
    <cellStyle name="60% - Accent4 5" xfId="126" xr:uid="{00000000-0005-0000-0000-00007D000000}"/>
    <cellStyle name="60% - Accent4 6" xfId="127" xr:uid="{00000000-0005-0000-0000-00007E000000}"/>
    <cellStyle name="60% - Accent4 7" xfId="128" xr:uid="{00000000-0005-0000-0000-00007F000000}"/>
    <cellStyle name="60% - Accent5" xfId="129" builtinId="48" customBuiltin="1"/>
    <cellStyle name="60% - Accent5 1" xfId="130" xr:uid="{00000000-0005-0000-0000-000081000000}"/>
    <cellStyle name="60% - Accent5 2" xfId="131" xr:uid="{00000000-0005-0000-0000-000082000000}"/>
    <cellStyle name="60% - Accent5 3" xfId="132" xr:uid="{00000000-0005-0000-0000-000083000000}"/>
    <cellStyle name="60% - Accent5 4" xfId="133" xr:uid="{00000000-0005-0000-0000-000084000000}"/>
    <cellStyle name="60% - Accent5 5" xfId="134" xr:uid="{00000000-0005-0000-0000-000085000000}"/>
    <cellStyle name="60% - Accent5 6" xfId="135" xr:uid="{00000000-0005-0000-0000-000086000000}"/>
    <cellStyle name="60% - Accent5 7" xfId="136" xr:uid="{00000000-0005-0000-0000-000087000000}"/>
    <cellStyle name="60% - Accent6" xfId="137" builtinId="52" customBuiltin="1"/>
    <cellStyle name="60% - Accent6 1" xfId="138" xr:uid="{00000000-0005-0000-0000-000089000000}"/>
    <cellStyle name="60% - Accent6 2" xfId="139" xr:uid="{00000000-0005-0000-0000-00008A000000}"/>
    <cellStyle name="60% - Accent6 3" xfId="140" xr:uid="{00000000-0005-0000-0000-00008B000000}"/>
    <cellStyle name="60% - Accent6 4" xfId="141" xr:uid="{00000000-0005-0000-0000-00008C000000}"/>
    <cellStyle name="60% - Accent6 5" xfId="142" xr:uid="{00000000-0005-0000-0000-00008D000000}"/>
    <cellStyle name="60% - Accent6 6" xfId="143" xr:uid="{00000000-0005-0000-0000-00008E000000}"/>
    <cellStyle name="60% - Accent6 7" xfId="144" xr:uid="{00000000-0005-0000-0000-00008F000000}"/>
    <cellStyle name="Accent1" xfId="145" builtinId="29" customBuiltin="1"/>
    <cellStyle name="Accent1 1" xfId="146" xr:uid="{00000000-0005-0000-0000-000091000000}"/>
    <cellStyle name="Accent1 2" xfId="147" xr:uid="{00000000-0005-0000-0000-000092000000}"/>
    <cellStyle name="Accent1 3" xfId="148" xr:uid="{00000000-0005-0000-0000-000093000000}"/>
    <cellStyle name="Accent1 4" xfId="149" xr:uid="{00000000-0005-0000-0000-000094000000}"/>
    <cellStyle name="Accent1 5" xfId="150" xr:uid="{00000000-0005-0000-0000-000095000000}"/>
    <cellStyle name="Accent1 6" xfId="151" xr:uid="{00000000-0005-0000-0000-000096000000}"/>
    <cellStyle name="Accent1 7" xfId="152" xr:uid="{00000000-0005-0000-0000-000097000000}"/>
    <cellStyle name="Accent2" xfId="153" builtinId="33" customBuiltin="1"/>
    <cellStyle name="Accent2 1" xfId="154" xr:uid="{00000000-0005-0000-0000-000099000000}"/>
    <cellStyle name="Accent2 2" xfId="155" xr:uid="{00000000-0005-0000-0000-00009A000000}"/>
    <cellStyle name="Accent2 3" xfId="156" xr:uid="{00000000-0005-0000-0000-00009B000000}"/>
    <cellStyle name="Accent2 4" xfId="157" xr:uid="{00000000-0005-0000-0000-00009C000000}"/>
    <cellStyle name="Accent2 5" xfId="158" xr:uid="{00000000-0005-0000-0000-00009D000000}"/>
    <cellStyle name="Accent2 6" xfId="159" xr:uid="{00000000-0005-0000-0000-00009E000000}"/>
    <cellStyle name="Accent2 7" xfId="160" xr:uid="{00000000-0005-0000-0000-00009F000000}"/>
    <cellStyle name="Accent3" xfId="161" builtinId="37" customBuiltin="1"/>
    <cellStyle name="Accent3 1" xfId="162" xr:uid="{00000000-0005-0000-0000-0000A1000000}"/>
    <cellStyle name="Accent3 2" xfId="163" xr:uid="{00000000-0005-0000-0000-0000A2000000}"/>
    <cellStyle name="Accent3 3" xfId="164" xr:uid="{00000000-0005-0000-0000-0000A3000000}"/>
    <cellStyle name="Accent3 4" xfId="165" xr:uid="{00000000-0005-0000-0000-0000A4000000}"/>
    <cellStyle name="Accent3 5" xfId="166" xr:uid="{00000000-0005-0000-0000-0000A5000000}"/>
    <cellStyle name="Accent3 6" xfId="167" xr:uid="{00000000-0005-0000-0000-0000A6000000}"/>
    <cellStyle name="Accent3 7" xfId="168" xr:uid="{00000000-0005-0000-0000-0000A7000000}"/>
    <cellStyle name="Accent4" xfId="169" builtinId="41" customBuiltin="1"/>
    <cellStyle name="Accent4 1" xfId="170" xr:uid="{00000000-0005-0000-0000-0000A9000000}"/>
    <cellStyle name="Accent4 2" xfId="171" xr:uid="{00000000-0005-0000-0000-0000AA000000}"/>
    <cellStyle name="Accent4 3" xfId="172" xr:uid="{00000000-0005-0000-0000-0000AB000000}"/>
    <cellStyle name="Accent4 4" xfId="173" xr:uid="{00000000-0005-0000-0000-0000AC000000}"/>
    <cellStyle name="Accent4 5" xfId="174" xr:uid="{00000000-0005-0000-0000-0000AD000000}"/>
    <cellStyle name="Accent4 6" xfId="175" xr:uid="{00000000-0005-0000-0000-0000AE000000}"/>
    <cellStyle name="Accent4 7" xfId="176" xr:uid="{00000000-0005-0000-0000-0000AF000000}"/>
    <cellStyle name="Accent5" xfId="177" builtinId="45" customBuiltin="1"/>
    <cellStyle name="Accent5 1" xfId="178" xr:uid="{00000000-0005-0000-0000-0000B1000000}"/>
    <cellStyle name="Accent5 2" xfId="179" xr:uid="{00000000-0005-0000-0000-0000B2000000}"/>
    <cellStyle name="Accent5 3" xfId="180" xr:uid="{00000000-0005-0000-0000-0000B3000000}"/>
    <cellStyle name="Accent5 4" xfId="181" xr:uid="{00000000-0005-0000-0000-0000B4000000}"/>
    <cellStyle name="Accent5 5" xfId="182" xr:uid="{00000000-0005-0000-0000-0000B5000000}"/>
    <cellStyle name="Accent5 6" xfId="183" xr:uid="{00000000-0005-0000-0000-0000B6000000}"/>
    <cellStyle name="Accent5 7" xfId="184" xr:uid="{00000000-0005-0000-0000-0000B7000000}"/>
    <cellStyle name="Accent6" xfId="185" builtinId="49" customBuiltin="1"/>
    <cellStyle name="Accent6 1" xfId="186" xr:uid="{00000000-0005-0000-0000-0000B9000000}"/>
    <cellStyle name="Accent6 2" xfId="187" xr:uid="{00000000-0005-0000-0000-0000BA000000}"/>
    <cellStyle name="Accent6 3" xfId="188" xr:uid="{00000000-0005-0000-0000-0000BB000000}"/>
    <cellStyle name="Accent6 4" xfId="189" xr:uid="{00000000-0005-0000-0000-0000BC000000}"/>
    <cellStyle name="Accent6 5" xfId="190" xr:uid="{00000000-0005-0000-0000-0000BD000000}"/>
    <cellStyle name="Accent6 6" xfId="191" xr:uid="{00000000-0005-0000-0000-0000BE000000}"/>
    <cellStyle name="Accent6 7" xfId="192" xr:uid="{00000000-0005-0000-0000-0000BF000000}"/>
    <cellStyle name="Bad" xfId="193" builtinId="27" customBuiltin="1"/>
    <cellStyle name="Bad 1" xfId="194" xr:uid="{00000000-0005-0000-0000-0000C1000000}"/>
    <cellStyle name="Bad 2" xfId="195" xr:uid="{00000000-0005-0000-0000-0000C2000000}"/>
    <cellStyle name="Bad 3" xfId="196" xr:uid="{00000000-0005-0000-0000-0000C3000000}"/>
    <cellStyle name="Bad 4" xfId="197" xr:uid="{00000000-0005-0000-0000-0000C4000000}"/>
    <cellStyle name="Bad 5" xfId="198" xr:uid="{00000000-0005-0000-0000-0000C5000000}"/>
    <cellStyle name="Bad 6" xfId="199" xr:uid="{00000000-0005-0000-0000-0000C6000000}"/>
    <cellStyle name="Bad 7" xfId="200" xr:uid="{00000000-0005-0000-0000-0000C7000000}"/>
    <cellStyle name="Calculation" xfId="201" builtinId="22" customBuiltin="1"/>
    <cellStyle name="Calculation 1" xfId="202" xr:uid="{00000000-0005-0000-0000-0000C9000000}"/>
    <cellStyle name="Calculation 2" xfId="203" xr:uid="{00000000-0005-0000-0000-0000CA000000}"/>
    <cellStyle name="Calculation 3" xfId="204" xr:uid="{00000000-0005-0000-0000-0000CB000000}"/>
    <cellStyle name="Calculation 4" xfId="205" xr:uid="{00000000-0005-0000-0000-0000CC000000}"/>
    <cellStyle name="Calculation 5" xfId="206" xr:uid="{00000000-0005-0000-0000-0000CD000000}"/>
    <cellStyle name="Calculation 6" xfId="207" xr:uid="{00000000-0005-0000-0000-0000CE000000}"/>
    <cellStyle name="Calculation 7" xfId="208" xr:uid="{00000000-0005-0000-0000-0000CF000000}"/>
    <cellStyle name="Check Cell" xfId="209" builtinId="23" customBuiltin="1"/>
    <cellStyle name="Check Cell 1" xfId="210" xr:uid="{00000000-0005-0000-0000-0000D1000000}"/>
    <cellStyle name="Check Cell 2" xfId="211" xr:uid="{00000000-0005-0000-0000-0000D2000000}"/>
    <cellStyle name="Check Cell 3" xfId="212" xr:uid="{00000000-0005-0000-0000-0000D3000000}"/>
    <cellStyle name="Check Cell 4" xfId="213" xr:uid="{00000000-0005-0000-0000-0000D4000000}"/>
    <cellStyle name="Check Cell 5" xfId="214" xr:uid="{00000000-0005-0000-0000-0000D5000000}"/>
    <cellStyle name="Check Cell 6" xfId="215" xr:uid="{00000000-0005-0000-0000-0000D6000000}"/>
    <cellStyle name="Check Cell 7" xfId="216" xr:uid="{00000000-0005-0000-0000-0000D7000000}"/>
    <cellStyle name="Comma" xfId="217" builtinId="3"/>
    <cellStyle name="Excel Built-in Normal" xfId="218" xr:uid="{00000000-0005-0000-0000-0000D9000000}"/>
    <cellStyle name="Explanatory Text" xfId="219" builtinId="53" customBuiltin="1"/>
    <cellStyle name="Explanatory Text 1" xfId="220" xr:uid="{00000000-0005-0000-0000-0000DB000000}"/>
    <cellStyle name="Explanatory Text 2" xfId="221" xr:uid="{00000000-0005-0000-0000-0000DC000000}"/>
    <cellStyle name="Explanatory Text 3" xfId="222" xr:uid="{00000000-0005-0000-0000-0000DD000000}"/>
    <cellStyle name="Explanatory Text 4" xfId="223" xr:uid="{00000000-0005-0000-0000-0000DE000000}"/>
    <cellStyle name="Explanatory Text 5" xfId="224" xr:uid="{00000000-0005-0000-0000-0000DF000000}"/>
    <cellStyle name="Explanatory Text 6" xfId="225" xr:uid="{00000000-0005-0000-0000-0000E0000000}"/>
    <cellStyle name="Explanatory Text 7" xfId="226" xr:uid="{00000000-0005-0000-0000-0000E1000000}"/>
    <cellStyle name="Good" xfId="227" builtinId="26" customBuiltin="1"/>
    <cellStyle name="Good 1" xfId="228" xr:uid="{00000000-0005-0000-0000-0000E3000000}"/>
    <cellStyle name="Good 2" xfId="229" xr:uid="{00000000-0005-0000-0000-0000E4000000}"/>
    <cellStyle name="Good 3" xfId="230" xr:uid="{00000000-0005-0000-0000-0000E5000000}"/>
    <cellStyle name="Good 4" xfId="231" xr:uid="{00000000-0005-0000-0000-0000E6000000}"/>
    <cellStyle name="Good 5" xfId="232" xr:uid="{00000000-0005-0000-0000-0000E7000000}"/>
    <cellStyle name="Good 6" xfId="233" xr:uid="{00000000-0005-0000-0000-0000E8000000}"/>
    <cellStyle name="Good 7" xfId="234" xr:uid="{00000000-0005-0000-0000-0000E9000000}"/>
    <cellStyle name="Heading 1" xfId="235" builtinId="16" customBuiltin="1"/>
    <cellStyle name="Heading 1 1" xfId="236" xr:uid="{00000000-0005-0000-0000-0000EB000000}"/>
    <cellStyle name="Heading 1 2" xfId="237" xr:uid="{00000000-0005-0000-0000-0000EC000000}"/>
    <cellStyle name="Heading 1 3" xfId="238" xr:uid="{00000000-0005-0000-0000-0000ED000000}"/>
    <cellStyle name="Heading 1 4" xfId="239" xr:uid="{00000000-0005-0000-0000-0000EE000000}"/>
    <cellStyle name="Heading 1 5" xfId="240" xr:uid="{00000000-0005-0000-0000-0000EF000000}"/>
    <cellStyle name="Heading 1 6" xfId="241" xr:uid="{00000000-0005-0000-0000-0000F0000000}"/>
    <cellStyle name="Heading 1 7" xfId="242" xr:uid="{00000000-0005-0000-0000-0000F1000000}"/>
    <cellStyle name="Heading 2" xfId="243" builtinId="17" customBuiltin="1"/>
    <cellStyle name="Heading 2 1" xfId="244" xr:uid="{00000000-0005-0000-0000-0000F3000000}"/>
    <cellStyle name="Heading 2 2" xfId="245" xr:uid="{00000000-0005-0000-0000-0000F4000000}"/>
    <cellStyle name="Heading 2 3" xfId="246" xr:uid="{00000000-0005-0000-0000-0000F5000000}"/>
    <cellStyle name="Heading 2 4" xfId="247" xr:uid="{00000000-0005-0000-0000-0000F6000000}"/>
    <cellStyle name="Heading 2 5" xfId="248" xr:uid="{00000000-0005-0000-0000-0000F7000000}"/>
    <cellStyle name="Heading 2 6" xfId="249" xr:uid="{00000000-0005-0000-0000-0000F8000000}"/>
    <cellStyle name="Heading 2 7" xfId="250" xr:uid="{00000000-0005-0000-0000-0000F9000000}"/>
    <cellStyle name="Heading 3" xfId="251" builtinId="18" customBuiltin="1"/>
    <cellStyle name="Heading 3 1" xfId="252" xr:uid="{00000000-0005-0000-0000-0000FB000000}"/>
    <cellStyle name="Heading 3 2" xfId="253" xr:uid="{00000000-0005-0000-0000-0000FC000000}"/>
    <cellStyle name="Heading 3 3" xfId="254" xr:uid="{00000000-0005-0000-0000-0000FD000000}"/>
    <cellStyle name="Heading 3 4" xfId="255" xr:uid="{00000000-0005-0000-0000-0000FE000000}"/>
    <cellStyle name="Heading 3 5" xfId="256" xr:uid="{00000000-0005-0000-0000-0000FF000000}"/>
    <cellStyle name="Heading 3 6" xfId="257" xr:uid="{00000000-0005-0000-0000-000000010000}"/>
    <cellStyle name="Heading 3 7" xfId="258" xr:uid="{00000000-0005-0000-0000-000001010000}"/>
    <cellStyle name="Heading 4" xfId="259" builtinId="19" customBuiltin="1"/>
    <cellStyle name="Heading 4 1" xfId="260" xr:uid="{00000000-0005-0000-0000-000003010000}"/>
    <cellStyle name="Heading 4 2" xfId="261" xr:uid="{00000000-0005-0000-0000-000004010000}"/>
    <cellStyle name="Heading 4 3" xfId="262" xr:uid="{00000000-0005-0000-0000-000005010000}"/>
    <cellStyle name="Heading 4 4" xfId="263" xr:uid="{00000000-0005-0000-0000-000006010000}"/>
    <cellStyle name="Heading 4 5" xfId="264" xr:uid="{00000000-0005-0000-0000-000007010000}"/>
    <cellStyle name="Heading 4 6" xfId="265" xr:uid="{00000000-0005-0000-0000-000008010000}"/>
    <cellStyle name="Heading 4 7" xfId="266" xr:uid="{00000000-0005-0000-0000-000009010000}"/>
    <cellStyle name="Hyperlink" xfId="267" builtinId="8"/>
    <cellStyle name="Input" xfId="268" builtinId="20" customBuiltin="1"/>
    <cellStyle name="Input 1" xfId="269" xr:uid="{00000000-0005-0000-0000-00000C010000}"/>
    <cellStyle name="Input 2" xfId="270" xr:uid="{00000000-0005-0000-0000-00000D010000}"/>
    <cellStyle name="Input 3" xfId="271" xr:uid="{00000000-0005-0000-0000-00000E010000}"/>
    <cellStyle name="Input 4" xfId="272" xr:uid="{00000000-0005-0000-0000-00000F010000}"/>
    <cellStyle name="Input 5" xfId="273" xr:uid="{00000000-0005-0000-0000-000010010000}"/>
    <cellStyle name="Input 6" xfId="274" xr:uid="{00000000-0005-0000-0000-000011010000}"/>
    <cellStyle name="Input 7" xfId="275" xr:uid="{00000000-0005-0000-0000-000012010000}"/>
    <cellStyle name="Linked Cell" xfId="276" builtinId="24" customBuiltin="1"/>
    <cellStyle name="Linked Cell 1" xfId="277" xr:uid="{00000000-0005-0000-0000-000014010000}"/>
    <cellStyle name="Linked Cell 2" xfId="278" xr:uid="{00000000-0005-0000-0000-000015010000}"/>
    <cellStyle name="Linked Cell 3" xfId="279" xr:uid="{00000000-0005-0000-0000-000016010000}"/>
    <cellStyle name="Linked Cell 4" xfId="280" xr:uid="{00000000-0005-0000-0000-000017010000}"/>
    <cellStyle name="Linked Cell 5" xfId="281" xr:uid="{00000000-0005-0000-0000-000018010000}"/>
    <cellStyle name="Linked Cell 6" xfId="282" xr:uid="{00000000-0005-0000-0000-000019010000}"/>
    <cellStyle name="Linked Cell 7" xfId="283" xr:uid="{00000000-0005-0000-0000-00001A010000}"/>
    <cellStyle name="Neutral" xfId="284" builtinId="28" customBuiltin="1"/>
    <cellStyle name="Neutral 1" xfId="285" xr:uid="{00000000-0005-0000-0000-00001C010000}"/>
    <cellStyle name="Neutral 2" xfId="286" xr:uid="{00000000-0005-0000-0000-00001D010000}"/>
    <cellStyle name="Neutral 3" xfId="287" xr:uid="{00000000-0005-0000-0000-00001E010000}"/>
    <cellStyle name="Neutral 4" xfId="288" xr:uid="{00000000-0005-0000-0000-00001F010000}"/>
    <cellStyle name="Neutral 5" xfId="289" xr:uid="{00000000-0005-0000-0000-000020010000}"/>
    <cellStyle name="Neutral 6" xfId="290" xr:uid="{00000000-0005-0000-0000-000021010000}"/>
    <cellStyle name="Neutral 7" xfId="291" xr:uid="{00000000-0005-0000-0000-000022010000}"/>
    <cellStyle name="Normal" xfId="0" builtinId="0"/>
    <cellStyle name="Normal 2" xfId="292" xr:uid="{00000000-0005-0000-0000-000024010000}"/>
    <cellStyle name="Normal 3" xfId="335" xr:uid="{00000000-0005-0000-0000-000025010000}"/>
    <cellStyle name="Normal 4" xfId="336" xr:uid="{00000000-0005-0000-0000-000026010000}"/>
    <cellStyle name="Note" xfId="293" builtinId="10" customBuiltin="1"/>
    <cellStyle name="Note 1" xfId="294" xr:uid="{00000000-0005-0000-0000-000028010000}"/>
    <cellStyle name="Note 2" xfId="295" xr:uid="{00000000-0005-0000-0000-000029010000}"/>
    <cellStyle name="Note 3" xfId="296" xr:uid="{00000000-0005-0000-0000-00002A010000}"/>
    <cellStyle name="Note 4" xfId="297" xr:uid="{00000000-0005-0000-0000-00002B010000}"/>
    <cellStyle name="Note 5" xfId="298" xr:uid="{00000000-0005-0000-0000-00002C010000}"/>
    <cellStyle name="Note 6" xfId="299" xr:uid="{00000000-0005-0000-0000-00002D010000}"/>
    <cellStyle name="Note 7" xfId="300" xr:uid="{00000000-0005-0000-0000-00002E010000}"/>
    <cellStyle name="Output" xfId="301" builtinId="21" customBuiltin="1"/>
    <cellStyle name="Output 1" xfId="302" xr:uid="{00000000-0005-0000-0000-000030010000}"/>
    <cellStyle name="Output 2" xfId="303" xr:uid="{00000000-0005-0000-0000-000031010000}"/>
    <cellStyle name="Output 3" xfId="304" xr:uid="{00000000-0005-0000-0000-000032010000}"/>
    <cellStyle name="Output 4" xfId="305" xr:uid="{00000000-0005-0000-0000-000033010000}"/>
    <cellStyle name="Output 5" xfId="306" xr:uid="{00000000-0005-0000-0000-000034010000}"/>
    <cellStyle name="Output 6" xfId="307" xr:uid="{00000000-0005-0000-0000-000035010000}"/>
    <cellStyle name="Output 7" xfId="308" xr:uid="{00000000-0005-0000-0000-000036010000}"/>
    <cellStyle name="Sun4" xfId="309" xr:uid="{00000000-0005-0000-0000-000037010000}"/>
    <cellStyle name="Sun4H" xfId="310" xr:uid="{00000000-0005-0000-0000-000038010000}"/>
    <cellStyle name="Title" xfId="311" builtinId="15" customBuiltin="1"/>
    <cellStyle name="Title 1" xfId="312" xr:uid="{00000000-0005-0000-0000-00003A010000}"/>
    <cellStyle name="Title 2" xfId="313" xr:uid="{00000000-0005-0000-0000-00003B010000}"/>
    <cellStyle name="Title 3" xfId="314" xr:uid="{00000000-0005-0000-0000-00003C010000}"/>
    <cellStyle name="Title 4" xfId="315" xr:uid="{00000000-0005-0000-0000-00003D010000}"/>
    <cellStyle name="Title 5" xfId="316" xr:uid="{00000000-0005-0000-0000-00003E010000}"/>
    <cellStyle name="Title 6" xfId="317" xr:uid="{00000000-0005-0000-0000-00003F010000}"/>
    <cellStyle name="Title 7" xfId="318" xr:uid="{00000000-0005-0000-0000-000040010000}"/>
    <cellStyle name="Total" xfId="319" builtinId="25" customBuiltin="1"/>
    <cellStyle name="Total 1" xfId="320" xr:uid="{00000000-0005-0000-0000-000042010000}"/>
    <cellStyle name="Total 2" xfId="321" xr:uid="{00000000-0005-0000-0000-000043010000}"/>
    <cellStyle name="Total 3" xfId="322" xr:uid="{00000000-0005-0000-0000-000044010000}"/>
    <cellStyle name="Total 4" xfId="323" xr:uid="{00000000-0005-0000-0000-000045010000}"/>
    <cellStyle name="Total 5" xfId="324" xr:uid="{00000000-0005-0000-0000-000046010000}"/>
    <cellStyle name="Total 6" xfId="325" xr:uid="{00000000-0005-0000-0000-000047010000}"/>
    <cellStyle name="Total 7" xfId="326" xr:uid="{00000000-0005-0000-0000-000048010000}"/>
    <cellStyle name="Warning Text" xfId="327" builtinId="11" customBuiltin="1"/>
    <cellStyle name="Warning Text 1" xfId="328" xr:uid="{00000000-0005-0000-0000-00004A010000}"/>
    <cellStyle name="Warning Text 2" xfId="329" xr:uid="{00000000-0005-0000-0000-00004B010000}"/>
    <cellStyle name="Warning Text 3" xfId="330" xr:uid="{00000000-0005-0000-0000-00004C010000}"/>
    <cellStyle name="Warning Text 4" xfId="331" xr:uid="{00000000-0005-0000-0000-00004D010000}"/>
    <cellStyle name="Warning Text 5" xfId="332" xr:uid="{00000000-0005-0000-0000-00004E010000}"/>
    <cellStyle name="Warning Text 6" xfId="333" xr:uid="{00000000-0005-0000-0000-00004F010000}"/>
    <cellStyle name="Warning Text 7" xfId="334" xr:uid="{00000000-0005-0000-0000-000050010000}"/>
  </cellStyles>
  <dxfs count="545">
    <dxf>
      <font>
        <strike val="0"/>
        <outline val="0"/>
        <shadow val="0"/>
        <u val="none"/>
        <vertAlign val="baseline"/>
        <sz val="11"/>
        <color auto="1"/>
        <name val="Calibri"/>
        <scheme val="minor"/>
      </font>
      <numFmt numFmtId="18" formatCode="#\ ??/??"/>
      <alignment horizontal="left" vertical="top" textRotation="0" wrapText="0" indent="0" justifyLastLine="0" shrinkToFit="0" readingOrder="0"/>
    </dxf>
    <dxf>
      <numFmt numFmtId="18" formatCode="#\ ??/??"/>
      <alignment horizontal="left" vertical="top" textRotation="0" wrapText="0" indent="0" justifyLastLine="0" shrinkToFit="0" readingOrder="0"/>
    </dxf>
    <dxf>
      <font>
        <strike val="0"/>
        <outline val="0"/>
        <shadow val="0"/>
        <u val="none"/>
        <vertAlign val="baseline"/>
        <sz val="11"/>
        <color auto="1"/>
        <name val="Calibri"/>
        <scheme val="minor"/>
      </font>
      <numFmt numFmtId="18" formatCode="#\ ??/??"/>
      <alignment horizontal="left" vertical="top" textRotation="0" wrapText="0" indent="0" justifyLastLine="0" shrinkToFit="0" readingOrder="0"/>
    </dxf>
    <dxf>
      <numFmt numFmtId="18" formatCode="#\ ??/??"/>
      <alignment horizontal="left" vertical="top" textRotation="0" wrapText="0" indent="0" justifyLastLine="0" shrinkToFit="0" readingOrder="0"/>
    </dxf>
    <dxf>
      <alignment horizontal="left" vertical="top" textRotation="0" wrapText="0" indent="0" justifyLastLine="0" shrinkToFit="0" readingOrder="0"/>
    </dxf>
    <dxf>
      <numFmt numFmtId="18" formatCode="#\ ??/??"/>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patternType="solid">
          <fgColor indexed="64"/>
          <bgColor theme="4" tint="0.79998168889431442"/>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203" formatCode="dd\-mmm\-yyyy\ ddd\ hh:mm:ss"/>
      <alignment horizontal="center" vertical="bottom" textRotation="0" wrapText="0" indent="0" justifyLastLine="0" shrinkToFit="0" readingOrder="0"/>
    </dxf>
    <dxf>
      <numFmt numFmtId="203" formatCode="dd\-mmm\-yyyy\ ddd\ hh:mm:ss"/>
      <alignment horizontal="center" vertical="bottom" textRotation="0" wrapText="0" indent="0" justifyLastLine="0" shrinkToFit="0" readingOrder="0"/>
    </dxf>
    <dxf>
      <numFmt numFmtId="203" formatCode="dd\-mmm\-yyyy\ d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0" formatCode="General"/>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99" formatCode="[$-F400]h:mm:ss\ AM/PM"/>
    </dxf>
    <dxf>
      <numFmt numFmtId="199" formatCode="[$-F400]h:mm:ss\ AM/PM"/>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numFmt numFmtId="199" formatCode="[$-F400]h:mm:ss\ AM/PM"/>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color rgb="FFFF0000"/>
      </font>
      <numFmt numFmtId="199" formatCode="[$-F400]h:mm:ss\ AM/PM"/>
    </dxf>
    <dxf>
      <font>
        <b val="0"/>
        <i val="0"/>
        <strike val="0"/>
        <condense val="0"/>
        <extend val="0"/>
        <outline val="0"/>
        <shadow val="0"/>
        <u val="none"/>
        <vertAlign val="baseline"/>
        <sz val="11"/>
        <color indexed="8"/>
        <name val="Calibri"/>
        <scheme val="none"/>
      </font>
      <numFmt numFmtId="179" formatCode="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9" formatCode="0.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numFmt numFmtId="206" formatCode="hh:mm:ss"/>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206" formatCode="hh:mm:ss"/>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99" formatCode="[$-F400]h:mm:ss\ AM/PM"/>
    </dxf>
    <dxf>
      <numFmt numFmtId="199" formatCode="[$-F400]h:mm:ss\ AM/PM"/>
    </dxf>
    <dxf>
      <numFmt numFmtId="199" formatCode="[$-F400]h:mm:ss\ AM/PM"/>
    </dxf>
    <dxf>
      <numFmt numFmtId="199" formatCode="[$-F400]h:mm:ss\ AM/PM"/>
    </dxf>
    <dxf>
      <font>
        <b val="0"/>
        <i val="0"/>
        <strike val="0"/>
        <condense val="0"/>
        <extend val="0"/>
        <outline val="0"/>
        <shadow val="0"/>
        <u val="none"/>
        <vertAlign val="baseline"/>
        <sz val="11"/>
        <color indexed="8"/>
        <name val="Calibri"/>
        <scheme val="none"/>
      </font>
      <numFmt numFmtId="179" formatCode="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9" formatCode="0.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outline="0">
        <left/>
        <right/>
        <top/>
        <bottom/>
      </border>
      <protection locked="1" hidden="0"/>
    </dxf>
    <dxf>
      <alignment horizontal="left" vertical="top"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4"/>
        <color indexed="8"/>
      </font>
      <border diagonalUp="0" diagonalDown="0" outline="0">
        <left style="medium">
          <color rgb="FF000000"/>
        </left>
        <right/>
        <bottom/>
      </border>
    </dxf>
    <dxf>
      <font>
        <strike val="0"/>
        <outline val="0"/>
        <shadow val="0"/>
        <u val="none"/>
        <vertAlign val="baseline"/>
        <sz val="14"/>
        <color indexed="8"/>
      </font>
    </dxf>
    <dxf>
      <font>
        <strike val="0"/>
        <outline val="0"/>
        <shadow val="0"/>
        <u val="none"/>
        <vertAlign val="baseline"/>
        <sz val="16"/>
        <color indexed="8"/>
        <name val="Calibri"/>
        <scheme val="none"/>
      </font>
      <alignment horizontal="center" vertical="center" textRotation="0" wrapText="0" indent="0" justifyLastLine="0" shrinkToFit="0" readingOrder="0"/>
      <border outline="0">
        <right style="medium">
          <color rgb="FF000000"/>
        </right>
      </border>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alignment horizontal="general" vertical="bottom" textRotation="0" wrapText="0" relativeIndent="0" justifyLastLine="0" shrinkToFit="1" readingOrder="0"/>
      <border diagonalUp="0" diagonalDown="0">
        <left style="thin">
          <color indexed="8"/>
        </left>
        <right style="thin">
          <color indexed="8"/>
        </right>
        <top style="thin">
          <color indexed="8"/>
        </top>
        <bottom style="thin">
          <color indexed="8"/>
        </bottom>
      </border>
    </dxf>
    <dxf>
      <numFmt numFmtId="186" formatCode="[hh]:mm:ss\.ss"/>
      <border diagonalUp="0" diagonalDown="0">
        <left style="thin">
          <color indexed="8"/>
        </left>
        <right style="thin">
          <color indexed="8"/>
        </right>
        <top style="thin">
          <color indexed="8"/>
        </top>
        <bottom style="thin">
          <color indexed="8"/>
        </bottom>
      </border>
      <protection locked="1" hidden="0"/>
    </dxf>
    <dxf>
      <alignment horizontal="right" vertical="bottom"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1" hidden="0"/>
    </dxf>
    <dxf>
      <font>
        <b val="0"/>
        <condense val="0"/>
        <extend val="0"/>
        <sz val="11"/>
        <color indexed="8"/>
      </font>
      <fill>
        <patternFill patternType="solid">
          <fgColor indexed="34"/>
          <bgColor indexed="13"/>
        </patternFill>
      </fill>
    </dxf>
    <dxf>
      <font>
        <b val="0"/>
        <condense val="0"/>
        <extend val="0"/>
        <sz val="11"/>
        <color indexed="8"/>
      </font>
      <fill>
        <patternFill patternType="darkGray">
          <fgColor indexed="41"/>
          <bgColor indexed="26"/>
        </patternFill>
      </fill>
    </dxf>
    <dxf>
      <font>
        <b val="0"/>
        <condense val="0"/>
        <extend val="0"/>
        <sz val="11"/>
        <color indexed="8"/>
      </font>
      <fill>
        <patternFill patternType="mediumGray">
          <fgColor indexed="62"/>
          <bgColor indexed="20"/>
        </patternFill>
      </fill>
    </dxf>
    <dxf>
      <font>
        <b val="0"/>
        <condense val="0"/>
        <extend val="0"/>
        <sz val="11"/>
        <color indexed="8"/>
      </font>
      <fill>
        <patternFill patternType="solid">
          <fgColor indexed="36"/>
          <bgColor indexed="10"/>
        </patternFill>
      </fill>
    </dxf>
    <dxf>
      <font>
        <b val="0"/>
        <condense val="0"/>
        <extend val="0"/>
        <sz val="11"/>
        <color indexed="8"/>
      </font>
      <fill>
        <patternFill patternType="darkGray">
          <fgColor indexed="41"/>
          <bgColor indexed="27"/>
        </patternFill>
      </fill>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numFmt numFmtId="199" formatCode="[$-F400]h:mm:ss\ AM/PM"/>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1" indent="0" justifyLastLine="0" shrinkToFit="0" readingOrder="0"/>
      <protection locked="0" hidden="0"/>
    </dxf>
    <dxf>
      <font>
        <b val="0"/>
        <i val="0"/>
        <strike val="0"/>
        <condense val="0"/>
        <extend val="0"/>
        <outline val="0"/>
        <shadow val="0"/>
        <u val="none"/>
        <vertAlign val="baseline"/>
        <sz val="14"/>
        <color indexed="8"/>
        <name val="Arial Unicode MS"/>
        <scheme val="none"/>
      </font>
      <numFmt numFmtId="199" formatCode="[$-F400]h:mm:ss\ AM/PM"/>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5" formatCode="h:mm"/>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indent="0" justifyLastLine="0" shrinkToFit="0" readingOrder="0"/>
      <protection locked="0" hidden="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9"/>
        <color indexed="8"/>
        <name val="Arial Unicode MS"/>
        <scheme val="none"/>
      </font>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9"/>
        <color indexed="8"/>
        <name val="Arial Unicode MS"/>
        <scheme val="none"/>
      </font>
      <alignment horizontal="center" vertical="center" textRotation="0" wrapText="0" indent="0" justifyLastLine="0" shrinkToFit="0" readingOrder="0"/>
      <protection locked="0" hidden="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indexed="8"/>
        <name val="Calibri"/>
        <scheme val="none"/>
      </font>
      <alignment horizontal="center" vertical="center"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dxf>
    <dxf>
      <border outline="0">
        <bottom style="medium">
          <color indexed="64"/>
        </bottom>
      </border>
    </dxf>
    <dxf>
      <font>
        <b/>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dxf>
    <dxf>
      <font>
        <b val="0"/>
        <i val="0"/>
        <strike val="0"/>
        <condense val="0"/>
        <extend val="0"/>
        <outline val="0"/>
        <shadow val="0"/>
        <u val="none"/>
        <vertAlign val="baseline"/>
        <sz val="9"/>
        <color auto="1"/>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dxf>
    <dxf>
      <font>
        <b/>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general"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general"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8"/>
        <color indexed="8"/>
        <name val="Verdana"/>
        <scheme val="none"/>
      </font>
      <alignment horizontal="left" vertical="bottom" textRotation="0" wrapText="0" relative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8"/>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outline="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outline="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right style="hair">
          <color indexed="8"/>
        </right>
        <top style="hair">
          <color indexed="8"/>
        </top>
        <bottom style="hair">
          <color indexed="8"/>
        </bottom>
      </border>
      <protection locked="0" hidden="0"/>
    </dxf>
    <dxf>
      <border outline="0">
        <left style="hair">
          <color indexed="8"/>
        </left>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fill>
        <patternFill patternType="solid">
          <fgColor theme="8" tint="0.79998168889431442"/>
          <bgColor theme="8" tint="0.79998168889431442"/>
        </patternFill>
      </fill>
      <alignment horizontal="left" vertical="top" textRotation="0" wrapText="0" relativeIndent="0" justifyLastLine="0" shrinkToFit="0" readingOrder="0"/>
      <border diagonalUp="0" diagonalDown="0" outline="0">
        <left/>
        <right style="thin">
          <color theme="0"/>
        </right>
        <top/>
        <bottom style="thin">
          <color theme="0"/>
        </bottom>
      </border>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relativeIndent="0" justifyLastLine="0" shrinkToFit="0" readingOrder="0"/>
      <border diagonalUp="0" diagonalDown="0">
        <left style="medium">
          <color rgb="FFCCCCCC"/>
        </left>
        <right style="thin">
          <color rgb="FF000000"/>
        </right>
        <top style="medium">
          <color rgb="FFCCCCCC"/>
        </top>
        <bottom style="thin">
          <color rgb="FF000000"/>
        </bottom>
      </border>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relativeIndent="0" justifyLastLine="0" shrinkToFit="0" readingOrder="0"/>
      <border diagonalUp="0" diagonalDown="0">
        <left style="medium">
          <color rgb="FFCCCCCC"/>
        </left>
        <right style="medium">
          <color rgb="FFCCCCCC"/>
        </right>
        <top style="medium">
          <color rgb="FFCCCCCC"/>
        </top>
        <bottom style="thin">
          <color rgb="FF000000"/>
        </bottom>
      </border>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relativeIndent="0" justifyLastLine="0" shrinkToFit="0" readingOrder="0"/>
      <border diagonalUp="0" diagonalDown="0">
        <left style="medium">
          <color rgb="FFCCCCCC"/>
        </left>
        <right style="medium">
          <color rgb="FFCCCCCC"/>
        </right>
        <top style="medium">
          <color rgb="FFCCCCCC"/>
        </top>
        <bottom style="thin">
          <color rgb="FF000000"/>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numFmt numFmtId="194" formatCode="_-* #,##0_-;\-* #,##0_-;_-* &quot;-&quot;??_-;_-@_-"/>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 formatCode="m/d/yyyy"/>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12"/>
        <color indexed="8"/>
        <name val="Calibri"/>
        <scheme val="none"/>
      </font>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ont>
        <strike val="0"/>
        <outline val="0"/>
        <shadow val="0"/>
        <u val="none"/>
        <vertAlign val="baseline"/>
        <sz val="11"/>
        <color indexed="8"/>
        <name val="Calibri"/>
        <scheme val="minor"/>
      </font>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right style="medium">
          <color indexed="8"/>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right style="medium">
          <color indexed="8"/>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style="medium">
          <color indexed="8"/>
        </left>
        <right style="medium">
          <color indexed="8"/>
        </right>
        <top/>
        <bottom style="medium">
          <color indexed="8"/>
        </bottom>
      </border>
    </dxf>
    <dxf>
      <border outline="0">
        <right style="medium">
          <color indexed="8"/>
        </right>
        <bottom style="medium">
          <color indexed="8"/>
        </bottom>
      </border>
    </dxf>
    <dxf>
      <font>
        <strike val="0"/>
        <outline val="0"/>
        <shadow val="0"/>
        <u val="none"/>
        <vertAlign val="baseline"/>
        <sz val="11"/>
        <color indexed="8"/>
        <name val="Calibri"/>
        <scheme val="minor"/>
      </font>
    </dxf>
    <dxf>
      <font>
        <strike val="0"/>
        <outline val="0"/>
        <shadow val="0"/>
        <u val="none"/>
        <vertAlign val="baseline"/>
        <sz val="11"/>
        <color indexed="8"/>
        <name val="Calibri"/>
        <scheme val="minor"/>
      </font>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0" relativeIndent="0" justifyLastLine="0" shrinkToFit="0" readingOrder="0"/>
      <border diagonalUp="0" diagonalDown="0">
        <left/>
        <right style="hair">
          <color indexed="8"/>
        </right>
        <top style="hair">
          <color indexed="8"/>
        </top>
        <bottom style="hair">
          <color indexed="8"/>
        </bottom>
      </border>
    </dxf>
    <dxf>
      <border outline="0">
        <top style="hair">
          <color indexed="8"/>
        </top>
      </border>
    </dxf>
    <dxf>
      <border outline="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dxf>
    <dxf>
      <border outline="0">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0" relativeIndent="0" justifyLastLine="0" shrinkToFit="0" readingOrder="0"/>
      <border diagonalUp="0" diagonalDown="0" outline="0">
        <left style="hair">
          <color indexed="8"/>
        </left>
        <right style="hair">
          <color indexed="8"/>
        </right>
        <top/>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border diagonalUp="0" diagonalDown="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border diagonalUp="0" diagonalDown="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border diagonalUp="0" diagonalDown="0">
        <left style="thin">
          <color indexed="8"/>
        </left>
        <right style="thin">
          <color indexed="8"/>
        </right>
        <top style="thin">
          <color indexed="8"/>
        </top>
        <bottom style="thin">
          <color indexed="8"/>
        </bottom>
      </border>
    </dxf>
    <dxf>
      <border outline="0">
        <top style="thin">
          <color indexed="8"/>
        </top>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dxf>
    <dxf>
      <border outline="0">
        <bottom style="thin">
          <color indexed="8"/>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outline="0">
        <left style="thin">
          <color indexed="8"/>
        </left>
        <right style="thin">
          <color indexed="8"/>
        </right>
        <top/>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vertical/>
        <horizontal/>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right style="hair">
          <color indexed="8"/>
        </right>
        <top style="hair">
          <color indexed="8"/>
        </top>
        <bottom style="hair">
          <color indexed="8"/>
        </bottom>
      </border>
      <protection locked="0" hidden="0"/>
    </dxf>
    <dxf>
      <border outline="0">
        <left style="hair">
          <color indexed="8"/>
        </left>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outline="0">
        <left style="hair">
          <color indexed="8"/>
        </left>
        <right style="hair">
          <color indexed="8"/>
        </right>
        <top/>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numFmt numFmtId="194" formatCode="_-* #,##0_-;\-* #,##0_-;_-* &quot;-&quot;??_-;_-@_-"/>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1"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1"/>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border outline="0">
        <top style="thin">
          <color indexed="8"/>
        </top>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200" formatCode="[h]:mm:ss;@"/>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numFmt numFmtId="0" formatCode="General"/>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i val="0"/>
      </font>
      <fill>
        <patternFill patternType="none">
          <fgColor indexed="64"/>
          <bgColor indexed="65"/>
        </patternFill>
      </fill>
      <alignment horizontal="general" vertical="top" textRotation="0" wrapText="0" relativeIndent="0" justifyLastLine="0" shrinkToFit="0" readingOrder="0"/>
    </dxf>
    <dxf>
      <font>
        <b val="0"/>
        <strike val="0"/>
        <outline val="0"/>
        <shadow val="0"/>
        <u val="none"/>
        <vertAlign val="baseline"/>
        <sz val="11"/>
      </font>
      <fill>
        <patternFill patternType="none">
          <fgColor indexed="64"/>
          <bgColor indexed="65"/>
        </patternFill>
      </fill>
      <alignment horizontal="general" vertical="top" textRotation="0" wrapText="0" relativeInden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border diagonalUp="0" diagonalDown="0">
        <left/>
        <right style="hair">
          <color indexed="8"/>
        </right>
        <top/>
        <bottom style="hair">
          <color indexed="8"/>
        </bottom>
      </border>
      <protection locked="0" hidden="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border diagonalUp="0" diagonalDown="0">
        <left style="hair">
          <color indexed="8"/>
        </left>
        <right/>
        <top/>
        <bottom style="hair">
          <color indexed="8"/>
        </bottom>
      </border>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9"/>
        <name val="Arial Unicode MS"/>
        <scheme val="none"/>
      </font>
      <numFmt numFmtId="30" formatCode="@"/>
      <fill>
        <patternFill patternType="none">
          <fgColor indexed="64"/>
          <bgColor indexed="65"/>
        </patternFill>
      </fill>
      <alignment horizontal="left" vertical="top" textRotation="0" wrapText="0" relativeIndent="0" justifyLastLine="0" shrinkToFit="0" readingOrder="0"/>
      <protection locked="0" hidden="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0" formatCode="General"/>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20"/>
      </font>
      <fill>
        <patternFill patternType="solid">
          <fgColor indexed="29"/>
          <bgColor indexed="45"/>
        </patternFill>
      </fill>
    </dxf>
    <dxf>
      <font>
        <b val="0"/>
        <i val="0"/>
        <strike val="0"/>
        <condense val="0"/>
        <extend val="0"/>
        <u val="none"/>
        <sz val="11"/>
        <color indexed="17"/>
      </font>
      <fill>
        <patternFill patternType="solid">
          <fgColor indexed="27"/>
          <bgColor indexed="42"/>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20"/>
      </font>
      <fill>
        <patternFill patternType="solid">
          <fgColor indexed="29"/>
          <bgColor indexed="45"/>
        </patternFill>
      </fill>
    </dxf>
    <dxf>
      <font>
        <b val="0"/>
        <i val="0"/>
        <strike val="0"/>
        <condense val="0"/>
        <extend val="0"/>
        <u val="none"/>
        <sz val="11"/>
        <color indexed="17"/>
      </font>
      <fill>
        <patternFill patternType="solid">
          <fgColor indexed="27"/>
          <bgColor indexed="42"/>
        </patternFill>
      </fill>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condense val="0"/>
        <extend val="0"/>
        <sz val="11"/>
        <color indexed="8"/>
      </font>
      <fill>
        <patternFill patternType="solid">
          <fgColor indexed="58"/>
          <bgColor indexed="31"/>
        </patternFill>
      </fill>
    </dxf>
    <dxf>
      <numFmt numFmtId="1" formatCode="0"/>
    </dxf>
    <dxf>
      <numFmt numFmtId="2" formatCode="0.00"/>
      <border diagonalUp="0" diagonalDown="0">
        <left/>
        <right style="medium">
          <color indexed="64"/>
        </right>
        <top/>
        <bottom/>
        <vertical/>
        <horizontal/>
      </border>
    </dxf>
    <dxf>
      <numFmt numFmtId="2" formatCode="0.00"/>
    </dxf>
    <dxf>
      <border diagonalUp="0" diagonalDown="0">
        <left style="medium">
          <color indexed="64"/>
        </left>
        <right/>
        <top/>
        <bottom/>
        <vertical/>
        <horizontal/>
      </border>
    </dxf>
    <dxf>
      <numFmt numFmtId="2" formatCode="0.00"/>
    </dxf>
    <dxf>
      <border diagonalUp="0" diagonalDown="0">
        <left/>
        <right style="medium">
          <color indexed="64"/>
        </right>
        <top/>
        <bottom/>
        <vertical/>
        <horizontal/>
      </border>
    </dxf>
    <dxf>
      <numFmt numFmtId="2" formatCode="0.00"/>
      <border diagonalUp="0" diagonalDown="0">
        <left style="medium">
          <color indexed="64"/>
        </left>
        <right/>
        <top/>
        <bottom/>
        <vertical/>
        <horizontal/>
      </border>
    </dxf>
    <dxf>
      <numFmt numFmtId="179" formatCode="0.0"/>
    </dxf>
    <dxf>
      <border diagonalUp="0" diagonalDown="0">
        <left style="medium">
          <color indexed="64"/>
        </left>
        <right/>
        <top/>
        <bottom/>
        <vertical/>
        <horizontal/>
      </border>
    </dxf>
    <dxf>
      <numFmt numFmtId="179" formatCode="0.0"/>
      <border diagonalUp="0" diagonalDown="0">
        <left/>
        <right style="medium">
          <color indexed="64"/>
        </right>
        <top/>
        <bottom/>
        <vertical/>
        <horizontal/>
      </border>
    </dxf>
    <dxf>
      <numFmt numFmtId="179" formatCode="0.0"/>
      <border diagonalUp="0" diagonalDown="0">
        <left/>
        <right style="medium">
          <color indexed="64"/>
        </right>
        <top/>
        <bottom/>
        <vertical/>
        <horizontal/>
      </border>
    </dxf>
    <dxf>
      <numFmt numFmtId="1" formatCode="0"/>
    </dxf>
    <dxf>
      <numFmt numFmtId="2" formatCode="0.00"/>
    </dxf>
    <dxf>
      <border outline="0">
        <left style="medium">
          <color indexed="64"/>
        </left>
        <right style="medium">
          <color indexed="64"/>
        </right>
        <bottom style="medium">
          <color indexed="64"/>
        </bottom>
      </border>
    </dxf>
    <dxf>
      <numFmt numFmtId="184" formatCode="0.000"/>
    </dxf>
    <dxf>
      <font>
        <b/>
        <i val="0"/>
      </font>
    </dxf>
    <dxf>
      <font>
        <b/>
        <i val="0"/>
      </font>
    </dxf>
    <dxf>
      <border>
        <left style="thin">
          <color theme="1"/>
        </left>
      </border>
    </dxf>
    <dxf>
      <border>
        <left style="thin">
          <color theme="1"/>
        </left>
      </border>
    </dxf>
    <dxf>
      <border>
        <top style="thin">
          <color theme="1"/>
        </top>
      </border>
    </dxf>
    <dxf>
      <border>
        <top style="thin">
          <color theme="1"/>
        </top>
      </border>
    </dxf>
    <dxf>
      <font>
        <b/>
        <color theme="1"/>
      </font>
    </dxf>
    <dxf>
      <font>
        <b/>
        <color theme="1"/>
      </font>
    </dxf>
    <dxf>
      <font>
        <b/>
        <color theme="1"/>
      </font>
      <border>
        <top style="double">
          <color theme="1"/>
        </top>
      </border>
    </dxf>
    <dxf>
      <font>
        <b/>
        <i val="0"/>
        <color theme="1"/>
      </font>
      <fill>
        <patternFill patternType="solid">
          <fgColor theme="1"/>
          <bgColor theme="0"/>
        </patternFill>
      </fill>
    </dxf>
    <dxf>
      <font>
        <color theme="1"/>
      </font>
      <border>
        <left style="thin">
          <color theme="1"/>
        </left>
        <right style="thin">
          <color theme="1"/>
        </right>
        <top style="thin">
          <color theme="1"/>
        </top>
        <bottom style="thin">
          <color theme="1"/>
        </bottom>
      </border>
    </dxf>
  </dxfs>
  <tableStyles count="2" defaultTableStyle="TableStyleMedium9" defaultPivotStyle="PivotStyleLight16">
    <tableStyle name="Printable" pivot="0" count="9" xr9:uid="{00000000-0011-0000-FFFF-FFFF00000000}">
      <tableStyleElement type="wholeTable" dxfId="544"/>
      <tableStyleElement type="headerRow" dxfId="543"/>
      <tableStyleElement type="totalRow" dxfId="542"/>
      <tableStyleElement type="firstColumn" dxfId="541"/>
      <tableStyleElement type="lastColumn" dxfId="540"/>
      <tableStyleElement type="firstRowStripe" dxfId="539"/>
      <tableStyleElement type="secondRowStripe" dxfId="538"/>
      <tableStyleElement type="firstColumnStripe" dxfId="537"/>
      <tableStyleElement type="secondColumnStripe" dxfId="536"/>
    </tableStyle>
    <tableStyle name="Printale" pivot="0" count="2" xr9:uid="{00000000-0011-0000-FFFF-FFFF01000000}">
      <tableStyleElement type="firstRowStripe" size="2" dxfId="535"/>
      <tableStyleElement type="firstColumnStripe" size="2" dxfId="53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worksheet" Target="worksheets/sheet18.xml" /><Relationship Id="rId26" Type="http://schemas.openxmlformats.org/officeDocument/2006/relationships/worksheet" Target="worksheets/sheet26.xml" /><Relationship Id="rId3" Type="http://schemas.openxmlformats.org/officeDocument/2006/relationships/worksheet" Target="worksheets/sheet3.xml" /><Relationship Id="rId21" Type="http://schemas.openxmlformats.org/officeDocument/2006/relationships/worksheet" Target="worksheets/sheet21.xml" /><Relationship Id="rId34" Type="http://schemas.openxmlformats.org/officeDocument/2006/relationships/calcChain" Target="calcChain.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5" Type="http://schemas.openxmlformats.org/officeDocument/2006/relationships/worksheet" Target="worksheets/sheet25.xml" /><Relationship Id="rId33" Type="http://schemas.openxmlformats.org/officeDocument/2006/relationships/sharedStrings" Target="sharedStrings.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worksheet" Target="worksheets/sheet20.xml" /><Relationship Id="rId29" Type="http://schemas.openxmlformats.org/officeDocument/2006/relationships/externalLink" Target="externalLinks/externalLink1.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24" Type="http://schemas.openxmlformats.org/officeDocument/2006/relationships/worksheet" Target="worksheets/sheet24.xml" /><Relationship Id="rId32" Type="http://schemas.openxmlformats.org/officeDocument/2006/relationships/styles" Target="styles.xml" /><Relationship Id="rId5" Type="http://schemas.openxmlformats.org/officeDocument/2006/relationships/worksheet" Target="worksheets/sheet5.xml" /><Relationship Id="rId15" Type="http://schemas.openxmlformats.org/officeDocument/2006/relationships/worksheet" Target="worksheets/sheet15.xml" /><Relationship Id="rId23" Type="http://schemas.openxmlformats.org/officeDocument/2006/relationships/worksheet" Target="worksheets/sheet23.xml" /><Relationship Id="rId28" Type="http://schemas.openxmlformats.org/officeDocument/2006/relationships/worksheet" Target="worksheets/sheet28.xml" /><Relationship Id="rId10" Type="http://schemas.openxmlformats.org/officeDocument/2006/relationships/worksheet" Target="worksheets/sheet10.xml" /><Relationship Id="rId19" Type="http://schemas.openxmlformats.org/officeDocument/2006/relationships/worksheet" Target="worksheets/sheet19.xml" /><Relationship Id="rId31" Type="http://schemas.openxmlformats.org/officeDocument/2006/relationships/theme" Target="theme/theme1.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worksheet" Target="worksheets/sheet22.xml" /><Relationship Id="rId27" Type="http://schemas.openxmlformats.org/officeDocument/2006/relationships/worksheet" Target="worksheets/sheet27.xml" /><Relationship Id="rId30" Type="http://schemas.openxmlformats.org/officeDocument/2006/relationships/pivotCacheDefinition" Target="pivotCache/pivotCacheDefinition1.xml" /></Relationships>
</file>

<file path=xl/drawings/_rels/drawing4.xml.rels><?xml version="1.0" encoding="UTF-8" standalone="yes"?>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xdr:from>
      <xdr:col>0</xdr:col>
      <xdr:colOff>865026</xdr:colOff>
      <xdr:row>4</xdr:row>
      <xdr:rowOff>29158</xdr:rowOff>
    </xdr:from>
    <xdr:to>
      <xdr:col>2</xdr:col>
      <xdr:colOff>3430943</xdr:colOff>
      <xdr:row>19</xdr:row>
      <xdr:rowOff>9720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65026" y="806709"/>
          <a:ext cx="7668596" cy="289637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GB" sz="1100"/>
            <a:t>*This</a:t>
          </a:r>
          <a:r>
            <a:rPr lang="en-GB" sz="1100" baseline="0"/>
            <a:t> sheet is indirect reference to 1st sheet from HoraGanakaData.xls.</a:t>
          </a:r>
        </a:p>
        <a:p>
          <a:r>
            <a:rPr lang="en-GB" sz="1100" baseline="0"/>
            <a:t>You can keep many charts, pasted with basic information from Jagannatha Hora Software.</a:t>
          </a:r>
        </a:p>
        <a:p>
          <a:r>
            <a:rPr lang="en-GB" sz="1100" baseline="0"/>
            <a:t>HoraGanakaData.xls will contain the 1st sheet with Selected data for calculation in this sheet (HoraGanaka.xls).</a:t>
          </a:r>
        </a:p>
        <a:p>
          <a:endParaRPr lang="en-GB" sz="1100" baseline="0"/>
        </a:p>
        <a:p>
          <a:r>
            <a:rPr lang="en-GB" sz="1100" baseline="0"/>
            <a:t>Basics: Sheet will contain the degrees etc of grahas pulled from this sheet.</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444500</xdr:colOff>
      <xdr:row>2</xdr:row>
      <xdr:rowOff>15875</xdr:rowOff>
    </xdr:from>
    <xdr:to>
      <xdr:col>9</xdr:col>
      <xdr:colOff>547688</xdr:colOff>
      <xdr:row>3</xdr:row>
      <xdr:rowOff>0</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bwMode="auto">
        <a:xfrm>
          <a:off x="4889500" y="1158875"/>
          <a:ext cx="658813" cy="555625"/>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8</xdr:col>
      <xdr:colOff>428625</xdr:colOff>
      <xdr:row>3</xdr:row>
      <xdr:rowOff>39688</xdr:rowOff>
    </xdr:from>
    <xdr:to>
      <xdr:col>9</xdr:col>
      <xdr:colOff>547688</xdr:colOff>
      <xdr:row>3</xdr:row>
      <xdr:rowOff>547688</xdr:rowOff>
    </xdr:to>
    <xdr:cxnSp macro="">
      <xdr:nvCxnSpPr>
        <xdr:cNvPr id="5" name="Straight Connector 4">
          <a:extLst>
            <a:ext uri="{FF2B5EF4-FFF2-40B4-BE49-F238E27FC236}">
              <a16:creationId xmlns:a16="http://schemas.microsoft.com/office/drawing/2014/main" id="{00000000-0008-0000-0200-000005000000}"/>
            </a:ext>
          </a:extLst>
        </xdr:cNvPr>
        <xdr:cNvCxnSpPr/>
      </xdr:nvCxnSpPr>
      <xdr:spPr bwMode="auto">
        <a:xfrm flipH="1">
          <a:off x="4873625" y="1754188"/>
          <a:ext cx="674688" cy="50800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8</xdr:col>
      <xdr:colOff>23813</xdr:colOff>
      <xdr:row>3</xdr:row>
      <xdr:rowOff>0</xdr:rowOff>
    </xdr:from>
    <xdr:to>
      <xdr:col>8</xdr:col>
      <xdr:colOff>404813</xdr:colOff>
      <xdr:row>3</xdr:row>
      <xdr:rowOff>523875</xdr:rowOff>
    </xdr:to>
    <xdr:cxnSp macro="">
      <xdr:nvCxnSpPr>
        <xdr:cNvPr id="8" name="Straight Connector 7">
          <a:extLst>
            <a:ext uri="{FF2B5EF4-FFF2-40B4-BE49-F238E27FC236}">
              <a16:creationId xmlns:a16="http://schemas.microsoft.com/office/drawing/2014/main" id="{00000000-0008-0000-0200-000008000000}"/>
            </a:ext>
          </a:extLst>
        </xdr:cNvPr>
        <xdr:cNvCxnSpPr/>
      </xdr:nvCxnSpPr>
      <xdr:spPr bwMode="auto">
        <a:xfrm flipH="1" flipV="1">
          <a:off x="4468813" y="1714500"/>
          <a:ext cx="381000" cy="523875"/>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24848</xdr:colOff>
      <xdr:row>0</xdr:row>
      <xdr:rowOff>107672</xdr:rowOff>
    </xdr:from>
    <xdr:to>
      <xdr:col>10</xdr:col>
      <xdr:colOff>57978</xdr:colOff>
      <xdr:row>7</xdr:row>
      <xdr:rowOff>66259</xdr:rowOff>
    </xdr:to>
    <xdr:sp macro="" textlink="">
      <xdr:nvSpPr>
        <xdr:cNvPr id="14" name="Circular Arrow 13">
          <a:extLst>
            <a:ext uri="{FF2B5EF4-FFF2-40B4-BE49-F238E27FC236}">
              <a16:creationId xmlns:a16="http://schemas.microsoft.com/office/drawing/2014/main" id="{00000000-0008-0000-0800-00000E000000}"/>
            </a:ext>
          </a:extLst>
        </xdr:cNvPr>
        <xdr:cNvSpPr/>
      </xdr:nvSpPr>
      <xdr:spPr bwMode="auto">
        <a:xfrm rot="16200000">
          <a:off x="3089412" y="165651"/>
          <a:ext cx="1341783" cy="1225826"/>
        </a:xfrm>
        <a:prstGeom prst="circularArrow">
          <a:avLst/>
        </a:prstGeom>
        <a:solidFill>
          <a:schemeClr val="accent5">
            <a:lumMod val="20000"/>
            <a:lumOff val="8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23</xdr:col>
      <xdr:colOff>133350</xdr:colOff>
      <xdr:row>1</xdr:row>
      <xdr:rowOff>47625</xdr:rowOff>
    </xdr:from>
    <xdr:to>
      <xdr:col>40</xdr:col>
      <xdr:colOff>133350</xdr:colOff>
      <xdr:row>15</xdr:row>
      <xdr:rowOff>142875</xdr:rowOff>
    </xdr:to>
    <xdr:pic>
      <xdr:nvPicPr>
        <xdr:cNvPr id="30808" name="Picture 4" descr="Vedha.gif">
          <a:extLst>
            <a:ext uri="{FF2B5EF4-FFF2-40B4-BE49-F238E27FC236}">
              <a16:creationId xmlns:a16="http://schemas.microsoft.com/office/drawing/2014/main" id="{00000000-0008-0000-0D00-000058780000}"/>
            </a:ext>
          </a:extLst>
        </xdr:cNvPr>
        <xdr:cNvPicPr>
          <a:picLocks noChangeAspect="1"/>
        </xdr:cNvPicPr>
      </xdr:nvPicPr>
      <xdr:blipFill>
        <a:blip xmlns:r="http://schemas.openxmlformats.org/officeDocument/2006/relationships" r:embed="rId1" cstate="print"/>
        <a:srcRect/>
        <a:stretch>
          <a:fillRect/>
        </a:stretch>
      </xdr:blipFill>
      <xdr:spPr bwMode="auto">
        <a:xfrm>
          <a:off x="7362825" y="390525"/>
          <a:ext cx="5343525" cy="48958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oraGanakaData.xls" TargetMode="External"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lected Chart"/>
      <sheetName val="Sanjay Prabhakaran"/>
      <sheetName val="Narayan"/>
      <sheetName val="Sonia Gandhi"/>
      <sheetName val="PVR"/>
    </sheetNames>
    <sheetDataSet>
      <sheetData sheetId="0">
        <row r="2">
          <cell r="A2" t="str">
            <v>Chart</v>
          </cell>
          <cell r="B2" t="str">
            <v>Date</v>
          </cell>
          <cell r="C2" t="str">
            <v>Event</v>
          </cell>
        </row>
        <row r="3">
          <cell r="A3" t="str">
            <v>C:\Users\sprabhakara2\Google Drive\charts\Family&amp;Self\Sanjay Prabhakaran</v>
          </cell>
          <cell r="B3">
            <v>26133</v>
          </cell>
          <cell r="C3" t="str">
            <v>Born in CIM Stores</v>
          </cell>
        </row>
        <row r="4">
          <cell r="B4">
            <v>36723</v>
          </cell>
          <cell r="C4" t="str">
            <v>Joined SJC/SJVC</v>
          </cell>
        </row>
        <row r="5">
          <cell r="A5" t="str">
            <v>Natal Chart</v>
          </cell>
          <cell r="B5">
            <v>37926</v>
          </cell>
          <cell r="C5" t="str">
            <v>Bought Car D16</v>
          </cell>
        </row>
        <row r="6">
          <cell r="A6">
            <v>0</v>
          </cell>
          <cell r="B6">
            <v>38779</v>
          </cell>
          <cell r="C6" t="str">
            <v>Marriage D9</v>
          </cell>
        </row>
        <row r="7">
          <cell r="A7" t="str">
            <v>Date:          July 19, 1971</v>
          </cell>
          <cell r="B7">
            <v>41694</v>
          </cell>
          <cell r="C7" t="str">
            <v>Bought Car D16</v>
          </cell>
        </row>
        <row r="8">
          <cell r="A8" t="str">
            <v>Time:          9:13:10</v>
          </cell>
          <cell r="B8">
            <v>0</v>
          </cell>
          <cell r="C8">
            <v>0</v>
          </cell>
        </row>
        <row r="9">
          <cell r="A9" t="str">
            <v>Time Zone:     5:30:00 (East of GMT)</v>
          </cell>
          <cell r="B9">
            <v>0</v>
          </cell>
          <cell r="C9">
            <v>0</v>
          </cell>
        </row>
        <row r="10">
          <cell r="A10" t="str">
            <v>Place:         78 E 05' 05", 10 N 57' 47"</v>
          </cell>
          <cell r="B10">
            <v>0</v>
          </cell>
          <cell r="C10">
            <v>0</v>
          </cell>
        </row>
        <row r="11">
          <cell r="A11" t="str">
            <v xml:space="preserve">               Karur CIM Store, India</v>
          </cell>
          <cell r="B11">
            <v>0</v>
          </cell>
          <cell r="C11">
            <v>0</v>
          </cell>
        </row>
        <row r="12">
          <cell r="A12" t="str">
            <v>Altitude:      123.00 meters</v>
          </cell>
          <cell r="B12">
            <v>0</v>
          </cell>
          <cell r="C12">
            <v>0</v>
          </cell>
        </row>
        <row r="13">
          <cell r="A13">
            <v>0</v>
          </cell>
          <cell r="B13">
            <v>0</v>
          </cell>
          <cell r="C13">
            <v>0</v>
          </cell>
        </row>
        <row r="14">
          <cell r="A14" t="str">
            <v>Lunar Yr-Mo:   Virodha-krit - Ashadha</v>
          </cell>
          <cell r="B14">
            <v>0</v>
          </cell>
          <cell r="C14">
            <v>0</v>
          </cell>
        </row>
        <row r="15">
          <cell r="A15" t="str">
            <v>Tithi:         Krishna Dwadasi (Me) (28.19% left)</v>
          </cell>
          <cell r="B15">
            <v>0</v>
          </cell>
          <cell r="C15">
            <v>0</v>
          </cell>
        </row>
        <row r="16">
          <cell r="A16" t="str">
            <v>Vedic Weekday: Monday (Mo)</v>
          </cell>
          <cell r="B16">
            <v>0</v>
          </cell>
          <cell r="C16">
            <v>0</v>
          </cell>
        </row>
        <row r="17">
          <cell r="A17" t="str">
            <v>Nakshatra:     Rohini (Mo) (2.38% left)</v>
          </cell>
          <cell r="B17">
            <v>0</v>
          </cell>
          <cell r="C17">
            <v>0</v>
          </cell>
        </row>
        <row r="18">
          <cell r="A18" t="str">
            <v>Yoga:          Vriddhi (Me) (9.39% left)</v>
          </cell>
          <cell r="B18">
            <v>0</v>
          </cell>
          <cell r="C18">
            <v>0</v>
          </cell>
        </row>
        <row r="19">
          <cell r="A19" t="str">
            <v>Karana:        Taitula (Me) (56.39% left)</v>
          </cell>
          <cell r="B19">
            <v>0</v>
          </cell>
          <cell r="C19">
            <v>0</v>
          </cell>
        </row>
        <row r="20">
          <cell r="A20" t="str">
            <v>Hora Lord:     Mars (5 min sign: Sg)</v>
          </cell>
          <cell r="B20">
            <v>0</v>
          </cell>
          <cell r="C20">
            <v>0</v>
          </cell>
        </row>
        <row r="21">
          <cell r="A21" t="str">
            <v>Mahakala Hora: Jupiter (5 min sign: Aq)</v>
          </cell>
          <cell r="B21">
            <v>0</v>
          </cell>
          <cell r="C21">
            <v>0</v>
          </cell>
        </row>
        <row r="22">
          <cell r="A22" t="str">
            <v>Kaala Lord:    Rahu (Mahakala: Rahu)</v>
          </cell>
          <cell r="B22">
            <v>0</v>
          </cell>
          <cell r="C22">
            <v>0</v>
          </cell>
        </row>
        <row r="23">
          <cell r="A23">
            <v>0</v>
          </cell>
          <cell r="B23">
            <v>0</v>
          </cell>
          <cell r="C23">
            <v>0</v>
          </cell>
        </row>
        <row r="24">
          <cell r="A24" t="str">
            <v>Sunrise:       6:03:17</v>
          </cell>
          <cell r="B24">
            <v>0</v>
          </cell>
          <cell r="C24">
            <v>0</v>
          </cell>
        </row>
        <row r="25">
          <cell r="A25" t="str">
            <v>Sunset:        18:44:17</v>
          </cell>
          <cell r="B25">
            <v>0</v>
          </cell>
          <cell r="C25">
            <v>0</v>
          </cell>
        </row>
        <row r="26">
          <cell r="A26" t="str">
            <v>Janma Ghatis:  7.9117</v>
          </cell>
          <cell r="B26">
            <v>0</v>
          </cell>
          <cell r="C26">
            <v>0</v>
          </cell>
        </row>
        <row r="27">
          <cell r="A27">
            <v>0</v>
          </cell>
          <cell r="B27">
            <v>0</v>
          </cell>
          <cell r="C27">
            <v>0</v>
          </cell>
        </row>
        <row r="28">
          <cell r="A28" t="str">
            <v>Ayanamsa:      23-26-39.19</v>
          </cell>
          <cell r="B28">
            <v>0</v>
          </cell>
          <cell r="C28">
            <v>0</v>
          </cell>
        </row>
        <row r="29">
          <cell r="A29" t="str">
            <v>Sidereal Time: 4:40:40</v>
          </cell>
          <cell r="B29">
            <v>0</v>
          </cell>
          <cell r="C29">
            <v>0</v>
          </cell>
        </row>
        <row r="30">
          <cell r="A30">
            <v>0</v>
          </cell>
          <cell r="B30">
            <v>0</v>
          </cell>
          <cell r="C30">
            <v>0</v>
          </cell>
        </row>
        <row r="31">
          <cell r="A31" t="str">
            <v>Body                    Longitude        Nakshatra Pada Rasi Navamsa</v>
          </cell>
          <cell r="B31">
            <v>0</v>
          </cell>
          <cell r="C31">
            <v>0</v>
          </cell>
        </row>
        <row r="32">
          <cell r="A32">
            <v>0</v>
          </cell>
          <cell r="B32">
            <v>0</v>
          </cell>
          <cell r="C32">
            <v>0</v>
          </cell>
        </row>
        <row r="33">
          <cell r="A33" t="str">
            <v>Lagna                   16 Le 42' 41.46" PPha      2    Le   Vi</v>
          </cell>
          <cell r="B33">
            <v>0</v>
          </cell>
          <cell r="C33">
            <v>0</v>
          </cell>
        </row>
        <row r="34">
          <cell r="A34" t="str">
            <v>Sun - DK                 2 Cn 23' 57.13" Puna      4    Cn   Cn</v>
          </cell>
          <cell r="B34">
            <v>0</v>
          </cell>
          <cell r="C34">
            <v>0</v>
          </cell>
        </row>
        <row r="35">
          <cell r="A35" t="str">
            <v>Moon - BK               23 Ta 00' 57.40" Rohi      4    Ta   Cn</v>
          </cell>
          <cell r="B35">
            <v>0</v>
          </cell>
          <cell r="C35">
            <v>0</v>
          </cell>
        </row>
        <row r="36">
          <cell r="A36" t="str">
            <v>Mars (R) - AK           28 Cp 06' 31.19" Dhan      2    Cp   Vi</v>
          </cell>
          <cell r="B36">
            <v>0</v>
          </cell>
          <cell r="C36">
            <v>0</v>
          </cell>
        </row>
        <row r="37">
          <cell r="A37" t="str">
            <v>Mercury - AmK           27 Cn 07' 47.23" Asre      4    Cn   Pi</v>
          </cell>
          <cell r="B37">
            <v>0</v>
          </cell>
          <cell r="C37">
            <v>0</v>
          </cell>
        </row>
        <row r="38">
          <cell r="A38" t="str">
            <v>Jupiter (R) - GK         3 Sc 11' 49.83" Visa      4    Sc   Cn</v>
          </cell>
          <cell r="B38">
            <v>0</v>
          </cell>
          <cell r="C38">
            <v>0</v>
          </cell>
        </row>
        <row r="39">
          <cell r="A39" t="str">
            <v>Venus - MK              21 Ge 32' 26.17" Puna      1    Ge   Ar</v>
          </cell>
          <cell r="B39">
            <v>0</v>
          </cell>
          <cell r="C39">
            <v>0</v>
          </cell>
        </row>
        <row r="40">
          <cell r="A40" t="str">
            <v>Saturn - PiK             9 Ta 53' 06.76" Krit      4    Ta   Pi</v>
          </cell>
          <cell r="B40">
            <v>0</v>
          </cell>
          <cell r="C40">
            <v>0</v>
          </cell>
        </row>
        <row r="41">
          <cell r="A41" t="str">
            <v>Rahu - PK               21 Cp 58' 02.06" Srav      4    Cp   Cn</v>
          </cell>
          <cell r="B41">
            <v>0</v>
          </cell>
          <cell r="C41">
            <v>0</v>
          </cell>
        </row>
        <row r="42">
          <cell r="A42" t="str">
            <v>Ketu                    21 Cn 58' 02.06" Asre      2    Cn   Cp</v>
          </cell>
          <cell r="B42">
            <v>0</v>
          </cell>
          <cell r="C42">
            <v>0</v>
          </cell>
        </row>
        <row r="43">
          <cell r="A43" t="str">
            <v>Maandi                   8 Sc 13' 55.81" Anu       2    Sc   Vi</v>
          </cell>
          <cell r="B43">
            <v>0</v>
          </cell>
          <cell r="C43">
            <v>0</v>
          </cell>
        </row>
        <row r="44">
          <cell r="A44" t="str">
            <v>Gulika                  19 Sc 06' 14.77" Jye       1    Sc   Sg</v>
          </cell>
          <cell r="B44">
            <v>0</v>
          </cell>
          <cell r="C44">
            <v>0</v>
          </cell>
        </row>
        <row r="45">
          <cell r="A45" t="str">
            <v>Bhava Lagna             19 Le 52' 10.90" PPha      2    Le   Vi</v>
          </cell>
          <cell r="B45">
            <v>0</v>
          </cell>
          <cell r="C45">
            <v>0</v>
          </cell>
        </row>
        <row r="46">
          <cell r="A46" t="str">
            <v>Hora Lagna               7 Li 20' 24.68" Swat      1    Li   Sg</v>
          </cell>
          <cell r="B46">
            <v>0</v>
          </cell>
          <cell r="C46">
            <v>0</v>
          </cell>
        </row>
        <row r="47">
          <cell r="A47" t="str">
            <v>Ghati Lagna             29 Aq 45' 05.99" PBha      3    Aq   Ge</v>
          </cell>
          <cell r="B47">
            <v>0</v>
          </cell>
          <cell r="C47">
            <v>0</v>
          </cell>
        </row>
        <row r="48">
          <cell r="A48" t="str">
            <v>Vighati Lagna           21 Aq 48' 32.58" PBha      1    Aq   Ar</v>
          </cell>
          <cell r="B48">
            <v>0</v>
          </cell>
          <cell r="C48">
            <v>0</v>
          </cell>
        </row>
        <row r="49">
          <cell r="A49" t="str">
            <v>Varnada Lagna           16 Pi 42' 41.46" Reva      1    Pi   Aq</v>
          </cell>
          <cell r="B49">
            <v>0</v>
          </cell>
          <cell r="C49">
            <v>0</v>
          </cell>
        </row>
        <row r="50">
          <cell r="A50" t="str">
            <v>Sree Lagna               8 Le 08' 31.14" Magh      3    Le   Ge</v>
          </cell>
          <cell r="B50">
            <v>0</v>
          </cell>
          <cell r="C50">
            <v>0</v>
          </cell>
        </row>
        <row r="51">
          <cell r="A51" t="str">
            <v>Pranapada Lagna         21 Aq 48' 32.58" PBha      1    Aq   Ar</v>
          </cell>
          <cell r="B51">
            <v>0</v>
          </cell>
          <cell r="C51">
            <v>0</v>
          </cell>
        </row>
        <row r="52">
          <cell r="A52" t="str">
            <v>Indu Lagna              23 Sc 00' 57.40" Jye       2    Sc   Cp</v>
          </cell>
          <cell r="B52">
            <v>0</v>
          </cell>
          <cell r="C52">
            <v>0</v>
          </cell>
        </row>
        <row r="53">
          <cell r="A53" t="str">
            <v>Bhrigu Bindu            22 Pi 29' 29.73" Reva      2    Pi   Cp</v>
          </cell>
          <cell r="B53">
            <v>0</v>
          </cell>
          <cell r="C53">
            <v>0</v>
          </cell>
        </row>
        <row r="54">
          <cell r="A54" t="str">
            <v>Dhooma                  15 Sc 43' 57.13" Anu       4    Sc   Sc</v>
          </cell>
          <cell r="B54">
            <v>0</v>
          </cell>
          <cell r="C54">
            <v>0</v>
          </cell>
        </row>
        <row r="55">
          <cell r="A55" t="str">
            <v>Vyatipata               14 Le 16' 02.87" PPha      1    Le   Le</v>
          </cell>
          <cell r="B55">
            <v>0</v>
          </cell>
          <cell r="C55">
            <v>0</v>
          </cell>
        </row>
        <row r="56">
          <cell r="A56" t="str">
            <v>Parivesha               14 Aq 16' 02.87" Sata      3    Aq   Aq</v>
          </cell>
          <cell r="B56">
            <v>0</v>
          </cell>
          <cell r="C56">
            <v>0</v>
          </cell>
        </row>
        <row r="57">
          <cell r="A57" t="str">
            <v>Indra Chapa             15 Ta 43' 57.13" Rohi      2    Ta   Ta</v>
          </cell>
          <cell r="B57">
            <v>0</v>
          </cell>
          <cell r="C57">
            <v>0</v>
          </cell>
        </row>
        <row r="58">
          <cell r="A58" t="str">
            <v>Upaketu                  2 Ge 23' 57.13" Mrig      3    Ge   Li</v>
          </cell>
          <cell r="B58">
            <v>0</v>
          </cell>
          <cell r="C58">
            <v>0</v>
          </cell>
        </row>
        <row r="59">
          <cell r="A59" t="str">
            <v>Kaala                    3 Cp 37' 58.24" USha      3    Cp   Aq</v>
          </cell>
          <cell r="B59">
            <v>0</v>
          </cell>
          <cell r="C59">
            <v>0</v>
          </cell>
        </row>
        <row r="60">
          <cell r="A60" t="str">
            <v>Mrityu                  16 Le 48' 09.04" PPha      2    Le   Vi</v>
          </cell>
          <cell r="B60">
            <v>0</v>
          </cell>
          <cell r="C60">
            <v>0</v>
          </cell>
        </row>
        <row r="61">
          <cell r="A61" t="str">
            <v>Artha Prahara           10 Vi 40' 57.52" Hast      1    Vi   Ar</v>
          </cell>
          <cell r="B61">
            <v>0</v>
          </cell>
          <cell r="C61">
            <v>0</v>
          </cell>
        </row>
        <row r="62">
          <cell r="A62" t="str">
            <v>Yama Ghantaka            4 Li 23' 46.00" Chit      4    Li   Sc</v>
          </cell>
          <cell r="B62">
            <v>0</v>
          </cell>
          <cell r="C62">
            <v>0</v>
          </cell>
        </row>
        <row r="63">
          <cell r="A63" t="str">
            <v>Prana Sphuta            12 Li 39' 42.06" Swat      2    Li   Cp</v>
          </cell>
          <cell r="B63">
            <v>0</v>
          </cell>
          <cell r="C63">
            <v>0</v>
          </cell>
        </row>
        <row r="64">
          <cell r="A64" t="str">
            <v>Deha Sphuta             23 Cp 13' 53.93" Srav      4    Cp   Cn</v>
          </cell>
          <cell r="B64">
            <v>0</v>
          </cell>
          <cell r="C64">
            <v>0</v>
          </cell>
        </row>
        <row r="65">
          <cell r="A65" t="str">
            <v>Mrityu Sphuta           16 Sg 07' 40.49" PSha      1    Sg   Le</v>
          </cell>
          <cell r="B65">
            <v>0</v>
          </cell>
          <cell r="C65">
            <v>0</v>
          </cell>
        </row>
        <row r="66">
          <cell r="A66" t="str">
            <v>Sookshma TriSphuta      22 Ar 01' 16.48" Bhar      3    Ar   Li</v>
          </cell>
          <cell r="B66">
            <v>0</v>
          </cell>
          <cell r="C66">
            <v>0</v>
          </cell>
        </row>
        <row r="67">
          <cell r="A67" t="str">
            <v>Tithi Sphuta            20 Aq 37' 00.26" PBha      1    Aq   Ar</v>
          </cell>
          <cell r="B67">
            <v>0</v>
          </cell>
          <cell r="C67">
            <v>0</v>
          </cell>
        </row>
        <row r="68">
          <cell r="A68" t="str">
            <v>Yoga Sphuta (Sun-Moon)  25 Le 24' 54.53" PPha      4    Le   Sc</v>
          </cell>
          <cell r="B68">
            <v>0</v>
          </cell>
          <cell r="C68">
            <v>0</v>
          </cell>
        </row>
        <row r="69">
          <cell r="A69" t="str">
            <v>Rahu Tithi Sphuta       19 Li 34' 04.93" Swat      4    Li   Pi</v>
          </cell>
          <cell r="B69">
            <v>0</v>
          </cell>
          <cell r="C69">
            <v>0</v>
          </cell>
        </row>
        <row r="70">
          <cell r="A70" t="str">
            <v>Kshetra Sphuta          24 Li 19' 18.41" Visa      2    Li   Ta</v>
          </cell>
          <cell r="B70">
            <v>0</v>
          </cell>
          <cell r="C70">
            <v>0</v>
          </cell>
        </row>
        <row r="71">
          <cell r="A71" t="str">
            <v>Beeja Sphuta            27 Ar 08' 13.13" Krit      1    Ar   Sg</v>
          </cell>
          <cell r="B71">
            <v>0</v>
          </cell>
          <cell r="C71">
            <v>0</v>
          </cell>
        </row>
        <row r="72">
          <cell r="A72" t="str">
            <v>TriSphuta               28 Ta 49' 53.62" Mrig      2    Ta   Vi</v>
          </cell>
          <cell r="B72">
            <v>0</v>
          </cell>
          <cell r="C72">
            <v>0</v>
          </cell>
        </row>
        <row r="73">
          <cell r="A73" t="str">
            <v>ChatusSphuta             1 Vi 13' 50.75" UPha      2    Vi   Cp</v>
          </cell>
          <cell r="B73">
            <v>0</v>
          </cell>
          <cell r="C73">
            <v>0</v>
          </cell>
        </row>
        <row r="74">
          <cell r="A74" t="str">
            <v>PanchaSphuta            23 Ge 11' 52.82" Puna      1    Ge   Ar</v>
          </cell>
          <cell r="B74">
            <v>0</v>
          </cell>
          <cell r="C74">
            <v>0</v>
          </cell>
        </row>
        <row r="75">
          <cell r="A75" t="str">
            <v>Kunda                    3 Cp 37' 58.17" USha      3    Cp   Aq</v>
          </cell>
          <cell r="B75">
            <v>0</v>
          </cell>
          <cell r="C75">
            <v>0</v>
          </cell>
        </row>
        <row r="76">
          <cell r="A76" t="str">
            <v>Yoga Sphuta             28 Sc 44' 54.53" Jye       4    Sc   Pi</v>
          </cell>
          <cell r="B76">
            <v>0</v>
          </cell>
          <cell r="C76">
            <v>0</v>
          </cell>
        </row>
        <row r="77">
          <cell r="A77" t="str">
            <v>Avayoga Sphuta           5 Ge 24' 54.53" Mrig      4    Ge   Sc</v>
          </cell>
          <cell r="B77">
            <v>0</v>
          </cell>
          <cell r="C77">
            <v>0</v>
          </cell>
        </row>
        <row r="78">
          <cell r="A78" t="str">
            <v>YogaSaham               28 Sc 44' 54.53" Jye       4    Sc   Pi</v>
          </cell>
          <cell r="B78">
            <v>0</v>
          </cell>
          <cell r="C78">
            <v>0</v>
          </cell>
        </row>
        <row r="79">
          <cell r="A79">
            <v>0</v>
          </cell>
          <cell r="B79">
            <v>0</v>
          </cell>
          <cell r="C79">
            <v>0</v>
          </cell>
        </row>
        <row r="80">
          <cell r="A80" t="str">
            <v>+-----------------------------------------------+</v>
          </cell>
          <cell r="B80">
            <v>0</v>
          </cell>
          <cell r="C80">
            <v>0</v>
          </cell>
        </row>
        <row r="81">
          <cell r="A81" t="str">
            <v>|           |           |Mo   Sa    |Ve   AL    |</v>
          </cell>
          <cell r="B81">
            <v>0</v>
          </cell>
          <cell r="C81">
            <v>0</v>
          </cell>
        </row>
        <row r="82">
          <cell r="A82" t="str">
            <v>|           |           |           |           |</v>
          </cell>
          <cell r="B82">
            <v>0</v>
          </cell>
          <cell r="C82">
            <v>0</v>
          </cell>
        </row>
        <row r="83">
          <cell r="A83" t="str">
            <v>|           |           |           |           |</v>
          </cell>
          <cell r="B83">
            <v>0</v>
          </cell>
          <cell r="C83">
            <v>0</v>
          </cell>
        </row>
        <row r="84">
          <cell r="A84" t="str">
            <v>|           |           |           |           |</v>
          </cell>
          <cell r="B84">
            <v>0</v>
          </cell>
          <cell r="C84">
            <v>0</v>
          </cell>
        </row>
        <row r="85">
          <cell r="A85" t="str">
            <v>|           |           |           |           |</v>
          </cell>
          <cell r="B85">
            <v>0</v>
          </cell>
          <cell r="C85">
            <v>0</v>
          </cell>
        </row>
        <row r="86">
          <cell r="A86" t="str">
            <v>|-----------+-----------------------+-----------|</v>
          </cell>
          <cell r="B86">
            <v>0</v>
          </cell>
          <cell r="C86">
            <v>0</v>
          </cell>
        </row>
        <row r="87">
          <cell r="A87" t="str">
            <v>|GL         |                       |Su   Me    |</v>
          </cell>
          <cell r="B87">
            <v>0</v>
          </cell>
          <cell r="C87">
            <v>0</v>
          </cell>
        </row>
        <row r="88">
          <cell r="A88" t="str">
            <v>|           |                       |Ke         |</v>
          </cell>
          <cell r="B88">
            <v>0</v>
          </cell>
          <cell r="C88">
            <v>0</v>
          </cell>
        </row>
        <row r="89">
          <cell r="A89" t="str">
            <v>|           |                       |           |</v>
          </cell>
          <cell r="B89">
            <v>0</v>
          </cell>
          <cell r="C89">
            <v>0</v>
          </cell>
        </row>
        <row r="90">
          <cell r="A90" t="str">
            <v>|           |                       |           |</v>
          </cell>
          <cell r="B90">
            <v>0</v>
          </cell>
          <cell r="C90">
            <v>0</v>
          </cell>
        </row>
        <row r="91">
          <cell r="A91" t="str">
            <v>|           |                       |           |</v>
          </cell>
          <cell r="B91">
            <v>0</v>
          </cell>
          <cell r="C91">
            <v>0</v>
          </cell>
        </row>
        <row r="92">
          <cell r="A92" t="str">
            <v>|-----------|         Rasi          |-----------|</v>
          </cell>
          <cell r="B92">
            <v>0</v>
          </cell>
          <cell r="C92">
            <v>0</v>
          </cell>
        </row>
        <row r="93">
          <cell r="A93" t="str">
            <v>|MaR  Ra    |                       |As         |</v>
          </cell>
          <cell r="B93">
            <v>0</v>
          </cell>
          <cell r="C93">
            <v>0</v>
          </cell>
        </row>
        <row r="94">
          <cell r="A94" t="str">
            <v>|           |                       |           |</v>
          </cell>
          <cell r="B94">
            <v>0</v>
          </cell>
          <cell r="C94">
            <v>0</v>
          </cell>
        </row>
        <row r="95">
          <cell r="A95" t="str">
            <v>|           |                       |           |</v>
          </cell>
          <cell r="B95">
            <v>0</v>
          </cell>
          <cell r="C95">
            <v>0</v>
          </cell>
        </row>
        <row r="96">
          <cell r="A96" t="str">
            <v>|           |                       |           |</v>
          </cell>
          <cell r="B96">
            <v>0</v>
          </cell>
          <cell r="C96">
            <v>0</v>
          </cell>
        </row>
        <row r="97">
          <cell r="A97" t="str">
            <v>|           |                       |           |</v>
          </cell>
          <cell r="B97">
            <v>0</v>
          </cell>
          <cell r="C97">
            <v>0</v>
          </cell>
        </row>
        <row r="98">
          <cell r="A98" t="str">
            <v>|-----------+-----------------------+-----------|</v>
          </cell>
          <cell r="B98">
            <v>0</v>
          </cell>
          <cell r="C98">
            <v>0</v>
          </cell>
        </row>
        <row r="99">
          <cell r="A99" t="str">
            <v>|           |JuR  Md    |HL         |           |</v>
          </cell>
          <cell r="B99">
            <v>0</v>
          </cell>
          <cell r="C99">
            <v>0</v>
          </cell>
        </row>
        <row r="100">
          <cell r="A100" t="str">
            <v>|           |Gk         |           |           |</v>
          </cell>
          <cell r="B100">
            <v>0</v>
          </cell>
          <cell r="C100">
            <v>0</v>
          </cell>
        </row>
        <row r="101">
          <cell r="A101" t="str">
            <v>|           |           |           |           |</v>
          </cell>
          <cell r="B101">
            <v>0</v>
          </cell>
          <cell r="C101">
            <v>0</v>
          </cell>
        </row>
        <row r="102">
          <cell r="A102" t="str">
            <v>|           |           |           |           |</v>
          </cell>
          <cell r="B102">
            <v>0</v>
          </cell>
          <cell r="C102">
            <v>0</v>
          </cell>
        </row>
        <row r="103">
          <cell r="A103" t="str">
            <v>|           |           |           |           |</v>
          </cell>
          <cell r="B103">
            <v>0</v>
          </cell>
          <cell r="C103">
            <v>0</v>
          </cell>
        </row>
        <row r="104">
          <cell r="A104" t="str">
            <v>+-----------------------------------------------+</v>
          </cell>
          <cell r="B104">
            <v>0</v>
          </cell>
          <cell r="C104">
            <v>0</v>
          </cell>
        </row>
        <row r="105">
          <cell r="A105" t="str">
            <v xml:space="preserve"> </v>
          </cell>
          <cell r="B105">
            <v>0</v>
          </cell>
          <cell r="C105">
            <v>0</v>
          </cell>
        </row>
        <row r="106">
          <cell r="A106" t="str">
            <v>Vimsottari Dasa ():</v>
          </cell>
          <cell r="B106">
            <v>0</v>
          </cell>
          <cell r="C106">
            <v>0</v>
          </cell>
        </row>
        <row r="107">
          <cell r="A107">
            <v>0</v>
          </cell>
          <cell r="B107">
            <v>0</v>
          </cell>
          <cell r="C107">
            <v>0</v>
          </cell>
        </row>
        <row r="108">
          <cell r="A108" t="str">
            <v xml:space="preserve">Moon  Moon 1961-10-15  Mars 1962-08-14  Rah 1963-03-12  </v>
          </cell>
          <cell r="B108">
            <v>0</v>
          </cell>
          <cell r="C108">
            <v>0</v>
          </cell>
        </row>
        <row r="109">
          <cell r="A109" t="str">
            <v xml:space="preserve">      Jup 1964-09-14  Sat 1966-01-12  Merc 1967-08-15  </v>
          </cell>
          <cell r="B109">
            <v>0</v>
          </cell>
          <cell r="C109">
            <v>0</v>
          </cell>
        </row>
        <row r="110">
          <cell r="A110" t="str">
            <v xml:space="preserve">      Ket 1969-01-12  Ven 1969-08-14  Sun 1971-04-12  </v>
          </cell>
          <cell r="B110">
            <v>0</v>
          </cell>
          <cell r="C110">
            <v>0</v>
          </cell>
        </row>
      </sheetData>
      <sheetData sheetId="1"/>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y Prabhakaran" refreshedDate="42117.487187384257" createdVersion="1" refreshedVersion="3" recordCount="36" upgradeOnRefresh="1" xr:uid="{00000000-000A-0000-FFFF-FFFF00000000}">
  <cacheSource type="worksheet">
    <worksheetSource name="Drekkana"/>
  </cacheSource>
  <cacheFields count="4">
    <cacheField name="D3" numFmtId="0">
      <sharedItems containsSemiMixedTypes="0" containsString="0" containsNumber="1" containsInteger="1" minValue="1" maxValue="36"/>
    </cacheField>
    <cacheField name="Sign" numFmtId="0">
      <sharedItems/>
    </cacheField>
    <cacheField name="Drekkana" numFmtId="0">
      <sharedItems containsSemiMixedTypes="0" containsString="0" containsNumber="1" containsInteger="1" minValue="1" maxValue="3"/>
    </cacheField>
    <cacheField name="JaatakaParijaata" numFmtId="0">
      <sharedItems count="4">
        <s v="Malefic"/>
        <s v="Benefic"/>
        <s v="Mixed"/>
        <s v="WaterBeari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s v="Mesha"/>
    <n v="1"/>
    <x v="0"/>
  </r>
  <r>
    <n v="2"/>
    <s v="Mesha"/>
    <n v="2"/>
    <x v="1"/>
  </r>
  <r>
    <n v="3"/>
    <s v="Mesha"/>
    <n v="3"/>
    <x v="2"/>
  </r>
  <r>
    <n v="4"/>
    <s v="Vrishabha"/>
    <n v="1"/>
    <x v="2"/>
  </r>
  <r>
    <n v="5"/>
    <s v="Vrishabha"/>
    <n v="2"/>
    <x v="1"/>
  </r>
  <r>
    <n v="6"/>
    <s v="Vrishabha"/>
    <n v="3"/>
    <x v="3"/>
  </r>
  <r>
    <n v="7"/>
    <s v="Mithuna"/>
    <n v="1"/>
    <x v="1"/>
  </r>
  <r>
    <n v="8"/>
    <s v="Mithuna"/>
    <n v="2"/>
    <x v="2"/>
  </r>
  <r>
    <n v="9"/>
    <s v="Mithuna"/>
    <n v="3"/>
    <x v="3"/>
  </r>
  <r>
    <n v="10"/>
    <s v="Karka"/>
    <n v="1"/>
    <x v="3"/>
  </r>
  <r>
    <n v="11"/>
    <s v="Karka"/>
    <n v="2"/>
    <x v="0"/>
  </r>
  <r>
    <n v="12"/>
    <s v="Karka"/>
    <n v="3"/>
    <x v="2"/>
  </r>
  <r>
    <n v="13"/>
    <s v="Simha"/>
    <n v="1"/>
    <x v="0"/>
  </r>
  <r>
    <n v="14"/>
    <s v="Simha"/>
    <n v="2"/>
    <x v="2"/>
  </r>
  <r>
    <n v="15"/>
    <s v="Simha"/>
    <n v="3"/>
    <x v="0"/>
  </r>
  <r>
    <n v="16"/>
    <s v="Kanya"/>
    <n v="1"/>
    <x v="1"/>
  </r>
  <r>
    <n v="17"/>
    <s v="Kanya"/>
    <n v="2"/>
    <x v="3"/>
  </r>
  <r>
    <n v="18"/>
    <s v="Kanya"/>
    <n v="3"/>
    <x v="1"/>
  </r>
  <r>
    <n v="19"/>
    <s v="Tula"/>
    <n v="1"/>
    <x v="1"/>
  </r>
  <r>
    <n v="20"/>
    <s v="Tula"/>
    <n v="2"/>
    <x v="2"/>
  </r>
  <r>
    <n v="21"/>
    <s v="Tula"/>
    <n v="3"/>
    <x v="0"/>
  </r>
  <r>
    <n v="22"/>
    <s v="Vrishchika"/>
    <n v="1"/>
    <x v="0"/>
  </r>
  <r>
    <n v="23"/>
    <s v="Vrishchika"/>
    <n v="2"/>
    <x v="0"/>
  </r>
  <r>
    <n v="24"/>
    <s v="Vrishchika"/>
    <n v="3"/>
    <x v="0"/>
  </r>
  <r>
    <n v="25"/>
    <s v="Dhanura"/>
    <n v="1"/>
    <x v="2"/>
  </r>
  <r>
    <n v="26"/>
    <s v="Dhanura"/>
    <n v="2"/>
    <x v="1"/>
  </r>
  <r>
    <n v="27"/>
    <s v="Dhanura"/>
    <n v="3"/>
    <x v="1"/>
  </r>
  <r>
    <n v="28"/>
    <s v="Makara"/>
    <n v="1"/>
    <x v="0"/>
  </r>
  <r>
    <n v="29"/>
    <s v="Makara"/>
    <n v="2"/>
    <x v="1"/>
  </r>
  <r>
    <n v="30"/>
    <s v="Makara"/>
    <n v="3"/>
    <x v="2"/>
  </r>
  <r>
    <n v="31"/>
    <s v="Kumbha"/>
    <n v="1"/>
    <x v="0"/>
  </r>
  <r>
    <n v="32"/>
    <s v="Kumbha"/>
    <n v="2"/>
    <x v="1"/>
  </r>
  <r>
    <n v="33"/>
    <s v="Kumbha"/>
    <n v="3"/>
    <x v="1"/>
  </r>
  <r>
    <n v="34"/>
    <s v="Meena"/>
    <n v="1"/>
    <x v="3"/>
  </r>
  <r>
    <n v="35"/>
    <s v="Meena"/>
    <n v="2"/>
    <x v="3"/>
  </r>
  <r>
    <n v="36"/>
    <s v="Meena"/>
    <n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 cacheId="0" dataOnRows="1"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L733:M739" firstHeaderRow="2" firstDataRow="2" firstDataCol="1"/>
  <pivotFields count="4">
    <pivotField compact="0" outline="0" subtotalTop="0" showAll="0" includeNewItemsInFilter="1"/>
    <pivotField compact="0" outline="0" subtotalTop="0" showAll="0" includeNewItemsInFilter="1"/>
    <pivotField compact="0" outline="0" subtotalTop="0" showAll="0" includeNewItemsInFilter="1"/>
    <pivotField axis="axisRow" dataField="1" compact="0" outline="0" subtotalTop="0" showAll="0" includeNewItemsInFilter="1">
      <items count="5">
        <item x="1"/>
        <item x="0"/>
        <item x="2"/>
        <item x="3"/>
        <item t="default"/>
      </items>
    </pivotField>
  </pivotFields>
  <rowFields count="1">
    <field x="3"/>
  </rowFields>
  <rowItems count="5">
    <i>
      <x/>
    </i>
    <i>
      <x v="1"/>
    </i>
    <i>
      <x v="2"/>
    </i>
    <i>
      <x v="3"/>
    </i>
    <i t="grand">
      <x/>
    </i>
  </rowItems>
  <colItems count="1">
    <i/>
  </colItems>
  <dataFields count="1">
    <dataField name="Count of JaatakaParijaata" fld="3"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7:C21" totalsRowShown="0">
  <autoFilter ref="A17:C21" xr:uid="{00000000-0009-0000-0100-000011000000}"/>
  <tableColumns count="3">
    <tableColumn id="1" xr3:uid="{00000000-0010-0000-0000-000001000000}" name="Year"/>
    <tableColumn id="2" xr3:uid="{00000000-0010-0000-0000-000002000000}" name="Days"/>
    <tableColumn id="3" xr3:uid="{00000000-0010-0000-0000-000003000000}" name="Ratio" dataDxfId="533"/>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1000000}" name="Table19" displayName="Table19" ref="A2:Q11" totalsRowShown="0" tableBorderDxfId="532">
  <autoFilter ref="A2:Q11" xr:uid="{00000000-0009-0000-0100-000013000000}"/>
  <tableColumns count="17">
    <tableColumn id="1" xr3:uid="{00000000-0010-0000-0100-000001000000}" name="Graha"/>
    <tableColumn id="2" xr3:uid="{00000000-0010-0000-0100-000002000000}" name="Jataka" dataDxfId="531"/>
    <tableColumn id="3" xr3:uid="{00000000-0010-0000-0100-000003000000}" name="Debility" dataDxfId="530"/>
    <tableColumn id="4" xr3:uid="{00000000-0010-0000-0100-000004000000}" name="Distance" dataDxfId="529"/>
    <tableColumn id="5" xr3:uid="{00000000-0010-0000-0100-000005000000}" name="Maana"/>
    <tableColumn id="6" xr3:uid="{00000000-0010-0000-0100-000006000000}" name="Correction"/>
    <tableColumn id="7" xr3:uid="{00000000-0010-0000-0100-000007000000}" name="Age-P" dataDxfId="528"/>
    <tableColumn id="8" xr3:uid="{00000000-0010-0000-0100-000008000000}" name="Maana2" dataDxfId="527"/>
    <tableColumn id="9" xr3:uid="{00000000-0010-0000-0100-000009000000}" name="Correction3"/>
    <tableColumn id="10" xr3:uid="{00000000-0010-0000-0100-00000A000000}" name="Age-N" dataDxfId="526"/>
    <tableColumn id="11" xr3:uid="{00000000-0010-0000-0100-00000B000000}" name="D9" dataDxfId="525" dataCellStyle="Neutral"/>
    <tableColumn id="12" xr3:uid="{00000000-0010-0000-0100-00000C000000}" name="Correction5" dataDxfId="524"/>
    <tableColumn id="13" xr3:uid="{00000000-0010-0000-0100-00000D000000}" name="Age-A" dataDxfId="523" dataCellStyle="Neutral"/>
    <tableColumn id="14" xr3:uid="{00000000-0010-0000-0100-00000E000000}" name="MaanaR" dataDxfId="522"/>
    <tableColumn id="15" xr3:uid="{00000000-0010-0000-0100-00000F000000}" name="Age-R" dataDxfId="521"/>
    <tableColumn id="16" xr3:uid="{00000000-0010-0000-0100-000010000000}" name="Factor" dataDxfId="520"/>
    <tableColumn id="17" xr3:uid="{00000000-0010-0000-0100-000011000000}" name="Age-K"/>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Table13" displayName="Table13" ref="A1:L10" totalsRowShown="0">
  <autoFilter ref="A1:L10" xr:uid="{00000000-0009-0000-0100-00000D000000}"/>
  <tableColumns count="12">
    <tableColumn id="1" xr3:uid="{00000000-0010-0000-0200-000001000000}" name="Planet">
      <calculatedColumnFormula>IF($E$1,F2,D2)</calculatedColumnFormula>
    </tableColumn>
    <tableColumn id="2" xr3:uid="{00000000-0010-0000-0200-000002000000}" name="Vimsottari Years">
      <calculatedColumnFormula>IF($E$1,G2,E2)</calculatedColumnFormula>
    </tableColumn>
    <tableColumn id="3" xr3:uid="{00000000-0010-0000-0200-000003000000}" name="Vimsottari Seq">
      <calculatedColumnFormula>H2</calculatedColumnFormula>
    </tableColumn>
    <tableColumn id="4" xr3:uid="{00000000-0010-0000-0200-000004000000}" name="Use Forward Table?"/>
    <tableColumn id="5" xr3:uid="{00000000-0010-0000-0200-000005000000}" name="TRUE"/>
    <tableColumn id="6" xr3:uid="{00000000-0010-0000-0200-000006000000}" name="Graha"/>
    <tableColumn id="7" xr3:uid="{00000000-0010-0000-0200-000007000000}" name="Solar Years"/>
    <tableColumn id="8" xr3:uid="{00000000-0010-0000-0200-000008000000}" name="Sequence"/>
    <tableColumn id="9" xr3:uid="{00000000-0010-0000-0200-000009000000}" name="Sol Days/Deg" dataDxfId="519">
      <calculatedColumnFormula>G2*360/13.33333333</calculatedColumnFormula>
    </tableColumn>
    <tableColumn id="10" xr3:uid="{00000000-0010-0000-0200-00000A000000}" name="Sol Days/Min">
      <calculatedColumnFormula>G2*360/800</calculatedColumnFormula>
    </tableColumn>
    <tableColumn id="11" xr3:uid="{00000000-0010-0000-0200-00000B000000}" name="Sol Days/Sec">
      <calculatedColumnFormula>J2/60</calculatedColumnFormula>
    </tableColumn>
    <tableColumn id="12" xr3:uid="{00000000-0010-0000-0200-00000C000000}" name="Dasa Days/Min">
      <calculatedColumnFormula>G2*360/(MoonPeriod/27*24*60)</calculatedColumnFormula>
    </tableColumn>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3000000}" name="KC" displayName="KC" ref="A1:H49" totalsRowShown="0" headerRowDxfId="517" dataDxfId="516">
  <autoFilter ref="A1:H49" xr:uid="{00000000-0009-0000-0100-000012000000}"/>
  <tableColumns count="8">
    <tableColumn id="1" xr3:uid="{00000000-0010-0000-0300-000001000000}" name="Seq" dataDxfId="515"/>
    <tableColumn id="2" xr3:uid="{00000000-0010-0000-0300-000002000000}" name="Dasa" dataDxfId="514"/>
    <tableColumn id="3" xr3:uid="{00000000-0010-0000-0300-000003000000}" name="Years" dataDxfId="513"/>
    <tableColumn id="4" xr3:uid="{00000000-0010-0000-0300-000004000000}" name="Pada" dataDxfId="512"/>
    <tableColumn id="5" xr3:uid="{00000000-0010-0000-0300-000005000000}" name="KD9" dataDxfId="511"/>
    <tableColumn id="8" xr3:uid="{00000000-0010-0000-0300-000008000000}" name="Ayush" dataDxfId="510" dataCellStyle="Normal 4">
      <calculatedColumnFormula>SUM(C2:C10)</calculatedColumnFormula>
    </tableColumn>
    <tableColumn id="6" xr3:uid="{00000000-0010-0000-0300-000006000000}" name="D9Savya" dataDxfId="509"/>
    <tableColumn id="7" xr3:uid="{00000000-0010-0000-0300-000007000000}" name="Savya2" dataDxfId="508"/>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1" xr:uid="{00000000-000C-0000-FFFF-FFFF04000000}" name="VedhaTable" displayName="VedhaTable" ref="A301:M309" totalsRowShown="0" headerRowDxfId="498" dataDxfId="497">
  <tableColumns count="13">
    <tableColumn id="1" xr3:uid="{00000000-0010-0000-0400-000001000000}" name="Table of Vedha" dataDxfId="496"/>
    <tableColumn id="2" xr3:uid="{00000000-0010-0000-0400-000002000000}" name="1" dataDxfId="495"/>
    <tableColumn id="3" xr3:uid="{00000000-0010-0000-0400-000003000000}" name="2" dataDxfId="494"/>
    <tableColumn id="4" xr3:uid="{00000000-0010-0000-0400-000004000000}" name="3" dataDxfId="493"/>
    <tableColumn id="5" xr3:uid="{00000000-0010-0000-0400-000005000000}" name="4" dataDxfId="492"/>
    <tableColumn id="6" xr3:uid="{00000000-0010-0000-0400-000006000000}" name="5" dataDxfId="491"/>
    <tableColumn id="7" xr3:uid="{00000000-0010-0000-0400-000007000000}" name="6" dataDxfId="490"/>
    <tableColumn id="8" xr3:uid="{00000000-0010-0000-0400-000008000000}" name="7" dataDxfId="489"/>
    <tableColumn id="9" xr3:uid="{00000000-0010-0000-0400-000009000000}" name="8" dataDxfId="488"/>
    <tableColumn id="10" xr3:uid="{00000000-0010-0000-0400-00000A000000}" name="9" dataDxfId="487"/>
    <tableColumn id="11" xr3:uid="{00000000-0010-0000-0400-00000B000000}" name="10" dataDxfId="486"/>
    <tableColumn id="12" xr3:uid="{00000000-0010-0000-0400-00000C000000}" name="11" dataDxfId="485"/>
    <tableColumn id="13" xr3:uid="{00000000-0010-0000-0400-00000D000000}" name="12" dataDxfId="484"/>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2" displayName="Table2" ref="B3:C12" totalsRowShown="0">
  <autoFilter ref="B3:C12" xr:uid="{00000000-0009-0000-0100-000001000000}"/>
  <tableColumns count="2">
    <tableColumn id="1" xr3:uid="{00000000-0010-0000-0500-000001000000}" name="Planet"/>
    <tableColumn id="2" xr3:uid="{00000000-0010-0000-0500-000002000000}" name="Sign#" dataDxfId="483">
      <calculatedColumnFormula>E4</calculatedColumnFormula>
    </tableColumn>
  </tableColumns>
  <tableStyleInfo name="Prin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6000000}" name="Nakshatra" displayName="Nakshatra" ref="A47:BC76" totalsRowShown="0" headerRowDxfId="479" dataDxfId="478">
  <autoFilter ref="A47:BC76" xr:uid="{00000000-0009-0000-0100-000002000000}"/>
  <tableColumns count="55">
    <tableColumn id="1" xr3:uid="{00000000-0010-0000-0600-000001000000}" name="Seq27" dataDxfId="477"/>
    <tableColumn id="2" xr3:uid="{00000000-0010-0000-0600-000002000000}" name="Name" dataDxfId="476"/>
    <tableColumn id="3" xr3:uid="{00000000-0010-0000-0600-000003000000}" name="Other Names" dataDxfId="475"/>
    <tableColumn id="4" xr3:uid="{00000000-0010-0000-0600-000004000000}" name="Lord" dataDxfId="474"/>
    <tableColumn id="5" xr3:uid="{00000000-0010-0000-0600-000005000000}" name="Sign(s)" dataDxfId="473"/>
    <tableColumn id="6" xr3:uid="{00000000-0010-0000-0600-000006000000}" name="Tatva Group" dataDxfId="472"/>
    <tableColumn id="7" xr3:uid="{00000000-0010-0000-0600-000007000000}" name="Tatva" dataDxfId="471"/>
    <tableColumn id="59" xr3:uid="{00000000-0010-0000-0600-00003B000000}" name="Andhaadi" dataDxfId="470"/>
    <tableColumn id="8" xr3:uid="{00000000-0010-0000-0600-000008000000}" name="Adhomukhaadi/Sight" dataDxfId="469"/>
    <tableColumn id="9" xr3:uid="{00000000-0010-0000-0600-000009000000}" name="Guna(8)" dataDxfId="468"/>
    <tableColumn id="10" xr3:uid="{00000000-0010-0000-0600-00000A000000}" name="Gana(9)" dataDxfId="467"/>
    <tableColumn id="11" xr3:uid="{00000000-0010-0000-0600-00000B000000}" name="Type" dataDxfId="466"/>
    <tableColumn id="12" xr3:uid="{00000000-0010-0000-0600-00000C000000}" name="Symbol" dataDxfId="465"/>
    <tableColumn id="55" xr3:uid="{00000000-0010-0000-0600-000037000000}" name="Symbol2" dataDxfId="464"/>
    <tableColumn id="13" xr3:uid="{00000000-0010-0000-0600-00000D000000}" name="Sex*" dataDxfId="463"/>
    <tableColumn id="14" xr3:uid="{00000000-0010-0000-0600-00000E000000}" name="Animal" dataDxfId="462"/>
    <tableColumn id="15" xr3:uid="{00000000-0010-0000-0600-00000F000000}" name="Deity" dataDxfId="461"/>
    <tableColumn id="16" xr3:uid="{00000000-0010-0000-0600-000010000000}" name="Rajju" dataDxfId="460"/>
    <tableColumn id="17" xr3:uid="{00000000-0010-0000-0600-000011000000}" name="Prakruti" dataDxfId="459"/>
    <tableColumn id="18" xr3:uid="{00000000-0010-0000-0600-000012000000}" name="Varna" dataDxfId="458"/>
    <tableColumn id="22" xr3:uid="{00000000-0010-0000-0600-000016000000}" name="Start" dataDxfId="457"/>
    <tableColumn id="23" xr3:uid="{00000000-0010-0000-0600-000017000000}" name="End" dataDxfId="456"/>
    <tableColumn id="24" xr3:uid="{00000000-0010-0000-0600-000018000000}" name="Phonemes" dataDxfId="455"/>
    <tableColumn id="25" xr3:uid="{00000000-0010-0000-0600-000019000000}" name="Akshara" dataDxfId="454"/>
    <tableColumn id="26" xr3:uid="{00000000-0010-0000-0600-00001A000000}" name="Gotra(25)" dataDxfId="453"/>
    <tableColumn id="58" xr3:uid="{00000000-0010-0000-0600-00003A000000}" name="DoshaX8" dataDxfId="452"/>
    <tableColumn id="27" xr3:uid="{00000000-0010-0000-0600-00001B000000}" name="Pada1" dataDxfId="451"/>
    <tableColumn id="28" xr3:uid="{00000000-0010-0000-0600-00001C000000}" name="Pada2" dataDxfId="450"/>
    <tableColumn id="29" xr3:uid="{00000000-0010-0000-0600-00001D000000}" name="Pada3" dataDxfId="449"/>
    <tableColumn id="30" xr3:uid="{00000000-0010-0000-0600-00001E000000}" name="Pada4" dataDxfId="448"/>
    <tableColumn id="31" xr3:uid="{00000000-0010-0000-0600-00001F000000}" name="Yoga" dataDxfId="447"/>
    <tableColumn id="32" xr3:uid="{00000000-0010-0000-0600-000020000000}" name="Direction" dataDxfId="446"/>
    <tableColumn id="33" xr3:uid="{00000000-0010-0000-0600-000021000000}" name="Astronomical Name" dataDxfId="445"/>
    <tableColumn id="37" xr3:uid="{00000000-0010-0000-0600-000025000000}" name="0:Gh:Vg" dataDxfId="444"/>
    <tableColumn id="39" xr3:uid="{00000000-0010-0000-0600-000027000000}" name="Degrees" dataDxfId="443"/>
    <tableColumn id="40" xr3:uid="{00000000-0010-0000-0600-000028000000}" name="PROFESSIONS, ARTICLES ETC. SIGNIFIED" dataDxfId="442"/>
    <tableColumn id="41" xr3:uid="{00000000-0010-0000-0600-000029000000}" name="PanchaPakshiShuklaP (Prashna Marga)" dataDxfId="441"/>
    <tableColumn id="42" xr3:uid="{00000000-0010-0000-0600-00002A000000}" name="PanchaPakshiKrishnaP" dataDxfId="440"/>
    <tableColumn id="44" xr3:uid="{00000000-0010-0000-0600-00002C000000}" name="Sanjya chakra" dataDxfId="439"/>
    <tableColumn id="45" xr3:uid="{00000000-0010-0000-0600-00002D000000}" name="Paata Chakra" dataDxfId="438"/>
    <tableColumn id="46" xr3:uid="{00000000-0010-0000-0600-00002E000000}" name="Paata (Up,Mr,Ka, Sa)" dataDxfId="437"/>
    <tableColumn id="47" xr3:uid="{00000000-0010-0000-0600-00002F000000}" name="Body Parts (Kamkoti.org)" dataDxfId="436"/>
    <tableColumn id="48" xr3:uid="{00000000-0010-0000-0600-000030000000}" name="Visha" dataDxfId="435"/>
    <tableColumn id="50" xr3:uid="{00000000-0010-0000-0600-000032000000}" name="Amrit" dataDxfId="434"/>
    <tableColumn id="51" xr3:uid="{00000000-0010-0000-0600-000033000000}" name="Mrityu" dataDxfId="433"/>
    <tableColumn id="52" xr3:uid="{00000000-0010-0000-0600-000034000000}" name="Ushna-sikha Start" dataDxfId="432"/>
    <tableColumn id="53" xr3:uid="{00000000-0010-0000-0600-000035000000}" name="Ushna-sikha End" dataDxfId="431"/>
    <tableColumn id="54" xr3:uid="{00000000-0010-0000-0600-000036000000}" name="Savya" dataDxfId="430"/>
    <tableColumn id="57" xr3:uid="{00000000-0010-0000-0600-000039000000}" name="Meaning" dataDxfId="429"/>
    <tableColumn id="60" xr3:uid="{00000000-0010-0000-0600-00003C000000}" name="Pada 1" dataDxfId="428"/>
    <tableColumn id="61" xr3:uid="{00000000-0010-0000-0600-00003D000000}" name="Pada 2" dataDxfId="427"/>
    <tableColumn id="62" xr3:uid="{00000000-0010-0000-0600-00003E000000}" name="Pada 3" dataDxfId="426"/>
    <tableColumn id="63" xr3:uid="{00000000-0010-0000-0600-00003F000000}" name="Pada 4" dataDxfId="425"/>
    <tableColumn id="64" xr3:uid="{00000000-0010-0000-0600-000040000000}" name="Shiva Names" dataDxfId="424"/>
    <tableColumn id="19" xr3:uid="{00000000-0010-0000-0600-000013000000}" name="Tree" dataDxfId="42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7000000}" name="Table4" displayName="Table4" ref="A15:W27" totalsRowShown="0" headerRowDxfId="422" dataDxfId="421" tableBorderDxfId="420">
  <autoFilter ref="A15:W27" xr:uid="{00000000-0009-0000-0100-000004000000}"/>
  <tableColumns count="23">
    <tableColumn id="1" xr3:uid="{00000000-0010-0000-0700-000001000000}" name="Sign/Rasi" dataDxfId="419"/>
    <tableColumn id="2" xr3:uid="{00000000-0010-0000-0700-000002000000}" name="Rasi Symbol" dataDxfId="418"/>
    <tableColumn id="3" xr3:uid="{00000000-0010-0000-0700-000003000000}" name="Deg" dataDxfId="417">
      <calculatedColumnFormula>C15+30</calculatedColumnFormula>
    </tableColumn>
    <tableColumn id="4" xr3:uid="{00000000-0010-0000-0700-000004000000}" name="Tattwa" dataDxfId="416"/>
    <tableColumn id="5" xr3:uid="{00000000-0010-0000-0700-000005000000}" name="Direction" dataDxfId="415"/>
    <tableColumn id="6" xr3:uid="{00000000-0010-0000-0700-000006000000}" name="Yuga" dataDxfId="414"/>
    <tableColumn id="7" xr3:uid="{00000000-0010-0000-0700-000007000000}" name="Type" dataDxfId="413"/>
    <tableColumn id="8" xr3:uid="{00000000-0010-0000-0700-000008000000}" name="Mantra" dataDxfId="412"/>
    <tableColumn id="9" xr3:uid="{00000000-0010-0000-0700-000009000000}" name="Strength" dataDxfId="411"/>
    <tableColumn id="10" xr3:uid="{00000000-0010-0000-0700-00000A000000}" name="Lord" dataDxfId="410"/>
    <tableColumn id="11" xr3:uid="{00000000-0010-0000-0700-00000B000000}" name="Name1" dataDxfId="409"/>
    <tableColumn id="12" xr3:uid="{00000000-0010-0000-0700-00000C000000}" name="Alternate Name2" dataDxfId="408"/>
    <tableColumn id="13" xr3:uid="{00000000-0010-0000-0700-00000D000000}" name="Aditya" dataDxfId="407"/>
    <tableColumn id="14" xr3:uid="{00000000-0010-0000-0700-00000E000000}" name="Aditya Others" dataDxfId="406"/>
    <tableColumn id="15" xr3:uid="{00000000-0010-0000-0700-00000F000000}" name="River" dataDxfId="405"/>
    <tableColumn id="16" xr3:uid="{00000000-0010-0000-0700-000010000000}" name="Rashi māna " dataDxfId="404"/>
    <tableColumn id="17" xr3:uid="{00000000-0010-0000-0700-000011000000}" name="Yoni" dataDxfId="403"/>
    <tableColumn id="18" xr3:uid="{00000000-0010-0000-0700-000012000000}" name="Terrible Grahas" dataDxfId="402"/>
    <tableColumn id="19" xr3:uid="{00000000-0010-0000-0700-000013000000}" name="Sanskrit  Months" dataDxfId="401"/>
    <tableColumn id="20" xr3:uid="{00000000-0010-0000-0700-000014000000}" name="Season" dataDxfId="400"/>
    <tableColumn id="21" xr3:uid="{00000000-0010-0000-0700-000015000000}" name="Column11" dataDxfId="399"/>
    <tableColumn id="22" xr3:uid="{00000000-0010-0000-0700-000016000000}" name="Column12" dataDxfId="398"/>
    <tableColumn id="23" xr3:uid="{00000000-0010-0000-0700-000017000000}" name="Column13" dataDxfId="397"/>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8000000}" name="Table5" displayName="Table5" ref="A2:X13" totalsRowShown="0">
  <autoFilter ref="A2:X13" xr:uid="{00000000-0009-0000-0100-000005000000}"/>
  <tableColumns count="24">
    <tableColumn id="1" xr3:uid="{00000000-0010-0000-0800-000001000000}" name="Graha Information" dataDxfId="396"/>
    <tableColumn id="2" xr3:uid="{00000000-0010-0000-0800-000002000000}" name="Vimsottari Years" dataDxfId="395"/>
    <tableColumn id="3" xr3:uid="{00000000-0010-0000-0800-000003000000}" name="Vimsottari Seq" dataDxfId="394"/>
    <tableColumn id="4" xr3:uid="{00000000-0010-0000-0800-000004000000}" name="Direction" dataDxfId="393"/>
    <tableColumn id="5" xr3:uid="{00000000-0010-0000-0800-000005000000}" name="Direction Surya Mantra" dataDxfId="392"/>
    <tableColumn id="6" xr3:uid="{00000000-0010-0000-0800-000006000000}" name="Weekday Order" dataDxfId="391"/>
    <tableColumn id="8" xr3:uid="{00000000-0010-0000-0800-000008000000}" name="Exaltion" dataDxfId="390"/>
    <tableColumn id="10" xr3:uid="{00000000-0010-0000-0800-00000A000000}" name="Exaltation" dataDxfId="389"/>
    <tableColumn id="11" xr3:uid="{00000000-0010-0000-0800-00000B000000}" name="House" dataDxfId="388"/>
    <tableColumn id="12" xr3:uid="{00000000-0010-0000-0800-00000C000000}" name="debilitation" dataDxfId="387"/>
    <tableColumn id="25" xr3:uid="{00000000-0010-0000-0800-000019000000}" name="Avg Speed (MJUS)_x000a_/Day" dataDxfId="386"/>
    <tableColumn id="27" xr3:uid="{00000000-0010-0000-0800-00001B000000}" name="Speed (Wiki) in Days_x000a_(Sidereal)" dataDxfId="385"/>
    <tableColumn id="28" xr3:uid="{00000000-0010-0000-0800-00001C000000}" name="Revolution _x000a_in MahaYuga" dataDxfId="384" dataCellStyle="Comma"/>
    <tableColumn id="29" xr3:uid="{00000000-0010-0000-0800-00001D000000}" name="Graha Māna " dataDxfId="383"/>
    <tableColumn id="30" xr3:uid="{00000000-0010-0000-0800-00001E000000}" name="Column2" dataDxfId="382"/>
    <tableColumn id="31" xr3:uid="{00000000-0010-0000-0800-00001F000000}" name="Moolatrikone" dataDxfId="381"/>
    <tableColumn id="32" xr3:uid="{00000000-0010-0000-0800-000020000000}" name="GrahaWeekdayOrder" dataDxfId="380"/>
    <tableColumn id="33" xr3:uid="{00000000-0010-0000-0800-000021000000}" name="GrahaShayanaadiGunanka" dataDxfId="379"/>
    <tableColumn id="34" xr3:uid="{00000000-0010-0000-0800-000022000000}" name="Combustion SS IX.6,7,8" dataDxfId="378"/>
    <tableColumn id="35" xr3:uid="{00000000-0010-0000-0800-000023000000}" name="Mean Motion (BVRaman" dataDxfId="377"/>
    <tableColumn id="36" xr3:uid="{00000000-0010-0000-0800-000024000000}" name="Modern Mean Motion (Wiki" dataDxfId="376"/>
    <tableColumn id="37" xr3:uid="{00000000-0010-0000-0800-000025000000}" name="Sapta Swara (per " dataDxfId="375"/>
    <tableColumn id="7" xr3:uid="{00000000-0010-0000-0800-000007000000}" name="Janma tithi" dataDxfId="374"/>
    <tableColumn id="9" xr3:uid="{00000000-0010-0000-0800-000009000000}" name="Janma Nakshatra" dataDxfId="373"/>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9000000}" name="TithiTable" displayName="TithiTable" ref="A79:R95" totalsRowShown="0" headerRowDxfId="372" tableBorderDxfId="371">
  <autoFilter ref="A79:R95" xr:uid="{00000000-0009-0000-0100-000006000000}"/>
  <tableColumns count="18">
    <tableColumn id="1" xr3:uid="{00000000-0010-0000-0900-000001000000}" name="Tithi/तिथि" dataDxfId="370"/>
    <tableColumn id="2" xr3:uid="{00000000-0010-0000-0900-000002000000}" name="Name" dataDxfId="369"/>
    <tableColumn id="13" xr3:uid="{00000000-0010-0000-0900-00000D000000}" name="Ruler" dataDxfId="368"/>
    <tableColumn id="3" xr3:uid="{00000000-0010-0000-0900-000003000000}" name="Dagdha/Burnt" dataDxfId="367"/>
    <tableColumn id="12" xr3:uid="{00000000-0010-0000-0900-00000C000000}" name="Dagdha Graha" dataDxfId="366"/>
    <tableColumn id="4" xr3:uid="{00000000-0010-0000-0900-000004000000}" name="Group" dataDxfId="365"/>
    <tableColumn id="5" xr3:uid="{00000000-0010-0000-0900-000005000000}" name=" Tatwa(CPVA-73)" dataDxfId="364"/>
    <tableColumn id="11" xr3:uid="{00000000-0010-0000-0900-00000B000000}" name="Group (BrNx49)" dataDxfId="363"/>
    <tableColumn id="6" xr3:uid="{00000000-0010-0000-0900-000006000000}" name="Deity(Muhurtha Chintamani)" dataDxfId="362"/>
    <tableColumn id="7" xr3:uid="{00000000-0010-0000-0900-000007000000}" name="Varahamihira" dataDxfId="361"/>
    <tableColumn id="8" xr3:uid="{00000000-0010-0000-0900-000008000000}" name="Lady" dataDxfId="360"/>
    <tableColumn id="14" xr3:uid="{00000000-0010-0000-0900-00000E000000}" name="Srath" dataDxfId="359"/>
    <tableColumn id="15" xr3:uid="{00000000-0010-0000-0900-00000F000000}" name="Festivals" dataDxfId="358"/>
    <tableColumn id="16" xr3:uid="{00000000-0010-0000-0900-000010000000}" name="Krishna Karana1" dataDxfId="357"/>
    <tableColumn id="17" xr3:uid="{00000000-0010-0000-0900-000011000000}" name="Krishna Karana2" dataDxfId="356"/>
    <tableColumn id="9" xr3:uid="{00000000-0010-0000-0900-000009000000}" name="Shukla Karana1" dataDxfId="355"/>
    <tableColumn id="10" xr3:uid="{00000000-0010-0000-0900-00000A000000}" name="Shukla Karana2" dataDxfId="354"/>
    <tableColumn id="18" xr3:uid="{00000000-0010-0000-0900-000012000000}" name="Suitable Activities (BVR)" dataDxfId="353"/>
  </tableColumns>
  <tableStyleInfo name="TableStyleMedium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Ayush3Pairs" displayName="Ayush3Pairs" ref="A204:D212" totalsRowShown="0" headerRowDxfId="352" dataDxfId="350" headerRowBorderDxfId="351" tableBorderDxfId="349">
  <autoFilter ref="A204:D212" xr:uid="{00000000-0009-0000-0100-000009000000}"/>
  <tableColumns count="4">
    <tableColumn id="1" xr3:uid="{00000000-0010-0000-0A00-000001000000}" name="Term of Life" dataDxfId="348"/>
    <tableColumn id="2" xr3:uid="{00000000-0010-0000-0A00-000002000000}" name="if signs are:" dataDxfId="347"/>
    <tableColumn id="3" xr3:uid="{00000000-0010-0000-0A00-000003000000}" name="or signs are:" dataDxfId="346"/>
    <tableColumn id="4" xr3:uid="{00000000-0010-0000-0A00-000004000000}" name="Lifespan" dataDxfId="345"/>
  </tableColumns>
  <tableStyleInfo name="TableStyleLight1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4" xr:uid="{00000000-000C-0000-FFFF-FFFF0B000000}" name="FinancialRelation" displayName="FinancialRelation" ref="A520:L529" totalsRowShown="0" headerRowDxfId="344" dataDxfId="342" headerRowBorderDxfId="343" tableBorderDxfId="341" totalsRowBorderDxfId="340">
  <autoFilter ref="A520:L529" xr:uid="{00000000-0009-0000-0100-0000A4000000}"/>
  <tableColumns count="12">
    <tableColumn id="1" xr3:uid="{00000000-0010-0000-0B00-000001000000}" name="Planet" dataDxfId="339"/>
    <tableColumn id="2" xr3:uid="{00000000-0010-0000-0B00-000002000000}" name="Exaltation/_x000a_Debilitation" dataDxfId="338"/>
    <tableColumn id="3" xr3:uid="{00000000-0010-0000-0B00-000003000000}" name="Own_x000a_Sign" dataDxfId="337"/>
    <tableColumn id="4" xr3:uid="{00000000-0010-0000-0B00-000004000000}" name="Friends" dataDxfId="336"/>
    <tableColumn id="5" xr3:uid="{00000000-0010-0000-0B00-000005000000}" name="Friendly Sign" dataDxfId="335"/>
    <tableColumn id="6" xr3:uid="{00000000-0010-0000-0B00-000006000000}" name="Column1" dataDxfId="334"/>
    <tableColumn id="7" xr3:uid="{00000000-0010-0000-0B00-000007000000}" name="Column2" dataDxfId="333"/>
    <tableColumn id="8" xr3:uid="{00000000-0010-0000-0B00-000008000000}" name="Column3" dataDxfId="332"/>
    <tableColumn id="9" xr3:uid="{00000000-0010-0000-0B00-000009000000}" name="Column4" dataDxfId="331"/>
    <tableColumn id="10" xr3:uid="{00000000-0010-0000-0B00-00000A000000}" name="Column5" dataDxfId="330"/>
    <tableColumn id="11" xr3:uid="{00000000-0010-0000-0B00-00000B000000}" name="Column6" dataDxfId="329"/>
    <tableColumn id="12" xr3:uid="{00000000-0010-0000-0B00-00000C000000}" name="Column7" dataDxfId="328"/>
  </tableColumns>
  <tableStyleInfo name="TableStyleMedium11" showFirstColumn="1"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5" xr:uid="{00000000-000C-0000-FFFF-FFFF0C000000}" name="GrahaMaturity" displayName="GrahaMaturity" ref="A586:E595" totalsRowShown="0" headerRowDxfId="327" dataDxfId="326" tableBorderDxfId="325">
  <autoFilter ref="A586:E595" xr:uid="{00000000-0009-0000-0100-0000A5000000}"/>
  <tableColumns count="5">
    <tableColumn id="1" xr3:uid="{00000000-0010-0000-0C00-000001000000}" name="Graha" dataDxfId="324"/>
    <tableColumn id="2" xr3:uid="{00000000-0010-0000-0C00-000002000000}" name="Number" dataDxfId="323"/>
    <tableColumn id="3" xr3:uid="{00000000-0010-0000-0C00-000003000000}" name="Primary" dataDxfId="322"/>
    <tableColumn id="4" xr3:uid="{00000000-0010-0000-0C00-000004000000}" name="Secondary" dataDxfId="321"/>
    <tableColumn id="5" xr3:uid="{00000000-0010-0000-0C00-000005000000}" name="Column1" dataDxfId="320"/>
  </tableColumns>
  <tableStyleInfo name="TableStyleMedium6" showFirstColumn="1"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D000000}" name="Akathaha" displayName="Akathaha" ref="A170:J179" totalsRowShown="0" headerRowDxfId="319" dataDxfId="318">
  <autoFilter ref="A170:J179" xr:uid="{00000000-0009-0000-0100-000007000000}"/>
  <tableColumns count="10">
    <tableColumn id="1" xr3:uid="{00000000-0010-0000-0D00-000001000000}" name="Akathaha" dataDxfId="317"/>
    <tableColumn id="2" xr3:uid="{00000000-0010-0000-0D00-000002000000}" name="1" dataDxfId="316"/>
    <tableColumn id="3" xr3:uid="{00000000-0010-0000-0D00-000003000000}" name="2" dataDxfId="315"/>
    <tableColumn id="4" xr3:uid="{00000000-0010-0000-0D00-000004000000}" name="3" dataDxfId="314"/>
    <tableColumn id="5" xr3:uid="{00000000-0010-0000-0D00-000005000000}" name="4" dataDxfId="313"/>
    <tableColumn id="10" xr3:uid="{00000000-0010-0000-0D00-00000A000000}" name="akathaha Chakra" dataDxfId="312"/>
    <tableColumn id="6" xr3:uid="{00000000-0010-0000-0D00-000006000000}" name="C1" dataDxfId="311"/>
    <tableColumn id="7" xr3:uid="{00000000-0010-0000-0D00-000007000000}" name="C2" dataDxfId="310"/>
    <tableColumn id="8" xr3:uid="{00000000-0010-0000-0D00-000008000000}" name="C3" dataDxfId="309"/>
    <tableColumn id="9" xr3:uid="{00000000-0010-0000-0D00-000009000000}" name="C4" dataDxfId="308"/>
  </tableColumns>
  <tableStyleInfo name="TableStyleMedium14" showFirstColumn="1" showLastColumn="0" showRowStripes="1" showColumnStripes="1"/>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0" xr:uid="{00000000-000C-0000-FFFF-FFFF0E000000}" name="BhaavaDescription" displayName="BhaavaDescription" ref="A31:U44" totalsRowShown="0">
  <autoFilter ref="A31:U44" xr:uid="{00000000-0009-0000-0100-0000DC000000}"/>
  <tableColumns count="21">
    <tableColumn id="1" xr3:uid="{00000000-0010-0000-0E00-000001000000}" name="Bhava Number" dataDxfId="307"/>
    <tableColumn id="2" xr3:uid="{00000000-0010-0000-0E00-000002000000}" name="Name" dataDxfId="306"/>
    <tableColumn id="3" xr3:uid="{00000000-0010-0000-0E00-000003000000}" name="Sanskrit Name" dataDxfId="305" dataCellStyle="Comma"/>
    <tableColumn id="4" xr3:uid="{00000000-0010-0000-0E00-000004000000}" name="Strength (LP)" dataDxfId="304"/>
    <tableColumn id="19" xr3:uid="{00000000-0010-0000-0E00-000013000000}" name="Navakkari" dataDxfId="303"/>
    <tableColumn id="6" xr3:uid="{00000000-0010-0000-0E00-000006000000}" name="Signifies"/>
    <tableColumn id="7" xr3:uid="{00000000-0010-0000-0E00-000007000000}" name="What We…."/>
    <tableColumn id="8" xr3:uid="{00000000-0010-0000-0E00-000008000000}" name="At Work"/>
    <tableColumn id="9" xr3:uid="{00000000-0010-0000-0E00-000009000000}" name="House (Business)"/>
    <tableColumn id="10" xr3:uid="{00000000-0010-0000-0E00-00000A000000}" name="Lord (Business)"/>
    <tableColumn id="11" xr3:uid="{00000000-0010-0000-0E00-00000B000000}" name="House(Jobs)"/>
    <tableColumn id="12" xr3:uid="{00000000-0010-0000-0E00-00000C000000}" name="Lords(Jobs)"/>
    <tableColumn id="13" xr3:uid="{00000000-0010-0000-0E00-00000D000000}" name="Deva praśna" dataDxfId="302"/>
    <tableColumn id="14" xr3:uid="{00000000-0010-0000-0E00-00000E000000}" name="Rāja praśna- Coronation" dataDxfId="301"/>
    <tableColumn id="15" xr3:uid="{00000000-0010-0000-0E00-00000F000000}" name="Rāja praśna-Rāja bhāgya" dataDxfId="300"/>
    <tableColumn id="16" xr3:uid="{00000000-0010-0000-0E00-000010000000}" name="Rāja praśna-National chart" dataDxfId="299"/>
    <tableColumn id="17" xr3:uid="{00000000-0010-0000-0E00-000011000000}" name="Charakāraka &amp; bhāva" dataDxfId="298"/>
    <tableColumn id="18" xr3:uid="{00000000-0010-0000-0E00-000012000000}" name="Nashta Prashna" dataDxfId="297"/>
    <tableColumn id="5" xr3:uid="{00000000-0010-0000-0E00-000005000000}" name="Posture" dataDxfId="296"/>
    <tableColumn id="20" xr3:uid="{00000000-0010-0000-0E00-000014000000}" name="Transliteration" dataDxfId="295"/>
    <tableColumn id="21" xr3:uid="{00000000-0010-0000-0E00-000015000000}" name="Translation" dataDxfId="294"/>
  </tableColumns>
  <tableStyleInfo name="TableStyleMedium2" showFirstColumn="1"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6" xr:uid="{00000000-000C-0000-FFFF-FFFF0F000000}" name="D30Results" displayName="D30Results" ref="A706:F713" totalsRowShown="0" headerRowDxfId="293" dataDxfId="292">
  <autoFilter ref="A706:F713" xr:uid="{00000000-0009-0000-0100-000004020000}"/>
  <tableColumns count="6">
    <tableColumn id="1" xr3:uid="{00000000-0010-0000-0F00-000001000000}" name="D1/D30-&gt;" dataDxfId="291"/>
    <tableColumn id="2" xr3:uid="{00000000-0010-0000-0F00-000002000000}" name="Mars" dataDxfId="290"/>
    <tableColumn id="3" xr3:uid="{00000000-0010-0000-0F00-000003000000}" name="Venus" dataDxfId="289"/>
    <tableColumn id="4" xr3:uid="{00000000-0010-0000-0F00-000004000000}" name="Mercury" dataDxfId="288"/>
    <tableColumn id="5" xr3:uid="{00000000-0010-0000-0F00-000005000000}" name="Guru" dataDxfId="287"/>
    <tableColumn id="6" xr3:uid="{00000000-0010-0000-0F00-000006000000}" name="Saturn" dataDxfId="286"/>
  </tableColumns>
  <tableStyleInfo name="TableStyleMedium19" showFirstColumn="1"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9" xr:uid="{00000000-000C-0000-FFFF-FFFF10000000}" name="YogaTable" displayName="YogaTable" ref="A98:I125" totalsRowShown="0" headerRowDxfId="285" dataDxfId="284" tableBorderDxfId="283">
  <autoFilter ref="A98:I125" xr:uid="{00000000-0009-0000-0100-00002F020000}"/>
  <tableColumns count="9">
    <tableColumn id="1" xr3:uid="{00000000-0010-0000-1000-000001000000}" name="Yoga" dataDxfId="282"/>
    <tableColumn id="2" xr3:uid="{00000000-0010-0000-1000-000002000000}" name="Yoga Names" dataDxfId="281"/>
    <tableColumn id="4" xr3:uid="{00000000-0010-0000-1000-000004000000}" name="Meaning" dataDxfId="280"/>
    <tableColumn id="5" xr3:uid="{00000000-0010-0000-1000-000005000000}" name="Yoga Nakshatra" dataDxfId="279"/>
    <tableColumn id="6" xr3:uid="{00000000-0010-0000-1000-000006000000}" name="Yogi Lord" dataDxfId="278"/>
    <tableColumn id="10" xr3:uid="{00000000-0010-0000-1000-00000A000000}" name="Rashi Lord" dataDxfId="277"/>
    <tableColumn id="7" xr3:uid="{00000000-0010-0000-1000-000007000000}" name="AvaYogi 15th" dataDxfId="276">
      <calculatedColumnFormula>E86</calculatedColumnFormula>
    </tableColumn>
    <tableColumn id="8" xr3:uid="{00000000-0010-0000-1000-000008000000}" name="AvaYogi Lord" dataDxfId="275">
      <calculatedColumnFormula>F86</calculatedColumnFormula>
    </tableColumn>
    <tableColumn id="9" xr3:uid="{00000000-0010-0000-1000-000009000000}" name="Notes" dataDxfId="274"/>
  </tableColumns>
  <tableStyleInfo name="TableStyleLight1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4" xr:uid="{00000000-000C-0000-FFFF-FFFF11000000}" name="VaaraTable" displayName="VaaraTable" ref="A127:D134" totalsRowShown="0" headerRowDxfId="273" dataDxfId="272">
  <autoFilter ref="A127:D134" xr:uid="{00000000-0009-0000-0100-000098020000}"/>
  <tableColumns count="4">
    <tableColumn id="1" xr3:uid="{00000000-0010-0000-1100-000001000000}" name="VaaraTable" dataDxfId="271"/>
    <tableColumn id="2" xr3:uid="{00000000-0010-0000-1100-000002000000}" name="Ruler" dataDxfId="270"/>
    <tableColumn id="3" xr3:uid="{00000000-0010-0000-1100-000003000000}" name="DurMuhurtham Start Time (Lasts 1Mu)" dataDxfId="269"/>
    <tableColumn id="4" xr3:uid="{00000000-0010-0000-1100-000004000000}" name="DurMuhurtham Start Time (Lasts 1Mu)2" dataDxfId="268"/>
  </tableColumns>
  <tableStyleInfo name="TableStyleLight14" showFirstColumn="1"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KutaTable" displayName="KutaTable" ref="A187:G202" totalsRowCount="1" headerRowDxfId="267" dataDxfId="266">
  <autoFilter ref="A187:G201" xr:uid="{00000000-0009-0000-0100-000008000000}"/>
  <tableColumns count="7">
    <tableColumn id="8" xr3:uid="{00000000-0010-0000-1200-000008000000}" name="#" totalsRowLabel="Total" dataDxfId="265" totalsRowDxfId="264"/>
    <tableColumn id="1" xr3:uid="{00000000-0010-0000-1200-000001000000}" name="Kuta" totalsRowLabel="Number kuta must agree &gt;=5 " dataDxfId="263" totalsRowDxfId="262"/>
    <tableColumn id="2" xr3:uid="{00000000-0010-0000-1200-000002000000}" name="Definition" totalsRowLabel="and total points&gt;=26 (8+7+6+5)" dataDxfId="261" totalsRowDxfId="260"/>
    <tableColumn id="3" xr3:uid="{00000000-0010-0000-1200-000003000000}" name="Promote" totalsRowLabel="Kuta Max 36" dataDxfId="259" totalsRowDxfId="258"/>
    <tableColumn id="5" xr3:uid="{00000000-0010-0000-1200-000005000000}" name="Points" dataDxfId="257" totalsRowDxfId="256"/>
    <tableColumn id="6" xr3:uid="{00000000-0010-0000-1200-000006000000}" name="Example" dataDxfId="255" totalsRowDxfId="254"/>
    <tableColumn id="7" xr3:uid="{00000000-0010-0000-1200-000007000000}" name="Example Points" dataDxfId="253" totalsRowDxfId="252"/>
  </tableColumns>
  <tableStyleInfo name="TableStyleMedium13" showFirstColumn="0"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0" xr:uid="{00000000-000C-0000-FFFF-FFFF13000000}" name="Table1390" displayName="Table1390" ref="A661:F670" totalsRowShown="0" headerRowDxfId="251" dataDxfId="250">
  <autoFilter ref="A661:F670" xr:uid="{00000000-0009-0000-0100-00006E050000}"/>
  <tableColumns count="6">
    <tableColumn id="1" xr3:uid="{00000000-0010-0000-1300-000001000000}" name="Numerology" dataDxfId="249"/>
    <tableColumn id="2" xr3:uid="{00000000-0010-0000-1300-000002000000}" name="Graha" dataDxfId="248"/>
    <tableColumn id="3" xr3:uid="{00000000-0010-0000-1300-000003000000}" name="4th-Lock" dataDxfId="247"/>
    <tableColumn id="4" xr3:uid="{00000000-0010-0000-1300-000004000000}" name="Lock Number" dataDxfId="246"/>
    <tableColumn id="5" xr3:uid="{00000000-0010-0000-1300-000005000000}" name="7th-Unlock" dataDxfId="245"/>
    <tableColumn id="6" xr3:uid="{00000000-0010-0000-1300-000006000000}" name="Unlock Number" dataDxfId="244"/>
  </tableColumns>
  <tableStyleInfo name="TableStyleLight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02" xr:uid="{00000000-000C-0000-FFFF-FFFF14000000}" name="Table1702" displayName="Table1702" ref="X214:AA274" totalsRowShown="0" tableBorderDxfId="243">
  <tableColumns count="4">
    <tableColumn id="1" xr3:uid="{00000000-0010-0000-1400-000001000000}" name="D60Index" dataDxfId="242"/>
    <tableColumn id="2" xr3:uid="{00000000-0010-0000-1400-000002000000}" name="D60English" dataDxfId="241"/>
    <tableColumn id="3" xr3:uid="{00000000-0010-0000-1400-000003000000}" name="D60Meaning" dataDxfId="240"/>
    <tableColumn id="4" xr3:uid="{00000000-0010-0000-1400-000004000000}" name="D60Sanskrit" dataDxfId="239"/>
  </tableColumns>
  <tableStyleInfo name="TableStyleLight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03" xr:uid="{00000000-000C-0000-FFFF-FFFF15000000}" name="Table1703" displayName="Table1703" ref="D214:E241" totalsRowShown="0">
  <autoFilter ref="D214:E241" xr:uid="{00000000-0009-0000-0100-0000A7060000}"/>
  <tableColumns count="2">
    <tableColumn id="1" xr3:uid="{00000000-0010-0000-1500-000001000000}" name="D27 Deities" dataDxfId="238"/>
    <tableColumn id="2" xr3:uid="{00000000-0010-0000-1500-000002000000}" name="D27 Deities2" dataDxfId="237"/>
  </tableColumns>
  <tableStyleInfo name="TableStyleLight1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04" xr:uid="{00000000-000C-0000-FFFF-FFFF16000000}" name="Table1704" displayName="Table1704" ref="B214:C254" totalsRowShown="0" headerRowDxfId="236">
  <autoFilter ref="B214:C254" xr:uid="{00000000-0009-0000-0100-0000A8060000}"/>
  <tableColumns count="2">
    <tableColumn id="1" xr3:uid="{00000000-0010-0000-1600-000001000000}" name="D20Deities" dataDxfId="235"/>
    <tableColumn id="2" xr3:uid="{00000000-0010-0000-1600-000002000000}" name="D20Deities2" dataDxfId="234"/>
  </tableColumns>
  <tableStyleInfo name="TableStyleLight2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47" xr:uid="{00000000-000C-0000-FFFF-FFFF17000000}" name="D24Deity" displayName="D24Deity" ref="AF214:AG226" totalsRowShown="0" headerRowDxfId="233">
  <autoFilter ref="AF214:AG226" xr:uid="{00000000-0009-0000-0100-0000D3060000}"/>
  <tableColumns count="2">
    <tableColumn id="1" xr3:uid="{00000000-0010-0000-1700-000001000000}" name="D24 Deities"/>
    <tableColumn id="2" xr3:uid="{00000000-0010-0000-1700-000002000000}" name="Meanigng" dataDxfId="232"/>
  </tableColumns>
  <tableStyleInfo name="TableStyleLight1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92" xr:uid="{00000000-000C-0000-FFFF-FFFF18000000}" name="Yogakaaraka" displayName="Yogakaaraka" ref="A715:F728" totalsRowCount="1" headerRowDxfId="231" dataDxfId="229" headerRowBorderDxfId="230" tableBorderDxfId="228">
  <autoFilter ref="A715:F727" xr:uid="{00000000-0009-0000-0100-000000070000}"/>
  <tableColumns count="6">
    <tableColumn id="1" xr3:uid="{00000000-0010-0000-1800-000001000000}" name="Lagna" dataDxfId="227" totalsRowDxfId="226"/>
    <tableColumn id="2" xr3:uid="{00000000-0010-0000-1800-000002000000}" name="Malefics (3,6,11 &amp; Maraka)" dataDxfId="225" totalsRowDxfId="224"/>
    <tableColumn id="3" xr3:uid="{00000000-0010-0000-1800-000003000000}" name="Benefics (Trines Normally)" dataDxfId="223" totalsRowDxfId="222"/>
    <tableColumn id="4" xr3:uid="{00000000-0010-0000-1800-000004000000}" name="Marakas" dataDxfId="221" totalsRowDxfId="220"/>
    <tableColumn id="5" xr3:uid="{00000000-0010-0000-1800-000005000000}" name="RajaYoga(Trine+Kendra)" dataDxfId="219" totalsRowDxfId="218"/>
    <tableColumn id="6" xr3:uid="{00000000-0010-0000-1800-000006000000}" name="Notes" dataDxfId="217" totalsRowDxfId="216"/>
  </tableColumns>
  <tableStyleInfo name="TableStyleLight1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04" xr:uid="{00000000-000C-0000-FFFF-FFFF19000000}" name="KaranaTable" displayName="KaranaTable" ref="A136:F147" totalsRowShown="0">
  <autoFilter ref="A136:F147" xr:uid="{00000000-0009-0000-0100-0000D4070000}"/>
  <tableColumns count="6">
    <tableColumn id="1" xr3:uid="{00000000-0010-0000-1900-000001000000}" name="KaranaTable" dataDxfId="215"/>
    <tableColumn id="2" xr3:uid="{00000000-0010-0000-1900-000002000000}" name="करण" dataDxfId="214"/>
    <tableColumn id="3" xr3:uid="{00000000-0010-0000-1900-000003000000}" name="karaṇa" dataDxfId="213"/>
    <tableColumn id="6" xr3:uid="{00000000-0010-0000-1900-000006000000}" name="Ruler" dataDxfId="212"/>
    <tableColumn id="4" xr3:uid="{00000000-0010-0000-1900-000004000000}" name="Tithi" dataDxfId="211"/>
    <tableColumn id="5" xr3:uid="{00000000-0010-0000-1900-000005000000}" name="Other Spellings" dataDxfId="210"/>
  </tableColumns>
  <tableStyleInfo name="TableStyleLight1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55" xr:uid="{00000000-000C-0000-FFFF-FFFF1A000000}" name="Drekkana" displayName="Drekkana" ref="A731:E767" totalsRowShown="0" headerRowDxfId="209" dataDxfId="208">
  <autoFilter ref="A731:E767" xr:uid="{00000000-0009-0000-0100-00006B080000}"/>
  <tableColumns count="5">
    <tableColumn id="1" xr3:uid="{00000000-0010-0000-1A00-000001000000}" name="D3" dataDxfId="207"/>
    <tableColumn id="2" xr3:uid="{00000000-0010-0000-1A00-000002000000}" name="Sign" dataDxfId="206"/>
    <tableColumn id="3" xr3:uid="{00000000-0010-0000-1A00-000003000000}" name="Drekkana" dataDxfId="205">
      <calculatedColumnFormula>C729</calculatedColumnFormula>
    </tableColumn>
    <tableColumn id="4" xr3:uid="{00000000-0010-0000-1A00-000004000000}" name="VaidyanaathaDx" dataDxfId="204"/>
    <tableColumn id="5" xr3:uid="{00000000-0010-0000-1A00-000005000000}" name="Varaahamihira" dataDxfId="203"/>
  </tableColumns>
  <tableStyleInfo name="TableStyleLight1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B000000}" name="vargavishwa" displayName="vargavishwa" ref="A533:K550" totalsRowCount="1" headerRowDxfId="202" dataDxfId="201" totalsRowDxfId="200">
  <autoFilter ref="A533:K549" xr:uid="{00000000-0009-0000-0100-000003000000}"/>
  <tableColumns count="11">
    <tableColumn id="1" xr3:uid="{00000000-0010-0000-1B00-000001000000}" name="VargaVishwa" totalsRowLabel="Total" dataDxfId="199" totalsRowDxfId="198"/>
    <tableColumn id="2" xr3:uid="{00000000-0010-0000-1B00-000002000000}" name="Shadvarga Vimshopaka" totalsRowFunction="sum" dataDxfId="197" totalsRowDxfId="196"/>
    <tableColumn id="3" xr3:uid="{00000000-0010-0000-1B00-000003000000}" name="Saptavarga Vimshopaka" totalsRowFunction="sum" dataDxfId="195" totalsRowDxfId="194"/>
    <tableColumn id="4" xr3:uid="{00000000-0010-0000-1B00-000004000000}" name="DasaVarga Vimshopaka" totalsRowFunction="sum" dataDxfId="193" totalsRowDxfId="192"/>
    <tableColumn id="5" xr3:uid="{00000000-0010-0000-1B00-000005000000}" name="ShodasaVarga Vimshopaka" totalsRowFunction="sum" dataDxfId="191" totalsRowDxfId="190"/>
    <tableColumn id="6" xr3:uid="{00000000-0010-0000-1B00-000006000000}" name="Divisor" totalsRowFunction="count" dataDxfId="189" totalsRowDxfId="188"/>
    <tableColumn id="7" xr3:uid="{00000000-0010-0000-1B00-000007000000}" name="House Equivalent" totalsRowFunction="count" dataDxfId="187" totalsRowDxfId="186">
      <calculatedColumnFormula>MOD(120+F534-1,12)+1</calculatedColumnFormula>
    </tableColumn>
    <tableColumn id="8" xr3:uid="{00000000-0010-0000-1B00-000008000000}" name="#" dataDxfId="185" totalsRowDxfId="184"/>
    <tableColumn id="9" xr3:uid="{00000000-0010-0000-1B00-000009000000}" name="6/7 Names" totalsRowLabel="Varga Names" dataDxfId="183" totalsRowDxfId="182"/>
    <tableColumn id="10" xr3:uid="{00000000-0010-0000-1B00-00000A000000}" name="10 Names" totalsRowLabel="Varga Names" dataDxfId="181" totalsRowDxfId="180"/>
    <tableColumn id="11" xr3:uid="{00000000-0010-0000-1B00-00000B000000}" name="16 Names" totalsRowLabel="Varga Names" dataDxfId="179" totalsRowDxfId="178"/>
  </tableColumns>
  <tableStyleInfo name="TableStyleLight11" showFirstColumn="1"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C000000}" name="HoraTable" displayName="HoraTable" ref="A770:H819" totalsRowShown="0" headerRowDxfId="177" dataDxfId="176">
  <tableColumns count="8">
    <tableColumn id="1" xr3:uid="{00000000-0010-0000-1C00-000001000000}" name="Hours" dataDxfId="175"/>
    <tableColumn id="2" xr3:uid="{00000000-0010-0000-1C00-000002000000}" name="Sunday" dataDxfId="174"/>
    <tableColumn id="3" xr3:uid="{00000000-0010-0000-1C00-000003000000}" name="Monday" dataDxfId="173"/>
    <tableColumn id="4" xr3:uid="{00000000-0010-0000-1C00-000004000000}" name="Tuesday" dataDxfId="172"/>
    <tableColumn id="5" xr3:uid="{00000000-0010-0000-1C00-000005000000}" name="Wednesday" dataDxfId="171"/>
    <tableColumn id="6" xr3:uid="{00000000-0010-0000-1C00-000006000000}" name="Thursday" dataDxfId="170"/>
    <tableColumn id="7" xr3:uid="{00000000-0010-0000-1C00-000007000000}" name="Friday" dataDxfId="169"/>
    <tableColumn id="8" xr3:uid="{00000000-0010-0000-1C00-000008000000}" name="Saturday" dataDxfId="168"/>
  </tableColumns>
  <tableStyleInfo name="TableStyleLight14"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D000000}" name="Varnamalaa" displayName="Varnamalaa" ref="A149:AY151" totalsRowShown="0" headerRowDxfId="167" dataDxfId="166">
  <autoFilter ref="A149:AY151" xr:uid="{00000000-0009-0000-0100-00000F000000}"/>
  <tableColumns count="51">
    <tableColumn id="1" xr3:uid="{00000000-0010-0000-1D00-000001000000}" name="Number" dataDxfId="165"/>
    <tableColumn id="2" xr3:uid="{00000000-0010-0000-1D00-000002000000}" name="1" dataDxfId="164"/>
    <tableColumn id="3" xr3:uid="{00000000-0010-0000-1D00-000003000000}" name="2" dataDxfId="163"/>
    <tableColumn id="4" xr3:uid="{00000000-0010-0000-1D00-000004000000}" name="3" dataDxfId="162"/>
    <tableColumn id="5" xr3:uid="{00000000-0010-0000-1D00-000005000000}" name="4" dataDxfId="161"/>
    <tableColumn id="6" xr3:uid="{00000000-0010-0000-1D00-000006000000}" name="5" dataDxfId="160"/>
    <tableColumn id="7" xr3:uid="{00000000-0010-0000-1D00-000007000000}" name="6" dataDxfId="159"/>
    <tableColumn id="8" xr3:uid="{00000000-0010-0000-1D00-000008000000}" name="7" dataDxfId="158"/>
    <tableColumn id="9" xr3:uid="{00000000-0010-0000-1D00-000009000000}" name="8" dataDxfId="157"/>
    <tableColumn id="10" xr3:uid="{00000000-0010-0000-1D00-00000A000000}" name="9" dataDxfId="156"/>
    <tableColumn id="11" xr3:uid="{00000000-0010-0000-1D00-00000B000000}" name="10" dataDxfId="155"/>
    <tableColumn id="12" xr3:uid="{00000000-0010-0000-1D00-00000C000000}" name="11" dataDxfId="154"/>
    <tableColumn id="13" xr3:uid="{00000000-0010-0000-1D00-00000D000000}" name="12" dataDxfId="153"/>
    <tableColumn id="14" xr3:uid="{00000000-0010-0000-1D00-00000E000000}" name="13" dataDxfId="152"/>
    <tableColumn id="15" xr3:uid="{00000000-0010-0000-1D00-00000F000000}" name="14" dataDxfId="151"/>
    <tableColumn id="16" xr3:uid="{00000000-0010-0000-1D00-000010000000}" name="15" dataDxfId="150"/>
    <tableColumn id="17" xr3:uid="{00000000-0010-0000-1D00-000011000000}" name="16" dataDxfId="149"/>
    <tableColumn id="18" xr3:uid="{00000000-0010-0000-1D00-000012000000}" name="17" dataDxfId="148"/>
    <tableColumn id="19" xr3:uid="{00000000-0010-0000-1D00-000013000000}" name="18" dataDxfId="147"/>
    <tableColumn id="20" xr3:uid="{00000000-0010-0000-1D00-000014000000}" name="19" dataDxfId="146"/>
    <tableColumn id="21" xr3:uid="{00000000-0010-0000-1D00-000015000000}" name="20" dataDxfId="145"/>
    <tableColumn id="22" xr3:uid="{00000000-0010-0000-1D00-000016000000}" name="21" dataDxfId="144"/>
    <tableColumn id="23" xr3:uid="{00000000-0010-0000-1D00-000017000000}" name="22" dataDxfId="143"/>
    <tableColumn id="24" xr3:uid="{00000000-0010-0000-1D00-000018000000}" name="23" dataDxfId="142"/>
    <tableColumn id="25" xr3:uid="{00000000-0010-0000-1D00-000019000000}" name="24" dataDxfId="141"/>
    <tableColumn id="26" xr3:uid="{00000000-0010-0000-1D00-00001A000000}" name="25" dataDxfId="140"/>
    <tableColumn id="27" xr3:uid="{00000000-0010-0000-1D00-00001B000000}" name="26" dataDxfId="139"/>
    <tableColumn id="28" xr3:uid="{00000000-0010-0000-1D00-00001C000000}" name="27" dataDxfId="138"/>
    <tableColumn id="29" xr3:uid="{00000000-0010-0000-1D00-00001D000000}" name="28" dataDxfId="137"/>
    <tableColumn id="30" xr3:uid="{00000000-0010-0000-1D00-00001E000000}" name="29" dataDxfId="136"/>
    <tableColumn id="31" xr3:uid="{00000000-0010-0000-1D00-00001F000000}" name="30" dataDxfId="135"/>
    <tableColumn id="32" xr3:uid="{00000000-0010-0000-1D00-000020000000}" name="31" dataDxfId="134"/>
    <tableColumn id="33" xr3:uid="{00000000-0010-0000-1D00-000021000000}" name="32" dataDxfId="133"/>
    <tableColumn id="34" xr3:uid="{00000000-0010-0000-1D00-000022000000}" name="33" dataDxfId="132"/>
    <tableColumn id="35" xr3:uid="{00000000-0010-0000-1D00-000023000000}" name="34" dataDxfId="131"/>
    <tableColumn id="36" xr3:uid="{00000000-0010-0000-1D00-000024000000}" name="35" dataDxfId="130"/>
    <tableColumn id="37" xr3:uid="{00000000-0010-0000-1D00-000025000000}" name="36" dataDxfId="129"/>
    <tableColumn id="38" xr3:uid="{00000000-0010-0000-1D00-000026000000}" name="37" dataDxfId="128"/>
    <tableColumn id="39" xr3:uid="{00000000-0010-0000-1D00-000027000000}" name="38" dataDxfId="127"/>
    <tableColumn id="40" xr3:uid="{00000000-0010-0000-1D00-000028000000}" name="39" dataDxfId="126"/>
    <tableColumn id="41" xr3:uid="{00000000-0010-0000-1D00-000029000000}" name="40" dataDxfId="125"/>
    <tableColumn id="42" xr3:uid="{00000000-0010-0000-1D00-00002A000000}" name="41" dataDxfId="124"/>
    <tableColumn id="43" xr3:uid="{00000000-0010-0000-1D00-00002B000000}" name="42" dataDxfId="123"/>
    <tableColumn id="44" xr3:uid="{00000000-0010-0000-1D00-00002C000000}" name="43" dataDxfId="122"/>
    <tableColumn id="45" xr3:uid="{00000000-0010-0000-1D00-00002D000000}" name="44" dataDxfId="121"/>
    <tableColumn id="46" xr3:uid="{00000000-0010-0000-1D00-00002E000000}" name="45" dataDxfId="120"/>
    <tableColumn id="47" xr3:uid="{00000000-0010-0000-1D00-00002F000000}" name="46" dataDxfId="119"/>
    <tableColumn id="48" xr3:uid="{00000000-0010-0000-1D00-000030000000}" name="47" dataDxfId="118"/>
    <tableColumn id="49" xr3:uid="{00000000-0010-0000-1D00-000031000000}" name="48" dataDxfId="117"/>
    <tableColumn id="50" xr3:uid="{00000000-0010-0000-1D00-000032000000}" name="49" dataDxfId="116"/>
    <tableColumn id="51" xr3:uid="{00000000-0010-0000-1D00-000033000000}" name="50" dataDxfId="115"/>
  </tableColumns>
  <tableStyleInfo name="TableStyleLight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E000000}" name="Table16" displayName="Table16" ref="A153:P168" totalsRowShown="0" headerRowDxfId="114" dataDxfId="113">
  <autoFilter ref="A153:P168" xr:uid="{00000000-0009-0000-0100-000010000000}"/>
  <tableColumns count="16">
    <tableColumn id="1" xr3:uid="{00000000-0010-0000-1E00-000001000000}" name="Katapayadi" dataDxfId="112"/>
    <tableColumn id="2" xr3:uid="{00000000-0010-0000-1E00-000002000000}" name="Column1" dataDxfId="111"/>
    <tableColumn id="3" xr3:uid="{00000000-0010-0000-1E00-000003000000}" name="Column2" dataDxfId="110"/>
    <tableColumn id="4" xr3:uid="{00000000-0010-0000-1E00-000004000000}" name="Column3" dataDxfId="109"/>
    <tableColumn id="5" xr3:uid="{00000000-0010-0000-1E00-000005000000}" name="Column4" dataDxfId="108"/>
    <tableColumn id="6" xr3:uid="{00000000-0010-0000-1E00-000006000000}" name="Column5" dataDxfId="107"/>
    <tableColumn id="7" xr3:uid="{00000000-0010-0000-1E00-000007000000}" name="Column6" dataDxfId="106"/>
    <tableColumn id="8" xr3:uid="{00000000-0010-0000-1E00-000008000000}" name="Column7" dataDxfId="105"/>
    <tableColumn id="9" xr3:uid="{00000000-0010-0000-1E00-000009000000}" name="Column8" dataDxfId="104"/>
    <tableColumn id="10" xr3:uid="{00000000-0010-0000-1E00-00000A000000}" name="Column9" dataDxfId="103"/>
    <tableColumn id="11" xr3:uid="{00000000-0010-0000-1E00-00000B000000}" name="Column10" dataDxfId="102"/>
    <tableColumn id="12" xr3:uid="{00000000-0010-0000-1E00-00000C000000}" name="Column11" dataDxfId="101"/>
    <tableColumn id="13" xr3:uid="{00000000-0010-0000-1E00-00000D000000}" name="Column12" dataDxfId="100"/>
    <tableColumn id="14" xr3:uid="{00000000-0010-0000-1E00-00000E000000}" name="Column13" dataDxfId="99"/>
    <tableColumn id="15" xr3:uid="{00000000-0010-0000-1E00-00000F000000}" name="Column14" dataDxfId="98"/>
    <tableColumn id="16" xr3:uid="{00000000-0010-0000-1E00-000010000000}" name="Column15" dataDxfId="97"/>
  </tableColumns>
  <tableStyleInfo name="TableStyleLight1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9" xr:uid="{00000000-000C-0000-FFFF-FFFF1F000000}" name="Table389" displayName="Table389" ref="A1:M58" totalsRowShown="0">
  <autoFilter ref="A1:M58" xr:uid="{00000000-0009-0000-0100-000085010000}"/>
  <tableColumns count="13">
    <tableColumn id="1" xr3:uid="{00000000-0010-0000-1F00-000001000000}" name="#"/>
    <tableColumn id="2" xr3:uid="{00000000-0010-0000-1F00-000002000000}" name="Sahama"/>
    <tableColumn id="3" xr3:uid="{00000000-0010-0000-1F00-000003000000}" name="Meaning"/>
    <tableColumn id="4" xr3:uid="{00000000-0010-0000-1F00-000004000000}" name="Formula (Shodhaka-Shodhya)+Kshepak"/>
    <tableColumn id="5" xr3:uid="{00000000-0010-0000-1F00-000005000000}" name="Notes"/>
    <tableColumn id="6" xr3:uid="{00000000-0010-0000-1F00-000006000000}" name="Tithi Part" dataDxfId="91"/>
    <tableColumn id="7" xr3:uid="{00000000-0010-0000-1F00-000007000000}" name="Opposite Correction" dataDxfId="90">
      <calculatedColumnFormula>IF(NOT(DayBirth),F2+Lagna,-F2+Lagna)</calculatedColumnFormula>
    </tableColumn>
    <tableColumn id="8" xr3:uid="{00000000-0010-0000-1F00-000008000000}" name="Day/Night Correction2" dataDxfId="89">
      <calculatedColumnFormula>IF(DayBirth,F2+Lagna,-F2+Lagna)</calculatedColumnFormula>
    </tableColumn>
    <tableColumn id="9" xr3:uid="{00000000-0010-0000-1F00-000009000000}" name="Mod360" dataDxfId="88">
      <calculatedColumnFormula>MOD(H2+360,360)</calculatedColumnFormula>
    </tableColumn>
    <tableColumn id="10" xr3:uid="{00000000-0010-0000-1F00-00000A000000}" name="Rashi" dataDxfId="87">
      <calculatedColumnFormula>INDEX(RasiDeg,ROUNDUP(I2/30,0),1)</calculatedColumnFormula>
    </tableColumn>
    <tableColumn id="11" xr3:uid="{00000000-0010-0000-1F00-00000B000000}" name="Degrees" dataDxfId="86">
      <calculatedColumnFormula>MOD(I2,30)*0.042</calculatedColumnFormula>
    </tableColumn>
    <tableColumn id="12" xr3:uid="{00000000-0010-0000-1F00-00000C000000}" name="Nakshatra" dataDxfId="85">
      <calculatedColumnFormula>INDEX(NakshatraTbl,INT(I2*0.075)+1,1)</calculatedColumnFormula>
    </tableColumn>
    <tableColumn id="16" xr3:uid="{00000000-0010-0000-1F00-000010000000}" name="Correction IF(Not(Kshepak between Shodhak and Shodya Add 30deg"/>
  </tableColumns>
  <tableStyleInfo name="TableStyleMedium4"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54" xr:uid="{00000000-000C-0000-FFFF-FFFF20000000}" name="Table1954" displayName="Table1954" ref="R3:W11" totalsRowShown="0" headerRowDxfId="84" dataDxfId="83">
  <tableColumns count="6">
    <tableColumn id="1" xr3:uid="{00000000-0010-0000-2000-000001000000}" name="#" dataDxfId="82"/>
    <tableColumn id="2" xr3:uid="{00000000-0010-0000-2000-000002000000}" name="Direction" dataDxfId="81"/>
    <tableColumn id="3" xr3:uid="{00000000-0010-0000-2000-000003000000}" name="Point" dataDxfId="80"/>
    <tableColumn id="4" xr3:uid="{00000000-0010-0000-2000-000004000000}" name="Shiva Gana Mantra" dataDxfId="79"/>
    <tableColumn id="5" xr3:uid="{00000000-0010-0000-2000-000005000000}" name="Shiva Gana Mantra2" dataDxfId="78"/>
    <tableColumn id="6" xr3:uid="{00000000-0010-0000-2000-000006000000}" name="Ashta Siddhi" dataDxfId="77"/>
  </tableColumns>
  <tableStyleInfo name="TableStyleLight1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21000000}" name="Table14" displayName="Table14" ref="F16:U30" totalsRowCount="1" headerRowDxfId="76" headerRowCellStyle="Excel Built-in Normal" dataCellStyle="Excel Built-in Normal">
  <autoFilter ref="F16:U29" xr:uid="{00000000-0009-0000-0100-00000E000000}"/>
  <tableColumns count="16">
    <tableColumn id="1" xr3:uid="{00000000-0010-0000-2100-000001000000}" name="Group" totalsRowLabel="Total" dataDxfId="75" totalsRowDxfId="74" dataCellStyle="Excel Built-in Normal"/>
    <tableColumn id="2" xr3:uid="{00000000-0010-0000-2100-000002000000}" name="Signs" dataDxfId="73" totalsRowDxfId="72" dataCellStyle="Excel Built-in Normal"/>
    <tableColumn id="3" xr3:uid="{00000000-0010-0000-2100-000003000000}" name="Rashimana in" dataDxfId="71" totalsRowDxfId="70" dataCellStyle="Excel Built-in Normal"/>
    <tableColumn id="4" xr3:uid="{00000000-0010-0000-2100-000004000000}" name="Asus" totalsRowFunction="sum" dataDxfId="69" totalsRowDxfId="68" dataCellStyle="Excel Built-in Normal"/>
    <tableColumn id="5" xr3:uid="{00000000-0010-0000-2100-000005000000}" name="hr-mn-sc" totalsRowFunction="sum" dataDxfId="67" totalsRowDxfId="66"/>
    <tableColumn id="6" xr3:uid="{00000000-0010-0000-2100-000006000000}" name="Start" dataDxfId="65"/>
    <tableColumn id="7" xr3:uid="{00000000-0010-0000-2100-000007000000}" name="End" dataDxfId="64" totalsRowDxfId="63" dataCellStyle="Excel Built-in Normal"/>
    <tableColumn id="8" xr3:uid="{00000000-0010-0000-2100-000008000000}" name="Lankodaya" totalsRowFunction="sum" dataDxfId="62" totalsRowDxfId="61" dataCellStyle="Excel Built-in Normal"/>
    <tableColumn id="9" xr3:uid="{00000000-0010-0000-2100-000009000000}" name="Asus2" totalsRowFunction="sum" totalsRowDxfId="60" dataCellStyle="Excel Built-in Normal"/>
    <tableColumn id="10" xr3:uid="{00000000-0010-0000-2100-00000A000000}" name="Vigh or Pala" totalsRowFunction="sum" dataDxfId="59" totalsRowDxfId="58" dataCellStyle="Excel Built-in Normal"/>
    <tableColumn id="11" xr3:uid="{00000000-0010-0000-2100-00000B000000}" name="Corrected" totalsRowFunction="sum" dataDxfId="57" totalsRowDxfId="56" dataCellStyle="Excel Built-in Normal">
      <calculatedColumnFormula>ABS(J17-M17)</calculatedColumnFormula>
    </tableColumn>
    <tableColumn id="12" xr3:uid="{00000000-0010-0000-2100-00000C000000}" name="ViGh" totalsRowFunction="sum" totalsRowDxfId="55" dataCellStyle="Excel Built-in Normal"/>
    <tableColumn id="13" xr3:uid="{00000000-0010-0000-2100-00000D000000}" name="Asus3" totalsRowFunction="sum" totalsRowDxfId="54" dataCellStyle="Excel Built-in Normal"/>
    <tableColumn id="14" xr3:uid="{00000000-0010-0000-2100-00000E000000}" name="Time" totalsRowFunction="sum" dataDxfId="53" totalsRowDxfId="52"/>
    <tableColumn id="15" xr3:uid="{00000000-0010-0000-2100-00000F000000}" name="Dec" totalsRowFunction="sum" totalsRowDxfId="51" dataCellStyle="Excel Built-in Normal"/>
    <tableColumn id="16" xr3:uid="{00000000-0010-0000-2100-000010000000}" name="sin" totalsRowFunction="sum" dataDxfId="50" totalsRowDxfId="49" dataCellStyle="Excel Built-in Normal">
      <calculatedColumnFormula>SIN(4*Table14[[#This Row],[Dec]]/180*PI())</calculatedColumnFormula>
    </tableColumn>
  </tableColumns>
  <tableStyleInfo name="TableStyleLight1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7" xr:uid="{00000000-000C-0000-FFFF-FFFF22000000}" name="Table1" displayName="Table1" ref="A2:E11" totalsRowShown="0" headerRowDxfId="48" dataDxfId="47">
  <tableColumns count="5">
    <tableColumn id="1" xr3:uid="{00000000-0010-0000-2200-000001000000}" name="Title" dataDxfId="46"/>
    <tableColumn id="2" xr3:uid="{00000000-0010-0000-2200-000002000000}" name="Sign" dataDxfId="45"/>
    <tableColumn id="3" xr3:uid="{00000000-0010-0000-2200-000003000000}" name="2000" dataDxfId="44"/>
    <tableColumn id="4" xr3:uid="{00000000-0010-0000-2200-000004000000}" name="2014" dataDxfId="43">
      <calculatedColumnFormula>(D$2-$C$2)*$C$1+$C3</calculatedColumnFormula>
    </tableColumn>
    <tableColumn id="5" xr3:uid="{00000000-0010-0000-2200-000005000000}" name="2013" dataDxfId="42">
      <calculatedColumnFormula>(E$2-$C$2)*$C$1+$C3</calculatedColumnFormula>
    </tableColumn>
  </tableColumns>
  <tableStyleInfo name="TableStyleLight20"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17" xr:uid="{00000000-000C-0000-FFFF-FFFF23000000}" name="VaraRelation" displayName="VaraRelation" ref="A68:J86" totalsRowShown="0">
  <autoFilter ref="A68:J86" xr:uid="{00000000-0009-0000-0100-0000ED050000}"/>
  <tableColumns count="10">
    <tableColumn id="1" xr3:uid="{00000000-0010-0000-2300-000001000000}" name="#"/>
    <tableColumn id="2" xr3:uid="{00000000-0010-0000-2300-000002000000}" name="Vara Order"/>
    <tableColumn id="3" xr3:uid="{00000000-0010-0000-2300-000003000000}" name="3rd Upaya">
      <calculatedColumnFormula>B71</calculatedColumnFormula>
    </tableColumn>
    <tableColumn id="4" xr3:uid="{00000000-0010-0000-2300-000004000000}" name="4th Block">
      <calculatedColumnFormula>B72</calculatedColumnFormula>
    </tableColumn>
    <tableColumn id="8" xr3:uid="{00000000-0010-0000-2300-000008000000}" name="5th Kavacha" dataDxfId="41">
      <calculatedColumnFormula>B73</calculatedColumnFormula>
    </tableColumn>
    <tableColumn id="10" xr3:uid="{00000000-0010-0000-2300-00000A000000}" name="6th Stambana" dataDxfId="40">
      <calculatedColumnFormula>B74</calculatedColumnFormula>
    </tableColumn>
    <tableColumn id="5" xr3:uid="{00000000-0010-0000-2300-000005000000}" name="8th Grahana">
      <calculatedColumnFormula>B76</calculatedColumnFormula>
    </tableColumn>
    <tableColumn id="6" xr3:uid="{00000000-0010-0000-2300-000006000000}" name="9th Oppose">
      <calculatedColumnFormula>B77</calculatedColumnFormula>
    </tableColumn>
    <tableColumn id="7" xr3:uid="{00000000-0010-0000-2300-000007000000}" name="4th+9th Dhatu Hit_x000a_3rd is Upāya" dataDxfId="39">
      <calculatedColumnFormula>D69&amp;"+"&amp;H69</calculatedColumnFormula>
    </tableColumn>
    <tableColumn id="9" xr3:uid="{00000000-0010-0000-2300-000009000000}" name="5th+8th = Issue_x000a_" dataDxfId="38">
      <calculatedColumnFormula>E69&amp;"+"&amp;G69</calculatedColumnFormula>
    </tableColumn>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24000000}" name="Table112" displayName="Table112" ref="A31:AA36" totalsRowShown="0" headerRowDxfId="37" dataDxfId="36">
  <autoFilter ref="A31:AA36" xr:uid="{00000000-0009-0000-0100-00000B000000}"/>
  <tableColumns count="27">
    <tableColumn id="1" xr3:uid="{00000000-0010-0000-2400-000001000000}" name="Bird" dataDxfId="35"/>
    <tableColumn id="2" xr3:uid="{00000000-0010-0000-2400-000002000000}" name="Vowel" dataDxfId="34"/>
    <tableColumn id="3" xr3:uid="{00000000-0010-0000-2400-000003000000}" name="Anti(படு) Pakshi Vaara" dataDxfId="33"/>
    <tableColumn id="4" xr3:uid="{00000000-0010-0000-2400-000004000000}" name="Friend1" dataDxfId="32"/>
    <tableColumn id="7" xr3:uid="{00000000-0010-0000-2400-000007000000}" name="Friend2" dataDxfId="31"/>
    <tableColumn id="5" xr3:uid="{00000000-0010-0000-2400-000005000000}" name="Enemy" dataDxfId="30"/>
    <tableColumn id="6" xr3:uid="{00000000-0010-0000-2400-000006000000}" name="Enemy2" dataDxfId="29"/>
    <tableColumn id="8" xr3:uid="{00000000-0010-0000-2400-000008000000}" name="x" dataDxfId="28"/>
    <tableColumn id="9" xr3:uid="{00000000-0010-0000-2400-000009000000}" name="Column4" dataDxfId="27"/>
    <tableColumn id="10" xr3:uid="{00000000-0010-0000-2400-00000A000000}" name="deity" dataDxfId="26"/>
    <tableColumn id="11" xr3:uid="{00000000-0010-0000-2400-00000B000000}" name="Column1" dataDxfId="25"/>
    <tableColumn id="12" xr3:uid="{00000000-0010-0000-2400-00000C000000}" name="Column2" dataDxfId="24"/>
    <tableColumn id="13" xr3:uid="{00000000-0010-0000-2400-00000D000000}" name="Column3" dataDxfId="23"/>
    <tableColumn id="14" xr3:uid="{00000000-0010-0000-2400-00000E000000}" name="Tithi" dataDxfId="22"/>
    <tableColumn id="15" xr3:uid="{00000000-0010-0000-2400-00000F000000}" name="Vowel2" dataDxfId="21">
      <calculatedColumnFormula>B34</calculatedColumnFormula>
    </tableColumn>
    <tableColumn id="16" xr3:uid="{00000000-0010-0000-2400-000010000000}" name="Pakshi becomes Anti(படு) on" dataDxfId="20"/>
    <tableColumn id="17" xr3:uid="{00000000-0010-0000-2400-000011000000}" name="Friend12" dataDxfId="19"/>
    <tableColumn id="18" xr3:uid="{00000000-0010-0000-2400-000012000000}" name="Friend23" dataDxfId="18"/>
    <tableColumn id="19" xr3:uid="{00000000-0010-0000-2400-000013000000}" name="Enemy4" dataDxfId="17"/>
    <tableColumn id="20" xr3:uid="{00000000-0010-0000-2400-000014000000}" name="Enemy25" dataDxfId="16"/>
    <tableColumn id="21" xr3:uid="{00000000-0010-0000-2400-000015000000}" name="Column11" dataDxfId="15"/>
    <tableColumn id="22" xr3:uid="{00000000-0010-0000-2400-000016000000}" name="Column12" dataDxfId="14"/>
    <tableColumn id="23" xr3:uid="{00000000-0010-0000-2400-000017000000}" name="Column13" dataDxfId="13"/>
    <tableColumn id="24" xr3:uid="{00000000-0010-0000-2400-000018000000}" name="Column14" dataDxfId="12"/>
    <tableColumn id="25" xr3:uid="{00000000-0010-0000-2400-000019000000}" name="Column15" dataDxfId="11"/>
    <tableColumn id="26" xr3:uid="{00000000-0010-0000-2400-00001A000000}" name="Column16" dataDxfId="10"/>
    <tableColumn id="27" xr3:uid="{00000000-0010-0000-2400-00001B000000}" name="Column17" dataDxfId="9"/>
  </tableColumns>
  <tableStyleInfo name="TableStyleLight5"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25000000}" name="Table213" displayName="Table213" ref="A38:G43" totalsRowShown="0" headerRowDxfId="8" dataDxfId="7">
  <autoFilter ref="A38:G43" xr:uid="{00000000-0009-0000-0100-00000C000000}"/>
  <tableColumns count="7">
    <tableColumn id="1" xr3:uid="{00000000-0010-0000-2500-000001000000}" name="Sequence " dataDxfId="6"/>
    <tableColumn id="2" xr3:uid="{00000000-0010-0000-2500-000002000000}" name="Wt" dataDxfId="5"/>
    <tableColumn id="3" xr3:uid="{00000000-0010-0000-2500-000003000000}" name="Activites" dataDxfId="4"/>
    <tableColumn id="4" xr3:uid="{00000000-0010-0000-2500-000004000000}" name="SP day Sukshma Job" dataDxfId="3" dataCellStyle="Normal 3"/>
    <tableColumn id="5" xr3:uid="{00000000-0010-0000-2500-000005000000}" name="SP Night" dataDxfId="2" dataCellStyle="Normal 3"/>
    <tableColumn id="6" xr3:uid="{00000000-0010-0000-2500-000006000000}" name="KP Day" dataDxfId="1" dataCellStyle="Normal 3"/>
    <tableColumn id="7" xr3:uid="{00000000-0010-0000-2500-000007000000}" name="KP Night" dataDxfId="0" dataCellStyle="Normal 3"/>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 /><Relationship Id="rId2" Type="http://schemas.openxmlformats.org/officeDocument/2006/relationships/vmlDrawing" Target="../drawings/vmlDrawing1.vml" /><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 /><Relationship Id="rId2" Type="http://schemas.openxmlformats.org/officeDocument/2006/relationships/table" Target="../tables/table1.xml" /><Relationship Id="rId1" Type="http://schemas.openxmlformats.org/officeDocument/2006/relationships/vmlDrawing" Target="../drawings/vmlDrawing2.vml" /><Relationship Id="rId4" Type="http://schemas.openxmlformats.org/officeDocument/2006/relationships/comments" Target="../comments2.xml" /></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 /></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 /><Relationship Id="rId1" Type="http://schemas.openxmlformats.org/officeDocument/2006/relationships/printerSettings" Target="../printerSettings/printerSettings5.bin" /></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 /></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 /><Relationship Id="rId2" Type="http://schemas.openxmlformats.org/officeDocument/2006/relationships/vmlDrawing" Target="../drawings/vmlDrawing3.vml" /><Relationship Id="rId1" Type="http://schemas.openxmlformats.org/officeDocument/2006/relationships/printerSettings" Target="../printerSettings/printerSettings7.bin" /></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 /><Relationship Id="rId2" Type="http://schemas.openxmlformats.org/officeDocument/2006/relationships/drawing" Target="../drawings/drawing3.xml" /><Relationship Id="rId1" Type="http://schemas.openxmlformats.org/officeDocument/2006/relationships/printerSettings" Target="../printerSettings/printerSettings8.bin" /></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 /><Relationship Id="rId2" Type="http://schemas.openxmlformats.org/officeDocument/2006/relationships/vmlDrawing" Target="../drawings/vmlDrawing4.vml" /><Relationship Id="rId1" Type="http://schemas.openxmlformats.org/officeDocument/2006/relationships/printerSettings" Target="../printerSettings/printerSettings9.bin" /><Relationship Id="rId5" Type="http://schemas.openxmlformats.org/officeDocument/2006/relationships/comments" Target="../comments4.xml" /><Relationship Id="rId4" Type="http://schemas.openxmlformats.org/officeDocument/2006/relationships/table" Target="../tables/table6.xml" /></Relationships>
</file>

<file path=xl/worksheets/_rels/sheet11.xml.rels><?xml version="1.0" encoding="UTF-8" standalone="yes"?>
<Relationships xmlns="http://schemas.openxmlformats.org/package/2006/relationships"><Relationship Id="rId8" Type="http://schemas.openxmlformats.org/officeDocument/2006/relationships/table" Target="../tables/table10.xml" /><Relationship Id="rId13" Type="http://schemas.openxmlformats.org/officeDocument/2006/relationships/table" Target="../tables/table15.xml" /><Relationship Id="rId18" Type="http://schemas.openxmlformats.org/officeDocument/2006/relationships/table" Target="../tables/table20.xml" /><Relationship Id="rId26" Type="http://schemas.openxmlformats.org/officeDocument/2006/relationships/table" Target="../tables/table28.xml" /><Relationship Id="rId3" Type="http://schemas.openxmlformats.org/officeDocument/2006/relationships/printerSettings" Target="../printerSettings/printerSettings10.bin" /><Relationship Id="rId21" Type="http://schemas.openxmlformats.org/officeDocument/2006/relationships/table" Target="../tables/table23.xml" /><Relationship Id="rId7" Type="http://schemas.openxmlformats.org/officeDocument/2006/relationships/table" Target="../tables/table9.xml" /><Relationship Id="rId12" Type="http://schemas.openxmlformats.org/officeDocument/2006/relationships/table" Target="../tables/table14.xml" /><Relationship Id="rId17" Type="http://schemas.openxmlformats.org/officeDocument/2006/relationships/table" Target="../tables/table19.xml" /><Relationship Id="rId25" Type="http://schemas.openxmlformats.org/officeDocument/2006/relationships/table" Target="../tables/table27.xml" /><Relationship Id="rId2" Type="http://schemas.openxmlformats.org/officeDocument/2006/relationships/hyperlink" Target="http://en.wikipedia.org/wiki/International_Alphabet_of_Sanskrit_Transliteration" TargetMode="External" /><Relationship Id="rId16" Type="http://schemas.openxmlformats.org/officeDocument/2006/relationships/table" Target="../tables/table18.xml" /><Relationship Id="rId20" Type="http://schemas.openxmlformats.org/officeDocument/2006/relationships/table" Target="../tables/table22.xml" /><Relationship Id="rId29" Type="http://schemas.openxmlformats.org/officeDocument/2006/relationships/table" Target="../tables/table31.xml" /><Relationship Id="rId1" Type="http://schemas.openxmlformats.org/officeDocument/2006/relationships/pivotTable" Target="../pivotTables/pivotTable1.xml" /><Relationship Id="rId6" Type="http://schemas.openxmlformats.org/officeDocument/2006/relationships/table" Target="../tables/table8.xml" /><Relationship Id="rId11" Type="http://schemas.openxmlformats.org/officeDocument/2006/relationships/table" Target="../tables/table13.xml" /><Relationship Id="rId24" Type="http://schemas.openxmlformats.org/officeDocument/2006/relationships/table" Target="../tables/table26.xml" /><Relationship Id="rId5" Type="http://schemas.openxmlformats.org/officeDocument/2006/relationships/table" Target="../tables/table7.xml" /><Relationship Id="rId15" Type="http://schemas.openxmlformats.org/officeDocument/2006/relationships/table" Target="../tables/table17.xml" /><Relationship Id="rId23" Type="http://schemas.openxmlformats.org/officeDocument/2006/relationships/table" Target="../tables/table25.xml" /><Relationship Id="rId28" Type="http://schemas.openxmlformats.org/officeDocument/2006/relationships/table" Target="../tables/table30.xml" /><Relationship Id="rId10" Type="http://schemas.openxmlformats.org/officeDocument/2006/relationships/table" Target="../tables/table12.xml" /><Relationship Id="rId19" Type="http://schemas.openxmlformats.org/officeDocument/2006/relationships/table" Target="../tables/table21.xml" /><Relationship Id="rId4" Type="http://schemas.openxmlformats.org/officeDocument/2006/relationships/vmlDrawing" Target="../drawings/vmlDrawing5.vml" /><Relationship Id="rId9" Type="http://schemas.openxmlformats.org/officeDocument/2006/relationships/table" Target="../tables/table11.xml" /><Relationship Id="rId14" Type="http://schemas.openxmlformats.org/officeDocument/2006/relationships/table" Target="../tables/table16.xml" /><Relationship Id="rId22" Type="http://schemas.openxmlformats.org/officeDocument/2006/relationships/table" Target="../tables/table24.xml" /><Relationship Id="rId27" Type="http://schemas.openxmlformats.org/officeDocument/2006/relationships/table" Target="../tables/table29.xml" /><Relationship Id="rId30" Type="http://schemas.openxmlformats.org/officeDocument/2006/relationships/comments" Target="../comments5.xml" /></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 /></Relationships>
</file>

<file path=xl/worksheets/_rels/sheet13.xml.rels><?xml version="1.0" encoding="UTF-8" standalone="yes"?>
<Relationships xmlns="http://schemas.openxmlformats.org/package/2006/relationships"><Relationship Id="rId3" Type="http://schemas.openxmlformats.org/officeDocument/2006/relationships/comments" Target="../comments6.xml" /><Relationship Id="rId2" Type="http://schemas.openxmlformats.org/officeDocument/2006/relationships/vmlDrawing" Target="../drawings/vmlDrawing6.vml" /><Relationship Id="rId1" Type="http://schemas.openxmlformats.org/officeDocument/2006/relationships/printerSettings" Target="../printerSettings/printerSettings12.bin" /></Relationships>
</file>

<file path=xl/worksheets/_rels/sheet14.xml.rels><?xml version="1.0" encoding="UTF-8" standalone="yes"?>
<Relationships xmlns="http://schemas.openxmlformats.org/package/2006/relationships"><Relationship Id="rId3" Type="http://schemas.openxmlformats.org/officeDocument/2006/relationships/comments" Target="../comments7.xml" /><Relationship Id="rId2" Type="http://schemas.openxmlformats.org/officeDocument/2006/relationships/vmlDrawing" Target="../drawings/vmlDrawing7.vml" /><Relationship Id="rId1" Type="http://schemas.openxmlformats.org/officeDocument/2006/relationships/printerSettings" Target="../printerSettings/printerSettings13.bin" /></Relationships>
</file>

<file path=xl/worksheets/_rels/sheet15.xml.rels><?xml version="1.0" encoding="UTF-8" standalone="yes"?>
<Relationships xmlns="http://schemas.openxmlformats.org/package/2006/relationships"><Relationship Id="rId3" Type="http://schemas.openxmlformats.org/officeDocument/2006/relationships/table" Target="../tables/table32.xml" /><Relationship Id="rId2" Type="http://schemas.openxmlformats.org/officeDocument/2006/relationships/vmlDrawing" Target="../drawings/vmlDrawing8.vml" /><Relationship Id="rId1" Type="http://schemas.openxmlformats.org/officeDocument/2006/relationships/printerSettings" Target="../printerSettings/printerSettings14.bin" /><Relationship Id="rId4" Type="http://schemas.openxmlformats.org/officeDocument/2006/relationships/comments" Target="../comments8.xml" /></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 /><Relationship Id="rId1" Type="http://schemas.openxmlformats.org/officeDocument/2006/relationships/printerSettings" Target="../printerSettings/printerSettings15.bin" /></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 /></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 /></Relationships>
</file>

<file path=xl/worksheets/_rels/sheet19.xml.rels><?xml version="1.0" encoding="UTF-8" standalone="yes"?>
<Relationships xmlns="http://schemas.openxmlformats.org/package/2006/relationships"><Relationship Id="rId3" Type="http://schemas.openxmlformats.org/officeDocument/2006/relationships/table" Target="../tables/table33.xml" /><Relationship Id="rId2" Type="http://schemas.openxmlformats.org/officeDocument/2006/relationships/vmlDrawing" Target="../drawings/vmlDrawing9.vml" /><Relationship Id="rId1" Type="http://schemas.openxmlformats.org/officeDocument/2006/relationships/printerSettings" Target="../printerSettings/printerSettings18.bin" /><Relationship Id="rId4" Type="http://schemas.openxmlformats.org/officeDocument/2006/relationships/comments" Target="../comments9.xml" /></Relationships>
</file>

<file path=xl/worksheets/_rels/sheet20.xml.rels><?xml version="1.0" encoding="UTF-8" standalone="yes"?>
<Relationships xmlns="http://schemas.openxmlformats.org/package/2006/relationships"><Relationship Id="rId2" Type="http://schemas.openxmlformats.org/officeDocument/2006/relationships/table" Target="../tables/table34.xml" /><Relationship Id="rId1" Type="http://schemas.openxmlformats.org/officeDocument/2006/relationships/printerSettings" Target="../printerSettings/printerSettings19.bin" /></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 /></Relationships>
</file>

<file path=xl/worksheets/_rels/sheet22.xml.rels><?xml version="1.0" encoding="UTF-8" standalone="yes"?>
<Relationships xmlns="http://schemas.openxmlformats.org/package/2006/relationships"><Relationship Id="rId3" Type="http://schemas.openxmlformats.org/officeDocument/2006/relationships/comments" Target="../comments10.xml" /><Relationship Id="rId2" Type="http://schemas.openxmlformats.org/officeDocument/2006/relationships/vmlDrawing" Target="../drawings/vmlDrawing10.vml" /><Relationship Id="rId1" Type="http://schemas.openxmlformats.org/officeDocument/2006/relationships/printerSettings" Target="../printerSettings/printerSettings21.bin" /></Relationships>
</file>

<file path=xl/worksheets/_rels/sheet23.xml.rels><?xml version="1.0" encoding="UTF-8" standalone="yes"?>
<Relationships xmlns="http://schemas.openxmlformats.org/package/2006/relationships"><Relationship Id="rId2" Type="http://schemas.openxmlformats.org/officeDocument/2006/relationships/table" Target="../tables/table35.xml" /><Relationship Id="rId1" Type="http://schemas.openxmlformats.org/officeDocument/2006/relationships/printerSettings" Target="../printerSettings/printerSettings22.bin" /></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 /></Relationships>
</file>

<file path=xl/worksheets/_rels/sheet25.xml.rels><?xml version="1.0" encoding="UTF-8" standalone="yes"?>
<Relationships xmlns="http://schemas.openxmlformats.org/package/2006/relationships"><Relationship Id="rId2" Type="http://schemas.openxmlformats.org/officeDocument/2006/relationships/table" Target="../tables/table36.xml" /><Relationship Id="rId1" Type="http://schemas.openxmlformats.org/officeDocument/2006/relationships/printerSettings" Target="../printerSettings/printerSettings24.bin" /></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 /></Relationships>
</file>

<file path=xl/worksheets/_rels/sheet27.xml.rels><?xml version="1.0" encoding="UTF-8" standalone="yes"?>
<Relationships xmlns="http://schemas.openxmlformats.org/package/2006/relationships"><Relationship Id="rId3" Type="http://schemas.openxmlformats.org/officeDocument/2006/relationships/table" Target="../tables/table38.xml" /><Relationship Id="rId2" Type="http://schemas.openxmlformats.org/officeDocument/2006/relationships/table" Target="../tables/table37.xml" /><Relationship Id="rId1" Type="http://schemas.openxmlformats.org/officeDocument/2006/relationships/printerSettings" Target="../printerSettings/printerSettings26.bin" /></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109"/>
  <sheetViews>
    <sheetView zoomScale="98" zoomScaleNormal="98" zoomScaleSheetLayoutView="75" workbookViewId="0" xr3:uid="{AEA406A1-0E4B-5B11-9CD5-51D6E497D94C}">
      <selection activeCell="A3" sqref="A3"/>
    </sheetView>
  </sheetViews>
  <sheetFormatPr defaultColWidth="9.14453125" defaultRowHeight="15" x14ac:dyDescent="0.2"/>
  <cols>
    <col min="1" max="1" width="64.97265625" style="32" customWidth="1"/>
    <col min="2" max="2" width="11.56640625" style="800" bestFit="1" customWidth="1"/>
    <col min="3" max="3" width="100.7578125" style="1152" customWidth="1"/>
    <col min="4" max="16384" width="9.14453125" style="32"/>
  </cols>
  <sheetData>
    <row r="1" spans="1:32" x14ac:dyDescent="0.2">
      <c r="A1" s="800" t="str">
        <f>'[1]Selected Chart'!$A$2</f>
        <v>Chart</v>
      </c>
      <c r="B1" s="800" t="str">
        <f>'[1]Selected Chart'!B2</f>
        <v>Date</v>
      </c>
      <c r="C1" s="1152" t="str">
        <f>'[1]Selected Chart'!C2</f>
        <v>Event</v>
      </c>
    </row>
    <row r="2" spans="1:32" x14ac:dyDescent="0.2">
      <c r="A2" s="800" t="str">
        <f>'[1]Selected Chart'!A3</f>
        <v>C:\Users\sprabhakara2\Google Drive\charts\Family&amp;Self\Sanjay Prabhakaran</v>
      </c>
      <c r="B2" s="800">
        <f>'[1]Selected Chart'!B3</f>
        <v>26133</v>
      </c>
      <c r="C2" s="800" t="str">
        <f>'[1]Selected Chart'!C3</f>
        <v>Born in CIM Stores</v>
      </c>
    </row>
    <row r="3" spans="1:32" x14ac:dyDescent="0.2">
      <c r="A3" s="800"/>
      <c r="B3" s="800">
        <f>'[1]Selected Chart'!B4</f>
        <v>36723</v>
      </c>
      <c r="C3" s="800" t="str">
        <f>'[1]Selected Chart'!C4</f>
        <v>Joined SJC/SJVC</v>
      </c>
    </row>
    <row r="4" spans="1:32" x14ac:dyDescent="0.2">
      <c r="A4" s="800" t="str">
        <f>'[1]Selected Chart'!A5</f>
        <v>Natal Chart</v>
      </c>
      <c r="B4" s="800">
        <f>'[1]Selected Chart'!B5</f>
        <v>37926</v>
      </c>
      <c r="C4" s="800" t="str">
        <f>'[1]Selected Chart'!C5</f>
        <v>Bought Car D16</v>
      </c>
      <c r="AF4" s="32">
        <v>0</v>
      </c>
    </row>
    <row r="5" spans="1:32" x14ac:dyDescent="0.2">
      <c r="A5" s="800">
        <f>'[1]Selected Chart'!A6</f>
        <v>0</v>
      </c>
      <c r="B5" s="800">
        <f>'[1]Selected Chart'!B6</f>
        <v>38779</v>
      </c>
      <c r="C5" s="800" t="str">
        <f>'[1]Selected Chart'!C6</f>
        <v>Marriage D9</v>
      </c>
      <c r="AF5" s="32">
        <v>0</v>
      </c>
    </row>
    <row r="6" spans="1:32" x14ac:dyDescent="0.2">
      <c r="A6" s="800" t="str">
        <f>'[1]Selected Chart'!A7</f>
        <v>Date:          July 19, 1971</v>
      </c>
      <c r="B6" s="800">
        <f>'[1]Selected Chart'!B7</f>
        <v>41694</v>
      </c>
      <c r="C6" s="800" t="str">
        <f>'[1]Selected Chart'!C7</f>
        <v>Bought Car D16</v>
      </c>
      <c r="AF6" s="32">
        <v>0</v>
      </c>
    </row>
    <row r="7" spans="1:32" x14ac:dyDescent="0.2">
      <c r="A7" s="800" t="str">
        <f>'[1]Selected Chart'!A8</f>
        <v>Time:          9:13:10</v>
      </c>
      <c r="B7" s="800">
        <f>'[1]Selected Chart'!B8</f>
        <v>0</v>
      </c>
      <c r="C7" s="800">
        <f>'[1]Selected Chart'!C8</f>
        <v>0</v>
      </c>
      <c r="AF7" s="32">
        <v>0</v>
      </c>
    </row>
    <row r="8" spans="1:32" x14ac:dyDescent="0.2">
      <c r="A8" s="800" t="str">
        <f>'[1]Selected Chart'!A9</f>
        <v>Time Zone:     5:30:00 (East of GMT)</v>
      </c>
      <c r="B8" s="800">
        <f>'[1]Selected Chart'!B9</f>
        <v>0</v>
      </c>
      <c r="C8" s="800">
        <f>'[1]Selected Chart'!C9</f>
        <v>0</v>
      </c>
      <c r="AF8" s="32">
        <v>0</v>
      </c>
    </row>
    <row r="9" spans="1:32" x14ac:dyDescent="0.2">
      <c r="A9" s="800" t="str">
        <f>'[1]Selected Chart'!A10</f>
        <v>Place:         78 E 05' 05", 10 N 57' 47"</v>
      </c>
      <c r="B9" s="800">
        <f>'[1]Selected Chart'!B10</f>
        <v>0</v>
      </c>
      <c r="C9" s="800">
        <f>'[1]Selected Chart'!C10</f>
        <v>0</v>
      </c>
      <c r="AF9" s="32">
        <v>0</v>
      </c>
    </row>
    <row r="10" spans="1:32" x14ac:dyDescent="0.2">
      <c r="A10" s="800" t="str">
        <f>'[1]Selected Chart'!A11</f>
        <v xml:space="preserve">               Karur CIM Store, India</v>
      </c>
      <c r="B10" s="800">
        <f>'[1]Selected Chart'!B11</f>
        <v>0</v>
      </c>
      <c r="C10" s="800">
        <f>'[1]Selected Chart'!C11</f>
        <v>0</v>
      </c>
      <c r="AF10" s="32">
        <v>0</v>
      </c>
    </row>
    <row r="11" spans="1:32" x14ac:dyDescent="0.2">
      <c r="A11" s="800" t="str">
        <f>'[1]Selected Chart'!A12</f>
        <v>Altitude:      123.00 meters</v>
      </c>
      <c r="B11" s="800">
        <f>'[1]Selected Chart'!B12</f>
        <v>0</v>
      </c>
      <c r="C11" s="800">
        <f>'[1]Selected Chart'!C12</f>
        <v>0</v>
      </c>
      <c r="AF11" s="32">
        <v>0</v>
      </c>
    </row>
    <row r="12" spans="1:32" x14ac:dyDescent="0.2">
      <c r="A12" s="800">
        <f>'[1]Selected Chart'!A13</f>
        <v>0</v>
      </c>
      <c r="B12" s="800">
        <f>'[1]Selected Chart'!B13</f>
        <v>0</v>
      </c>
      <c r="C12" s="800">
        <f>'[1]Selected Chart'!C13</f>
        <v>0</v>
      </c>
      <c r="AF12" s="32">
        <v>0</v>
      </c>
    </row>
    <row r="13" spans="1:32" x14ac:dyDescent="0.2">
      <c r="A13" s="800" t="str">
        <f>'[1]Selected Chart'!A14</f>
        <v>Lunar Yr-Mo:   Virodha-krit - Ashadha</v>
      </c>
      <c r="B13" s="800">
        <f>'[1]Selected Chart'!B14</f>
        <v>0</v>
      </c>
      <c r="C13" s="800">
        <f>'[1]Selected Chart'!C14</f>
        <v>0</v>
      </c>
      <c r="AF13" s="32">
        <v>0</v>
      </c>
    </row>
    <row r="14" spans="1:32" x14ac:dyDescent="0.2">
      <c r="A14" s="800" t="str">
        <f>'[1]Selected Chart'!A15</f>
        <v>Tithi:         Krishna Dwadasi (Me) (28.19% left)</v>
      </c>
      <c r="B14" s="800">
        <f>'[1]Selected Chart'!B15</f>
        <v>0</v>
      </c>
      <c r="C14" s="800">
        <f>'[1]Selected Chart'!C15</f>
        <v>0</v>
      </c>
      <c r="AF14" s="32">
        <v>0</v>
      </c>
    </row>
    <row r="15" spans="1:32" x14ac:dyDescent="0.2">
      <c r="A15" s="800" t="str">
        <f>'[1]Selected Chart'!A16</f>
        <v>Vedic Weekday: Monday (Mo)</v>
      </c>
      <c r="B15" s="800">
        <f>'[1]Selected Chart'!B16</f>
        <v>0</v>
      </c>
      <c r="C15" s="800">
        <f>'[1]Selected Chart'!C16</f>
        <v>0</v>
      </c>
      <c r="AF15" s="32">
        <v>0</v>
      </c>
    </row>
    <row r="16" spans="1:32" x14ac:dyDescent="0.2">
      <c r="A16" s="800" t="str">
        <f>'[1]Selected Chart'!A17</f>
        <v>Nakshatra:     Rohini (Mo) (2.38% left)</v>
      </c>
      <c r="B16" s="800">
        <f>'[1]Selected Chart'!B17</f>
        <v>0</v>
      </c>
      <c r="C16" s="800">
        <f>'[1]Selected Chart'!C17</f>
        <v>0</v>
      </c>
      <c r="AF16" s="32">
        <v>0</v>
      </c>
    </row>
    <row r="17" spans="1:32" x14ac:dyDescent="0.2">
      <c r="A17" s="800" t="str">
        <f>'[1]Selected Chart'!A18</f>
        <v>Yoga:          Vriddhi (Me) (9.39% left)</v>
      </c>
      <c r="B17" s="800">
        <f>'[1]Selected Chart'!B18</f>
        <v>0</v>
      </c>
      <c r="C17" s="800">
        <f>'[1]Selected Chart'!C18</f>
        <v>0</v>
      </c>
      <c r="AF17" s="32">
        <v>0</v>
      </c>
    </row>
    <row r="18" spans="1:32" x14ac:dyDescent="0.2">
      <c r="A18" s="800" t="str">
        <f>'[1]Selected Chart'!A19</f>
        <v>Karana:        Taitula (Me) (56.39% left)</v>
      </c>
      <c r="B18" s="800">
        <f>'[1]Selected Chart'!B19</f>
        <v>0</v>
      </c>
      <c r="C18" s="800">
        <f>'[1]Selected Chart'!C19</f>
        <v>0</v>
      </c>
      <c r="AF18" s="32">
        <v>0</v>
      </c>
    </row>
    <row r="19" spans="1:32" x14ac:dyDescent="0.2">
      <c r="A19" s="800" t="str">
        <f>'[1]Selected Chart'!A20</f>
        <v>Hora Lord:     Mars (5 min sign: Sg)</v>
      </c>
      <c r="B19" s="800">
        <f>'[1]Selected Chart'!B20</f>
        <v>0</v>
      </c>
      <c r="C19" s="800">
        <f>'[1]Selected Chart'!C20</f>
        <v>0</v>
      </c>
      <c r="AF19" s="32">
        <v>0</v>
      </c>
    </row>
    <row r="20" spans="1:32" x14ac:dyDescent="0.2">
      <c r="A20" s="800" t="str">
        <f>'[1]Selected Chart'!A21</f>
        <v>Mahakala Hora: Jupiter (5 min sign: Aq)</v>
      </c>
      <c r="B20" s="800">
        <f>'[1]Selected Chart'!B21</f>
        <v>0</v>
      </c>
      <c r="C20" s="800">
        <f>'[1]Selected Chart'!C21</f>
        <v>0</v>
      </c>
      <c r="AF20" s="32">
        <v>0</v>
      </c>
    </row>
    <row r="21" spans="1:32" x14ac:dyDescent="0.2">
      <c r="A21" s="800" t="str">
        <f>'[1]Selected Chart'!A22</f>
        <v>Kaala Lord:    Rahu (Mahakala: Rahu)</v>
      </c>
      <c r="B21" s="800">
        <f>'[1]Selected Chart'!B22</f>
        <v>0</v>
      </c>
      <c r="C21" s="800">
        <f>'[1]Selected Chart'!C22</f>
        <v>0</v>
      </c>
      <c r="AF21" s="32">
        <v>0</v>
      </c>
    </row>
    <row r="22" spans="1:32" x14ac:dyDescent="0.2">
      <c r="A22" s="800">
        <f>'[1]Selected Chart'!A23</f>
        <v>0</v>
      </c>
      <c r="B22" s="800">
        <f>'[1]Selected Chart'!B23</f>
        <v>0</v>
      </c>
      <c r="C22" s="800">
        <f>'[1]Selected Chart'!C23</f>
        <v>0</v>
      </c>
      <c r="AF22" s="32">
        <v>0</v>
      </c>
    </row>
    <row r="23" spans="1:32" x14ac:dyDescent="0.2">
      <c r="A23" s="800" t="str">
        <f>'[1]Selected Chart'!A24</f>
        <v>Sunrise:       6:03:17</v>
      </c>
      <c r="B23" s="800">
        <f>'[1]Selected Chart'!B24</f>
        <v>0</v>
      </c>
      <c r="C23" s="800">
        <f>'[1]Selected Chart'!C24</f>
        <v>0</v>
      </c>
      <c r="AF23" s="32">
        <v>0</v>
      </c>
    </row>
    <row r="24" spans="1:32" x14ac:dyDescent="0.2">
      <c r="A24" s="800" t="str">
        <f>'[1]Selected Chart'!A25</f>
        <v>Sunset:        18:44:17</v>
      </c>
      <c r="B24" s="800">
        <f>'[1]Selected Chart'!B25</f>
        <v>0</v>
      </c>
      <c r="C24" s="800">
        <f>'[1]Selected Chart'!C25</f>
        <v>0</v>
      </c>
      <c r="AF24" s="32">
        <v>0</v>
      </c>
    </row>
    <row r="25" spans="1:32" x14ac:dyDescent="0.2">
      <c r="A25" s="800" t="str">
        <f>'[1]Selected Chart'!A26</f>
        <v>Janma Ghatis:  7.9117</v>
      </c>
      <c r="B25" s="800">
        <f>'[1]Selected Chart'!B26</f>
        <v>0</v>
      </c>
      <c r="C25" s="800">
        <f>'[1]Selected Chart'!C26</f>
        <v>0</v>
      </c>
      <c r="AF25" s="32">
        <v>0</v>
      </c>
    </row>
    <row r="26" spans="1:32" x14ac:dyDescent="0.2">
      <c r="A26" s="800">
        <f>'[1]Selected Chart'!A27</f>
        <v>0</v>
      </c>
      <c r="B26" s="800">
        <f>'[1]Selected Chart'!B27</f>
        <v>0</v>
      </c>
      <c r="C26" s="800">
        <f>'[1]Selected Chart'!C27</f>
        <v>0</v>
      </c>
      <c r="AF26" s="32">
        <v>0</v>
      </c>
    </row>
    <row r="27" spans="1:32" x14ac:dyDescent="0.2">
      <c r="A27" s="800" t="str">
        <f>'[1]Selected Chart'!A28</f>
        <v>Ayanamsa:      23-26-39.19</v>
      </c>
      <c r="B27" s="800">
        <f>'[1]Selected Chart'!B28</f>
        <v>0</v>
      </c>
      <c r="C27" s="800">
        <f>'[1]Selected Chart'!C28</f>
        <v>0</v>
      </c>
      <c r="AF27" s="32">
        <v>0</v>
      </c>
    </row>
    <row r="28" spans="1:32" x14ac:dyDescent="0.2">
      <c r="A28" s="800" t="str">
        <f>'[1]Selected Chart'!A29</f>
        <v>Sidereal Time: 4:40:40</v>
      </c>
      <c r="B28" s="800">
        <f>'[1]Selected Chart'!B29</f>
        <v>0</v>
      </c>
      <c r="C28" s="800">
        <f>'[1]Selected Chart'!C29</f>
        <v>0</v>
      </c>
      <c r="AF28" s="32">
        <v>0</v>
      </c>
    </row>
    <row r="29" spans="1:32" x14ac:dyDescent="0.2">
      <c r="A29" s="800">
        <f>'[1]Selected Chart'!A30</f>
        <v>0</v>
      </c>
      <c r="B29" s="800">
        <f>'[1]Selected Chart'!B30</f>
        <v>0</v>
      </c>
      <c r="C29" s="800">
        <f>'[1]Selected Chart'!C30</f>
        <v>0</v>
      </c>
      <c r="AF29" s="32">
        <v>0</v>
      </c>
    </row>
    <row r="30" spans="1:32" x14ac:dyDescent="0.2">
      <c r="A30" s="800" t="str">
        <f>'[1]Selected Chart'!A31</f>
        <v>Body                    Longitude        Nakshatra Pada Rasi Navamsa</v>
      </c>
      <c r="B30" s="800">
        <f>'[1]Selected Chart'!B31</f>
        <v>0</v>
      </c>
      <c r="C30" s="800">
        <f>'[1]Selected Chart'!C31</f>
        <v>0</v>
      </c>
      <c r="AF30" s="32">
        <v>0</v>
      </c>
    </row>
    <row r="31" spans="1:32" x14ac:dyDescent="0.2">
      <c r="A31" s="800">
        <f>'[1]Selected Chart'!A32</f>
        <v>0</v>
      </c>
      <c r="B31" s="800">
        <f>'[1]Selected Chart'!B32</f>
        <v>0</v>
      </c>
      <c r="C31" s="800">
        <f>'[1]Selected Chart'!C32</f>
        <v>0</v>
      </c>
      <c r="AF31" s="32">
        <v>0</v>
      </c>
    </row>
    <row r="32" spans="1:32" x14ac:dyDescent="0.2">
      <c r="A32" s="800" t="str">
        <f>'[1]Selected Chart'!A33</f>
        <v>Lagna                   16 Le 42' 41.46" PPha      2    Le   Vi</v>
      </c>
      <c r="B32" s="800">
        <f>'[1]Selected Chart'!B33</f>
        <v>0</v>
      </c>
      <c r="C32" s="800">
        <f>'[1]Selected Chart'!C33</f>
        <v>0</v>
      </c>
      <c r="AF32" s="32">
        <v>0</v>
      </c>
    </row>
    <row r="33" spans="1:32" x14ac:dyDescent="0.2">
      <c r="A33" s="800" t="str">
        <f>'[1]Selected Chart'!A34</f>
        <v>Sun - DK                 2 Cn 23' 57.13" Puna      4    Cn   Cn</v>
      </c>
      <c r="B33" s="800">
        <f>'[1]Selected Chart'!B34</f>
        <v>0</v>
      </c>
      <c r="C33" s="800">
        <f>'[1]Selected Chart'!C34</f>
        <v>0</v>
      </c>
      <c r="AF33" s="32">
        <v>0</v>
      </c>
    </row>
    <row r="34" spans="1:32" x14ac:dyDescent="0.2">
      <c r="A34" s="800" t="str">
        <f>'[1]Selected Chart'!A35</f>
        <v>Moon - BK               23 Ta 00' 57.40" Rohi      4    Ta   Cn</v>
      </c>
      <c r="B34" s="800">
        <f>'[1]Selected Chart'!B35</f>
        <v>0</v>
      </c>
      <c r="C34" s="800">
        <f>'[1]Selected Chart'!C35</f>
        <v>0</v>
      </c>
      <c r="AF34" s="32">
        <v>0</v>
      </c>
    </row>
    <row r="35" spans="1:32" x14ac:dyDescent="0.2">
      <c r="A35" s="800" t="str">
        <f>'[1]Selected Chart'!A36</f>
        <v>Mars (R) - AK           28 Cp 06' 31.19" Dhan      2    Cp   Vi</v>
      </c>
      <c r="B35" s="800">
        <f>'[1]Selected Chart'!B36</f>
        <v>0</v>
      </c>
      <c r="C35" s="800">
        <f>'[1]Selected Chart'!C36</f>
        <v>0</v>
      </c>
      <c r="AF35" s="32">
        <v>0</v>
      </c>
    </row>
    <row r="36" spans="1:32" x14ac:dyDescent="0.2">
      <c r="A36" s="800" t="str">
        <f>'[1]Selected Chart'!A37</f>
        <v>Mercury - AmK           27 Cn 07' 47.23" Asre      4    Cn   Pi</v>
      </c>
      <c r="B36" s="800">
        <f>'[1]Selected Chart'!B37</f>
        <v>0</v>
      </c>
      <c r="C36" s="800">
        <f>'[1]Selected Chart'!C37</f>
        <v>0</v>
      </c>
      <c r="AF36" s="32">
        <v>0</v>
      </c>
    </row>
    <row r="37" spans="1:32" x14ac:dyDescent="0.2">
      <c r="A37" s="800" t="str">
        <f>'[1]Selected Chart'!A38</f>
        <v>Jupiter (R) - GK         3 Sc 11' 49.83" Visa      4    Sc   Cn</v>
      </c>
      <c r="B37" s="800">
        <f>'[1]Selected Chart'!B38</f>
        <v>0</v>
      </c>
      <c r="C37" s="800">
        <f>'[1]Selected Chart'!C38</f>
        <v>0</v>
      </c>
      <c r="AF37" s="32">
        <v>0</v>
      </c>
    </row>
    <row r="38" spans="1:32" x14ac:dyDescent="0.2">
      <c r="A38" s="800" t="str">
        <f>'[1]Selected Chart'!A39</f>
        <v>Venus - MK              21 Ge 32' 26.17" Puna      1    Ge   Ar</v>
      </c>
      <c r="B38" s="800">
        <f>'[1]Selected Chart'!B39</f>
        <v>0</v>
      </c>
      <c r="C38" s="800">
        <f>'[1]Selected Chart'!C39</f>
        <v>0</v>
      </c>
      <c r="AF38" s="32">
        <v>0</v>
      </c>
    </row>
    <row r="39" spans="1:32" x14ac:dyDescent="0.2">
      <c r="A39" s="800" t="str">
        <f>'[1]Selected Chart'!A40</f>
        <v>Saturn - PiK             9 Ta 53' 06.76" Krit      4    Ta   Pi</v>
      </c>
      <c r="B39" s="800">
        <f>'[1]Selected Chart'!B40</f>
        <v>0</v>
      </c>
      <c r="C39" s="800">
        <f>'[1]Selected Chart'!C40</f>
        <v>0</v>
      </c>
      <c r="AF39" s="32">
        <v>0</v>
      </c>
    </row>
    <row r="40" spans="1:32" x14ac:dyDescent="0.2">
      <c r="A40" s="800" t="str">
        <f>'[1]Selected Chart'!A41</f>
        <v>Rahu - PK               21 Cp 58' 02.06" Srav      4    Cp   Cn</v>
      </c>
      <c r="B40" s="800">
        <f>'[1]Selected Chart'!B41</f>
        <v>0</v>
      </c>
      <c r="C40" s="800">
        <f>'[1]Selected Chart'!C41</f>
        <v>0</v>
      </c>
      <c r="AF40" s="32">
        <v>0</v>
      </c>
    </row>
    <row r="41" spans="1:32" x14ac:dyDescent="0.2">
      <c r="A41" s="800" t="str">
        <f>'[1]Selected Chart'!A42</f>
        <v>Ketu                    21 Cn 58' 02.06" Asre      2    Cn   Cp</v>
      </c>
      <c r="B41" s="800">
        <f>'[1]Selected Chart'!B42</f>
        <v>0</v>
      </c>
      <c r="C41" s="800">
        <f>'[1]Selected Chart'!C42</f>
        <v>0</v>
      </c>
      <c r="AF41" s="32">
        <v>0</v>
      </c>
    </row>
    <row r="42" spans="1:32" x14ac:dyDescent="0.2">
      <c r="A42" s="800" t="str">
        <f>'[1]Selected Chart'!A43</f>
        <v>Maandi                   8 Sc 13' 55.81" Anu       2    Sc   Vi</v>
      </c>
      <c r="B42" s="800">
        <f>'[1]Selected Chart'!B43</f>
        <v>0</v>
      </c>
      <c r="C42" s="800">
        <f>'[1]Selected Chart'!C43</f>
        <v>0</v>
      </c>
      <c r="AF42" s="32">
        <v>0</v>
      </c>
    </row>
    <row r="43" spans="1:32" x14ac:dyDescent="0.2">
      <c r="A43" s="800" t="str">
        <f>'[1]Selected Chart'!A44</f>
        <v>Gulika                  19 Sc 06' 14.77" Jye       1    Sc   Sg</v>
      </c>
      <c r="B43" s="800">
        <f>'[1]Selected Chart'!B44</f>
        <v>0</v>
      </c>
      <c r="C43" s="800">
        <f>'[1]Selected Chart'!C44</f>
        <v>0</v>
      </c>
      <c r="AF43" s="32">
        <v>0</v>
      </c>
    </row>
    <row r="44" spans="1:32" x14ac:dyDescent="0.2">
      <c r="A44" s="800" t="str">
        <f>'[1]Selected Chart'!A45</f>
        <v>Bhava Lagna             19 Le 52' 10.90" PPha      2    Le   Vi</v>
      </c>
      <c r="B44" s="800">
        <f>'[1]Selected Chart'!B45</f>
        <v>0</v>
      </c>
      <c r="C44" s="800">
        <f>'[1]Selected Chart'!C45</f>
        <v>0</v>
      </c>
      <c r="AF44" s="32">
        <v>0</v>
      </c>
    </row>
    <row r="45" spans="1:32" x14ac:dyDescent="0.2">
      <c r="A45" s="800" t="str">
        <f>'[1]Selected Chart'!A46</f>
        <v>Hora Lagna               7 Li 20' 24.68" Swat      1    Li   Sg</v>
      </c>
      <c r="B45" s="800">
        <f>'[1]Selected Chart'!B46</f>
        <v>0</v>
      </c>
      <c r="C45" s="800">
        <f>'[1]Selected Chart'!C46</f>
        <v>0</v>
      </c>
      <c r="AF45" s="32">
        <v>0</v>
      </c>
    </row>
    <row r="46" spans="1:32" x14ac:dyDescent="0.2">
      <c r="A46" s="800" t="str">
        <f>'[1]Selected Chart'!A47</f>
        <v>Ghati Lagna             29 Aq 45' 05.99" PBha      3    Aq   Ge</v>
      </c>
      <c r="B46" s="800">
        <f>'[1]Selected Chart'!B47</f>
        <v>0</v>
      </c>
      <c r="C46" s="800">
        <f>'[1]Selected Chart'!C47</f>
        <v>0</v>
      </c>
      <c r="AF46" s="32">
        <v>0</v>
      </c>
    </row>
    <row r="47" spans="1:32" x14ac:dyDescent="0.2">
      <c r="A47" s="800" t="str">
        <f>'[1]Selected Chart'!A48</f>
        <v>Vighati Lagna           21 Aq 48' 32.58" PBha      1    Aq   Ar</v>
      </c>
      <c r="B47" s="800">
        <f>'[1]Selected Chart'!B48</f>
        <v>0</v>
      </c>
      <c r="C47" s="800">
        <f>'[1]Selected Chart'!C48</f>
        <v>0</v>
      </c>
      <c r="AF47" s="32">
        <v>0</v>
      </c>
    </row>
    <row r="48" spans="1:32" x14ac:dyDescent="0.2">
      <c r="A48" s="800" t="str">
        <f>'[1]Selected Chart'!A49</f>
        <v>Varnada Lagna           16 Pi 42' 41.46" Reva      1    Pi   Aq</v>
      </c>
      <c r="B48" s="800">
        <f>'[1]Selected Chart'!B49</f>
        <v>0</v>
      </c>
      <c r="C48" s="800">
        <f>'[1]Selected Chart'!C49</f>
        <v>0</v>
      </c>
      <c r="AF48" s="32">
        <v>0</v>
      </c>
    </row>
    <row r="49" spans="1:32" x14ac:dyDescent="0.2">
      <c r="A49" s="800" t="str">
        <f>'[1]Selected Chart'!A50</f>
        <v>Sree Lagna               8 Le 08' 31.14" Magh      3    Le   Ge</v>
      </c>
      <c r="B49" s="800">
        <f>'[1]Selected Chart'!B50</f>
        <v>0</v>
      </c>
      <c r="C49" s="800">
        <f>'[1]Selected Chart'!C50</f>
        <v>0</v>
      </c>
      <c r="AF49" s="32">
        <v>0</v>
      </c>
    </row>
    <row r="50" spans="1:32" x14ac:dyDescent="0.2">
      <c r="A50" s="800" t="str">
        <f>'[1]Selected Chart'!A51</f>
        <v>Pranapada Lagna         21 Aq 48' 32.58" PBha      1    Aq   Ar</v>
      </c>
      <c r="B50" s="800">
        <f>'[1]Selected Chart'!B51</f>
        <v>0</v>
      </c>
      <c r="C50" s="800">
        <f>'[1]Selected Chart'!C51</f>
        <v>0</v>
      </c>
      <c r="AF50" s="32">
        <v>0</v>
      </c>
    </row>
    <row r="51" spans="1:32" x14ac:dyDescent="0.2">
      <c r="A51" s="800" t="str">
        <f>'[1]Selected Chart'!A52</f>
        <v>Indu Lagna              23 Sc 00' 57.40" Jye       2    Sc   Cp</v>
      </c>
      <c r="B51" s="800">
        <f>'[1]Selected Chart'!B52</f>
        <v>0</v>
      </c>
      <c r="C51" s="800">
        <f>'[1]Selected Chart'!C52</f>
        <v>0</v>
      </c>
      <c r="AF51" s="32">
        <v>0</v>
      </c>
    </row>
    <row r="52" spans="1:32" x14ac:dyDescent="0.2">
      <c r="A52" s="800" t="str">
        <f>'[1]Selected Chart'!A53</f>
        <v>Bhrigu Bindu            22 Pi 29' 29.73" Reva      2    Pi   Cp</v>
      </c>
      <c r="B52" s="800">
        <f>'[1]Selected Chart'!B53</f>
        <v>0</v>
      </c>
      <c r="C52" s="800">
        <f>'[1]Selected Chart'!C53</f>
        <v>0</v>
      </c>
      <c r="AF52" s="32">
        <v>0</v>
      </c>
    </row>
    <row r="53" spans="1:32" x14ac:dyDescent="0.2">
      <c r="A53" s="800" t="str">
        <f>'[1]Selected Chart'!A54</f>
        <v>Dhooma                  15 Sc 43' 57.13" Anu       4    Sc   Sc</v>
      </c>
      <c r="B53" s="800">
        <f>'[1]Selected Chart'!B54</f>
        <v>0</v>
      </c>
      <c r="C53" s="800">
        <f>'[1]Selected Chart'!C54</f>
        <v>0</v>
      </c>
      <c r="AF53" s="32">
        <v>0</v>
      </c>
    </row>
    <row r="54" spans="1:32" x14ac:dyDescent="0.2">
      <c r="A54" s="800" t="str">
        <f>'[1]Selected Chart'!A55</f>
        <v>Vyatipata               14 Le 16' 02.87" PPha      1    Le   Le</v>
      </c>
      <c r="B54" s="800">
        <f>'[1]Selected Chart'!B55</f>
        <v>0</v>
      </c>
      <c r="C54" s="800">
        <f>'[1]Selected Chart'!C55</f>
        <v>0</v>
      </c>
      <c r="AF54" s="32">
        <v>0</v>
      </c>
    </row>
    <row r="55" spans="1:32" x14ac:dyDescent="0.2">
      <c r="A55" s="800" t="str">
        <f>'[1]Selected Chart'!A56</f>
        <v>Parivesha               14 Aq 16' 02.87" Sata      3    Aq   Aq</v>
      </c>
      <c r="B55" s="800">
        <f>'[1]Selected Chart'!B56</f>
        <v>0</v>
      </c>
      <c r="C55" s="800">
        <f>'[1]Selected Chart'!C56</f>
        <v>0</v>
      </c>
      <c r="AF55" s="32">
        <v>0</v>
      </c>
    </row>
    <row r="56" spans="1:32" x14ac:dyDescent="0.2">
      <c r="A56" s="800" t="str">
        <f>'[1]Selected Chart'!A57</f>
        <v>Indra Chapa             15 Ta 43' 57.13" Rohi      2    Ta   Ta</v>
      </c>
      <c r="B56" s="800">
        <f>'[1]Selected Chart'!B57</f>
        <v>0</v>
      </c>
      <c r="C56" s="800">
        <f>'[1]Selected Chart'!C57</f>
        <v>0</v>
      </c>
      <c r="AF56" s="32">
        <v>0</v>
      </c>
    </row>
    <row r="57" spans="1:32" x14ac:dyDescent="0.2">
      <c r="A57" s="800" t="str">
        <f>'[1]Selected Chart'!A58</f>
        <v>Upaketu                  2 Ge 23' 57.13" Mrig      3    Ge   Li</v>
      </c>
      <c r="B57" s="800">
        <f>'[1]Selected Chart'!B58</f>
        <v>0</v>
      </c>
      <c r="C57" s="800">
        <f>'[1]Selected Chart'!C58</f>
        <v>0</v>
      </c>
      <c r="AF57" s="32">
        <v>0</v>
      </c>
    </row>
    <row r="58" spans="1:32" x14ac:dyDescent="0.2">
      <c r="A58" s="800" t="str">
        <f>'[1]Selected Chart'!A59</f>
        <v>Kaala                    3 Cp 37' 58.24" USha      3    Cp   Aq</v>
      </c>
      <c r="B58" s="800">
        <f>'[1]Selected Chart'!B59</f>
        <v>0</v>
      </c>
      <c r="C58" s="800">
        <f>'[1]Selected Chart'!C59</f>
        <v>0</v>
      </c>
      <c r="AF58" s="32">
        <v>0</v>
      </c>
    </row>
    <row r="59" spans="1:32" x14ac:dyDescent="0.2">
      <c r="A59" s="800" t="str">
        <f>'[1]Selected Chart'!A60</f>
        <v>Mrityu                  16 Le 48' 09.04" PPha      2    Le   Vi</v>
      </c>
      <c r="B59" s="800">
        <f>'[1]Selected Chart'!B60</f>
        <v>0</v>
      </c>
      <c r="C59" s="800">
        <f>'[1]Selected Chart'!C60</f>
        <v>0</v>
      </c>
      <c r="AF59" s="32">
        <v>0</v>
      </c>
    </row>
    <row r="60" spans="1:32" x14ac:dyDescent="0.2">
      <c r="A60" s="800" t="str">
        <f>'[1]Selected Chart'!A61</f>
        <v>Artha Prahara           10 Vi 40' 57.52" Hast      1    Vi   Ar</v>
      </c>
      <c r="B60" s="800">
        <f>'[1]Selected Chart'!B61</f>
        <v>0</v>
      </c>
      <c r="C60" s="800">
        <f>'[1]Selected Chart'!C61</f>
        <v>0</v>
      </c>
      <c r="AF60" s="32">
        <v>0</v>
      </c>
    </row>
    <row r="61" spans="1:32" x14ac:dyDescent="0.2">
      <c r="A61" s="800" t="str">
        <f>'[1]Selected Chart'!A62</f>
        <v>Yama Ghantaka            4 Li 23' 46.00" Chit      4    Li   Sc</v>
      </c>
      <c r="B61" s="800">
        <f>'[1]Selected Chart'!B62</f>
        <v>0</v>
      </c>
      <c r="C61" s="800">
        <f>'[1]Selected Chart'!C62</f>
        <v>0</v>
      </c>
      <c r="AF61" s="32">
        <v>0</v>
      </c>
    </row>
    <row r="62" spans="1:32" x14ac:dyDescent="0.2">
      <c r="A62" s="800" t="str">
        <f>'[1]Selected Chart'!A63</f>
        <v>Prana Sphuta            12 Li 39' 42.06" Swat      2    Li   Cp</v>
      </c>
      <c r="B62" s="800">
        <f>'[1]Selected Chart'!B63</f>
        <v>0</v>
      </c>
      <c r="C62" s="800">
        <f>'[1]Selected Chart'!C63</f>
        <v>0</v>
      </c>
      <c r="AF62" s="32">
        <v>0</v>
      </c>
    </row>
    <row r="63" spans="1:32" x14ac:dyDescent="0.2">
      <c r="A63" s="800" t="str">
        <f>'[1]Selected Chart'!A64</f>
        <v>Deha Sphuta             23 Cp 13' 53.93" Srav      4    Cp   Cn</v>
      </c>
      <c r="B63" s="800">
        <f>'[1]Selected Chart'!B64</f>
        <v>0</v>
      </c>
      <c r="C63" s="800">
        <f>'[1]Selected Chart'!C64</f>
        <v>0</v>
      </c>
      <c r="AF63" s="32">
        <v>0</v>
      </c>
    </row>
    <row r="64" spans="1:32" x14ac:dyDescent="0.2">
      <c r="A64" s="800" t="str">
        <f>'[1]Selected Chart'!A65</f>
        <v>Mrityu Sphuta           16 Sg 07' 40.49" PSha      1    Sg   Le</v>
      </c>
      <c r="B64" s="800">
        <f>'[1]Selected Chart'!B65</f>
        <v>0</v>
      </c>
      <c r="C64" s="800">
        <f>'[1]Selected Chart'!C65</f>
        <v>0</v>
      </c>
      <c r="AF64" s="32">
        <v>0</v>
      </c>
    </row>
    <row r="65" spans="1:32" x14ac:dyDescent="0.2">
      <c r="A65" s="800" t="str">
        <f>'[1]Selected Chart'!A66</f>
        <v>Sookshma TriSphuta      22 Ar 01' 16.48" Bhar      3    Ar   Li</v>
      </c>
      <c r="B65" s="800">
        <f>'[1]Selected Chart'!B66</f>
        <v>0</v>
      </c>
      <c r="C65" s="800">
        <f>'[1]Selected Chart'!C66</f>
        <v>0</v>
      </c>
      <c r="AF65" s="32">
        <v>0</v>
      </c>
    </row>
    <row r="66" spans="1:32" x14ac:dyDescent="0.2">
      <c r="A66" s="800" t="str">
        <f>'[1]Selected Chart'!A67</f>
        <v>Tithi Sphuta            20 Aq 37' 00.26" PBha      1    Aq   Ar</v>
      </c>
      <c r="B66" s="800">
        <f>'[1]Selected Chart'!B67</f>
        <v>0</v>
      </c>
      <c r="C66" s="800">
        <f>'[1]Selected Chart'!C67</f>
        <v>0</v>
      </c>
      <c r="AF66" s="32">
        <v>0</v>
      </c>
    </row>
    <row r="67" spans="1:32" x14ac:dyDescent="0.2">
      <c r="A67" s="800" t="str">
        <f>'[1]Selected Chart'!A68</f>
        <v>Yoga Sphuta (Sun-Moon)  25 Le 24' 54.53" PPha      4    Le   Sc</v>
      </c>
      <c r="B67" s="800">
        <f>'[1]Selected Chart'!B68</f>
        <v>0</v>
      </c>
      <c r="C67" s="800">
        <f>'[1]Selected Chart'!C68</f>
        <v>0</v>
      </c>
      <c r="AF67" s="32">
        <v>0</v>
      </c>
    </row>
    <row r="68" spans="1:32" x14ac:dyDescent="0.2">
      <c r="A68" s="800" t="str">
        <f>'[1]Selected Chart'!A69</f>
        <v>Rahu Tithi Sphuta       19 Li 34' 04.93" Swat      4    Li   Pi</v>
      </c>
      <c r="B68" s="800">
        <f>'[1]Selected Chart'!B69</f>
        <v>0</v>
      </c>
      <c r="C68" s="800">
        <f>'[1]Selected Chart'!C69</f>
        <v>0</v>
      </c>
      <c r="AF68" s="32">
        <v>0</v>
      </c>
    </row>
    <row r="69" spans="1:32" x14ac:dyDescent="0.2">
      <c r="A69" s="800" t="str">
        <f>'[1]Selected Chart'!A70</f>
        <v>Kshetra Sphuta          24 Li 19' 18.41" Visa      2    Li   Ta</v>
      </c>
      <c r="B69" s="800">
        <f>'[1]Selected Chart'!B70</f>
        <v>0</v>
      </c>
      <c r="C69" s="800">
        <f>'[1]Selected Chart'!C70</f>
        <v>0</v>
      </c>
      <c r="AF69" s="32">
        <v>0</v>
      </c>
    </row>
    <row r="70" spans="1:32" x14ac:dyDescent="0.2">
      <c r="A70" s="800" t="str">
        <f>'[1]Selected Chart'!A71</f>
        <v>Beeja Sphuta            27 Ar 08' 13.13" Krit      1    Ar   Sg</v>
      </c>
      <c r="B70" s="800">
        <f>'[1]Selected Chart'!B71</f>
        <v>0</v>
      </c>
      <c r="C70" s="800">
        <f>'[1]Selected Chart'!C71</f>
        <v>0</v>
      </c>
      <c r="AF70" s="32">
        <v>0</v>
      </c>
    </row>
    <row r="71" spans="1:32" x14ac:dyDescent="0.2">
      <c r="A71" s="800" t="str">
        <f>'[1]Selected Chart'!A72</f>
        <v>TriSphuta               28 Ta 49' 53.62" Mrig      2    Ta   Vi</v>
      </c>
      <c r="B71" s="800">
        <f>'[1]Selected Chart'!B72</f>
        <v>0</v>
      </c>
      <c r="C71" s="800">
        <f>'[1]Selected Chart'!C72</f>
        <v>0</v>
      </c>
      <c r="AF71" s="32">
        <v>0</v>
      </c>
    </row>
    <row r="72" spans="1:32" x14ac:dyDescent="0.2">
      <c r="A72" s="800" t="str">
        <f>'[1]Selected Chart'!A73</f>
        <v>ChatusSphuta             1 Vi 13' 50.75" UPha      2    Vi   Cp</v>
      </c>
      <c r="B72" s="800">
        <f>'[1]Selected Chart'!B73</f>
        <v>0</v>
      </c>
      <c r="C72" s="800">
        <f>'[1]Selected Chart'!C73</f>
        <v>0</v>
      </c>
      <c r="AF72" s="32">
        <v>0</v>
      </c>
    </row>
    <row r="73" spans="1:32" x14ac:dyDescent="0.2">
      <c r="A73" s="800" t="str">
        <f>'[1]Selected Chart'!A74</f>
        <v>PanchaSphuta            23 Ge 11' 52.82" Puna      1    Ge   Ar</v>
      </c>
      <c r="B73" s="800">
        <f>'[1]Selected Chart'!B74</f>
        <v>0</v>
      </c>
      <c r="C73" s="800">
        <f>'[1]Selected Chart'!C74</f>
        <v>0</v>
      </c>
      <c r="AF73" s="32">
        <v>0</v>
      </c>
    </row>
    <row r="74" spans="1:32" x14ac:dyDescent="0.2">
      <c r="A74" s="800" t="str">
        <f>'[1]Selected Chart'!A75</f>
        <v>Kunda                    3 Cp 37' 58.17" USha      3    Cp   Aq</v>
      </c>
      <c r="B74" s="800">
        <f>'[1]Selected Chart'!B75</f>
        <v>0</v>
      </c>
      <c r="C74" s="800">
        <f>'[1]Selected Chart'!C75</f>
        <v>0</v>
      </c>
      <c r="AF74" s="32">
        <v>0</v>
      </c>
    </row>
    <row r="75" spans="1:32" x14ac:dyDescent="0.2">
      <c r="A75" s="800" t="str">
        <f>'[1]Selected Chart'!A76</f>
        <v>Yoga Sphuta             28 Sc 44' 54.53" Jye       4    Sc   Pi</v>
      </c>
      <c r="B75" s="800">
        <f>'[1]Selected Chart'!B76</f>
        <v>0</v>
      </c>
      <c r="C75" s="800">
        <f>'[1]Selected Chart'!C76</f>
        <v>0</v>
      </c>
      <c r="AF75" s="32">
        <v>0</v>
      </c>
    </row>
    <row r="76" spans="1:32" x14ac:dyDescent="0.2">
      <c r="A76" s="800" t="str">
        <f>'[1]Selected Chart'!A77</f>
        <v>Avayoga Sphuta           5 Ge 24' 54.53" Mrig      4    Ge   Sc</v>
      </c>
      <c r="B76" s="800">
        <f>'[1]Selected Chart'!B77</f>
        <v>0</v>
      </c>
      <c r="C76" s="800">
        <f>'[1]Selected Chart'!C77</f>
        <v>0</v>
      </c>
      <c r="AF76" s="32">
        <v>0</v>
      </c>
    </row>
    <row r="77" spans="1:32" x14ac:dyDescent="0.2">
      <c r="A77" s="800" t="str">
        <f>'[1]Selected Chart'!A78</f>
        <v>YogaSaham               28 Sc 44' 54.53" Jye       4    Sc   Pi</v>
      </c>
      <c r="B77" s="800">
        <f>'[1]Selected Chart'!B78</f>
        <v>0</v>
      </c>
      <c r="C77" s="800">
        <f>'[1]Selected Chart'!C78</f>
        <v>0</v>
      </c>
      <c r="AF77" s="32">
        <v>0</v>
      </c>
    </row>
    <row r="78" spans="1:32" x14ac:dyDescent="0.2">
      <c r="A78" s="800">
        <f>'[1]Selected Chart'!A79</f>
        <v>0</v>
      </c>
      <c r="B78" s="800">
        <f>'[1]Selected Chart'!B79</f>
        <v>0</v>
      </c>
      <c r="C78" s="800">
        <f>'[1]Selected Chart'!C79</f>
        <v>0</v>
      </c>
      <c r="AF78" s="32">
        <v>0</v>
      </c>
    </row>
    <row r="79" spans="1:32" x14ac:dyDescent="0.2">
      <c r="A79" s="800" t="str">
        <f>'[1]Selected Chart'!A80</f>
        <v>+-----------------------------------------------+</v>
      </c>
      <c r="B79" s="800">
        <f>'[1]Selected Chart'!B80</f>
        <v>0</v>
      </c>
      <c r="C79" s="800">
        <f>'[1]Selected Chart'!C80</f>
        <v>0</v>
      </c>
      <c r="AF79" s="32">
        <v>0</v>
      </c>
    </row>
    <row r="80" spans="1:32" x14ac:dyDescent="0.2">
      <c r="A80" s="800" t="str">
        <f>'[1]Selected Chart'!A81</f>
        <v>|           |           |Mo   Sa    |Ve   AL    |</v>
      </c>
      <c r="B80" s="800">
        <f>'[1]Selected Chart'!B81</f>
        <v>0</v>
      </c>
      <c r="C80" s="800">
        <f>'[1]Selected Chart'!C81</f>
        <v>0</v>
      </c>
      <c r="AF80" s="32">
        <v>0</v>
      </c>
    </row>
    <row r="81" spans="1:32" x14ac:dyDescent="0.2">
      <c r="A81" s="800" t="str">
        <f>'[1]Selected Chart'!A82</f>
        <v>|           |           |           |           |</v>
      </c>
      <c r="B81" s="800">
        <f>'[1]Selected Chart'!B82</f>
        <v>0</v>
      </c>
      <c r="C81" s="800">
        <f>'[1]Selected Chart'!C82</f>
        <v>0</v>
      </c>
      <c r="AF81" s="32">
        <v>0</v>
      </c>
    </row>
    <row r="82" spans="1:32" x14ac:dyDescent="0.2">
      <c r="A82" s="800" t="str">
        <f>'[1]Selected Chart'!A83</f>
        <v>|           |           |           |           |</v>
      </c>
      <c r="B82" s="800">
        <f>'[1]Selected Chart'!B83</f>
        <v>0</v>
      </c>
      <c r="C82" s="800">
        <f>'[1]Selected Chart'!C83</f>
        <v>0</v>
      </c>
      <c r="AF82" s="32">
        <v>0</v>
      </c>
    </row>
    <row r="83" spans="1:32" x14ac:dyDescent="0.2">
      <c r="A83" s="800" t="str">
        <f>'[1]Selected Chart'!A84</f>
        <v>|           |           |           |           |</v>
      </c>
      <c r="B83" s="800">
        <f>'[1]Selected Chart'!B84</f>
        <v>0</v>
      </c>
      <c r="C83" s="800">
        <f>'[1]Selected Chart'!C84</f>
        <v>0</v>
      </c>
      <c r="AF83" s="32">
        <v>0</v>
      </c>
    </row>
    <row r="84" spans="1:32" x14ac:dyDescent="0.2">
      <c r="A84" s="800" t="str">
        <f>'[1]Selected Chart'!A85</f>
        <v>|           |           |           |           |</v>
      </c>
      <c r="B84" s="800">
        <f>'[1]Selected Chart'!B85</f>
        <v>0</v>
      </c>
      <c r="C84" s="800">
        <f>'[1]Selected Chart'!C85</f>
        <v>0</v>
      </c>
      <c r="AF84" s="32">
        <v>0</v>
      </c>
    </row>
    <row r="85" spans="1:32" x14ac:dyDescent="0.2">
      <c r="A85" s="800" t="str">
        <f>'[1]Selected Chart'!A86</f>
        <v>|-----------+-----------------------+-----------|</v>
      </c>
      <c r="B85" s="800">
        <f>'[1]Selected Chart'!B86</f>
        <v>0</v>
      </c>
      <c r="C85" s="800">
        <f>'[1]Selected Chart'!C86</f>
        <v>0</v>
      </c>
      <c r="AF85" s="32">
        <v>0</v>
      </c>
    </row>
    <row r="86" spans="1:32" x14ac:dyDescent="0.2">
      <c r="A86" s="800" t="str">
        <f>'[1]Selected Chart'!A87</f>
        <v>|GL         |                       |Su   Me    |</v>
      </c>
      <c r="B86" s="800">
        <f>'[1]Selected Chart'!B87</f>
        <v>0</v>
      </c>
      <c r="C86" s="800">
        <f>'[1]Selected Chart'!C87</f>
        <v>0</v>
      </c>
      <c r="AF86" s="32">
        <v>0</v>
      </c>
    </row>
    <row r="87" spans="1:32" x14ac:dyDescent="0.2">
      <c r="A87" s="800" t="str">
        <f>'[1]Selected Chart'!A88</f>
        <v>|           |                       |Ke         |</v>
      </c>
      <c r="B87" s="800">
        <f>'[1]Selected Chart'!B88</f>
        <v>0</v>
      </c>
      <c r="C87" s="800">
        <f>'[1]Selected Chart'!C88</f>
        <v>0</v>
      </c>
      <c r="AF87" s="32">
        <v>0</v>
      </c>
    </row>
    <row r="88" spans="1:32" x14ac:dyDescent="0.2">
      <c r="A88" s="800" t="str">
        <f>'[1]Selected Chart'!A89</f>
        <v>|           |                       |           |</v>
      </c>
      <c r="B88" s="800">
        <f>'[1]Selected Chart'!B89</f>
        <v>0</v>
      </c>
      <c r="C88" s="800">
        <f>'[1]Selected Chart'!C89</f>
        <v>0</v>
      </c>
      <c r="AF88" s="32">
        <v>0</v>
      </c>
    </row>
    <row r="89" spans="1:32" x14ac:dyDescent="0.2">
      <c r="A89" s="800" t="str">
        <f>'[1]Selected Chart'!A90</f>
        <v>|           |                       |           |</v>
      </c>
      <c r="B89" s="800">
        <f>'[1]Selected Chart'!B90</f>
        <v>0</v>
      </c>
      <c r="C89" s="800">
        <f>'[1]Selected Chart'!C90</f>
        <v>0</v>
      </c>
      <c r="AF89" s="32">
        <v>0</v>
      </c>
    </row>
    <row r="90" spans="1:32" x14ac:dyDescent="0.2">
      <c r="A90" s="800" t="str">
        <f>'[1]Selected Chart'!A91</f>
        <v>|           |                       |           |</v>
      </c>
      <c r="B90" s="800">
        <f>'[1]Selected Chart'!B91</f>
        <v>0</v>
      </c>
      <c r="C90" s="800">
        <f>'[1]Selected Chart'!C91</f>
        <v>0</v>
      </c>
      <c r="AF90" s="32">
        <v>0</v>
      </c>
    </row>
    <row r="91" spans="1:32" x14ac:dyDescent="0.2">
      <c r="A91" s="800" t="str">
        <f>'[1]Selected Chart'!A92</f>
        <v>|-----------|         Rasi          |-----------|</v>
      </c>
      <c r="B91" s="800">
        <f>'[1]Selected Chart'!B92</f>
        <v>0</v>
      </c>
      <c r="C91" s="800">
        <f>'[1]Selected Chart'!C92</f>
        <v>0</v>
      </c>
      <c r="AF91" s="32">
        <v>0</v>
      </c>
    </row>
    <row r="92" spans="1:32" x14ac:dyDescent="0.2">
      <c r="A92" s="800" t="str">
        <f>'[1]Selected Chart'!A93</f>
        <v>|MaR  Ra    |                       |As         |</v>
      </c>
      <c r="B92" s="800">
        <f>'[1]Selected Chart'!B93</f>
        <v>0</v>
      </c>
      <c r="C92" s="800">
        <f>'[1]Selected Chart'!C93</f>
        <v>0</v>
      </c>
      <c r="AF92" s="32">
        <v>0</v>
      </c>
    </row>
    <row r="93" spans="1:32" x14ac:dyDescent="0.2">
      <c r="A93" s="800" t="str">
        <f>'[1]Selected Chart'!A94</f>
        <v>|           |                       |           |</v>
      </c>
      <c r="B93" s="800">
        <f>'[1]Selected Chart'!B94</f>
        <v>0</v>
      </c>
      <c r="C93" s="800">
        <f>'[1]Selected Chart'!C94</f>
        <v>0</v>
      </c>
      <c r="AF93" s="32">
        <v>0</v>
      </c>
    </row>
    <row r="94" spans="1:32" x14ac:dyDescent="0.2">
      <c r="A94" s="800" t="str">
        <f>'[1]Selected Chart'!A95</f>
        <v>|           |                       |           |</v>
      </c>
      <c r="B94" s="800">
        <f>'[1]Selected Chart'!B95</f>
        <v>0</v>
      </c>
      <c r="C94" s="800">
        <f>'[1]Selected Chart'!C95</f>
        <v>0</v>
      </c>
      <c r="AF94" s="32">
        <v>0</v>
      </c>
    </row>
    <row r="95" spans="1:32" x14ac:dyDescent="0.2">
      <c r="A95" s="800" t="str">
        <f>'[1]Selected Chart'!A96</f>
        <v>|           |                       |           |</v>
      </c>
      <c r="B95" s="800">
        <f>'[1]Selected Chart'!B96</f>
        <v>0</v>
      </c>
      <c r="C95" s="800">
        <f>'[1]Selected Chart'!C96</f>
        <v>0</v>
      </c>
      <c r="AF95" s="32">
        <v>0</v>
      </c>
    </row>
    <row r="96" spans="1:32" x14ac:dyDescent="0.2">
      <c r="A96" s="800" t="str">
        <f>'[1]Selected Chart'!A97</f>
        <v>|           |                       |           |</v>
      </c>
      <c r="B96" s="800">
        <f>'[1]Selected Chart'!B97</f>
        <v>0</v>
      </c>
      <c r="C96" s="800">
        <f>'[1]Selected Chart'!C97</f>
        <v>0</v>
      </c>
      <c r="AF96" s="32">
        <v>0</v>
      </c>
    </row>
    <row r="97" spans="1:32" x14ac:dyDescent="0.2">
      <c r="A97" s="800" t="str">
        <f>'[1]Selected Chart'!A98</f>
        <v>|-----------+-----------------------+-----------|</v>
      </c>
      <c r="B97" s="800">
        <f>'[1]Selected Chart'!B98</f>
        <v>0</v>
      </c>
      <c r="C97" s="800">
        <f>'[1]Selected Chart'!C98</f>
        <v>0</v>
      </c>
      <c r="AF97" s="32">
        <v>0</v>
      </c>
    </row>
    <row r="98" spans="1:32" x14ac:dyDescent="0.2">
      <c r="A98" s="800" t="str">
        <f>'[1]Selected Chart'!A99</f>
        <v>|           |JuR  Md    |HL         |           |</v>
      </c>
      <c r="B98" s="800">
        <f>'[1]Selected Chart'!B99</f>
        <v>0</v>
      </c>
      <c r="C98" s="800">
        <f>'[1]Selected Chart'!C99</f>
        <v>0</v>
      </c>
      <c r="AF98" s="32">
        <v>0</v>
      </c>
    </row>
    <row r="99" spans="1:32" x14ac:dyDescent="0.2">
      <c r="A99" s="800" t="str">
        <f>'[1]Selected Chart'!A100</f>
        <v>|           |Gk         |           |           |</v>
      </c>
      <c r="B99" s="800">
        <f>'[1]Selected Chart'!B100</f>
        <v>0</v>
      </c>
      <c r="C99" s="800">
        <f>'[1]Selected Chart'!C100</f>
        <v>0</v>
      </c>
      <c r="AF99" s="32">
        <v>0</v>
      </c>
    </row>
    <row r="100" spans="1:32" x14ac:dyDescent="0.2">
      <c r="A100" s="800" t="str">
        <f>'[1]Selected Chart'!A101</f>
        <v>|           |           |           |           |</v>
      </c>
      <c r="B100" s="800">
        <f>'[1]Selected Chart'!B101</f>
        <v>0</v>
      </c>
      <c r="C100" s="800">
        <f>'[1]Selected Chart'!C101</f>
        <v>0</v>
      </c>
      <c r="AF100" s="32">
        <v>0</v>
      </c>
    </row>
    <row r="101" spans="1:32" x14ac:dyDescent="0.2">
      <c r="A101" s="800" t="str">
        <f>'[1]Selected Chart'!A102</f>
        <v>|           |           |           |           |</v>
      </c>
      <c r="B101" s="800">
        <f>'[1]Selected Chart'!B102</f>
        <v>0</v>
      </c>
      <c r="C101" s="800">
        <f>'[1]Selected Chart'!C102</f>
        <v>0</v>
      </c>
      <c r="AF101" s="32">
        <v>0</v>
      </c>
    </row>
    <row r="102" spans="1:32" x14ac:dyDescent="0.2">
      <c r="A102" s="800" t="str">
        <f>'[1]Selected Chart'!A103</f>
        <v>|           |           |           |           |</v>
      </c>
      <c r="B102" s="800">
        <f>'[1]Selected Chart'!B103</f>
        <v>0</v>
      </c>
      <c r="C102" s="800">
        <f>'[1]Selected Chart'!C103</f>
        <v>0</v>
      </c>
      <c r="AF102" s="32">
        <v>0</v>
      </c>
    </row>
    <row r="103" spans="1:32" x14ac:dyDescent="0.2">
      <c r="A103" s="800" t="str">
        <f>'[1]Selected Chart'!A104</f>
        <v>+-----------------------------------------------+</v>
      </c>
      <c r="B103" s="800">
        <f>'[1]Selected Chart'!B104</f>
        <v>0</v>
      </c>
      <c r="C103" s="800">
        <f>'[1]Selected Chart'!C104</f>
        <v>0</v>
      </c>
      <c r="AF103" s="32">
        <v>0</v>
      </c>
    </row>
    <row r="104" spans="1:32" x14ac:dyDescent="0.2">
      <c r="A104" s="800" t="str">
        <f>'[1]Selected Chart'!A105</f>
        <v xml:space="preserve"> </v>
      </c>
      <c r="B104" s="800">
        <f>'[1]Selected Chart'!B105</f>
        <v>0</v>
      </c>
      <c r="C104" s="800">
        <f>'[1]Selected Chart'!C105</f>
        <v>0</v>
      </c>
      <c r="AF104" s="32">
        <v>0</v>
      </c>
    </row>
    <row r="105" spans="1:32" x14ac:dyDescent="0.2">
      <c r="A105" s="800" t="str">
        <f>'[1]Selected Chart'!A106</f>
        <v>Vimsottari Dasa ():</v>
      </c>
      <c r="B105" s="800">
        <f>'[1]Selected Chart'!B106</f>
        <v>0</v>
      </c>
      <c r="C105" s="800">
        <f>'[1]Selected Chart'!C106</f>
        <v>0</v>
      </c>
      <c r="AF105" s="32">
        <v>0</v>
      </c>
    </row>
    <row r="106" spans="1:32" x14ac:dyDescent="0.2">
      <c r="A106" s="800">
        <f>'[1]Selected Chart'!A107</f>
        <v>0</v>
      </c>
      <c r="B106" s="800">
        <f>'[1]Selected Chart'!B107</f>
        <v>0</v>
      </c>
      <c r="C106" s="800">
        <f>'[1]Selected Chart'!C107</f>
        <v>0</v>
      </c>
      <c r="AF106" s="32">
        <v>0</v>
      </c>
    </row>
    <row r="107" spans="1:32" x14ac:dyDescent="0.2">
      <c r="A107" s="800" t="str">
        <f>'[1]Selected Chart'!A108</f>
        <v xml:space="preserve">Moon  Moon 1961-10-15  Mars 1962-08-14  Rah 1963-03-12  </v>
      </c>
      <c r="B107" s="800">
        <f>'[1]Selected Chart'!B108</f>
        <v>0</v>
      </c>
      <c r="C107" s="800">
        <f>'[1]Selected Chart'!C108</f>
        <v>0</v>
      </c>
      <c r="AF107" s="32">
        <v>0</v>
      </c>
    </row>
    <row r="108" spans="1:32" x14ac:dyDescent="0.2">
      <c r="A108" s="800" t="str">
        <f>'[1]Selected Chart'!A109</f>
        <v xml:space="preserve">      Jup 1964-09-14  Sat 1966-01-12  Merc 1967-08-15  </v>
      </c>
      <c r="B108" s="800">
        <f>'[1]Selected Chart'!B109</f>
        <v>0</v>
      </c>
      <c r="C108" s="800">
        <f>'[1]Selected Chart'!C109</f>
        <v>0</v>
      </c>
      <c r="AF108" s="32">
        <v>0</v>
      </c>
    </row>
    <row r="109" spans="1:32" x14ac:dyDescent="0.2">
      <c r="A109" s="800" t="str">
        <f>'[1]Selected Chart'!A110</f>
        <v xml:space="preserve">      Ket 1969-01-12  Ven 1969-08-14  Sun 1971-04-12  </v>
      </c>
      <c r="B109" s="800">
        <f>'[1]Selected Chart'!B110</f>
        <v>0</v>
      </c>
      <c r="C109" s="800">
        <f>'[1]Selected Chart'!C110</f>
        <v>0</v>
      </c>
      <c r="D109" s="32">
        <v>0</v>
      </c>
      <c r="E109" s="32">
        <v>0</v>
      </c>
      <c r="F109" s="32">
        <v>0</v>
      </c>
      <c r="G109" s="32">
        <v>0</v>
      </c>
      <c r="H109" s="32">
        <v>0</v>
      </c>
      <c r="I109" s="32">
        <v>0</v>
      </c>
      <c r="J109" s="32">
        <v>0</v>
      </c>
      <c r="K109" s="32">
        <v>0</v>
      </c>
      <c r="L109" s="32">
        <v>0</v>
      </c>
      <c r="M109" s="32">
        <v>0</v>
      </c>
      <c r="N109" s="32">
        <v>0</v>
      </c>
      <c r="O109" s="32">
        <v>0</v>
      </c>
      <c r="P109" s="32">
        <v>0</v>
      </c>
      <c r="Q109" s="32">
        <v>0</v>
      </c>
      <c r="R109" s="32">
        <v>0</v>
      </c>
      <c r="S109" s="32">
        <v>0</v>
      </c>
      <c r="T109" s="32">
        <v>0</v>
      </c>
      <c r="U109" s="32">
        <v>0</v>
      </c>
      <c r="V109" s="32">
        <v>0</v>
      </c>
      <c r="W109" s="32">
        <v>0</v>
      </c>
      <c r="X109" s="32">
        <v>0</v>
      </c>
      <c r="Y109" s="32">
        <v>0</v>
      </c>
      <c r="Z109" s="32">
        <v>0</v>
      </c>
      <c r="AA109" s="32">
        <v>0</v>
      </c>
      <c r="AB109" s="32">
        <v>0</v>
      </c>
      <c r="AC109" s="32">
        <v>0</v>
      </c>
      <c r="AD109" s="32">
        <v>0</v>
      </c>
      <c r="AE109" s="32">
        <v>0</v>
      </c>
      <c r="AF109" s="32">
        <v>0</v>
      </c>
    </row>
  </sheetData>
  <sheetProtection selectLockedCells="1"/>
  <autoFilter ref="A1:C109" xr:uid="{00000000-0009-0000-0000-000000000000}"/>
  <phoneticPr fontId="107" type="noConversion"/>
  <pageMargins left="0.78749999999999998" right="0.78749999999999998" top="1.0249999999999999" bottom="1.0249999999999999" header="0.78749999999999998" footer="0.78749999999999998"/>
  <pageSetup paperSize="9" firstPageNumber="0" orientation="portrait" r:id="rId1"/>
  <headerFooter alignWithMargins="0">
    <oddHeader>&amp;C&amp;"Arial,Regular"&amp;10&amp;A</oddHeader>
    <oddFooter>&amp;C&amp;"Arial,Regular"&amp;10Page &amp;P</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D78"/>
  <sheetViews>
    <sheetView zoomScaleNormal="100" zoomScaleSheetLayoutView="75" workbookViewId="0" xr3:uid="{958C4451-9541-5A59-BF78-D2F731DF1C81}">
      <selection activeCell="I7" sqref="I7"/>
    </sheetView>
  </sheetViews>
  <sheetFormatPr defaultColWidth="7.12890625" defaultRowHeight="15" x14ac:dyDescent="0.2"/>
  <cols>
    <col min="1" max="1" width="16.41015625" style="1" customWidth="1"/>
    <col min="2" max="2" width="12.23828125" style="1" customWidth="1"/>
    <col min="3" max="3" width="18.83203125" style="1" bestFit="1" customWidth="1"/>
    <col min="4" max="4" width="13.85546875" style="1" bestFit="1" customWidth="1"/>
    <col min="5" max="5" width="28.65234375" style="1" bestFit="1" customWidth="1"/>
    <col min="6" max="6" width="13.31640625" style="1" customWidth="1"/>
    <col min="7" max="7" width="20.17578125" style="1" bestFit="1" customWidth="1"/>
    <col min="8" max="8" width="13.31640625" style="1" bestFit="1" customWidth="1"/>
    <col min="9" max="10" width="7.12890625" style="1" customWidth="1"/>
    <col min="11" max="11" width="9.14453125" style="1" customWidth="1"/>
    <col min="12" max="12" width="11.56640625" style="1" bestFit="1" customWidth="1"/>
    <col min="13" max="13" width="7.80078125" style="1" customWidth="1"/>
    <col min="14" max="14" width="8.203125" style="1" customWidth="1"/>
    <col min="15" max="16" width="7.12890625" style="1" customWidth="1"/>
    <col min="17" max="17" width="12.64453125" style="1" bestFit="1" customWidth="1"/>
    <col min="18" max="18" width="9.4140625" style="1" customWidth="1"/>
    <col min="19" max="21" width="7.12890625" style="1" customWidth="1"/>
    <col min="22" max="22" width="8.875" style="1" customWidth="1"/>
    <col min="23" max="24" width="4.16796875" style="1" customWidth="1"/>
    <col min="25" max="27" width="11.703125" style="1" bestFit="1" customWidth="1"/>
    <col min="28" max="28" width="6.3203125" style="1" customWidth="1"/>
    <col min="29" max="29" width="3.09375" style="1" customWidth="1"/>
    <col min="30" max="30" width="3.8984375" style="1" customWidth="1"/>
    <col min="31" max="16384" width="7.12890625" style="1"/>
  </cols>
  <sheetData>
    <row r="1" spans="1:30" x14ac:dyDescent="0.2">
      <c r="A1" s="1490" t="str">
        <f>JHora!A2</f>
        <v>C:\Users\sprabhakara2\Google Drive\charts\Family&amp;Self\Sanjay Prabhakaran</v>
      </c>
      <c r="B1" s="1491"/>
      <c r="C1" s="1491"/>
      <c r="D1" s="1491"/>
      <c r="E1" s="1491"/>
      <c r="F1" s="1491"/>
      <c r="G1" s="1491"/>
      <c r="H1" s="1491"/>
      <c r="I1" s="1491"/>
    </row>
    <row r="2" spans="1:30" x14ac:dyDescent="0.2">
      <c r="A2" s="1" t="s">
        <v>1061</v>
      </c>
      <c r="B2" s="801" t="str">
        <f>LEFT(TRIM(MID(JHora!A6,6,100)),FIND(" ",TRIM(MID(JHora!A6,6,100))))</f>
        <v xml:space="preserve">July </v>
      </c>
      <c r="C2" s="802" t="str">
        <f>REPLACE(RIGHT(TRIM(MID(JHora!A6,6,100)),8),3,1,B2)</f>
        <v>19July  1971</v>
      </c>
      <c r="D2" s="802"/>
      <c r="E2" s="803">
        <f>VALUE(C2)+VALUE(RIGHT(JHora!A7,12))</f>
        <v>26133.384143518517</v>
      </c>
      <c r="F2" s="804"/>
      <c r="G2" s="2">
        <f>INT(DoB)</f>
        <v>26133</v>
      </c>
      <c r="H2" s="3">
        <f>DoB-INT(DoB)</f>
        <v>0.38414351851679385</v>
      </c>
      <c r="J2" s="4">
        <f>ROUNDUP((MINUTE(DoB-B44)+HOUR(DoB-B44)*60)/24,0)</f>
        <v>8</v>
      </c>
      <c r="K2" s="5">
        <f>HOUR(DoB-B44)*60</f>
        <v>180</v>
      </c>
      <c r="M2" s="4"/>
      <c r="P2" s="1">
        <f t="array" ref="P2">SUM(L7:L14)</f>
        <v>-38</v>
      </c>
    </row>
    <row r="3" spans="1:30" x14ac:dyDescent="0.2">
      <c r="A3" s="6" t="s">
        <v>1062</v>
      </c>
      <c r="B3" s="1492">
        <v>365.25487268518202</v>
      </c>
      <c r="C3" s="1492"/>
      <c r="D3" s="1492"/>
      <c r="E3" s="1492"/>
      <c r="F3" s="1492"/>
      <c r="G3" s="7" t="s">
        <v>1063</v>
      </c>
      <c r="H3" s="7"/>
      <c r="J3" s="8">
        <f>TIME(0,24,0)</f>
        <v>1.6666666666666666E-2</v>
      </c>
    </row>
    <row r="4" spans="1:30" x14ac:dyDescent="0.2">
      <c r="A4" s="1493" t="s">
        <v>1064</v>
      </c>
      <c r="B4" s="1493"/>
      <c r="C4" s="1493"/>
      <c r="D4" s="1493"/>
      <c r="E4" s="1493"/>
      <c r="F4" s="1493"/>
      <c r="G4" s="1493"/>
      <c r="H4" s="1493"/>
      <c r="I4" s="1493"/>
      <c r="J4" s="1493"/>
    </row>
    <row r="5" spans="1:30" ht="15.75" x14ac:dyDescent="0.2">
      <c r="A5" s="1491" t="s">
        <v>1065</v>
      </c>
      <c r="B5" s="1491"/>
      <c r="C5" s="1491"/>
      <c r="D5" s="1491"/>
      <c r="E5" s="1491"/>
      <c r="F5" s="1491"/>
      <c r="G5" s="1491"/>
      <c r="H5" s="1491"/>
      <c r="I5" s="1491"/>
      <c r="J5" s="1491"/>
      <c r="W5" s="1">
        <v>1</v>
      </c>
      <c r="X5" s="1">
        <v>2</v>
      </c>
      <c r="Y5" s="1">
        <v>3</v>
      </c>
      <c r="Z5" s="1">
        <v>4</v>
      </c>
      <c r="AA5" s="1">
        <v>5</v>
      </c>
    </row>
    <row r="6" spans="1:30" s="10" customFormat="1" x14ac:dyDescent="0.2">
      <c r="A6" s="9"/>
      <c r="G6" s="10" t="s">
        <v>1066</v>
      </c>
      <c r="H6" s="10" t="s">
        <v>1067</v>
      </c>
      <c r="I6" s="10" t="s">
        <v>1068</v>
      </c>
      <c r="J6" s="10" t="s">
        <v>1069</v>
      </c>
      <c r="K6" s="10" t="s">
        <v>1070</v>
      </c>
      <c r="L6" s="10" t="s">
        <v>1071</v>
      </c>
      <c r="M6" s="10" t="s">
        <v>1072</v>
      </c>
      <c r="N6" s="10" t="s">
        <v>1073</v>
      </c>
      <c r="O6" s="10" t="s">
        <v>1073</v>
      </c>
      <c r="P6" s="10" t="s">
        <v>1074</v>
      </c>
      <c r="Q6" s="10" t="s">
        <v>1074</v>
      </c>
      <c r="R6" s="10" t="s">
        <v>1075</v>
      </c>
      <c r="S6" s="10" t="s">
        <v>1076</v>
      </c>
      <c r="T6" s="10" t="s">
        <v>1077</v>
      </c>
      <c r="U6" s="10" t="s">
        <v>1078</v>
      </c>
      <c r="V6" s="10" t="s">
        <v>1069</v>
      </c>
      <c r="W6" s="10" t="s">
        <v>1079</v>
      </c>
      <c r="X6" s="10" t="s">
        <v>1080</v>
      </c>
      <c r="Y6" s="10" t="s">
        <v>1081</v>
      </c>
      <c r="Z6" s="10" t="s">
        <v>1082</v>
      </c>
      <c r="AA6" s="10" t="s">
        <v>1083</v>
      </c>
      <c r="AB6" s="10" t="s">
        <v>1084</v>
      </c>
      <c r="AC6" s="10" t="s">
        <v>1085</v>
      </c>
    </row>
    <row r="7" spans="1:30" x14ac:dyDescent="0.2">
      <c r="A7" s="1" t="str">
        <f>TRIM(LEFT(JHora!A32,FIND(" ",JHora!A32)))</f>
        <v>Lagna</v>
      </c>
      <c r="B7" s="805" t="str">
        <f>MID(JHora!A32,FIND("'",JHora!A32)-8,2)</f>
        <v>16</v>
      </c>
      <c r="C7" s="805" t="str">
        <f>MID(JHora!A32,FIND("'",JHora!A32)-5,2)</f>
        <v>Le</v>
      </c>
      <c r="D7" s="806">
        <f>MID(JHora!A32,FIND("'",JHora!A32)-2,2)+VALUE(MID(JHora!A32,FIND("'",JHora!A32)+2,5))/60</f>
        <v>42.691000000000003</v>
      </c>
      <c r="E7" s="807" t="str">
        <f t="shared" ref="E7:E41" si="0">INDEX(NakshatraTbl,INT(G7*0.075)+1,1)</f>
        <v>Purva Phalguni</v>
      </c>
      <c r="F7" s="11" t="s">
        <v>1086</v>
      </c>
      <c r="G7" s="12">
        <f t="shared" ref="G7:G30" si="1">VLOOKUP(C7,RasiDeg,2,FALSE)+B7+D7/60</f>
        <v>136.71151666666665</v>
      </c>
      <c r="H7" s="12">
        <f t="shared" ref="H7:H14" si="2">B7+D7/60</f>
        <v>16.711516666666668</v>
      </c>
      <c r="I7" s="808" t="str">
        <f t="shared" ref="I7:I41" si="3">INDEX(NakshatraTbl,INT(G7*0.075)+1,3)</f>
        <v>Venus</v>
      </c>
      <c r="J7" s="13"/>
      <c r="K7" s="8" t="b">
        <f>NOT(ISERROR(SEARCH("(R)",JHora!A32)))</f>
        <v>0</v>
      </c>
      <c r="L7" s="14">
        <f>ROUNDUP(IF((Moon-G7)&lt;0,-1*(180+(Moon-G7)),Moon-G7)/12,0)</f>
        <v>-9</v>
      </c>
      <c r="M7" s="15"/>
      <c r="N7" s="1" t="str">
        <f t="shared" ref="N7:N30" si="4">INDEX(D20Deities,ROUNDUP(H7/1.5,0)+MOD(ROUNDUP(G7/30,0)-1,2)*20,1)</f>
        <v>bagalāmukhī</v>
      </c>
      <c r="O7" s="1" t="str">
        <f t="shared" ref="O7:O30" si="5">INDEX(D20Deities,ROUNDUP(H7/1.5,0)+MOD(ROUNDUP(G7/30,0)-1,2)*20,2)</f>
        <v>बगलामुखी</v>
      </c>
      <c r="P7" s="1" t="str">
        <f t="shared" ref="P7:P30" si="6">INDEX(D27Deities,ROUNDUP(H7/30*27,0),1)</f>
        <v xml:space="preserve">śakrāgni </v>
      </c>
      <c r="Q7" s="1" t="str">
        <f t="shared" ref="Q7:Q30" si="7">INDEX(D27Deities,ROUNDUP(H7/30*27,0),2)</f>
        <v xml:space="preserve">शक्राग्नि </v>
      </c>
      <c r="R7" s="1" t="str">
        <f t="shared" ref="R7:R30" si="8">INT(H7/900*360)&amp;" s"&amp;" "&amp;TEXT(MOD(H7/30*360,30)/24,"[HH]:MM:ss")</f>
        <v>6 s 20:32:18</v>
      </c>
      <c r="S7" s="1">
        <f t="shared" ref="S7:S30" si="9">MATCH(H7,D150InequalDegrees)</f>
        <v>84</v>
      </c>
      <c r="T7" s="1">
        <f t="shared" ref="T7:T30" si="10">CHOOSE(ROUNDUP(MOD(G7/30,3),0),S7,150-S7+1,MOD(74+S7,150)+1)</f>
        <v>67</v>
      </c>
      <c r="U7" s="1" t="str">
        <f t="shared" ref="U7:U30" si="11">INDEX(D150EnglishNames,T7)</f>
        <v>gadaharā</v>
      </c>
      <c r="AB7" s="1">
        <v>0</v>
      </c>
    </row>
    <row r="8" spans="1:30" x14ac:dyDescent="0.2">
      <c r="A8" s="1" t="str">
        <f>TRIM(LEFT(JHora!A33,FIND(" ",JHora!A33)))</f>
        <v>Sun</v>
      </c>
      <c r="B8" s="805" t="str">
        <f>MID(JHora!A33,FIND("'",JHora!A33)-8,2)</f>
        <v xml:space="preserve"> 2</v>
      </c>
      <c r="C8" s="805" t="str">
        <f>MID(JHora!A33,FIND("'",JHora!A33)-5,2)</f>
        <v>Cn</v>
      </c>
      <c r="D8" s="806">
        <f>MID(JHora!A33,FIND("'",JHora!A33)-2,2)+VALUE(MID(JHora!A33,FIND("'",JHora!A33)+2,5))/60</f>
        <v>23.952166666666667</v>
      </c>
      <c r="E8" s="807" t="str">
        <f t="shared" si="0"/>
        <v>Punarvasu</v>
      </c>
      <c r="F8" s="16" t="str">
        <f t="shared" ref="F8:F15" si="12">CHOOSE(RANK(H8,H$8:H$15),"Ak","Amk","Bk","Mk","PiK","PuK","Gk","Dk")</f>
        <v>Dk</v>
      </c>
      <c r="G8" s="12">
        <f t="shared" si="1"/>
        <v>92.399202777777774</v>
      </c>
      <c r="H8" s="12">
        <f t="shared" si="2"/>
        <v>2.399202777777778</v>
      </c>
      <c r="I8" s="808" t="str">
        <f t="shared" si="3"/>
        <v>Jupiter</v>
      </c>
      <c r="J8" s="13">
        <f>MOD(ROUNDUP(G8/13.3333333333,0)*1*ROUNDUP(MOD(G8,30)/3.33333,0)+ROUNDUP(Moon/13.333,0)+ROUNDUP(JanmaGhatika,0)+ROUNDUP(Lagna/30,0)+11,12)+1</f>
        <v>12</v>
      </c>
      <c r="K8" s="8" t="b">
        <f>NOT(ISERROR(SEARCH("(R)",JHora!A33)))</f>
        <v>0</v>
      </c>
      <c r="L8" s="14">
        <f>ROUNDUP(IF((Moon-G8)&lt;0,-1*(180+(Moon-G8)),Moon-G8)/12,0)</f>
        <v>-12</v>
      </c>
      <c r="M8" s="15" t="str">
        <f>INDEX(Tithi,MOD(ABS(L8),8))</f>
        <v>Mercury</v>
      </c>
      <c r="N8" s="1" t="str">
        <f t="shared" si="4"/>
        <v>medhā</v>
      </c>
      <c r="O8" s="1" t="str">
        <f t="shared" si="5"/>
        <v>मेधा</v>
      </c>
      <c r="P8" s="1" t="str">
        <f t="shared" si="6"/>
        <v xml:space="preserve">vahni </v>
      </c>
      <c r="Q8" s="1" t="str">
        <f t="shared" si="7"/>
        <v xml:space="preserve">वह्नि </v>
      </c>
      <c r="R8" s="1" t="str">
        <f t="shared" si="8"/>
        <v>0 s 28:47:26</v>
      </c>
      <c r="S8" s="1">
        <f t="shared" si="9"/>
        <v>13</v>
      </c>
      <c r="T8" s="1">
        <f t="shared" si="10"/>
        <v>13</v>
      </c>
      <c r="U8" s="1" t="str">
        <f t="shared" si="11"/>
        <v>mañjusvanā</v>
      </c>
      <c r="V8" s="1" t="str">
        <f t="shared" ref="V8:V16" si="13">INDEX(ShayanaadiAvastha,J8)</f>
        <v>Nidraa</v>
      </c>
      <c r="W8" s="1">
        <f t="shared" ref="W8:AA16" si="14">MOD(MOD(($J8*$J8+W$5)+11,12)*INDEX(GrahaShayanadiGunanka,$AB8)+2,3)+1</f>
        <v>3</v>
      </c>
      <c r="X8" s="1">
        <f t="shared" si="14"/>
        <v>2</v>
      </c>
      <c r="Y8" s="1">
        <f t="shared" si="14"/>
        <v>1</v>
      </c>
      <c r="Z8" s="1">
        <f t="shared" si="14"/>
        <v>3</v>
      </c>
      <c r="AA8" s="1">
        <f t="shared" si="14"/>
        <v>2</v>
      </c>
      <c r="AB8" s="1">
        <v>1</v>
      </c>
      <c r="AC8" s="1">
        <v>3</v>
      </c>
      <c r="AD8" s="809" t="s">
        <v>1090</v>
      </c>
    </row>
    <row r="9" spans="1:30" x14ac:dyDescent="0.2">
      <c r="A9" s="1" t="str">
        <f>TRIM(LEFT(JHora!A34,FIND(" ",JHora!A34)))</f>
        <v>Moon</v>
      </c>
      <c r="B9" s="805" t="str">
        <f>MID(JHora!A34,FIND("'",JHora!A34)-8,2)</f>
        <v>23</v>
      </c>
      <c r="C9" s="805" t="str">
        <f>MID(JHora!A34,FIND("'",JHora!A34)-5,2)</f>
        <v>Ta</v>
      </c>
      <c r="D9" s="806">
        <f>MID(JHora!A34,FIND("'",JHora!A34)-2,2)+VALUE(MID(JHora!A34,FIND("'",JHora!A34)+2,5))/60</f>
        <v>0.95666666666666667</v>
      </c>
      <c r="E9" s="807" t="str">
        <f t="shared" si="0"/>
        <v>Rohini</v>
      </c>
      <c r="F9" s="16" t="str">
        <f t="shared" si="12"/>
        <v>Bk</v>
      </c>
      <c r="G9" s="17">
        <f t="shared" si="1"/>
        <v>53.015944444444443</v>
      </c>
      <c r="H9" s="17">
        <f t="shared" si="2"/>
        <v>23.015944444444443</v>
      </c>
      <c r="I9" s="810" t="str">
        <f t="shared" si="3"/>
        <v>Moon</v>
      </c>
      <c r="J9" s="13">
        <f>MOD(ROUNDUP(G9/13.3333333333,0)*2*ROUNDUP(MOD(G9,30)/3.33333,0)+ROUNDUP(Moon/13.333,0)+ROUNDUP(JanmaGhatika,0)+ROUNDUP(Lagna/30,0)+11,12)+1</f>
        <v>1</v>
      </c>
      <c r="K9" s="8" t="b">
        <f>NOT(ISERROR(SEARCH("(R)",JHora!A34)))</f>
        <v>0</v>
      </c>
      <c r="L9" s="14"/>
      <c r="M9" s="15"/>
      <c r="N9" s="1" t="str">
        <f t="shared" si="4"/>
        <v>sitā</v>
      </c>
      <c r="O9" s="1" t="str">
        <f t="shared" si="5"/>
        <v>सिता</v>
      </c>
      <c r="P9" s="1" t="str">
        <f t="shared" si="6"/>
        <v xml:space="preserve">viśve aja </v>
      </c>
      <c r="Q9" s="1" t="str">
        <f t="shared" si="7"/>
        <v xml:space="preserve">विश्वे अज </v>
      </c>
      <c r="R9" s="1" t="str">
        <f t="shared" si="8"/>
        <v>9 s 06:11:29</v>
      </c>
      <c r="S9" s="1">
        <f t="shared" si="9"/>
        <v>116</v>
      </c>
      <c r="T9" s="1">
        <f t="shared" si="10"/>
        <v>35</v>
      </c>
      <c r="U9" s="1" t="str">
        <f t="shared" si="11"/>
        <v>kṣamā</v>
      </c>
      <c r="V9" s="1" t="str">
        <f t="shared" si="13"/>
        <v>Sayana</v>
      </c>
      <c r="W9" s="1">
        <f t="shared" si="14"/>
        <v>2</v>
      </c>
      <c r="X9" s="1">
        <f t="shared" si="14"/>
        <v>1</v>
      </c>
      <c r="Y9" s="1">
        <f t="shared" si="14"/>
        <v>3</v>
      </c>
      <c r="Z9" s="1">
        <f t="shared" si="14"/>
        <v>2</v>
      </c>
      <c r="AA9" s="1">
        <f t="shared" si="14"/>
        <v>1</v>
      </c>
      <c r="AB9" s="1">
        <v>2</v>
      </c>
      <c r="AC9" s="1">
        <v>1</v>
      </c>
      <c r="AD9" s="809" t="s">
        <v>1091</v>
      </c>
    </row>
    <row r="10" spans="1:30" x14ac:dyDescent="0.2">
      <c r="A10" s="1" t="str">
        <f>TRIM(LEFT(JHora!A35,FIND(" ",JHora!A35)))</f>
        <v>Mars</v>
      </c>
      <c r="B10" s="805" t="str">
        <f>MID(JHora!A35,FIND("'",JHora!A35)-8,2)</f>
        <v>28</v>
      </c>
      <c r="C10" s="805" t="str">
        <f>MID(JHora!A35,FIND("'",JHora!A35)-5,2)</f>
        <v>Cp</v>
      </c>
      <c r="D10" s="806">
        <f>MID(JHora!A35,FIND("'",JHora!A35)-2,2)+VALUE(MID(JHora!A35,FIND("'",JHora!A35)+2,5))/60</f>
        <v>6.5198333333333336</v>
      </c>
      <c r="E10" s="807" t="str">
        <f t="shared" si="0"/>
        <v>Shravan</v>
      </c>
      <c r="F10" s="16" t="str">
        <f t="shared" si="12"/>
        <v>Ak</v>
      </c>
      <c r="G10" s="12">
        <f t="shared" si="1"/>
        <v>298.10866388888888</v>
      </c>
      <c r="H10" s="12">
        <f t="shared" si="2"/>
        <v>28.108663888888888</v>
      </c>
      <c r="I10" s="808" t="str">
        <f t="shared" si="3"/>
        <v>Moon</v>
      </c>
      <c r="J10" s="13">
        <f>MOD(ROUNDUP(G10/13.3333333333,0)*3*ROUNDUP(MOD(G10,30)/3.33333,0)+ROUNDUP(Moon/13.333,0)+ROUNDUP(JanmaGhatika,0)+ROUNDUP(Lagna/30,0)+11,12)+1</f>
        <v>2</v>
      </c>
      <c r="K10" s="8" t="b">
        <f>NOT(ISERROR(SEARCH("(R)",JHora!A35)))</f>
        <v>1</v>
      </c>
      <c r="L10" s="14">
        <f>ROUNDUP(IF((Moon-G10)&lt;0,-1*(180+(Moon-G10)),Moon-G10)/12,0)</f>
        <v>6</v>
      </c>
      <c r="M10" s="15" t="str">
        <f>INDEX(Tithi,MOD(ABS(L10),8))</f>
        <v>Venus</v>
      </c>
      <c r="N10" s="1" t="str">
        <f t="shared" si="4"/>
        <v>maṅgalā</v>
      </c>
      <c r="O10" s="1" t="str">
        <f t="shared" si="5"/>
        <v>मङ्गला</v>
      </c>
      <c r="P10" s="1" t="str">
        <f t="shared" si="6"/>
        <v xml:space="preserve">ahirbudhnya </v>
      </c>
      <c r="Q10" s="1" t="str">
        <f t="shared" si="7"/>
        <v>अहिर्बुध्न्य</v>
      </c>
      <c r="R10" s="1" t="str">
        <f t="shared" si="8"/>
        <v>11 s 07:18:14</v>
      </c>
      <c r="S10" s="1">
        <f t="shared" si="9"/>
        <v>141</v>
      </c>
      <c r="T10" s="1">
        <f t="shared" si="10"/>
        <v>141</v>
      </c>
      <c r="U10" s="1" t="str">
        <f t="shared" si="11"/>
        <v>kalaśodbhavā</v>
      </c>
      <c r="V10" s="1" t="str">
        <f t="shared" si="13"/>
        <v>Upavesana</v>
      </c>
      <c r="W10" s="1">
        <f t="shared" si="14"/>
        <v>2</v>
      </c>
      <c r="X10" s="1">
        <f t="shared" si="14"/>
        <v>1</v>
      </c>
      <c r="Y10" s="1">
        <f t="shared" si="14"/>
        <v>3</v>
      </c>
      <c r="Z10" s="1">
        <f t="shared" si="14"/>
        <v>2</v>
      </c>
      <c r="AA10" s="1">
        <f t="shared" si="14"/>
        <v>1</v>
      </c>
      <c r="AB10" s="1">
        <v>3</v>
      </c>
      <c r="AD10" s="809" t="s">
        <v>1092</v>
      </c>
    </row>
    <row r="11" spans="1:30" x14ac:dyDescent="0.2">
      <c r="A11" s="1" t="str">
        <f>TRIM(LEFT(JHora!A36,FIND(" ",JHora!A36)))</f>
        <v>Mercury</v>
      </c>
      <c r="B11" s="805" t="str">
        <f>MID(JHora!A36,FIND("'",JHora!A36)-8,2)</f>
        <v>27</v>
      </c>
      <c r="C11" s="805" t="str">
        <f>MID(JHora!A36,FIND("'",JHora!A36)-5,2)</f>
        <v>Cn</v>
      </c>
      <c r="D11" s="806">
        <f>MID(JHora!A36,FIND("'",JHora!A36)-2,2)+VALUE(MID(JHora!A36,FIND("'",JHora!A36)+2,5))/60</f>
        <v>7.7871666666666668</v>
      </c>
      <c r="E11" s="807" t="str">
        <f t="shared" si="0"/>
        <v>Ashlesha</v>
      </c>
      <c r="F11" s="16" t="str">
        <f t="shared" si="12"/>
        <v>Amk</v>
      </c>
      <c r="G11" s="12">
        <f t="shared" si="1"/>
        <v>117.12978611111112</v>
      </c>
      <c r="H11" s="12">
        <f t="shared" si="2"/>
        <v>27.129786111111112</v>
      </c>
      <c r="I11" s="808" t="str">
        <f t="shared" si="3"/>
        <v>Merc</v>
      </c>
      <c r="J11" s="13">
        <f>MOD(ROUNDUP(G11/13.3333333333,0)*4*ROUNDUP(MOD(G11,30)/3.33333,0)+ROUNDUP(Moon/13.333,0)+ROUNDUP(JanmaGhatika,0)+ROUNDUP(Lagna/30,0)+11,12)+1</f>
        <v>5</v>
      </c>
      <c r="K11" s="8" t="b">
        <f>NOT(ISERROR(SEARCH("(R)",JHora!A36)))</f>
        <v>0</v>
      </c>
      <c r="L11" s="14">
        <f>ROUNDUP(IF((Moon-G11)&lt;0,-1*(180+(Moon-G11)),Moon-G11)/12,0)</f>
        <v>-10</v>
      </c>
      <c r="M11" s="15" t="str">
        <f>INDEX(Tithi,MOD(ABS(L11),8))</f>
        <v>Moon</v>
      </c>
      <c r="N11" s="1" t="str">
        <f t="shared" si="4"/>
        <v>maṅgalā</v>
      </c>
      <c r="O11" s="1" t="str">
        <f t="shared" si="5"/>
        <v>मङ्गला</v>
      </c>
      <c r="P11" s="1" t="str">
        <f t="shared" si="6"/>
        <v xml:space="preserve">ajapād </v>
      </c>
      <c r="Q11" s="1" t="str">
        <f t="shared" si="7"/>
        <v xml:space="preserve">अजपाद् </v>
      </c>
      <c r="R11" s="1" t="str">
        <f t="shared" si="8"/>
        <v>10 s 25:33:27</v>
      </c>
      <c r="S11" s="1">
        <f t="shared" si="9"/>
        <v>136</v>
      </c>
      <c r="T11" s="1">
        <f t="shared" si="10"/>
        <v>136</v>
      </c>
      <c r="U11" s="1" t="str">
        <f t="shared" si="11"/>
        <v>smarā</v>
      </c>
      <c r="V11" s="1" t="str">
        <f t="shared" si="13"/>
        <v>Gamana</v>
      </c>
      <c r="W11" s="1">
        <f t="shared" si="14"/>
        <v>3</v>
      </c>
      <c r="X11" s="1">
        <f t="shared" si="14"/>
        <v>3</v>
      </c>
      <c r="Y11" s="1">
        <f t="shared" si="14"/>
        <v>3</v>
      </c>
      <c r="Z11" s="1">
        <f t="shared" si="14"/>
        <v>3</v>
      </c>
      <c r="AA11" s="1">
        <f t="shared" si="14"/>
        <v>3</v>
      </c>
      <c r="AB11" s="1">
        <v>4</v>
      </c>
      <c r="AD11" s="809" t="s">
        <v>1093</v>
      </c>
    </row>
    <row r="12" spans="1:30" x14ac:dyDescent="0.2">
      <c r="A12" s="1" t="str">
        <f>TRIM(LEFT(JHora!A37,FIND(" ",JHora!A37)))</f>
        <v>Jupiter</v>
      </c>
      <c r="B12" s="805" t="str">
        <f>MID(JHora!A37,FIND("'",JHora!A37)-8,2)</f>
        <v xml:space="preserve"> 3</v>
      </c>
      <c r="C12" s="805" t="str">
        <f>MID(JHora!A37,FIND("'",JHora!A37)-5,2)</f>
        <v>Sc</v>
      </c>
      <c r="D12" s="806">
        <f>MID(JHora!A37,FIND("'",JHora!A37)-2,2)+VALUE(MID(JHora!A37,FIND("'",JHora!A37)+2,5))/60</f>
        <v>11.830500000000001</v>
      </c>
      <c r="E12" s="807" t="str">
        <f t="shared" si="0"/>
        <v>Vishakha</v>
      </c>
      <c r="F12" s="16" t="str">
        <f t="shared" si="12"/>
        <v>Gk</v>
      </c>
      <c r="G12" s="12">
        <f t="shared" si="1"/>
        <v>213.19717499999999</v>
      </c>
      <c r="H12" s="12">
        <f t="shared" si="2"/>
        <v>3.1971750000000001</v>
      </c>
      <c r="I12" s="808" t="str">
        <f t="shared" si="3"/>
        <v>Jupiter</v>
      </c>
      <c r="J12" s="13">
        <f>MOD(ROUNDUP(G12/13.3333333333,0)*5*ROUNDUP(MOD(G12,30)/3.33333,0)+ROUNDUP(Moon/13.333,0)+ROUNDUP(JanmaGhatika,0)+ROUNDUP(Lagna/30,0),12)</f>
        <v>1</v>
      </c>
      <c r="K12" s="8" t="b">
        <f>NOT(ISERROR(SEARCH("(R)",JHora!A37)))</f>
        <v>1</v>
      </c>
      <c r="L12" s="14">
        <f>ROUNDUP(IF((Moon-G12)&lt;0,-1*(180+(Moon-G12)),Moon-G12)/12,0)</f>
        <v>-2</v>
      </c>
      <c r="M12" s="15" t="str">
        <f>INDEX(Tithi,MOD(ABS(L12),8))</f>
        <v>Moon</v>
      </c>
      <c r="N12" s="1" t="str">
        <f t="shared" si="4"/>
        <v>chinnaśīrṣā</v>
      </c>
      <c r="O12" s="1" t="str">
        <f t="shared" si="5"/>
        <v>छिन्नशीर्षा</v>
      </c>
      <c r="P12" s="1" t="str">
        <f t="shared" si="6"/>
        <v xml:space="preserve">vahni </v>
      </c>
      <c r="Q12" s="1" t="str">
        <f t="shared" si="7"/>
        <v xml:space="preserve">वह्नि </v>
      </c>
      <c r="R12" s="1" t="str">
        <f t="shared" si="8"/>
        <v>1 s 08:21:58</v>
      </c>
      <c r="S12" s="1">
        <f t="shared" si="9"/>
        <v>16</v>
      </c>
      <c r="T12" s="1">
        <f t="shared" si="10"/>
        <v>135</v>
      </c>
      <c r="U12" s="1" t="str">
        <f t="shared" si="11"/>
        <v>kadalī</v>
      </c>
      <c r="V12" s="1" t="str">
        <f t="shared" si="13"/>
        <v>Sayana</v>
      </c>
      <c r="W12" s="1">
        <f t="shared" si="14"/>
        <v>2</v>
      </c>
      <c r="X12" s="1">
        <f t="shared" si="14"/>
        <v>1</v>
      </c>
      <c r="Y12" s="1">
        <f t="shared" si="14"/>
        <v>3</v>
      </c>
      <c r="Z12" s="1">
        <f t="shared" si="14"/>
        <v>2</v>
      </c>
      <c r="AA12" s="1">
        <f t="shared" si="14"/>
        <v>1</v>
      </c>
      <c r="AB12" s="1">
        <v>5</v>
      </c>
      <c r="AD12" s="809" t="s">
        <v>1094</v>
      </c>
    </row>
    <row r="13" spans="1:30" x14ac:dyDescent="0.2">
      <c r="A13" s="1" t="str">
        <f>TRIM(LEFT(JHora!A38,FIND(" ",JHora!A38)))</f>
        <v>Venus</v>
      </c>
      <c r="B13" s="805" t="str">
        <f>MID(JHora!A38,FIND("'",JHora!A38)-8,2)</f>
        <v>21</v>
      </c>
      <c r="C13" s="805" t="str">
        <f>MID(JHora!A38,FIND("'",JHora!A38)-5,2)</f>
        <v>Ge</v>
      </c>
      <c r="D13" s="806">
        <f>MID(JHora!A38,FIND("'",JHora!A38)-2,2)+VALUE(MID(JHora!A38,FIND("'",JHora!A38)+2,5))/60</f>
        <v>32.436166666666665</v>
      </c>
      <c r="E13" s="807" t="str">
        <f t="shared" si="0"/>
        <v>Punarvasu</v>
      </c>
      <c r="F13" s="16" t="str">
        <f t="shared" si="12"/>
        <v>Mk</v>
      </c>
      <c r="G13" s="12">
        <f t="shared" si="1"/>
        <v>81.540602777777778</v>
      </c>
      <c r="H13" s="12">
        <f t="shared" si="2"/>
        <v>21.540602777777778</v>
      </c>
      <c r="I13" s="808" t="str">
        <f t="shared" si="3"/>
        <v>Jupiter</v>
      </c>
      <c r="J13" s="13">
        <f>MOD(ROUNDUP(G13/13.3333333333,0)*6*ROUNDUP(MOD(G13,30)/3.33333,0)+ROUNDUP(Moon/13.333,0)+ROUNDUP(JanmaGhatika,0)+ROUNDUP(Lagna/30,0)+11,12)+1</f>
        <v>11</v>
      </c>
      <c r="K13" s="8" t="b">
        <f>NOT(ISERROR(SEARCH("(R)",JHora!A38)))</f>
        <v>0</v>
      </c>
      <c r="L13" s="14">
        <f>ROUNDUP(IF((Moon-G13)&lt;0,-1*(180+(Moon-G13)),Moon-G13)/12,0)</f>
        <v>-13</v>
      </c>
      <c r="M13" s="15" t="str">
        <f>INDEX(Tithi,MOD(ABS(L13),8))</f>
        <v>Jupiter</v>
      </c>
      <c r="N13" s="1" t="str">
        <f t="shared" si="4"/>
        <v>raudrī</v>
      </c>
      <c r="O13" s="1" t="str">
        <f t="shared" si="5"/>
        <v>रौद्री</v>
      </c>
      <c r="P13" s="1" t="str">
        <f t="shared" si="6"/>
        <v xml:space="preserve">udaka </v>
      </c>
      <c r="Q13" s="1" t="str">
        <f t="shared" si="7"/>
        <v xml:space="preserve">उदक </v>
      </c>
      <c r="R13" s="1" t="str">
        <f t="shared" si="8"/>
        <v>8 s 18:29:14</v>
      </c>
      <c r="S13" s="1">
        <f t="shared" si="9"/>
        <v>110</v>
      </c>
      <c r="T13" s="1">
        <f t="shared" si="10"/>
        <v>35</v>
      </c>
      <c r="U13" s="1" t="str">
        <f t="shared" si="11"/>
        <v>kṣamā</v>
      </c>
      <c r="V13" s="1" t="str">
        <f t="shared" si="13"/>
        <v>Kautuka</v>
      </c>
      <c r="W13" s="1">
        <f t="shared" si="14"/>
        <v>3</v>
      </c>
      <c r="X13" s="1">
        <f t="shared" si="14"/>
        <v>3</v>
      </c>
      <c r="Y13" s="1">
        <f t="shared" si="14"/>
        <v>3</v>
      </c>
      <c r="Z13" s="1">
        <f t="shared" si="14"/>
        <v>3</v>
      </c>
      <c r="AA13" s="1">
        <f t="shared" si="14"/>
        <v>3</v>
      </c>
      <c r="AB13" s="1">
        <v>6</v>
      </c>
      <c r="AD13" s="809" t="s">
        <v>1095</v>
      </c>
    </row>
    <row r="14" spans="1:30" x14ac:dyDescent="0.2">
      <c r="A14" s="1" t="str">
        <f>TRIM(LEFT(JHora!A39,FIND(" ",JHora!A39)))</f>
        <v>Saturn</v>
      </c>
      <c r="B14" s="805" t="str">
        <f>MID(JHora!A39,FIND("'",JHora!A39)-8,2)</f>
        <v xml:space="preserve"> 9</v>
      </c>
      <c r="C14" s="805" t="str">
        <f>MID(JHora!A39,FIND("'",JHora!A39)-5,2)</f>
        <v>Ta</v>
      </c>
      <c r="D14" s="806">
        <f>MID(JHora!A39,FIND("'",JHora!A39)-2,2)+VALUE(MID(JHora!A39,FIND("'",JHora!A39)+2,5))/60</f>
        <v>53.112666666666669</v>
      </c>
      <c r="E14" s="807" t="str">
        <f t="shared" si="0"/>
        <v>Kritika</v>
      </c>
      <c r="F14" s="16" t="str">
        <f t="shared" si="12"/>
        <v>PiK</v>
      </c>
      <c r="G14" s="12">
        <f t="shared" si="1"/>
        <v>39.885211111111111</v>
      </c>
      <c r="H14" s="12">
        <f t="shared" si="2"/>
        <v>9.8852111111111114</v>
      </c>
      <c r="I14" s="808" t="str">
        <f t="shared" si="3"/>
        <v>Sun</v>
      </c>
      <c r="J14" s="13">
        <f>MOD(ROUNDUP(G14/13.3333333333,0)*7*ROUNDUP(MOD(G14,30)/3.33333,0)+ROUNDUP(Moon/13.333,0)+ROUNDUP(JanmaGhatika,0)+ROUNDUP(Lagna/30,0)+11,12)+1</f>
        <v>8</v>
      </c>
      <c r="K14" s="8" t="b">
        <f>NOT(ISERROR(SEARCH("(R)",JHora!A39)))</f>
        <v>0</v>
      </c>
      <c r="L14" s="14">
        <f>ROUNDUP(IF((Moon-G14)&lt;0,-1*(180+(Moon-G14)),Moon-G14)/12,0)</f>
        <v>2</v>
      </c>
      <c r="M14" s="15" t="str">
        <f>INDEX(Tithi,MOD(ABS(L14),8))</f>
        <v>Moon</v>
      </c>
      <c r="N14" s="1" t="str">
        <f t="shared" si="4"/>
        <v>bālā</v>
      </c>
      <c r="O14" s="1" t="str">
        <f t="shared" si="5"/>
        <v>बाला</v>
      </c>
      <c r="P14" s="1" t="str">
        <f t="shared" si="6"/>
        <v xml:space="preserve">ahi </v>
      </c>
      <c r="Q14" s="1" t="str">
        <f t="shared" si="7"/>
        <v xml:space="preserve">अहि </v>
      </c>
      <c r="R14" s="1" t="str">
        <f t="shared" si="8"/>
        <v>3 s 28:37:21</v>
      </c>
      <c r="S14" s="1">
        <f t="shared" si="9"/>
        <v>51</v>
      </c>
      <c r="T14" s="1">
        <f t="shared" si="10"/>
        <v>100</v>
      </c>
      <c r="U14" s="1" t="str">
        <f t="shared" si="11"/>
        <v>sārā</v>
      </c>
      <c r="V14" s="1" t="str">
        <f t="shared" si="13"/>
        <v>Aagama</v>
      </c>
      <c r="W14" s="1">
        <f t="shared" si="14"/>
        <v>3</v>
      </c>
      <c r="X14" s="1">
        <f t="shared" si="14"/>
        <v>3</v>
      </c>
      <c r="Y14" s="1">
        <f t="shared" si="14"/>
        <v>3</v>
      </c>
      <c r="Z14" s="1">
        <f t="shared" si="14"/>
        <v>3</v>
      </c>
      <c r="AA14" s="1">
        <f t="shared" si="14"/>
        <v>3</v>
      </c>
      <c r="AB14" s="1">
        <v>7</v>
      </c>
      <c r="AC14" s="1">
        <v>3</v>
      </c>
      <c r="AD14" s="809" t="s">
        <v>1096</v>
      </c>
    </row>
    <row r="15" spans="1:30" x14ac:dyDescent="0.2">
      <c r="A15" s="1" t="str">
        <f>TRIM(LEFT(JHora!A40,FIND(" ",JHora!A40)))</f>
        <v>Rahu</v>
      </c>
      <c r="B15" s="805" t="str">
        <f>MID(JHora!A40,FIND("'",JHora!A40)-8,2)</f>
        <v>21</v>
      </c>
      <c r="C15" s="805" t="str">
        <f>MID(JHora!A40,FIND("'",JHora!A40)-5,2)</f>
        <v>Cp</v>
      </c>
      <c r="D15" s="806">
        <f>MID(JHora!A40,FIND("'",JHora!A40)-2,2)+VALUE(MID(JHora!A40,FIND("'",JHora!A40)+2,5))/60</f>
        <v>58.034333333333336</v>
      </c>
      <c r="E15" s="807" t="str">
        <f t="shared" si="0"/>
        <v>Abhijit</v>
      </c>
      <c r="F15" s="16" t="str">
        <f t="shared" si="12"/>
        <v>PuK</v>
      </c>
      <c r="G15" s="12">
        <f t="shared" si="1"/>
        <v>291.96723888888891</v>
      </c>
      <c r="H15" s="12">
        <f>30-(B15+D15/60)</f>
        <v>8.0327611111111104</v>
      </c>
      <c r="I15" s="808" t="str">
        <f t="shared" si="3"/>
        <v>Sun</v>
      </c>
      <c r="J15" s="13">
        <f>MOD(ROUNDUP(G15/13.3333333333,0)*8*ROUNDUP(MOD(G15,30)/3.33333,0)+ROUNDUP(Moon/13.333,0)+ROUNDUP(JanmaGhatika,0)+ROUNDUP(Lagna/30,0)+11,12)+1</f>
        <v>1</v>
      </c>
      <c r="K15" s="8" t="b">
        <f>NOT(ISERROR(SEARCH("(R)",JHora!A40)))</f>
        <v>0</v>
      </c>
      <c r="N15" s="1" t="str">
        <f t="shared" si="4"/>
        <v>mātaṅgī</v>
      </c>
      <c r="O15" s="1" t="str">
        <f t="shared" si="5"/>
        <v>मातङ्गी</v>
      </c>
      <c r="P15" s="1" t="str">
        <f t="shared" si="6"/>
        <v xml:space="preserve">jīva </v>
      </c>
      <c r="Q15" s="1" t="str">
        <f t="shared" si="7"/>
        <v xml:space="preserve">जीव </v>
      </c>
      <c r="R15" s="1" t="str">
        <f t="shared" si="8"/>
        <v>3 s 06:23:35</v>
      </c>
      <c r="S15" s="1">
        <f t="shared" si="9"/>
        <v>40</v>
      </c>
      <c r="T15" s="1">
        <f t="shared" si="10"/>
        <v>40</v>
      </c>
      <c r="U15" s="1" t="str">
        <f t="shared" si="11"/>
        <v>vikaṭā</v>
      </c>
      <c r="V15" s="1" t="str">
        <f t="shared" si="13"/>
        <v>Sayana</v>
      </c>
      <c r="W15" s="1">
        <f t="shared" si="14"/>
        <v>1</v>
      </c>
      <c r="X15" s="1">
        <f t="shared" si="14"/>
        <v>2</v>
      </c>
      <c r="Y15" s="1">
        <f t="shared" si="14"/>
        <v>3</v>
      </c>
      <c r="Z15" s="1">
        <f t="shared" si="14"/>
        <v>1</v>
      </c>
      <c r="AA15" s="1">
        <f t="shared" si="14"/>
        <v>2</v>
      </c>
      <c r="AB15" s="1">
        <v>8</v>
      </c>
      <c r="AD15" s="809" t="s">
        <v>1097</v>
      </c>
    </row>
    <row r="16" spans="1:30" x14ac:dyDescent="0.2">
      <c r="A16" s="1" t="str">
        <f>TRIM(LEFT(JHora!A41,FIND(" ",JHora!A41)))</f>
        <v>Ketu</v>
      </c>
      <c r="B16" s="805" t="str">
        <f>MID(JHora!A41,FIND("'",JHora!A41)-8,2)</f>
        <v>21</v>
      </c>
      <c r="C16" s="805" t="str">
        <f>MID(JHora!A41,FIND("'",JHora!A41)-5,2)</f>
        <v>Cn</v>
      </c>
      <c r="D16" s="806">
        <f>MID(JHora!A41,FIND("'",JHora!A41)-2,2)+VALUE(MID(JHora!A41,FIND("'",JHora!A41)+2,5))/60</f>
        <v>58.034333333333336</v>
      </c>
      <c r="E16" s="807" t="str">
        <f t="shared" si="0"/>
        <v>Ashlesha</v>
      </c>
      <c r="F16" s="11" t="s">
        <v>1086</v>
      </c>
      <c r="G16" s="12">
        <f t="shared" si="1"/>
        <v>111.96723888888889</v>
      </c>
      <c r="H16" s="12">
        <f t="shared" ref="H16:H41" si="15">B16+D16/60</f>
        <v>21.96723888888889</v>
      </c>
      <c r="I16" s="808" t="str">
        <f t="shared" si="3"/>
        <v>Merc</v>
      </c>
      <c r="J16" s="13">
        <f>MOD(ROUNDUP(G16/13.3333333333,0)*9*ROUNDUP(MOD(G16,30)/3.33333,0)+ROUNDUP(Moon/13.333,0)+ROUNDUP(JanmaGhatika,0)+ROUNDUP(Lagna/30,0)+11,12)+1</f>
        <v>8</v>
      </c>
      <c r="K16" s="8" t="b">
        <f>NOT(ISERROR(SEARCH("(R)",JHora!A41)))</f>
        <v>0</v>
      </c>
      <c r="N16" s="1" t="str">
        <f t="shared" si="4"/>
        <v>vaiṣṇavī</v>
      </c>
      <c r="O16" s="1" t="str">
        <f t="shared" si="5"/>
        <v>वैष्णवी</v>
      </c>
      <c r="P16" s="1" t="str">
        <f t="shared" si="6"/>
        <v xml:space="preserve">udaka </v>
      </c>
      <c r="Q16" s="1" t="str">
        <f t="shared" si="7"/>
        <v xml:space="preserve">उदक </v>
      </c>
      <c r="R16" s="1" t="str">
        <f t="shared" si="8"/>
        <v>8 s 23:36:25</v>
      </c>
      <c r="S16" s="1">
        <f t="shared" si="9"/>
        <v>111</v>
      </c>
      <c r="T16" s="1">
        <f t="shared" si="10"/>
        <v>111</v>
      </c>
      <c r="U16" s="1" t="str">
        <f t="shared" si="11"/>
        <v>brahmiḥ</v>
      </c>
      <c r="V16" s="1" t="str">
        <f t="shared" si="13"/>
        <v>Aagama</v>
      </c>
      <c r="W16" s="1">
        <f t="shared" si="14"/>
        <v>1</v>
      </c>
      <c r="X16" s="1">
        <f t="shared" si="14"/>
        <v>2</v>
      </c>
      <c r="Y16" s="1">
        <f t="shared" si="14"/>
        <v>3</v>
      </c>
      <c r="Z16" s="1">
        <f t="shared" si="14"/>
        <v>1</v>
      </c>
      <c r="AA16" s="1">
        <f t="shared" si="14"/>
        <v>2</v>
      </c>
      <c r="AB16" s="1">
        <v>9</v>
      </c>
      <c r="AD16" s="809" t="s">
        <v>1098</v>
      </c>
    </row>
    <row r="17" spans="1:21" ht="12.95" customHeight="1" x14ac:dyDescent="0.2">
      <c r="A17" s="1" t="str">
        <f>TRIM(LEFT(JHora!A42,FIND(" ",JHora!A42)))</f>
        <v>Maandi</v>
      </c>
      <c r="B17" s="805" t="str">
        <f>MID(JHora!A42,FIND("'",JHora!A42)-8,2)</f>
        <v xml:space="preserve"> 8</v>
      </c>
      <c r="C17" s="805" t="str">
        <f>MID(JHora!A42,FIND("'",JHora!A42)-5,2)</f>
        <v>Sc</v>
      </c>
      <c r="D17" s="806">
        <f>MID(JHora!A42,FIND("'",JHora!A42)-2,2)+VALUE(MID(JHora!A42,FIND("'",JHora!A42)+2,5))/60</f>
        <v>13.930166666666667</v>
      </c>
      <c r="E17" s="807" t="str">
        <f t="shared" si="0"/>
        <v>Anuradha</v>
      </c>
      <c r="F17" s="11" t="s">
        <v>1086</v>
      </c>
      <c r="G17" s="12">
        <f t="shared" si="1"/>
        <v>218.23216944444445</v>
      </c>
      <c r="H17" s="12">
        <f t="shared" si="15"/>
        <v>8.2321694444444447</v>
      </c>
      <c r="I17" s="808" t="str">
        <f t="shared" si="3"/>
        <v>Sat</v>
      </c>
      <c r="J17" s="13"/>
      <c r="N17" s="1" t="str">
        <f t="shared" si="4"/>
        <v>mātaṅgī</v>
      </c>
      <c r="O17" s="1" t="str">
        <f t="shared" si="5"/>
        <v>मातङ्गी</v>
      </c>
      <c r="P17" s="1" t="str">
        <f t="shared" si="6"/>
        <v xml:space="preserve">jīva </v>
      </c>
      <c r="Q17" s="1" t="str">
        <f t="shared" si="7"/>
        <v xml:space="preserve">जीव </v>
      </c>
      <c r="R17" s="1" t="str">
        <f t="shared" si="8"/>
        <v>3 s 08:47:10</v>
      </c>
      <c r="S17" s="1">
        <f t="shared" si="9"/>
        <v>40</v>
      </c>
      <c r="T17" s="1">
        <f t="shared" si="10"/>
        <v>111</v>
      </c>
      <c r="U17" s="1" t="str">
        <f t="shared" si="11"/>
        <v>brahmiḥ</v>
      </c>
    </row>
    <row r="18" spans="1:21" x14ac:dyDescent="0.2">
      <c r="A18" s="1" t="str">
        <f>TRIM(LEFT(JHora!A43,FIND(" ",JHora!A43)))</f>
        <v>Gulika</v>
      </c>
      <c r="B18" s="805" t="str">
        <f>MID(JHora!A43,FIND("'",JHora!A43)-8,2)</f>
        <v>19</v>
      </c>
      <c r="C18" s="805" t="str">
        <f>MID(JHora!A43,FIND("'",JHora!A43)-5,2)</f>
        <v>Sc</v>
      </c>
      <c r="D18" s="806">
        <f>MID(JHora!A43,FIND("'",JHora!A43)-2,2)+VALUE(MID(JHora!A43,FIND("'",JHora!A43)+2,5))/60</f>
        <v>6.2461666666666664</v>
      </c>
      <c r="E18" s="807" t="str">
        <f t="shared" si="0"/>
        <v>Jyeshtha</v>
      </c>
      <c r="F18" s="11" t="s">
        <v>1086</v>
      </c>
      <c r="G18" s="12">
        <f t="shared" si="1"/>
        <v>229.10410277777777</v>
      </c>
      <c r="H18" s="12">
        <f t="shared" si="15"/>
        <v>19.104102777777779</v>
      </c>
      <c r="I18" s="808" t="str">
        <f t="shared" si="3"/>
        <v>Merc</v>
      </c>
      <c r="J18" s="13"/>
      <c r="N18" s="1" t="str">
        <f t="shared" si="4"/>
        <v>ghorā</v>
      </c>
      <c r="O18" s="1" t="str">
        <f t="shared" si="5"/>
        <v>घोरा</v>
      </c>
      <c r="P18" s="1" t="str">
        <f t="shared" si="6"/>
        <v xml:space="preserve">vāsava </v>
      </c>
      <c r="Q18" s="1" t="str">
        <f t="shared" si="7"/>
        <v xml:space="preserve">वासव </v>
      </c>
      <c r="R18" s="1" t="str">
        <f t="shared" si="8"/>
        <v>7 s 19:14:57</v>
      </c>
      <c r="S18" s="1">
        <f t="shared" si="9"/>
        <v>97</v>
      </c>
      <c r="T18" s="1">
        <f t="shared" si="10"/>
        <v>54</v>
      </c>
      <c r="U18" s="1" t="str">
        <f t="shared" si="11"/>
        <v>viṣākhyā</v>
      </c>
    </row>
    <row r="19" spans="1:21" x14ac:dyDescent="0.2">
      <c r="A19" s="1" t="str">
        <f>TRIM(LEFT(JHora!A44,FIND(" ",JHora!A44)))</f>
        <v>Bhava</v>
      </c>
      <c r="B19" s="805" t="str">
        <f>MID(JHora!A44,FIND("'",JHora!A44)-8,2)</f>
        <v>19</v>
      </c>
      <c r="C19" s="805" t="str">
        <f>MID(JHora!A44,FIND("'",JHora!A44)-5,2)</f>
        <v>Le</v>
      </c>
      <c r="D19" s="806">
        <f>MID(JHora!A44,FIND("'",JHora!A44)-2,2)+VALUE(MID(JHora!A44,FIND("'",JHora!A44)+2,5))/60</f>
        <v>52.181666666666665</v>
      </c>
      <c r="E19" s="807" t="str">
        <f t="shared" si="0"/>
        <v>Purva Phalguni</v>
      </c>
      <c r="F19" s="11" t="s">
        <v>1086</v>
      </c>
      <c r="G19" s="12">
        <f t="shared" si="1"/>
        <v>139.86969444444443</v>
      </c>
      <c r="H19" s="12">
        <f t="shared" si="15"/>
        <v>19.869694444444445</v>
      </c>
      <c r="I19" s="808" t="str">
        <f t="shared" si="3"/>
        <v>Venus</v>
      </c>
      <c r="J19" s="13"/>
      <c r="N19" s="1" t="str">
        <f t="shared" si="4"/>
        <v>śacī</v>
      </c>
      <c r="O19" s="1" t="str">
        <f t="shared" si="5"/>
        <v>शची</v>
      </c>
      <c r="P19" s="1" t="str">
        <f t="shared" si="6"/>
        <v xml:space="preserve">vāsava </v>
      </c>
      <c r="Q19" s="1" t="str">
        <f t="shared" si="7"/>
        <v xml:space="preserve">वासव </v>
      </c>
      <c r="R19" s="1" t="str">
        <f t="shared" si="8"/>
        <v>7 s 28:26:11</v>
      </c>
      <c r="S19" s="1">
        <f t="shared" si="9"/>
        <v>99</v>
      </c>
      <c r="T19" s="1">
        <f t="shared" si="10"/>
        <v>52</v>
      </c>
      <c r="U19" s="1" t="str">
        <f t="shared" si="11"/>
        <v>kundinī</v>
      </c>
    </row>
    <row r="20" spans="1:21" x14ac:dyDescent="0.2">
      <c r="A20" s="1" t="str">
        <f>TRIM(LEFT(JHora!A45,FIND(" ",JHora!A45)))</f>
        <v>Hora</v>
      </c>
      <c r="B20" s="805" t="str">
        <f>MID(JHora!A45,FIND("'",JHora!A45)-8,2)</f>
        <v xml:space="preserve"> 7</v>
      </c>
      <c r="C20" s="805" t="str">
        <f>MID(JHora!A45,FIND("'",JHora!A45)-5,2)</f>
        <v>Li</v>
      </c>
      <c r="D20" s="806">
        <f>MID(JHora!A45,FIND("'",JHora!A45)-2,2)+VALUE(MID(JHora!A45,FIND("'",JHora!A45)+2,5))/60</f>
        <v>20.411333333333332</v>
      </c>
      <c r="E20" s="807" t="str">
        <f t="shared" si="0"/>
        <v>Swati</v>
      </c>
      <c r="F20" s="11" t="s">
        <v>1086</v>
      </c>
      <c r="G20" s="12">
        <f t="shared" si="1"/>
        <v>187.34018888888889</v>
      </c>
      <c r="H20" s="12">
        <f t="shared" si="15"/>
        <v>7.3401888888888891</v>
      </c>
      <c r="I20" s="808" t="str">
        <f t="shared" si="3"/>
        <v>Rahu</v>
      </c>
      <c r="J20" s="13"/>
      <c r="M20" s="18"/>
      <c r="N20" s="1" t="str">
        <f t="shared" si="4"/>
        <v>vijayā</v>
      </c>
      <c r="O20" s="1" t="str">
        <f t="shared" si="5"/>
        <v>विजया</v>
      </c>
      <c r="P20" s="1" t="str">
        <f t="shared" si="6"/>
        <v xml:space="preserve">aditi </v>
      </c>
      <c r="Q20" s="1" t="str">
        <f t="shared" si="7"/>
        <v xml:space="preserve">अदिति </v>
      </c>
      <c r="R20" s="1" t="str">
        <f t="shared" si="8"/>
        <v>2 s 28:04:56</v>
      </c>
      <c r="S20" s="1">
        <f t="shared" si="9"/>
        <v>37</v>
      </c>
      <c r="T20" s="1">
        <f t="shared" si="10"/>
        <v>37</v>
      </c>
      <c r="U20" s="1" t="str">
        <f t="shared" si="11"/>
        <v>durbhagā</v>
      </c>
    </row>
    <row r="21" spans="1:21" x14ac:dyDescent="0.2">
      <c r="A21" s="1" t="str">
        <f>TRIM(LEFT(JHora!A46,FIND(" ",JHora!A46)))</f>
        <v>Ghati</v>
      </c>
      <c r="B21" s="805" t="str">
        <f>MID(JHora!A46,FIND("'",JHora!A46)-8,2)</f>
        <v>29</v>
      </c>
      <c r="C21" s="805" t="str">
        <f>MID(JHora!A46,FIND("'",JHora!A46)-5,2)</f>
        <v>Aq</v>
      </c>
      <c r="D21" s="806">
        <f>MID(JHora!A46,FIND("'",JHora!A46)-2,2)+VALUE(MID(JHora!A46,FIND("'",JHora!A46)+2,5))/60</f>
        <v>45.099833333333336</v>
      </c>
      <c r="E21" s="807" t="str">
        <f t="shared" si="0"/>
        <v>Satabishak</v>
      </c>
      <c r="F21" s="11" t="s">
        <v>1086</v>
      </c>
      <c r="G21" s="12">
        <f t="shared" si="1"/>
        <v>329.75166388888891</v>
      </c>
      <c r="H21" s="12">
        <f t="shared" si="15"/>
        <v>29.751663888888888</v>
      </c>
      <c r="I21" s="808" t="str">
        <f t="shared" si="3"/>
        <v>Rahu</v>
      </c>
      <c r="J21" s="13"/>
      <c r="N21" s="1" t="str">
        <f t="shared" si="4"/>
        <v>sumukhī</v>
      </c>
      <c r="O21" s="1" t="str">
        <f t="shared" si="5"/>
        <v>सुमुखी</v>
      </c>
      <c r="P21" s="1" t="str">
        <f t="shared" si="6"/>
        <v xml:space="preserve">pūṣā </v>
      </c>
      <c r="Q21" s="1" t="str">
        <f t="shared" si="7"/>
        <v xml:space="preserve">पूषा </v>
      </c>
      <c r="R21" s="1" t="str">
        <f t="shared" si="8"/>
        <v>11 s 27:01:12</v>
      </c>
      <c r="S21" s="1">
        <f t="shared" si="9"/>
        <v>150</v>
      </c>
      <c r="T21" s="1">
        <f t="shared" si="10"/>
        <v>1</v>
      </c>
      <c r="U21" s="1" t="str">
        <f t="shared" si="11"/>
        <v>vasudhā</v>
      </c>
    </row>
    <row r="22" spans="1:21" x14ac:dyDescent="0.2">
      <c r="A22" s="1" t="str">
        <f>TRIM(LEFT(JHora!A47,FIND(" ",JHora!A47)))</f>
        <v>Vighati</v>
      </c>
      <c r="B22" s="805" t="str">
        <f>MID(JHora!A47,FIND("'",JHora!A47)-8,2)</f>
        <v>21</v>
      </c>
      <c r="C22" s="805" t="str">
        <f>MID(JHora!A47,FIND("'",JHora!A47)-5,2)</f>
        <v>Aq</v>
      </c>
      <c r="D22" s="806">
        <f>MID(JHora!A47,FIND("'",JHora!A47)-2,2)+VALUE(MID(JHora!A47,FIND("'",JHora!A47)+2,5))/60</f>
        <v>48.542999999999999</v>
      </c>
      <c r="E22" s="807" t="str">
        <f t="shared" si="0"/>
        <v>Satabishak</v>
      </c>
      <c r="F22" s="11" t="s">
        <v>1086</v>
      </c>
      <c r="G22" s="12">
        <f t="shared" si="1"/>
        <v>321.80905000000001</v>
      </c>
      <c r="H22" s="12">
        <f t="shared" si="15"/>
        <v>21.809049999999999</v>
      </c>
      <c r="I22" s="808" t="str">
        <f t="shared" si="3"/>
        <v>Rahu</v>
      </c>
      <c r="J22" s="13"/>
      <c r="N22" s="1" t="str">
        <f t="shared" si="4"/>
        <v>raudrī</v>
      </c>
      <c r="O22" s="1" t="str">
        <f t="shared" si="5"/>
        <v>रौद्री</v>
      </c>
      <c r="P22" s="1" t="str">
        <f t="shared" si="6"/>
        <v xml:space="preserve">udaka </v>
      </c>
      <c r="Q22" s="1" t="str">
        <f t="shared" si="7"/>
        <v xml:space="preserve">उदक </v>
      </c>
      <c r="R22" s="1" t="str">
        <f t="shared" si="8"/>
        <v>8 s 21:42:31</v>
      </c>
      <c r="S22" s="1">
        <f t="shared" si="9"/>
        <v>111</v>
      </c>
      <c r="T22" s="1">
        <f t="shared" si="10"/>
        <v>40</v>
      </c>
      <c r="U22" s="1" t="str">
        <f t="shared" si="11"/>
        <v>vikaṭā</v>
      </c>
    </row>
    <row r="23" spans="1:21" x14ac:dyDescent="0.2">
      <c r="A23" s="1" t="str">
        <f>TRIM(LEFT(JHora!A48,FIND(" ",JHora!A48)))</f>
        <v>Varnada</v>
      </c>
      <c r="B23" s="805" t="str">
        <f>MID(JHora!A48,FIND("'",JHora!A48)-8,2)</f>
        <v>16</v>
      </c>
      <c r="C23" s="805" t="str">
        <f>MID(JHora!A48,FIND("'",JHora!A48)-5,2)</f>
        <v>Pi</v>
      </c>
      <c r="D23" s="806">
        <f>MID(JHora!A48,FIND("'",JHora!A48)-2,2)+VALUE(MID(JHora!A48,FIND("'",JHora!A48)+2,5))/60</f>
        <v>42.691000000000003</v>
      </c>
      <c r="E23" s="807" t="str">
        <f t="shared" si="0"/>
        <v>Uttara Bhadrapad</v>
      </c>
      <c r="F23" s="11" t="s">
        <v>1086</v>
      </c>
      <c r="G23" s="12">
        <f t="shared" si="1"/>
        <v>346.71151666666668</v>
      </c>
      <c r="H23" s="12">
        <f t="shared" si="15"/>
        <v>16.711516666666668</v>
      </c>
      <c r="I23" s="808" t="str">
        <f t="shared" si="3"/>
        <v>Sat</v>
      </c>
      <c r="J23" s="13"/>
      <c r="N23" s="1" t="str">
        <f t="shared" si="4"/>
        <v>chucchukā</v>
      </c>
      <c r="O23" s="1" t="str">
        <f t="shared" si="5"/>
        <v>छुच्छुका</v>
      </c>
      <c r="P23" s="1" t="str">
        <f t="shared" si="6"/>
        <v xml:space="preserve">śakrāgni </v>
      </c>
      <c r="Q23" s="1" t="str">
        <f t="shared" si="7"/>
        <v xml:space="preserve">शक्राग्नि </v>
      </c>
      <c r="R23" s="1" t="str">
        <f t="shared" si="8"/>
        <v>6 s 20:32:18</v>
      </c>
      <c r="S23" s="1">
        <f t="shared" si="9"/>
        <v>84</v>
      </c>
      <c r="T23" s="1">
        <f t="shared" si="10"/>
        <v>9</v>
      </c>
      <c r="U23" s="1" t="str">
        <f t="shared" si="11"/>
        <v>surā</v>
      </c>
    </row>
    <row r="24" spans="1:21" x14ac:dyDescent="0.2">
      <c r="A24" s="1" t="str">
        <f>TRIM(LEFT(JHora!A49,FIND(" ",JHora!A49)))</f>
        <v>Sree</v>
      </c>
      <c r="B24" s="805" t="str">
        <f>MID(JHora!A49,FIND("'",JHora!A49)-8,2)</f>
        <v xml:space="preserve"> 8</v>
      </c>
      <c r="C24" s="805" t="str">
        <f>MID(JHora!A49,FIND("'",JHora!A49)-5,2)</f>
        <v>Le</v>
      </c>
      <c r="D24" s="806">
        <f>MID(JHora!A49,FIND("'",JHora!A49)-2,2)+VALUE(MID(JHora!A49,FIND("'",JHora!A49)+2,5))/60</f>
        <v>8.5190000000000001</v>
      </c>
      <c r="E24" s="807" t="str">
        <f t="shared" si="0"/>
        <v>Magha</v>
      </c>
      <c r="F24" s="11" t="s">
        <v>1086</v>
      </c>
      <c r="G24" s="12">
        <f t="shared" si="1"/>
        <v>128.14198333333334</v>
      </c>
      <c r="H24" s="12">
        <f t="shared" si="15"/>
        <v>8.141983333333334</v>
      </c>
      <c r="I24" s="808" t="str">
        <f t="shared" si="3"/>
        <v>Ketu</v>
      </c>
      <c r="J24" s="13"/>
      <c r="N24" s="1" t="str">
        <f t="shared" si="4"/>
        <v>vimalā</v>
      </c>
      <c r="O24" s="1" t="str">
        <f t="shared" si="5"/>
        <v>विमला</v>
      </c>
      <c r="P24" s="1" t="str">
        <f t="shared" si="6"/>
        <v xml:space="preserve">jīva </v>
      </c>
      <c r="Q24" s="1" t="str">
        <f t="shared" si="7"/>
        <v xml:space="preserve">जीव </v>
      </c>
      <c r="R24" s="1" t="str">
        <f t="shared" si="8"/>
        <v>3 s 07:42:14</v>
      </c>
      <c r="S24" s="1">
        <f t="shared" si="9"/>
        <v>40</v>
      </c>
      <c r="T24" s="1">
        <f t="shared" si="10"/>
        <v>111</v>
      </c>
      <c r="U24" s="1" t="str">
        <f t="shared" si="11"/>
        <v>brahmiḥ</v>
      </c>
    </row>
    <row r="25" spans="1:21" x14ac:dyDescent="0.2">
      <c r="A25" s="1" t="str">
        <f>TRIM(LEFT(JHora!A50,FIND(" ",JHora!A50)))</f>
        <v>Pranapada</v>
      </c>
      <c r="B25" s="805" t="str">
        <f>MID(JHora!A50,FIND("'",JHora!A50)-8,2)</f>
        <v>21</v>
      </c>
      <c r="C25" s="805" t="str">
        <f>MID(JHora!A50,FIND("'",JHora!A50)-5,2)</f>
        <v>Aq</v>
      </c>
      <c r="D25" s="806">
        <f>MID(JHora!A50,FIND("'",JHora!A50)-2,2)+VALUE(MID(JHora!A50,FIND("'",JHora!A50)+2,5))/60</f>
        <v>48.542999999999999</v>
      </c>
      <c r="E25" s="807" t="str">
        <f t="shared" si="0"/>
        <v>Satabishak</v>
      </c>
      <c r="F25" s="11" t="s">
        <v>1086</v>
      </c>
      <c r="G25" s="12">
        <f t="shared" si="1"/>
        <v>321.80905000000001</v>
      </c>
      <c r="H25" s="12">
        <f t="shared" si="15"/>
        <v>21.809049999999999</v>
      </c>
      <c r="I25" s="808" t="str">
        <f t="shared" si="3"/>
        <v>Rahu</v>
      </c>
      <c r="J25" s="13"/>
      <c r="N25" s="1" t="str">
        <f t="shared" si="4"/>
        <v>raudrī</v>
      </c>
      <c r="O25" s="1" t="str">
        <f t="shared" si="5"/>
        <v>रौद्री</v>
      </c>
      <c r="P25" s="1" t="str">
        <f t="shared" si="6"/>
        <v xml:space="preserve">udaka </v>
      </c>
      <c r="Q25" s="1" t="str">
        <f t="shared" si="7"/>
        <v xml:space="preserve">उदक </v>
      </c>
      <c r="R25" s="1" t="str">
        <f t="shared" si="8"/>
        <v>8 s 21:42:31</v>
      </c>
      <c r="S25" s="1">
        <f t="shared" si="9"/>
        <v>111</v>
      </c>
      <c r="T25" s="1">
        <f t="shared" si="10"/>
        <v>40</v>
      </c>
      <c r="U25" s="1" t="str">
        <f t="shared" si="11"/>
        <v>vikaṭā</v>
      </c>
    </row>
    <row r="26" spans="1:21" x14ac:dyDescent="0.2">
      <c r="A26" s="1" t="str">
        <f>TRIM(LEFT(JHora!A51,FIND(" ",JHora!A51)))</f>
        <v>Indu</v>
      </c>
      <c r="B26" s="805" t="str">
        <f>MID(JHora!A51,FIND("'",JHora!A51)-8,2)</f>
        <v>23</v>
      </c>
      <c r="C26" s="805" t="str">
        <f>MID(JHora!A51,FIND("'",JHora!A51)-5,2)</f>
        <v>Sc</v>
      </c>
      <c r="D26" s="806">
        <f>MID(JHora!A51,FIND("'",JHora!A51)-2,2)+VALUE(MID(JHora!A51,FIND("'",JHora!A51)+2,5))/60</f>
        <v>0.95666666666666667</v>
      </c>
      <c r="E26" s="807" t="str">
        <f t="shared" si="0"/>
        <v>Jyeshtha</v>
      </c>
      <c r="F26" s="11" t="s">
        <v>1086</v>
      </c>
      <c r="G26" s="12">
        <f t="shared" si="1"/>
        <v>233.01594444444444</v>
      </c>
      <c r="H26" s="12">
        <f t="shared" si="15"/>
        <v>23.015944444444443</v>
      </c>
      <c r="I26" s="808" t="str">
        <f t="shared" si="3"/>
        <v>Merc</v>
      </c>
      <c r="J26" s="13"/>
      <c r="N26" s="1" t="str">
        <f t="shared" si="4"/>
        <v>sitā</v>
      </c>
      <c r="O26" s="1" t="str">
        <f t="shared" si="5"/>
        <v>सिता</v>
      </c>
      <c r="P26" s="1" t="str">
        <f t="shared" si="6"/>
        <v xml:space="preserve">viśve aja </v>
      </c>
      <c r="Q26" s="1" t="str">
        <f t="shared" si="7"/>
        <v xml:space="preserve">विश्वे अज </v>
      </c>
      <c r="R26" s="1" t="str">
        <f t="shared" si="8"/>
        <v>9 s 06:11:29</v>
      </c>
      <c r="S26" s="1">
        <f t="shared" si="9"/>
        <v>116</v>
      </c>
      <c r="T26" s="1">
        <f t="shared" si="10"/>
        <v>35</v>
      </c>
      <c r="U26" s="1" t="str">
        <f t="shared" si="11"/>
        <v>kṣamā</v>
      </c>
    </row>
    <row r="27" spans="1:21" x14ac:dyDescent="0.2">
      <c r="A27" s="1" t="str">
        <f>TRIM(LEFT(JHora!A52,FIND(" ",JHora!A52)))</f>
        <v>Bhrigu</v>
      </c>
      <c r="B27" s="805" t="str">
        <f>MID(JHora!A52,FIND("'",JHora!A52)-8,2)</f>
        <v>22</v>
      </c>
      <c r="C27" s="805" t="str">
        <f>MID(JHora!A52,FIND("'",JHora!A52)-5,2)</f>
        <v>Pi</v>
      </c>
      <c r="D27" s="806">
        <f>MID(JHora!A52,FIND("'",JHora!A52)-2,2)+VALUE(MID(JHora!A52,FIND("'",JHora!A52)+2,5))/60</f>
        <v>29.4955</v>
      </c>
      <c r="E27" s="807" t="str">
        <f t="shared" si="0"/>
        <v>Uttara Bhadrapad</v>
      </c>
      <c r="F27" s="11" t="s">
        <v>1086</v>
      </c>
      <c r="G27" s="12">
        <f t="shared" si="1"/>
        <v>352.49159166666669</v>
      </c>
      <c r="H27" s="12">
        <f t="shared" si="15"/>
        <v>22.491591666666668</v>
      </c>
      <c r="I27" s="808" t="str">
        <f t="shared" si="3"/>
        <v>Sat</v>
      </c>
      <c r="J27" s="13"/>
      <c r="N27" s="1" t="str">
        <f t="shared" si="4"/>
        <v>vaiṣṇavī</v>
      </c>
      <c r="O27" s="1" t="str">
        <f t="shared" si="5"/>
        <v>वैष्णवी</v>
      </c>
      <c r="P27" s="1" t="str">
        <f t="shared" si="6"/>
        <v xml:space="preserve">viśve aja </v>
      </c>
      <c r="Q27" s="1" t="str">
        <f t="shared" si="7"/>
        <v xml:space="preserve">विश्वे अज </v>
      </c>
      <c r="R27" s="1" t="str">
        <f t="shared" si="8"/>
        <v>8 s 29:53:57</v>
      </c>
      <c r="S27" s="1">
        <f t="shared" si="9"/>
        <v>113</v>
      </c>
      <c r="T27" s="1">
        <f t="shared" si="10"/>
        <v>38</v>
      </c>
      <c r="U27" s="1" t="str">
        <f t="shared" si="11"/>
        <v>viśvā</v>
      </c>
    </row>
    <row r="28" spans="1:21" x14ac:dyDescent="0.2">
      <c r="A28" s="1" t="str">
        <f>TRIM(LEFT(JHora!A53,FIND(" ",JHora!A53)))</f>
        <v>Dhooma</v>
      </c>
      <c r="B28" s="805" t="str">
        <f>MID(JHora!A53,FIND("'",JHora!A53)-8,2)</f>
        <v>15</v>
      </c>
      <c r="C28" s="805" t="str">
        <f>MID(JHora!A53,FIND("'",JHora!A53)-5,2)</f>
        <v>Sc</v>
      </c>
      <c r="D28" s="806">
        <f>MID(JHora!A53,FIND("'",JHora!A53)-2,2)+VALUE(MID(JHora!A53,FIND("'",JHora!A53)+2,5))/60</f>
        <v>43.952166666666663</v>
      </c>
      <c r="E28" s="807" t="str">
        <f t="shared" si="0"/>
        <v>Anuradha</v>
      </c>
      <c r="F28" s="11" t="s">
        <v>1086</v>
      </c>
      <c r="G28" s="12">
        <f t="shared" si="1"/>
        <v>225.7325361111111</v>
      </c>
      <c r="H28" s="12">
        <f t="shared" si="15"/>
        <v>15.732536111111111</v>
      </c>
      <c r="I28" s="808" t="str">
        <f t="shared" si="3"/>
        <v>Sat</v>
      </c>
      <c r="J28" s="13"/>
      <c r="N28" s="1" t="str">
        <f t="shared" si="4"/>
        <v>piṅgalā</v>
      </c>
      <c r="O28" s="1" t="str">
        <f t="shared" si="5"/>
        <v>पिङ्गला</v>
      </c>
      <c r="P28" s="1" t="str">
        <f t="shared" si="6"/>
        <v xml:space="preserve">maruta </v>
      </c>
      <c r="Q28" s="1" t="str">
        <f t="shared" si="7"/>
        <v xml:space="preserve">मरुत </v>
      </c>
      <c r="R28" s="1" t="str">
        <f t="shared" si="8"/>
        <v>6 s 08:47:26</v>
      </c>
      <c r="S28" s="1">
        <f t="shared" si="9"/>
        <v>79</v>
      </c>
      <c r="T28" s="1">
        <f t="shared" si="10"/>
        <v>72</v>
      </c>
      <c r="U28" s="1" t="str">
        <f t="shared" si="11"/>
        <v>sudhāmṛtāṁśuḥ</v>
      </c>
    </row>
    <row r="29" spans="1:21" x14ac:dyDescent="0.2">
      <c r="A29" s="1" t="str">
        <f>TRIM(LEFT(JHora!A54,FIND(" ",JHora!A54)))</f>
        <v>Vyatipata</v>
      </c>
      <c r="B29" s="805" t="str">
        <f>MID(JHora!A54,FIND("'",JHora!A54)-8,2)</f>
        <v>14</v>
      </c>
      <c r="C29" s="805" t="str">
        <f>MID(JHora!A54,FIND("'",JHora!A54)-5,2)</f>
        <v>Le</v>
      </c>
      <c r="D29" s="806">
        <f>MID(JHora!A54,FIND("'",JHora!A54)-2,2)+VALUE(MID(JHora!A54,FIND("'",JHora!A54)+2,5))/60</f>
        <v>16.047833333333333</v>
      </c>
      <c r="E29" s="807" t="str">
        <f t="shared" si="0"/>
        <v>Purva Phalguni</v>
      </c>
      <c r="F29" s="11" t="s">
        <v>1086</v>
      </c>
      <c r="G29" s="12">
        <f t="shared" si="1"/>
        <v>134.2674638888889</v>
      </c>
      <c r="H29" s="12">
        <f t="shared" si="15"/>
        <v>14.267463888888889</v>
      </c>
      <c r="I29" s="808" t="str">
        <f t="shared" si="3"/>
        <v>Venus</v>
      </c>
      <c r="J29" s="13"/>
      <c r="N29" s="1" t="str">
        <f t="shared" si="4"/>
        <v>śvetā</v>
      </c>
      <c r="O29" s="1" t="str">
        <f t="shared" si="5"/>
        <v>श्वेता</v>
      </c>
      <c r="P29" s="1" t="str">
        <f t="shared" si="6"/>
        <v xml:space="preserve">arka </v>
      </c>
      <c r="Q29" s="1" t="str">
        <f t="shared" si="7"/>
        <v xml:space="preserve">अर्क </v>
      </c>
      <c r="R29" s="1" t="str">
        <f t="shared" si="8"/>
        <v>5 s 21:12:34</v>
      </c>
      <c r="S29" s="1">
        <f t="shared" si="9"/>
        <v>72</v>
      </c>
      <c r="T29" s="1">
        <f t="shared" si="10"/>
        <v>79</v>
      </c>
      <c r="U29" s="1" t="str">
        <f t="shared" si="11"/>
        <v>śobhā</v>
      </c>
    </row>
    <row r="30" spans="1:21" x14ac:dyDescent="0.2">
      <c r="A30" s="1" t="str">
        <f>TRIM(LEFT(JHora!A55,FIND(" ",JHora!A55)))</f>
        <v>Parivesha</v>
      </c>
      <c r="B30" s="805" t="str">
        <f>MID(JHora!A55,FIND("'",JHora!A55)-8,2)</f>
        <v>14</v>
      </c>
      <c r="C30" s="805" t="str">
        <f>MID(JHora!A55,FIND("'",JHora!A55)-5,2)</f>
        <v>Aq</v>
      </c>
      <c r="D30" s="806">
        <f>MID(JHora!A55,FIND("'",JHora!A55)-2,2)+VALUE(MID(JHora!A55,FIND("'",JHora!A55)+2,5))/60</f>
        <v>16.047833333333333</v>
      </c>
      <c r="E30" s="807" t="str">
        <f t="shared" si="0"/>
        <v>Dhanistha</v>
      </c>
      <c r="F30" s="11" t="s">
        <v>1086</v>
      </c>
      <c r="G30" s="12">
        <f t="shared" si="1"/>
        <v>314.26746388888887</v>
      </c>
      <c r="H30" s="12">
        <f t="shared" si="15"/>
        <v>14.267463888888889</v>
      </c>
      <c r="I30" s="808" t="str">
        <f t="shared" si="3"/>
        <v>Mars</v>
      </c>
      <c r="J30" s="13"/>
      <c r="N30" s="1" t="str">
        <f t="shared" si="4"/>
        <v>śvetā</v>
      </c>
      <c r="O30" s="1" t="str">
        <f t="shared" si="5"/>
        <v>श्वेता</v>
      </c>
      <c r="P30" s="1" t="str">
        <f t="shared" si="6"/>
        <v xml:space="preserve">arka </v>
      </c>
      <c r="Q30" s="1" t="str">
        <f t="shared" si="7"/>
        <v xml:space="preserve">अर्क </v>
      </c>
      <c r="R30" s="1" t="str">
        <f t="shared" si="8"/>
        <v>5 s 21:12:34</v>
      </c>
      <c r="S30" s="1">
        <f t="shared" si="9"/>
        <v>72</v>
      </c>
      <c r="T30" s="1">
        <f t="shared" si="10"/>
        <v>79</v>
      </c>
      <c r="U30" s="1" t="str">
        <f t="shared" si="11"/>
        <v>śobhā</v>
      </c>
    </row>
    <row r="31" spans="1:21" x14ac:dyDescent="0.2">
      <c r="A31" s="19" t="s">
        <v>1099</v>
      </c>
      <c r="B31" s="20">
        <f t="shared" ref="B31:B41" si="16">FLOOR(MOD(G31,30),1)</f>
        <v>8</v>
      </c>
      <c r="C31" s="19" t="str">
        <f t="shared" ref="C31:C41" si="17">INDEX(RasiDeg,ROUNDUP(G31/30,0),1)</f>
        <v>Le</v>
      </c>
      <c r="D31" s="20">
        <f t="shared" ref="D31:D41" si="18">ROUND((MOD(G31,30)-B31)*60,1)</f>
        <v>8.5</v>
      </c>
      <c r="E31" s="811" t="str">
        <f t="shared" si="0"/>
        <v>Magha</v>
      </c>
      <c r="F31" s="19"/>
      <c r="G31" s="22">
        <f>MOD(((MOD(G9,StarDeg)/StarDeg)*360)+G7,360)</f>
        <v>128.14201666666656</v>
      </c>
      <c r="H31" s="12">
        <f t="shared" si="15"/>
        <v>8.1416666666666675</v>
      </c>
      <c r="I31" s="808" t="str">
        <f t="shared" si="3"/>
        <v>Ketu</v>
      </c>
    </row>
    <row r="32" spans="1:21" x14ac:dyDescent="0.2">
      <c r="A32" s="19" t="s">
        <v>1100</v>
      </c>
      <c r="B32" s="20">
        <f t="shared" si="16"/>
        <v>24</v>
      </c>
      <c r="C32" s="19" t="str">
        <f t="shared" si="17"/>
        <v>Pi</v>
      </c>
      <c r="D32" s="20">
        <f t="shared" si="18"/>
        <v>11.1</v>
      </c>
      <c r="E32" s="811" t="str">
        <f t="shared" si="0"/>
        <v>Uttara Bhadrapad</v>
      </c>
      <c r="F32" s="19"/>
      <c r="G32" s="22">
        <f>MOD(IF(MOD(INT(G7/30)+INT(G18/30),2)=1,(MOD(INT(G7/30),2)*360-G7)+(MOD(INT(G18/30),2)*360-G18),G7+G18),360)</f>
        <v>354.18438055555555</v>
      </c>
      <c r="H32" s="12">
        <f t="shared" si="15"/>
        <v>24.184999999999999</v>
      </c>
      <c r="I32" s="808" t="str">
        <f t="shared" si="3"/>
        <v>Sat</v>
      </c>
    </row>
    <row r="33" spans="1:14" x14ac:dyDescent="0.2">
      <c r="A33" s="19" t="s">
        <v>1100</v>
      </c>
      <c r="B33" s="20">
        <f t="shared" si="16"/>
        <v>24</v>
      </c>
      <c r="C33" s="19" t="str">
        <f t="shared" si="17"/>
        <v>Aq</v>
      </c>
      <c r="D33" s="20">
        <f t="shared" si="18"/>
        <v>3.1</v>
      </c>
      <c r="E33" s="811" t="str">
        <f t="shared" si="0"/>
        <v>Satabishak</v>
      </c>
      <c r="F33" s="19"/>
      <c r="G33" s="22">
        <f>M33</f>
        <v>324.05170555555554</v>
      </c>
      <c r="H33" s="12">
        <f>B33+D33/60</f>
        <v>24.051666666666666</v>
      </c>
      <c r="I33" s="808" t="str">
        <f>INDEX(NakshatraTbl,INT(G33*0.075)+1,3)</f>
        <v>Rahu</v>
      </c>
      <c r="J33" s="1">
        <f>IF(MOD(INT(Lagna/30),2),360-Lagna,Lagna)</f>
        <v>136.71151666666665</v>
      </c>
      <c r="K33" s="1">
        <f>IF(MOD(INT(HoraLagna/30),2),360-HoraLagna,HoraLagna)</f>
        <v>187.34018888888889</v>
      </c>
      <c r="L33" s="1">
        <f>MOD(IF(MOD(INT(J33/30)+INT(K33/30),2),ABS(J33-K33),J33+K33),360)</f>
        <v>324.05170555555554</v>
      </c>
      <c r="M33" s="1">
        <f>IF(MOD(INT(L33/30),2),360-L33,L33)</f>
        <v>324.05170555555554</v>
      </c>
    </row>
    <row r="34" spans="1:14" x14ac:dyDescent="0.2">
      <c r="A34" s="12" t="s">
        <v>1101</v>
      </c>
      <c r="B34" s="20">
        <f t="shared" si="16"/>
        <v>16</v>
      </c>
      <c r="C34" s="19" t="str">
        <f t="shared" si="17"/>
        <v>Cn</v>
      </c>
      <c r="D34" s="23">
        <f t="shared" si="18"/>
        <v>21</v>
      </c>
      <c r="E34" s="811" t="str">
        <f t="shared" si="0"/>
        <v>Pushya</v>
      </c>
      <c r="F34" s="19"/>
      <c r="G34" s="12">
        <f>MOD(MoonDeg+4*StarDeg,360)</f>
        <v>106.34927777777779</v>
      </c>
      <c r="H34" s="12">
        <f t="shared" si="15"/>
        <v>16.350000000000001</v>
      </c>
      <c r="I34" s="808" t="str">
        <f t="shared" si="3"/>
        <v>Sat</v>
      </c>
    </row>
    <row r="35" spans="1:14" x14ac:dyDescent="0.2">
      <c r="A35" s="19" t="s">
        <v>1102</v>
      </c>
      <c r="B35" s="20">
        <f t="shared" si="16"/>
        <v>3</v>
      </c>
      <c r="C35" s="19" t="str">
        <f t="shared" si="17"/>
        <v>Cn</v>
      </c>
      <c r="D35" s="20">
        <f t="shared" si="18"/>
        <v>1</v>
      </c>
      <c r="E35" s="811" t="str">
        <f t="shared" si="0"/>
        <v>Punarvasu</v>
      </c>
      <c r="F35" s="19"/>
      <c r="G35" s="12">
        <f>MOD(MoonDeg+3*StarDeg,360)</f>
        <v>93.015944444444443</v>
      </c>
      <c r="H35" s="12">
        <f t="shared" si="15"/>
        <v>3.0166666666666666</v>
      </c>
      <c r="I35" s="808" t="str">
        <f t="shared" si="3"/>
        <v>Jupiter</v>
      </c>
      <c r="K35" s="1" t="s">
        <v>1103</v>
      </c>
    </row>
    <row r="36" spans="1:14" x14ac:dyDescent="0.2">
      <c r="A36" s="24" t="s">
        <v>1104</v>
      </c>
      <c r="B36" s="25">
        <f t="shared" si="16"/>
        <v>25</v>
      </c>
      <c r="C36" s="24" t="str">
        <f t="shared" si="17"/>
        <v>Le</v>
      </c>
      <c r="D36" s="25">
        <f t="shared" si="18"/>
        <v>24.9</v>
      </c>
      <c r="E36" s="812" t="str">
        <f t="shared" si="0"/>
        <v>Purva Phalguni</v>
      </c>
      <c r="F36" s="24" t="str">
        <f>INDEX(PanchangaYoga,INT((MOD(360+G36,360))*0.075)+1,2)</f>
        <v>Vriddhi</v>
      </c>
      <c r="G36" s="17">
        <f>MOD(SunDeg+MoonDeg,360)</f>
        <v>145.41514722222223</v>
      </c>
      <c r="H36" s="17">
        <f t="shared" si="15"/>
        <v>25.414999999999999</v>
      </c>
      <c r="I36" s="810" t="str">
        <f t="shared" si="3"/>
        <v>Venus</v>
      </c>
      <c r="J36" s="26"/>
      <c r="L36" s="26"/>
    </row>
    <row r="37" spans="1:14" x14ac:dyDescent="0.2">
      <c r="A37" s="24" t="s">
        <v>1105</v>
      </c>
      <c r="B37" s="25">
        <f t="shared" si="16"/>
        <v>28</v>
      </c>
      <c r="C37" s="24" t="str">
        <f t="shared" si="17"/>
        <v>Sc</v>
      </c>
      <c r="D37" s="25">
        <f t="shared" si="18"/>
        <v>44.9</v>
      </c>
      <c r="E37" s="812" t="str">
        <f t="shared" si="0"/>
        <v>Jyeshtha</v>
      </c>
      <c r="F37" s="24" t="str">
        <f>INDEX(PanchangaYoga,INT((MOD(360+G37-PushyaDegree,360))*0.075)+1,2)</f>
        <v>Vriddhi</v>
      </c>
      <c r="G37" s="17">
        <f>MOD(SunDeg+MoonDeg+PushyaDegree,360)</f>
        <v>238.74848055555555</v>
      </c>
      <c r="H37" s="17">
        <f t="shared" si="15"/>
        <v>28.748333333333335</v>
      </c>
      <c r="I37" s="810" t="str">
        <f t="shared" si="3"/>
        <v>Merc</v>
      </c>
      <c r="J37" s="1494" t="s">
        <v>1106</v>
      </c>
      <c r="K37" s="1495"/>
      <c r="L37" s="1495"/>
      <c r="M37" s="1495"/>
      <c r="N37" s="1495"/>
    </row>
    <row r="38" spans="1:14" x14ac:dyDescent="0.2">
      <c r="A38" s="24" t="s">
        <v>1107</v>
      </c>
      <c r="B38" s="25">
        <f t="shared" si="16"/>
        <v>5</v>
      </c>
      <c r="C38" s="24" t="str">
        <f t="shared" si="17"/>
        <v>Ge</v>
      </c>
      <c r="D38" s="25">
        <f t="shared" si="18"/>
        <v>24.9</v>
      </c>
      <c r="E38" s="812" t="str">
        <f t="shared" si="0"/>
        <v>Mrigashira</v>
      </c>
      <c r="F38" s="24" t="str">
        <f>INDEX(PanchangaYoga,INT(14*StarDeg*0.075)+1,2)</f>
        <v>Vajra</v>
      </c>
      <c r="G38" s="17">
        <f>MOD(YogiDeg+14*StarDeg,360)</f>
        <v>65.415147222222231</v>
      </c>
      <c r="H38" s="17">
        <f t="shared" si="15"/>
        <v>5.415</v>
      </c>
      <c r="I38" s="810" t="str">
        <f t="shared" si="3"/>
        <v>Mars</v>
      </c>
    </row>
    <row r="39" spans="1:14" x14ac:dyDescent="0.2">
      <c r="A39" s="19" t="s">
        <v>1108</v>
      </c>
      <c r="B39" s="20">
        <f t="shared" si="16"/>
        <v>24</v>
      </c>
      <c r="C39" s="19" t="str">
        <f t="shared" si="17"/>
        <v>Ar</v>
      </c>
      <c r="D39" s="20">
        <f t="shared" si="18"/>
        <v>22</v>
      </c>
      <c r="E39" s="811" t="str">
        <f t="shared" si="0"/>
        <v>Bharani</v>
      </c>
      <c r="F39" s="19"/>
      <c r="G39" s="12">
        <f>MOD(G8+G15,360)</f>
        <v>24.366441666666674</v>
      </c>
      <c r="H39" s="12">
        <f t="shared" si="15"/>
        <v>24.366666666666667</v>
      </c>
      <c r="I39" s="808" t="str">
        <f t="shared" si="3"/>
        <v>Venus</v>
      </c>
    </row>
    <row r="40" spans="1:14" x14ac:dyDescent="0.2">
      <c r="A40" s="19" t="s">
        <v>1109</v>
      </c>
      <c r="B40" s="20">
        <f t="shared" si="16"/>
        <v>12</v>
      </c>
      <c r="C40" s="19" t="str">
        <f t="shared" si="17"/>
        <v>Le</v>
      </c>
      <c r="D40" s="20">
        <f t="shared" si="18"/>
        <v>17.100000000000001</v>
      </c>
      <c r="E40" s="811" t="str">
        <f t="shared" si="0"/>
        <v>Magha</v>
      </c>
      <c r="F40" s="19"/>
      <c r="G40" s="12">
        <f>MOD(G8+G14,360)</f>
        <v>132.28441388888888</v>
      </c>
      <c r="H40" s="12">
        <f t="shared" si="15"/>
        <v>12.285</v>
      </c>
      <c r="I40" s="808" t="str">
        <f t="shared" si="3"/>
        <v>Ketu</v>
      </c>
    </row>
    <row r="41" spans="1:14" x14ac:dyDescent="0.2">
      <c r="A41" s="19" t="s">
        <v>1110</v>
      </c>
      <c r="B41" s="20">
        <f t="shared" si="16"/>
        <v>23</v>
      </c>
      <c r="C41" s="19" t="str">
        <f t="shared" si="17"/>
        <v>Vi</v>
      </c>
      <c r="D41" s="20">
        <f t="shared" si="18"/>
        <v>56.4</v>
      </c>
      <c r="E41" s="811" t="str">
        <f t="shared" si="0"/>
        <v>Chitra</v>
      </c>
      <c r="F41" s="19"/>
      <c r="G41" s="12">
        <f>MOD(G8+G13,360)</f>
        <v>173.93980555555555</v>
      </c>
      <c r="H41" s="12">
        <f t="shared" si="15"/>
        <v>23.94</v>
      </c>
      <c r="I41" s="808" t="str">
        <f t="shared" si="3"/>
        <v>Mars</v>
      </c>
      <c r="K41" s="1" t="e">
        <f>FIND(" - ",JHora!A32)</f>
        <v>#VALUE!</v>
      </c>
      <c r="L41" s="1" t="b">
        <f>ISERR(K41)</f>
        <v>1</v>
      </c>
    </row>
    <row r="42" spans="1:14" x14ac:dyDescent="0.2">
      <c r="A42" s="24" t="s">
        <v>1111</v>
      </c>
      <c r="B42" s="1496">
        <f>ROUNDUP(G42/12,0)</f>
        <v>-12</v>
      </c>
      <c r="C42" s="1496"/>
      <c r="D42" s="1496"/>
      <c r="E42" s="812"/>
      <c r="G42" s="17">
        <f>IF((Moon-Sun)&lt;0,-1*(180+(Moon-Sun)),Moon-Sun)</f>
        <v>-140.61674166666666</v>
      </c>
      <c r="H42" s="17"/>
      <c r="I42" s="810" t="str">
        <f>INDEX(Tithi,MOD(ABS(B42),8))</f>
        <v>Mercury</v>
      </c>
      <c r="J42" s="26"/>
      <c r="K42" s="1" t="str">
        <f>LEFT(JHora!A33,FIND(" - ",JHora!A33))</f>
        <v xml:space="preserve">Sun </v>
      </c>
    </row>
    <row r="43" spans="1:14" x14ac:dyDescent="0.2">
      <c r="A43" s="24" t="s">
        <v>1112</v>
      </c>
      <c r="B43" s="27">
        <f>ROUNDUP(MOD(D50*60,9),0)</f>
        <v>7</v>
      </c>
      <c r="C43" s="1497" t="str">
        <f>INDEX(GrahaOrder,B43)</f>
        <v>Saturn</v>
      </c>
      <c r="D43" s="1497"/>
      <c r="E43" s="812">
        <f>D50*60/24</f>
        <v>19.779513888897782</v>
      </c>
      <c r="G43" s="17">
        <f>MOD(Lagna*81,360)</f>
        <v>273.63284999999814</v>
      </c>
      <c r="H43" s="17"/>
      <c r="I43" s="810"/>
      <c r="J43" s="26"/>
      <c r="K43" s="1" t="str">
        <f>LEFT(JHora!A34,FIND(" - ",JHora!A34))</f>
        <v xml:space="preserve">Moon </v>
      </c>
    </row>
    <row r="44" spans="1:14" x14ac:dyDescent="0.2">
      <c r="A44" s="13" t="s">
        <v>1113</v>
      </c>
      <c r="B44" s="1498">
        <f>INT(DoB) +MOD(TIMEVALUE(TRIM(MID(JHora!A23,9,14))),1)</f>
        <v>26133.252280092591</v>
      </c>
      <c r="C44" s="1498"/>
      <c r="D44" s="1498"/>
      <c r="G44" s="12"/>
      <c r="H44" s="12"/>
      <c r="I44" s="808"/>
      <c r="K44" s="1" t="str">
        <f>LEFT(JHora!A35,FIND(" - ",JHora!A35))</f>
        <v xml:space="preserve">Mars (R) </v>
      </c>
    </row>
    <row r="45" spans="1:14" x14ac:dyDescent="0.2">
      <c r="A45" s="13" t="s">
        <v>1114</v>
      </c>
      <c r="B45" s="1498">
        <f>INT(DoB)+MOD(TIMEVALUE(TRIM(MID(JHora!A24,9,18))),1)</f>
        <v>26133.780752314815</v>
      </c>
      <c r="C45" s="1498"/>
      <c r="D45" s="1498"/>
      <c r="G45" s="12"/>
      <c r="H45" s="12"/>
      <c r="I45" s="808"/>
      <c r="K45" s="1" t="str">
        <f>LEFT(JHora!A36,FIND(" - ",JHora!A36))</f>
        <v xml:space="preserve">Mercury </v>
      </c>
    </row>
    <row r="46" spans="1:14" x14ac:dyDescent="0.2">
      <c r="A46" s="13" t="s">
        <v>1115</v>
      </c>
      <c r="B46" s="814">
        <f>MOD(DoB-SunRise+6,7)+1</f>
        <v>7.1318634259259852</v>
      </c>
      <c r="G46" s="12"/>
      <c r="H46" s="12"/>
      <c r="I46" s="808"/>
      <c r="K46" s="1" t="str">
        <f>LEFT(JHora!A37,FIND(" - ",JHora!A37))</f>
        <v xml:space="preserve">Jupiter (R) </v>
      </c>
    </row>
    <row r="47" spans="1:14" x14ac:dyDescent="0.2">
      <c r="A47" s="13" t="s">
        <v>1116</v>
      </c>
      <c r="B47" s="8">
        <f>SunRise+IF(DoB&lt;SunSet,INDEX(Mandi,B46+2,2)/30*D48,D48+INDEX(Mandi,B46+2,2)/30*D49)/60</f>
        <v>26133.287511574072</v>
      </c>
      <c r="C47" s="1" t="s">
        <v>1117</v>
      </c>
      <c r="D47" s="1">
        <f>IF(DoB&lt;(INT(DoB)+SunSet),INDEX(Mandi,B46+2,2)/30*D48,D48+INDEX(Mandi,B46+2,2)/30*D49)</f>
        <v>2.1138888888963265</v>
      </c>
      <c r="E47" s="1" t="s">
        <v>1118</v>
      </c>
      <c r="G47" s="12"/>
      <c r="H47" s="12"/>
      <c r="I47" s="808"/>
    </row>
    <row r="48" spans="1:14" x14ac:dyDescent="0.2">
      <c r="A48" s="13" t="s">
        <v>1119</v>
      </c>
      <c r="B48" s="813">
        <f>(SunSet-SunRise)</f>
        <v>0.52847222222408163</v>
      </c>
      <c r="D48" s="4">
        <f>(SunSet-SunRise)*60</f>
        <v>31.708333333444898</v>
      </c>
      <c r="E48" s="1" t="s">
        <v>1118</v>
      </c>
      <c r="G48" s="12"/>
      <c r="H48" s="12"/>
      <c r="I48" s="808"/>
    </row>
    <row r="49" spans="1:23" x14ac:dyDescent="0.2">
      <c r="A49" s="13" t="s">
        <v>1120</v>
      </c>
      <c r="B49" s="813">
        <f>1+B44-B45</f>
        <v>0.47152777777591837</v>
      </c>
      <c r="D49" s="4">
        <f>60-D48</f>
        <v>28.291666666555102</v>
      </c>
      <c r="E49" s="1" t="s">
        <v>1118</v>
      </c>
      <c r="G49" s="12"/>
      <c r="H49" s="12"/>
      <c r="I49" s="808"/>
    </row>
    <row r="50" spans="1:23" x14ac:dyDescent="0.2">
      <c r="A50" s="13" t="s">
        <v>1121</v>
      </c>
      <c r="B50" s="815">
        <f>DoB-SunRise</f>
        <v>0.13186342592598521</v>
      </c>
      <c r="C50" s="816" t="s">
        <v>1117</v>
      </c>
      <c r="D50" s="29">
        <f>B50*60</f>
        <v>7.9118055555591127</v>
      </c>
      <c r="E50" s="1" t="s">
        <v>1118</v>
      </c>
      <c r="F50" s="30"/>
      <c r="G50" s="12"/>
      <c r="H50" s="12"/>
      <c r="I50" s="808"/>
    </row>
    <row r="51" spans="1:23" x14ac:dyDescent="0.2">
      <c r="A51" s="13" t="s">
        <v>1122</v>
      </c>
      <c r="B51" s="29">
        <f>B50/IF(DayBirth,B48/120,B49/120)</f>
        <v>29.942181340249764</v>
      </c>
      <c r="C51" s="816"/>
      <c r="D51" s="816"/>
      <c r="F51" s="30"/>
      <c r="G51" s="12"/>
      <c r="H51" s="12"/>
      <c r="I51" s="808"/>
    </row>
    <row r="52" spans="1:23" x14ac:dyDescent="0.2">
      <c r="A52" s="31" t="s">
        <v>1123</v>
      </c>
      <c r="B52" s="1489">
        <f>INT(DoB-AharganaBaseDate+Ahargana)</f>
        <v>714404096234</v>
      </c>
      <c r="C52" s="1489"/>
      <c r="D52" s="1489"/>
      <c r="E52" s="33" t="s">
        <v>1124</v>
      </c>
      <c r="F52" s="685">
        <f>B52-INT(B52/7)*7</f>
        <v>3</v>
      </c>
      <c r="G52" s="686"/>
      <c r="H52" s="8"/>
      <c r="I52" s="817"/>
    </row>
    <row r="53" spans="1:23" x14ac:dyDescent="0.2">
      <c r="A53" s="31" t="s">
        <v>1125</v>
      </c>
      <c r="B53" s="1">
        <f>IF(AND((DoB&gt;SunRise), (DoB&lt;SunSet)),1,0)</f>
        <v>1</v>
      </c>
      <c r="C53" s="818"/>
      <c r="D53" s="818"/>
      <c r="E53" s="33"/>
      <c r="F53" s="33"/>
      <c r="G53" s="8"/>
      <c r="H53" s="8"/>
      <c r="I53" s="817"/>
    </row>
    <row r="54" spans="1:23" x14ac:dyDescent="0.2">
      <c r="A54" s="31" t="s">
        <v>2997</v>
      </c>
      <c r="B54" s="771">
        <f>YEAR(C2)+3102</f>
        <v>5073</v>
      </c>
      <c r="C54" s="1" t="s">
        <v>2998</v>
      </c>
      <c r="D54" s="1">
        <f>DoB-"1 Jan 1980"+1822903</f>
        <v>1819815.3841435185</v>
      </c>
      <c r="E54" s="33" t="s">
        <v>1063</v>
      </c>
    </row>
    <row r="55" spans="1:23" s="1350" customFormat="1" x14ac:dyDescent="0.2">
      <c r="A55" s="31" t="s">
        <v>4608</v>
      </c>
      <c r="B55" s="771"/>
      <c r="E55" s="33"/>
    </row>
    <row r="57" spans="1:23" x14ac:dyDescent="0.2">
      <c r="A57" s="819" t="s">
        <v>1650</v>
      </c>
      <c r="B57" s="819" t="s">
        <v>1651</v>
      </c>
      <c r="C57" s="819" t="s">
        <v>1505</v>
      </c>
      <c r="D57" s="819" t="s">
        <v>1652</v>
      </c>
      <c r="E57" s="820" t="s">
        <v>1653</v>
      </c>
      <c r="F57" s="820" t="s">
        <v>1654</v>
      </c>
      <c r="G57" s="819" t="s">
        <v>1655</v>
      </c>
      <c r="H57" s="819" t="s">
        <v>1656</v>
      </c>
      <c r="I57" s="819" t="s">
        <v>1657</v>
      </c>
      <c r="J57" s="819" t="s">
        <v>1658</v>
      </c>
      <c r="K57" s="819" t="s">
        <v>1659</v>
      </c>
      <c r="L57" s="819" t="s">
        <v>1660</v>
      </c>
      <c r="M57" s="819" t="s">
        <v>1661</v>
      </c>
      <c r="N57" s="819" t="s">
        <v>1662</v>
      </c>
      <c r="O57" s="819" t="s">
        <v>1663</v>
      </c>
      <c r="P57" s="819" t="s">
        <v>1664</v>
      </c>
      <c r="Q57" s="819" t="s">
        <v>1665</v>
      </c>
      <c r="R57" s="819" t="s">
        <v>1666</v>
      </c>
      <c r="S57" s="821" t="s">
        <v>4632</v>
      </c>
      <c r="T57" s="821"/>
      <c r="U57" s="821"/>
      <c r="V57" s="821"/>
      <c r="W57" s="821"/>
    </row>
    <row r="58" spans="1:23" x14ac:dyDescent="0.2">
      <c r="A58" s="822" t="s">
        <v>1667</v>
      </c>
      <c r="B58" s="823">
        <f>Lagna</f>
        <v>136.71151666666665</v>
      </c>
      <c r="C58" s="808" t="str">
        <f t="shared" ref="C58:C68" si="19">INDEX(NakshatraTbl,INT(B58*0.075)+1,1)</f>
        <v>Purva Phalguni</v>
      </c>
      <c r="D58" s="808" t="str">
        <f t="shared" ref="D58:D68" si="20">INDEX(NakshatraTbl,INT(B58*0.075)+1,3)</f>
        <v>Venus</v>
      </c>
      <c r="E58" s="824" t="str">
        <f t="shared" ref="E58:E68" si="21">INDEX(RsTbl,F58)</f>
        <v>Le</v>
      </c>
      <c r="F58" s="825">
        <f t="shared" ref="F58:F68" si="22">INT(B58/30)+1</f>
        <v>5</v>
      </c>
      <c r="G58" s="826">
        <f t="shared" ref="G58:G68" si="23">INT(MOD(FLOOR(MOD(B58,30)/10,1)*120+B58,360)/30)+1</f>
        <v>9</v>
      </c>
      <c r="H58" s="827" t="str">
        <f t="shared" ref="H58:H68" si="24">INDEX(RsTbl,G58)</f>
        <v>Sg</v>
      </c>
      <c r="I58" s="826">
        <f t="shared" ref="I58:I68" si="25">INT(MOD(FLOOR(MOD(B58,30)/7.5,1)*90+B58,360)/30)+1</f>
        <v>11</v>
      </c>
      <c r="J58" s="827" t="str">
        <f t="shared" ref="J58:J68" si="26">INDEX(RsTbl,I58)</f>
        <v>Aq</v>
      </c>
      <c r="K58" s="826">
        <f t="shared" ref="K58:K68" si="27">INT(MOD(B58*7,360)/30)+1</f>
        <v>8</v>
      </c>
      <c r="L58" s="827" t="str">
        <f t="shared" ref="L58:L68" si="28">INDEX(RsTbl,K58)</f>
        <v>Sc</v>
      </c>
      <c r="M58" s="826">
        <f t="shared" ref="M58:M68" si="29">INT(MOD(B58*9,360)/30)+1</f>
        <v>6</v>
      </c>
      <c r="N58" s="827" t="str">
        <f t="shared" ref="N58:N68" si="30">INDEX(RsTbl,M58)</f>
        <v>Vi</v>
      </c>
      <c r="O58" s="826">
        <f t="shared" ref="O58:O68" si="31">INT(MOD(B58*10+INT(B58/30)*30+MOD(INT(B58/30),2)*270,360)/30)+1</f>
        <v>2</v>
      </c>
      <c r="P58" s="827" t="str">
        <f t="shared" ref="P58:P68" si="32">INDEX(RsTbl,O58)</f>
        <v>Ta</v>
      </c>
      <c r="Q58" s="826">
        <f t="shared" ref="Q58:Q68" si="33">INT(MOD((MOD(B58,30)/2.5)*30+INT(B58/30)*30,360)/30)+1</f>
        <v>11</v>
      </c>
      <c r="R58" s="827" t="str">
        <f t="shared" ref="R58:R68" si="34">INDEX(RsTbl,Q58)</f>
        <v>Aq</v>
      </c>
      <c r="S58" s="828">
        <f>(IF(MOD(F58,2),1,-1)*ROUNDUP(F58/2,0))</f>
        <v>3</v>
      </c>
      <c r="T58" s="828"/>
      <c r="U58" s="828"/>
      <c r="V58" s="828"/>
      <c r="W58" s="828"/>
    </row>
    <row r="59" spans="1:23" x14ac:dyDescent="0.2">
      <c r="A59" s="822" t="s">
        <v>1511</v>
      </c>
      <c r="B59" s="829">
        <f>Sun</f>
        <v>92.399202777777774</v>
      </c>
      <c r="C59" s="808" t="str">
        <f t="shared" si="19"/>
        <v>Punarvasu</v>
      </c>
      <c r="D59" s="808" t="str">
        <f t="shared" si="20"/>
        <v>Jupiter</v>
      </c>
      <c r="E59" s="824" t="str">
        <f t="shared" si="21"/>
        <v>Cn</v>
      </c>
      <c r="F59" s="825">
        <f t="shared" si="22"/>
        <v>4</v>
      </c>
      <c r="G59" s="826">
        <f t="shared" si="23"/>
        <v>4</v>
      </c>
      <c r="H59" s="827" t="str">
        <f t="shared" si="24"/>
        <v>Cn</v>
      </c>
      <c r="I59" s="826">
        <f t="shared" si="25"/>
        <v>4</v>
      </c>
      <c r="J59" s="827" t="str">
        <f t="shared" si="26"/>
        <v>Cn</v>
      </c>
      <c r="K59" s="826">
        <f t="shared" si="27"/>
        <v>10</v>
      </c>
      <c r="L59" s="827" t="str">
        <f t="shared" si="28"/>
        <v>Cp</v>
      </c>
      <c r="M59" s="826">
        <f t="shared" si="29"/>
        <v>4</v>
      </c>
      <c r="N59" s="827" t="str">
        <f t="shared" si="30"/>
        <v>Cn</v>
      </c>
      <c r="O59" s="826">
        <f t="shared" si="31"/>
        <v>7</v>
      </c>
      <c r="P59" s="827" t="str">
        <f t="shared" si="32"/>
        <v>Li</v>
      </c>
      <c r="Q59" s="826">
        <f t="shared" si="33"/>
        <v>4</v>
      </c>
      <c r="R59" s="827" t="str">
        <f t="shared" si="34"/>
        <v>Cn</v>
      </c>
      <c r="S59" s="828">
        <f t="shared" ref="S59:S68" si="35">(IF(MOD(F59,2),1,-1)*ROUNDUP(F59/2,0))</f>
        <v>-2</v>
      </c>
      <c r="T59" s="828"/>
      <c r="U59" s="828"/>
      <c r="V59" s="828"/>
      <c r="W59" s="828"/>
    </row>
    <row r="60" spans="1:23" x14ac:dyDescent="0.2">
      <c r="A60" s="822" t="s">
        <v>1512</v>
      </c>
      <c r="B60" s="829">
        <f>Moon</f>
        <v>53.015944444444443</v>
      </c>
      <c r="C60" s="808" t="str">
        <f t="shared" si="19"/>
        <v>Rohini</v>
      </c>
      <c r="D60" s="808" t="str">
        <f t="shared" si="20"/>
        <v>Moon</v>
      </c>
      <c r="E60" s="824" t="str">
        <f t="shared" si="21"/>
        <v>Ta</v>
      </c>
      <c r="F60" s="825">
        <f t="shared" si="22"/>
        <v>2</v>
      </c>
      <c r="G60" s="826">
        <f t="shared" si="23"/>
        <v>10</v>
      </c>
      <c r="H60" s="827" t="str">
        <f t="shared" si="24"/>
        <v>Cp</v>
      </c>
      <c r="I60" s="826">
        <f t="shared" si="25"/>
        <v>11</v>
      </c>
      <c r="J60" s="827" t="str">
        <f t="shared" si="26"/>
        <v>Aq</v>
      </c>
      <c r="K60" s="826">
        <f t="shared" si="27"/>
        <v>1</v>
      </c>
      <c r="L60" s="827" t="str">
        <f t="shared" si="28"/>
        <v>Ar</v>
      </c>
      <c r="M60" s="826">
        <f t="shared" si="29"/>
        <v>4</v>
      </c>
      <c r="N60" s="827" t="str">
        <f t="shared" si="30"/>
        <v>Cn</v>
      </c>
      <c r="O60" s="826">
        <f t="shared" si="31"/>
        <v>4</v>
      </c>
      <c r="P60" s="827" t="str">
        <f t="shared" si="32"/>
        <v>Cn</v>
      </c>
      <c r="Q60" s="826">
        <f t="shared" si="33"/>
        <v>11</v>
      </c>
      <c r="R60" s="827" t="str">
        <f t="shared" si="34"/>
        <v>Aq</v>
      </c>
      <c r="S60" s="828">
        <f t="shared" si="35"/>
        <v>-1</v>
      </c>
      <c r="T60" s="828"/>
      <c r="U60" s="828"/>
      <c r="V60" s="828"/>
      <c r="W60" s="828"/>
    </row>
    <row r="61" spans="1:23" x14ac:dyDescent="0.2">
      <c r="A61" s="822" t="s">
        <v>1513</v>
      </c>
      <c r="B61" s="823">
        <f>Mars</f>
        <v>298.10866388888888</v>
      </c>
      <c r="C61" s="808" t="str">
        <f t="shared" si="19"/>
        <v>Shravan</v>
      </c>
      <c r="D61" s="808" t="str">
        <f t="shared" si="20"/>
        <v>Moon</v>
      </c>
      <c r="E61" s="824" t="str">
        <f t="shared" si="21"/>
        <v>Cp</v>
      </c>
      <c r="F61" s="825">
        <f t="shared" si="22"/>
        <v>10</v>
      </c>
      <c r="G61" s="826">
        <f t="shared" si="23"/>
        <v>6</v>
      </c>
      <c r="H61" s="827" t="str">
        <f t="shared" si="24"/>
        <v>Vi</v>
      </c>
      <c r="I61" s="826">
        <f t="shared" si="25"/>
        <v>7</v>
      </c>
      <c r="J61" s="827" t="str">
        <f t="shared" si="26"/>
        <v>Li</v>
      </c>
      <c r="K61" s="826">
        <f t="shared" si="27"/>
        <v>10</v>
      </c>
      <c r="L61" s="827" t="str">
        <f t="shared" si="28"/>
        <v>Cp</v>
      </c>
      <c r="M61" s="826">
        <f t="shared" si="29"/>
        <v>6</v>
      </c>
      <c r="N61" s="827" t="str">
        <f t="shared" si="30"/>
        <v>Vi</v>
      </c>
      <c r="O61" s="826">
        <f t="shared" si="31"/>
        <v>10</v>
      </c>
      <c r="P61" s="827" t="str">
        <f t="shared" si="32"/>
        <v>Cp</v>
      </c>
      <c r="Q61" s="826">
        <f t="shared" si="33"/>
        <v>9</v>
      </c>
      <c r="R61" s="827" t="str">
        <f t="shared" si="34"/>
        <v>Sg</v>
      </c>
      <c r="S61" s="828">
        <f t="shared" si="35"/>
        <v>-5</v>
      </c>
      <c r="T61" s="828"/>
      <c r="U61" s="828"/>
      <c r="V61" s="828"/>
      <c r="W61" s="828"/>
    </row>
    <row r="62" spans="1:23" x14ac:dyDescent="0.2">
      <c r="A62" s="822" t="s">
        <v>1517</v>
      </c>
      <c r="B62" s="829">
        <f>Mercury</f>
        <v>117.12978611111112</v>
      </c>
      <c r="C62" s="808" t="str">
        <f t="shared" si="19"/>
        <v>Ashlesha</v>
      </c>
      <c r="D62" s="808" t="str">
        <f t="shared" si="20"/>
        <v>Merc</v>
      </c>
      <c r="E62" s="824" t="str">
        <f t="shared" si="21"/>
        <v>Cn</v>
      </c>
      <c r="F62" s="825">
        <f t="shared" si="22"/>
        <v>4</v>
      </c>
      <c r="G62" s="826">
        <f t="shared" si="23"/>
        <v>12</v>
      </c>
      <c r="H62" s="827" t="str">
        <f t="shared" si="24"/>
        <v>Pi</v>
      </c>
      <c r="I62" s="826">
        <f t="shared" si="25"/>
        <v>1</v>
      </c>
      <c r="J62" s="827" t="str">
        <f t="shared" si="26"/>
        <v>Ar</v>
      </c>
      <c r="K62" s="826">
        <f t="shared" si="27"/>
        <v>4</v>
      </c>
      <c r="L62" s="827" t="str">
        <f t="shared" si="28"/>
        <v>Cn</v>
      </c>
      <c r="M62" s="826">
        <f t="shared" si="29"/>
        <v>12</v>
      </c>
      <c r="N62" s="827" t="str">
        <f t="shared" si="30"/>
        <v>Pi</v>
      </c>
      <c r="O62" s="826">
        <f t="shared" si="31"/>
        <v>4</v>
      </c>
      <c r="P62" s="827" t="str">
        <f t="shared" si="32"/>
        <v>Cn</v>
      </c>
      <c r="Q62" s="826">
        <f t="shared" si="33"/>
        <v>2</v>
      </c>
      <c r="R62" s="827" t="str">
        <f t="shared" si="34"/>
        <v>Ta</v>
      </c>
      <c r="S62" s="828">
        <f t="shared" si="35"/>
        <v>-2</v>
      </c>
      <c r="T62" s="828"/>
      <c r="U62" s="828"/>
      <c r="V62" s="828"/>
      <c r="W62" s="828"/>
    </row>
    <row r="63" spans="1:23" x14ac:dyDescent="0.2">
      <c r="A63" s="822" t="s">
        <v>1515</v>
      </c>
      <c r="B63" s="823">
        <f>Jupiter</f>
        <v>213.19717499999999</v>
      </c>
      <c r="C63" s="808" t="str">
        <f t="shared" si="19"/>
        <v>Vishakha</v>
      </c>
      <c r="D63" s="808" t="str">
        <f t="shared" si="20"/>
        <v>Jupiter</v>
      </c>
      <c r="E63" s="824" t="str">
        <f t="shared" si="21"/>
        <v>Sc</v>
      </c>
      <c r="F63" s="825">
        <f t="shared" si="22"/>
        <v>8</v>
      </c>
      <c r="G63" s="826">
        <f t="shared" si="23"/>
        <v>8</v>
      </c>
      <c r="H63" s="827" t="str">
        <f t="shared" si="24"/>
        <v>Sc</v>
      </c>
      <c r="I63" s="826">
        <f t="shared" si="25"/>
        <v>8</v>
      </c>
      <c r="J63" s="827" t="str">
        <f t="shared" si="26"/>
        <v>Sc</v>
      </c>
      <c r="K63" s="826">
        <f t="shared" si="27"/>
        <v>2</v>
      </c>
      <c r="L63" s="827" t="str">
        <f t="shared" si="28"/>
        <v>Ta</v>
      </c>
      <c r="M63" s="826">
        <f t="shared" si="29"/>
        <v>4</v>
      </c>
      <c r="N63" s="827" t="str">
        <f t="shared" si="30"/>
        <v>Cn</v>
      </c>
      <c r="O63" s="826">
        <f t="shared" si="31"/>
        <v>4</v>
      </c>
      <c r="P63" s="827" t="str">
        <f t="shared" si="32"/>
        <v>Cn</v>
      </c>
      <c r="Q63" s="826">
        <f t="shared" si="33"/>
        <v>9</v>
      </c>
      <c r="R63" s="827" t="str">
        <f t="shared" si="34"/>
        <v>Sg</v>
      </c>
      <c r="S63" s="828">
        <f t="shared" si="35"/>
        <v>-4</v>
      </c>
      <c r="T63" s="828"/>
      <c r="U63" s="828"/>
      <c r="V63" s="828"/>
      <c r="W63" s="828"/>
    </row>
    <row r="64" spans="1:23" x14ac:dyDescent="0.2">
      <c r="A64" s="822" t="s">
        <v>1519</v>
      </c>
      <c r="B64" s="829">
        <f>Venus</f>
        <v>81.540602777777778</v>
      </c>
      <c r="C64" s="808" t="str">
        <f t="shared" si="19"/>
        <v>Punarvasu</v>
      </c>
      <c r="D64" s="808" t="str">
        <f t="shared" si="20"/>
        <v>Jupiter</v>
      </c>
      <c r="E64" s="824" t="str">
        <f t="shared" si="21"/>
        <v>Ge</v>
      </c>
      <c r="F64" s="825">
        <f t="shared" si="22"/>
        <v>3</v>
      </c>
      <c r="G64" s="826">
        <f t="shared" si="23"/>
        <v>11</v>
      </c>
      <c r="H64" s="827" t="str">
        <f t="shared" si="24"/>
        <v>Aq</v>
      </c>
      <c r="I64" s="826">
        <f t="shared" si="25"/>
        <v>9</v>
      </c>
      <c r="J64" s="827" t="str">
        <f t="shared" si="26"/>
        <v>Sg</v>
      </c>
      <c r="K64" s="826">
        <f t="shared" si="27"/>
        <v>8</v>
      </c>
      <c r="L64" s="827" t="str">
        <f t="shared" si="28"/>
        <v>Sc</v>
      </c>
      <c r="M64" s="826">
        <f t="shared" si="29"/>
        <v>1</v>
      </c>
      <c r="N64" s="827" t="str">
        <f t="shared" si="30"/>
        <v>Ar</v>
      </c>
      <c r="O64" s="826">
        <f t="shared" si="31"/>
        <v>6</v>
      </c>
      <c r="P64" s="827" t="str">
        <f t="shared" si="32"/>
        <v>Vi</v>
      </c>
      <c r="Q64" s="826">
        <f t="shared" si="33"/>
        <v>11</v>
      </c>
      <c r="R64" s="827" t="str">
        <f t="shared" si="34"/>
        <v>Aq</v>
      </c>
      <c r="S64" s="828">
        <f t="shared" si="35"/>
        <v>2</v>
      </c>
      <c r="T64" s="828"/>
      <c r="U64" s="828"/>
      <c r="V64" s="828"/>
      <c r="W64" s="828"/>
    </row>
    <row r="65" spans="1:26" x14ac:dyDescent="0.2">
      <c r="A65" s="822" t="s">
        <v>1516</v>
      </c>
      <c r="B65" s="823">
        <f>Saturn</f>
        <v>39.885211111111111</v>
      </c>
      <c r="C65" s="808" t="str">
        <f t="shared" si="19"/>
        <v>Kritika</v>
      </c>
      <c r="D65" s="808" t="str">
        <f t="shared" si="20"/>
        <v>Sun</v>
      </c>
      <c r="E65" s="824" t="str">
        <f t="shared" si="21"/>
        <v>Ta</v>
      </c>
      <c r="F65" s="825">
        <f t="shared" si="22"/>
        <v>2</v>
      </c>
      <c r="G65" s="826">
        <f t="shared" si="23"/>
        <v>2</v>
      </c>
      <c r="H65" s="827" t="str">
        <f t="shared" si="24"/>
        <v>Ta</v>
      </c>
      <c r="I65" s="826">
        <f t="shared" si="25"/>
        <v>5</v>
      </c>
      <c r="J65" s="827" t="str">
        <f t="shared" si="26"/>
        <v>Le</v>
      </c>
      <c r="K65" s="826">
        <f t="shared" si="27"/>
        <v>10</v>
      </c>
      <c r="L65" s="827" t="str">
        <f t="shared" si="28"/>
        <v>Cp</v>
      </c>
      <c r="M65" s="826">
        <f t="shared" si="29"/>
        <v>12</v>
      </c>
      <c r="N65" s="827" t="str">
        <f t="shared" si="30"/>
        <v>Pi</v>
      </c>
      <c r="O65" s="826">
        <f t="shared" si="31"/>
        <v>12</v>
      </c>
      <c r="P65" s="827" t="str">
        <f t="shared" si="32"/>
        <v>Pi</v>
      </c>
      <c r="Q65" s="826">
        <f t="shared" si="33"/>
        <v>5</v>
      </c>
      <c r="R65" s="827" t="str">
        <f t="shared" si="34"/>
        <v>Le</v>
      </c>
      <c r="S65" s="828">
        <f t="shared" si="35"/>
        <v>-1</v>
      </c>
      <c r="T65" s="828"/>
      <c r="U65" s="828"/>
      <c r="V65" s="828"/>
      <c r="W65" s="828"/>
    </row>
    <row r="66" spans="1:26" x14ac:dyDescent="0.2">
      <c r="A66" s="822" t="s">
        <v>1514</v>
      </c>
      <c r="B66" s="823">
        <f>Rahu</f>
        <v>291.96723888888891</v>
      </c>
      <c r="C66" s="808" t="str">
        <f t="shared" si="19"/>
        <v>Abhijit</v>
      </c>
      <c r="D66" s="808" t="str">
        <f t="shared" si="20"/>
        <v>Sun</v>
      </c>
      <c r="E66" s="824" t="str">
        <f t="shared" si="21"/>
        <v>Cp</v>
      </c>
      <c r="F66" s="825">
        <f t="shared" si="22"/>
        <v>10</v>
      </c>
      <c r="G66" s="826">
        <f t="shared" si="23"/>
        <v>6</v>
      </c>
      <c r="H66" s="827" t="str">
        <f t="shared" si="24"/>
        <v>Vi</v>
      </c>
      <c r="I66" s="826">
        <f t="shared" si="25"/>
        <v>4</v>
      </c>
      <c r="J66" s="827" t="str">
        <f t="shared" si="26"/>
        <v>Cn</v>
      </c>
      <c r="K66" s="826">
        <f t="shared" si="27"/>
        <v>9</v>
      </c>
      <c r="L66" s="827" t="str">
        <f t="shared" si="28"/>
        <v>Sg</v>
      </c>
      <c r="M66" s="826">
        <f t="shared" si="29"/>
        <v>4</v>
      </c>
      <c r="N66" s="827" t="str">
        <f t="shared" si="30"/>
        <v>Cn</v>
      </c>
      <c r="O66" s="826">
        <f t="shared" si="31"/>
        <v>8</v>
      </c>
      <c r="P66" s="827" t="str">
        <f t="shared" si="32"/>
        <v>Sc</v>
      </c>
      <c r="Q66" s="826">
        <f t="shared" si="33"/>
        <v>6</v>
      </c>
      <c r="R66" s="827" t="str">
        <f t="shared" si="34"/>
        <v>Vi</v>
      </c>
      <c r="S66" s="828">
        <f t="shared" si="35"/>
        <v>-5</v>
      </c>
      <c r="T66" s="828"/>
      <c r="U66" s="828"/>
      <c r="V66" s="828"/>
      <c r="W66" s="828"/>
    </row>
    <row r="67" spans="1:26" x14ac:dyDescent="0.2">
      <c r="A67" s="822" t="s">
        <v>1518</v>
      </c>
      <c r="B67" s="823">
        <f>Ketu</f>
        <v>111.96723888888889</v>
      </c>
      <c r="C67" s="808" t="str">
        <f t="shared" si="19"/>
        <v>Ashlesha</v>
      </c>
      <c r="D67" s="808" t="str">
        <f t="shared" si="20"/>
        <v>Merc</v>
      </c>
      <c r="E67" s="824" t="str">
        <f t="shared" si="21"/>
        <v>Cn</v>
      </c>
      <c r="F67" s="825">
        <f t="shared" si="22"/>
        <v>4</v>
      </c>
      <c r="G67" s="826">
        <f t="shared" si="23"/>
        <v>12</v>
      </c>
      <c r="H67" s="827" t="str">
        <f t="shared" si="24"/>
        <v>Pi</v>
      </c>
      <c r="I67" s="826">
        <f t="shared" si="25"/>
        <v>10</v>
      </c>
      <c r="J67" s="827" t="str">
        <f t="shared" si="26"/>
        <v>Cp</v>
      </c>
      <c r="K67" s="826">
        <f t="shared" si="27"/>
        <v>3</v>
      </c>
      <c r="L67" s="827" t="str">
        <f t="shared" si="28"/>
        <v>Ge</v>
      </c>
      <c r="M67" s="826">
        <f t="shared" si="29"/>
        <v>10</v>
      </c>
      <c r="N67" s="827" t="str">
        <f t="shared" si="30"/>
        <v>Cp</v>
      </c>
      <c r="O67" s="826">
        <f t="shared" si="31"/>
        <v>2</v>
      </c>
      <c r="P67" s="827" t="str">
        <f t="shared" si="32"/>
        <v>Ta</v>
      </c>
      <c r="Q67" s="826">
        <f t="shared" si="33"/>
        <v>12</v>
      </c>
      <c r="R67" s="827" t="str">
        <f t="shared" si="34"/>
        <v>Pi</v>
      </c>
      <c r="S67" s="828">
        <f t="shared" si="35"/>
        <v>-2</v>
      </c>
      <c r="T67" s="828"/>
      <c r="U67" s="828"/>
      <c r="V67" s="828"/>
      <c r="W67" s="828"/>
    </row>
    <row r="68" spans="1:26" x14ac:dyDescent="0.2">
      <c r="A68" s="822" t="s">
        <v>1668</v>
      </c>
      <c r="B68" s="829">
        <f>Basics!G32</f>
        <v>354.18438055555555</v>
      </c>
      <c r="C68" s="808" t="str">
        <f t="shared" si="19"/>
        <v>Uttara Bhadrapad</v>
      </c>
      <c r="D68" s="808" t="str">
        <f t="shared" si="20"/>
        <v>Sat</v>
      </c>
      <c r="E68" s="830" t="str">
        <f t="shared" si="21"/>
        <v>Pi</v>
      </c>
      <c r="F68" s="831">
        <f t="shared" si="22"/>
        <v>12</v>
      </c>
      <c r="G68" s="826">
        <f t="shared" si="23"/>
        <v>8</v>
      </c>
      <c r="H68" s="827" t="str">
        <f t="shared" si="24"/>
        <v>Sc</v>
      </c>
      <c r="I68" s="826">
        <f t="shared" si="25"/>
        <v>9</v>
      </c>
      <c r="J68" s="827" t="str">
        <f t="shared" si="26"/>
        <v>Sg</v>
      </c>
      <c r="K68" s="826">
        <f t="shared" si="27"/>
        <v>11</v>
      </c>
      <c r="L68" s="827" t="str">
        <f t="shared" si="28"/>
        <v>Aq</v>
      </c>
      <c r="M68" s="826">
        <f t="shared" si="29"/>
        <v>11</v>
      </c>
      <c r="N68" s="827" t="str">
        <f t="shared" si="30"/>
        <v>Aq</v>
      </c>
      <c r="O68" s="826">
        <f t="shared" si="31"/>
        <v>7</v>
      </c>
      <c r="P68" s="827" t="str">
        <f t="shared" si="32"/>
        <v>Li</v>
      </c>
      <c r="Q68" s="826">
        <f t="shared" si="33"/>
        <v>9</v>
      </c>
      <c r="R68" s="827" t="str">
        <f t="shared" si="34"/>
        <v>Sg</v>
      </c>
      <c r="S68" s="828">
        <f t="shared" si="35"/>
        <v>-6</v>
      </c>
      <c r="T68" s="828"/>
      <c r="U68" s="828"/>
      <c r="V68" s="828"/>
      <c r="W68" s="828"/>
    </row>
    <row r="69" spans="1:26" x14ac:dyDescent="0.2">
      <c r="D69" s="832"/>
      <c r="E69" s="832"/>
      <c r="F69" s="832"/>
      <c r="G69" s="832"/>
      <c r="H69" s="832"/>
      <c r="I69" s="832"/>
      <c r="J69" s="832"/>
      <c r="K69" s="832"/>
      <c r="L69" s="832"/>
      <c r="M69" s="832"/>
      <c r="N69" s="832"/>
      <c r="O69" s="832"/>
      <c r="P69" s="832"/>
      <c r="Q69" s="832"/>
      <c r="R69" s="832"/>
      <c r="S69" s="832"/>
      <c r="T69" s="832"/>
      <c r="U69" s="832"/>
      <c r="V69" s="828"/>
      <c r="W69" s="828"/>
      <c r="X69" s="828"/>
      <c r="Y69" s="828"/>
      <c r="Z69" s="828"/>
    </row>
    <row r="70" spans="1:26" ht="27.75" x14ac:dyDescent="0.2">
      <c r="E70" s="834"/>
      <c r="F70" s="833" t="str">
        <f>IF((M67-1)=11,$A$67&amp;"/ ","")&amp;IF((M60-1)=11,$A$60&amp;"/ ","")&amp;IF((M58-1)=11,$A$58&amp;"/ ","")&amp;IF((M59-1)=11,$A$59&amp;"/ ","")&amp;IF((M66-1)=11,$A$66&amp;"/ ","")&amp;IF((M61-1)=11,$A$61&amp;"/ ","")&amp;IF((M65-1)=11,$A$65&amp;"/ ","")&amp;IF((M62-1)=11,$A$62&amp;"/ ","")&amp;IF((M63-1)=11,$A$63&amp;"/ ","")&amp;IF((M64-1)=11,$A$64&amp;"/ ","")</f>
        <v xml:space="preserve">Saturn/ Mercury/ </v>
      </c>
      <c r="G70" s="833" t="str">
        <f>IF((M67-1)=0,$A$67&amp;"/ ","")&amp;IF((M60-1)=0,$A$60&amp;"/ ","")&amp;IF((M58-1)=0,$A$58&amp;"/ ","")&amp;IF((M59-1)=0,$A$59&amp;"/ ","")&amp;IF((M66-1)=0,$A$66&amp;"/ ","")&amp;IF((M61-1)=0,$A$61&amp;"/ ","")&amp;IF((M65-1)=0,$A$65&amp;"/ ","")&amp;IF((M62-1)=0,$A$62&amp;"/ ","")&amp;IF((M63-1)=0,$A$63&amp;"/ ","")&amp;IF((M64-1)=0,$A$64&amp;"/ ","")</f>
        <v xml:space="preserve">Venus/ </v>
      </c>
      <c r="H70" s="833" t="str">
        <f>IF((M67-1)=1,$A$67&amp;"/ ","")&amp;IF((M60-1)=1,$A$60&amp;"/ ","")&amp;IF((M58-1)=1,$A$58&amp;"/ ","")&amp;IF((M59-1)=1,$A$59&amp;"/ ","")&amp;IF((M66-1)=1,$A$66&amp;"/ ","")&amp;IF((M61-1)=1,$A$61&amp;"/ ","")&amp;IF((M65-1)=1,$A$65&amp;"/ ","")&amp;IF((M62-1)=1,$A$62&amp;"/ ","")&amp;IF((M63-1)=1,$A$63&amp;"/ ","")&amp;IF((M64-1)=1,$A$64&amp;"/ ","")</f>
        <v/>
      </c>
      <c r="I70" s="833" t="str">
        <f>IF((M67-1)=2,$A$67&amp;"/ ","")&amp;IF((M60-1)=2,$A$60&amp;"/ ","")&amp;IF((M58-1)=2,$A$58&amp;"/ ","")&amp;IF((M59-1)=2,$A$59&amp;"/ ","")&amp;IF((M66-1)=2,$A$66&amp;"/ ","")&amp;IF((M61-1)=2,$A$61&amp;"/ ","")&amp;IF((M65-1)=2,$A$65&amp;"/ ","")&amp;IF((M62-1)=2,$A$62&amp;"/ ","")&amp;IF((M63-1)=2,$A$63&amp;"/ ","")&amp;IF((M64-1)=2,$A$64&amp;"/ ","")</f>
        <v/>
      </c>
      <c r="J70" s="834"/>
      <c r="K70" s="833" t="str">
        <f>IF((G67-1)=11,$A$67&amp;"/ ","")&amp;IF((G60-1)=11,$A$60&amp;"/ ","")&amp;IF((G58-1)=11,$A$58&amp;"/ ","")&amp;IF((G59-1)=11,$A$59&amp;"/ ","")&amp;IF((G66-1)=11,$A$66&amp;"/ ","")&amp;IF((G61-1)=11,$A$61&amp;"/ ","")&amp;IF((G65-1)=11,$A$65&amp;"/ ","")&amp;IF((G62-1)=11,$A$62&amp;"/ ","")&amp;IF((G63-1)=11,$A$63&amp;"/ ","")&amp;IF((G64-1)=11,$A$64&amp;"/ ","")</f>
        <v xml:space="preserve">Ketu/ Mercury/ </v>
      </c>
      <c r="L70" s="833" t="str">
        <f>IF((G67-1)=0,$A$67&amp;"/ ","")&amp;IF((G60-1)=0,$A$60&amp;"/ ","")&amp;IF((G58-1)=0,$A$58&amp;"/ ","")&amp;IF((G59-1)=0,$A$59&amp;"/ ","")&amp;IF((G66-1)=0,$A$66&amp;"/ ","")&amp;IF((G61-1)=0,$A$61&amp;"/ ","")&amp;IF((G65-1)=0,$A$65&amp;"/ ","")&amp;IF((G62-1)=0,$A$62&amp;"/ ","")&amp;IF((G63-1)=0,$A$63&amp;"/ ","")&amp;IF((G64-1)=0,$A$64&amp;"/ ","")</f>
        <v/>
      </c>
      <c r="M70" s="833" t="str">
        <f>IF((G67-1)=1,$A$67&amp;"/ ","")&amp;IF((G60-1)=1,$A$60&amp;"/ ","")&amp;IF((G58-1)=1,$A$58&amp;"/ ","")&amp;IF((G59-1)=1,$A$59&amp;"/ ","")&amp;IF((G66-1)=1,$A$66&amp;"/ ","")&amp;IF((G61-1)=1,$A$61&amp;"/ ","")&amp;IF((G65-1)=1,$A$65&amp;"/ ","")&amp;IF((G62-1)=1,$A$62&amp;"/ ","")&amp;IF((G63-1)=1,$A$63&amp;"/ ","")&amp;IF((G64-1)=1,$A$64&amp;"/ ","")</f>
        <v xml:space="preserve">Saturn/ </v>
      </c>
      <c r="N70" s="833" t="str">
        <f>IF((G67-1)=2,$A$67&amp;"/ ","")&amp;IF((G60-1)=2,$A$60&amp;"/ ","")&amp;IF((G58-1)=2,$A$58&amp;"/ ","")&amp;IF((G59-1)=2,$A$59&amp;"/ ","")&amp;IF((G66-1)=2,$A$66&amp;"/ ","")&amp;IF((G61-1)=2,$A$61&amp;"/ ","")&amp;IF((G65-1)=2,$A$65&amp;"/ ","")&amp;IF((G62-1)=2,$A$62&amp;"/ ","")&amp;IF((G63-1)=2,$A$63&amp;"/ ","")&amp;IF((G64-1)=2,$A$64&amp;"/ ","")</f>
        <v/>
      </c>
      <c r="O70" s="835"/>
      <c r="S70" s="836"/>
      <c r="T70" s="837" t="str">
        <f>Charts!J2</f>
        <v xml:space="preserve">Moon/ Saturn/ </v>
      </c>
      <c r="U70" s="838" t="str">
        <f>Charts!I2</f>
        <v/>
      </c>
      <c r="V70" s="837" t="str">
        <f>Charts!H2</f>
        <v/>
      </c>
      <c r="W70" s="839"/>
    </row>
    <row r="71" spans="1:26" ht="39" x14ac:dyDescent="0.2">
      <c r="E71" s="834"/>
      <c r="F71" s="833" t="str">
        <f>IF((M67-1)=10,$A$67&amp;"/ ","")&amp;IF((M60-1)=10,$A$60&amp;"/ ","")&amp;IF((M58-1)=10,$A$58&amp;"/ ","")&amp;IF((M59-1)=10,$A$59&amp;"/ ","")&amp;IF((M66-1)=10,$A$66&amp;"/ ","")&amp;IF((M61-1)=10,$A$61&amp;"/ ","")&amp;IF((M65-1)=10,$A$65&amp;"/ ","")&amp;IF((M62-1)=10,$A$62&amp;"/ ","")&amp;IF((M63-1)=10,$A$63&amp;"/ ","")&amp;IF((M64-1)=10,$A$64&amp;"/ ","")</f>
        <v/>
      </c>
      <c r="G71" s="1488" t="s">
        <v>1670</v>
      </c>
      <c r="H71" s="1488"/>
      <c r="I71" s="833" t="str">
        <f>IF((M67-1)=3,$A$67&amp;"/ ","")&amp;IF((M60-1)=3,$A$60&amp;"/ ","")&amp;IF((M58-1)=3,$A$58&amp;"/ ","")&amp;IF((M59-1)=3,$A$59&amp;"/ ","")&amp;IF((M66-1)=3,$A$66&amp;"/ ","")&amp;IF((M61-1)=3,$A$61&amp;"/ ","")&amp;IF((M65-1)=3,$A$65&amp;"/ ","")&amp;IF((M62-1)=3,$A$62&amp;"/ ","")&amp;IF((M63-1)=3,$A$63&amp;"/ ","")&amp;IF((M64-1)=3,$A$64&amp;"/ ","")</f>
        <v xml:space="preserve">Moon/ Sun/ Rahu/ Jupiter/ </v>
      </c>
      <c r="J71" s="834"/>
      <c r="K71" s="833" t="str">
        <f>IF((G67-1)=10,$A$67&amp;"/ ","")&amp;IF((G60-1)=10,$A$60&amp;"/ ","")&amp;IF((G58-1)=10,$A$58&amp;"/ ","")&amp;IF((G59-1)=10,$A$59&amp;"/ ","")&amp;IF((G66-1)=10,$A$66&amp;"/ ","")&amp;IF((G61-1)=10,$A$61&amp;"/ ","")&amp;IF((G65-1)=10,$A$65&amp;"/ ","")&amp;IF((G62-1)=10,$A$62&amp;"/ ","")&amp;IF((G63-1)=10,$A$63&amp;"/ ","")&amp;IF((G64-1)=10,$A$64&amp;"/ ","")</f>
        <v xml:space="preserve">Venus/ </v>
      </c>
      <c r="L71" s="1488" t="s">
        <v>1671</v>
      </c>
      <c r="M71" s="1488"/>
      <c r="N71" s="833" t="str">
        <f>IF((G67-1)=3,$A$67&amp;"/ ","")&amp;IF((G60-1)=3,$A$60&amp;"/ ","")&amp;IF((G58-1)=3,$A$58&amp;"/ ","")&amp;IF((G59-1)=3,$A$59&amp;"/ ","")&amp;IF((G66-1)=3,$A$66&amp;"/ ","")&amp;IF((G61-1)=3,$A$61&amp;"/ ","")&amp;IF((G65-1)=3,$A$65&amp;"/ ","")&amp;IF((G62-1)=3,$A$62&amp;"/ ","")&amp;IF((G63-1)=3,$A$63&amp;"/ ","")&amp;IF((G64-1)=3,$A$64&amp;"/ ","")</f>
        <v xml:space="preserve">Sun/ </v>
      </c>
      <c r="O71" s="835"/>
      <c r="S71" s="837" t="str">
        <f>Charts!K2</f>
        <v xml:space="preserve">Venus/ </v>
      </c>
      <c r="T71" s="836"/>
      <c r="U71" s="838"/>
      <c r="V71" s="839"/>
      <c r="W71" s="837" t="str">
        <f>Charts!H3</f>
        <v/>
      </c>
    </row>
    <row r="72" spans="1:26" ht="54.75" x14ac:dyDescent="0.2">
      <c r="E72" s="834"/>
      <c r="F72" s="840" t="str">
        <f>IF((M67-1)=9,$A$67&amp;"/ ","")&amp;IF((M60-1)=9,$A$60&amp;"/ ","")&amp;IF((M58-1)=9,$A$58&amp;"/ ","")&amp;IF((M59-1)=9,$A$59&amp;"/ ","")&amp;IF((M66-1)=9,$A$66&amp;"/ ","")&amp;IF((M61-1)=9,$A$61&amp;"/ ","")&amp;IF((M65-1)=9,$A$65&amp;"/ ","")&amp;IF((M62-1)=9,$A$62&amp;"/ ","")&amp;IF((M63-1)=9,$A$63&amp;"/ ","")&amp;IF((M64-1)=9,$A$64&amp;"/ ","")</f>
        <v xml:space="preserve">Ketu/ </v>
      </c>
      <c r="G72" s="834"/>
      <c r="H72" s="834" t="s">
        <v>1662</v>
      </c>
      <c r="I72" s="833" t="str">
        <f>IF((M67-1)=4,$A$67&amp;"/ ","")&amp;IF((M60-1)=4,$A$60&amp;"/ ","")&amp;IF((M58-1)=4,$A$58&amp;"/ ","")&amp;IF((M59-1)=4,$A$59&amp;"/ ","")&amp;IF((M66-1)=4,$A$66&amp;"/ ","")&amp;IF((M61-1)=4,$A$61&amp;"/ ","")&amp;IF((M65-1)=4,$A$65&amp;"/ ","")&amp;IF((M62-1)=4,$A$62&amp;"/ ","")&amp;IF((M63-1)=4,$A$63&amp;"/ ","")&amp;IF((M64-1)=4,$A$64&amp;"/ ","")</f>
        <v/>
      </c>
      <c r="J72" s="834"/>
      <c r="K72" s="840" t="str">
        <f>IF((G67-1)=9,$A$67&amp;"/ ","")&amp;IF((G60-1)=9,$A$60&amp;"/ ","")&amp;IF((G58-1)=9,$A$58&amp;"/ ","")&amp;IF((G59-1)=9,$A$59&amp;"/ ","")&amp;IF((G66-1)=9,$A$66&amp;"/ ","")&amp;IF((G61-1)=9,$A$61&amp;"/ ","")&amp;IF((G65-1)=9,$A$65&amp;"/ ","")&amp;IF((G62-1)=9,$A$62&amp;"/ ","")&amp;IF((G63-1)=9,$A$63&amp;"/ ","")&amp;IF((G64-1)=9,$A$64&amp;"/ ","")</f>
        <v xml:space="preserve">Moon/ </v>
      </c>
      <c r="L72" s="834"/>
      <c r="M72" s="834" t="str">
        <f>G57</f>
        <v>D3#</v>
      </c>
      <c r="N72" s="833" t="str">
        <f>IF((G67-1)=4,$A$67&amp;"/ ","")&amp;IF((G60-1)=4,$A$60&amp;"/ ","")&amp;IF((G58-1)=4,$A$58&amp;"/ ","")&amp;IF((G59-1)=4,$A$59&amp;"/ ","")&amp;IF((G66-1)=4,$A$66&amp;"/ ","")&amp;IF((G61-1)=4,$A$61&amp;"/ ","")&amp;IF((G65-1)=4,$A$65&amp;"/ ","")&amp;IF((G62-1)=4,$A$62&amp;"/ ","")&amp;IF((G63-1)=4,$A$63&amp;"/ ","")&amp;IF((G64-1)=4,$A$64&amp;"/ ","")</f>
        <v/>
      </c>
      <c r="O72" s="835"/>
      <c r="S72" s="841" t="str">
        <f>Charts!K3</f>
        <v xml:space="preserve">Ketu/ Sun/ Mercury/ </v>
      </c>
      <c r="T72" s="841"/>
      <c r="U72" s="842" t="str">
        <f>Charts!I3</f>
        <v>RASI CHART</v>
      </c>
      <c r="V72" s="841"/>
      <c r="W72" s="841" t="str">
        <f>Charts!H4</f>
        <v xml:space="preserve">Rahu/ Mars/ </v>
      </c>
    </row>
    <row r="73" spans="1:26" ht="76.7" customHeight="1" x14ac:dyDescent="0.2">
      <c r="E73" s="834"/>
      <c r="F73" s="833" t="str">
        <f>IF((M67-1)=8,$A$67&amp;"/ ","")&amp;IF((M60-1)=8,$A$60&amp;"/ ","")&amp;IF((M58-1)=8,$A$58&amp;"/ ","")&amp;IF((M59-1)=8,$A$59&amp;"/ ","")&amp;IF((M66-1)=8,$A$66&amp;"/ ","")&amp;IF((M61-1)=8,$A$61&amp;"/ ","")&amp;IF((M65-1)=8,$A$65&amp;"/ ","")&amp;IF((M62-1)=8,$A$62&amp;"/ ","")&amp;IF((M63-1)=8,$A$63&amp;"/ ","")&amp;IF((M64-1)=8,$A$64&amp;"/ ","")</f>
        <v/>
      </c>
      <c r="G73" s="833" t="str">
        <f>IF((M67-1)=7,$A$67&amp;"/ ","")&amp;IF((M60-1)=7,$A$60&amp;"/ ","")&amp;IF((M58-1)=7,$A$58&amp;"/ ","")&amp;IF((M59-1)=7,$A$59&amp;"/ ","")&amp;IF((M66-1)=7,$A$66&amp;"/ ","")&amp;IF((M61-1)=7,$A$61&amp;"/ ","")&amp;IF((M65-1)=7,$A$65&amp;"/ ","")&amp;IF((M62-1)=7,$A$62&amp;"/ ","")&amp;IF((M63-1)=7,$A$63&amp;"/ ","")&amp;IF((M64-1)=7,$A$64&amp;"/ ","")</f>
        <v/>
      </c>
      <c r="H73" s="843" t="str">
        <f>IF((M67-1)=6,$A$67&amp;"/ ","")&amp;IF((M60-1)=6,$A$60&amp;"/ ","")&amp;IF((M58-1)=6,$A$58&amp;"/ ","")&amp;IF((M59-1)=6,$A$59&amp;"/ ","")&amp;IF((M66-1)=6,$A$66&amp;"/ ","")&amp;IF((M61-1)=6,$A$61&amp;"/ ","")&amp;IF((M65-1)=6,$A$65&amp;"/ ","")&amp;IF((M62-1)=6,$A$62&amp;"/ ","")&amp;IF((M63-1)=6,$A$63&amp;"/ ","")&amp;IF((M64-1)=6,$A$64&amp;"/ ","")</f>
        <v/>
      </c>
      <c r="I73" s="833" t="str">
        <f>IF((M67-1)=5,$A$67&amp;"/ ","")&amp;IF((M60-1)=5,$A$60&amp;"/ ","")&amp;IF((M58-1)=5,$A$58&amp;"/ ","")&amp;IF((M59-1)=5,$A$59&amp;"/ ","")&amp;IF((M66-1)=5,$A$66&amp;"/ ","")&amp;IF((M61-1)=5,$A$61&amp;"/ ","")&amp;IF((M65-1)=5,$A$65&amp;"/ ","")&amp;IF((M62-1)=5,$A$62&amp;"/ ","")&amp;IF((M63-1)=5,$A$63&amp;"/ ","")&amp;IF((M64-1)=5,$A$64&amp;"/ ","")</f>
        <v xml:space="preserve">Asc/ Mars/ </v>
      </c>
      <c r="J73" s="834"/>
      <c r="K73" s="833" t="str">
        <f>IF((G67-1)=8,$A$67&amp;"/ ","")&amp;IF((G60-1)=8,$A$60&amp;"/ ","")&amp;IF((G58-1)=8,$A$58&amp;"/ ","")&amp;IF((G59-1)=8,$A$59&amp;"/ ","")&amp;IF((G66-1)=8,$A$66&amp;"/ ","")&amp;IF((G61-1)=8,$A$61&amp;"/ ","")&amp;IF((G65-1)=8,$A$65&amp;"/ ","")&amp;IF((G62-1)=8,$A$62&amp;"/ ","")&amp;IF((G63-1)=8,$A$63&amp;"/ ","")&amp;IF((G64-1)=8,$A$64&amp;"/ ","")</f>
        <v xml:space="preserve">Asc/ </v>
      </c>
      <c r="L73" s="833" t="str">
        <f>IF((G67-1)=7,$A$67&amp;"/ ","")&amp;IF((G60-1)=7,$A$60&amp;"/ ","")&amp;IF((G58-1)=7,$A$58&amp;"/ ","")&amp;IF((G59-1)=7,$A$59&amp;"/ ","")&amp;IF((G66-1)=7,$A$66&amp;"/ ","")&amp;IF((G61-1)=7,$A$61&amp;"/ ","")&amp;IF((G65-1)=7,$A$65&amp;"/ ","")&amp;IF((G62-1)=7,$A$62&amp;"/ ","")&amp;IF((G63-1)=7,$A$63&amp;"/ ","")&amp;IF((G64-1)=7,$A$64&amp;"/ ","")</f>
        <v xml:space="preserve">Jupiter/ </v>
      </c>
      <c r="M73" s="843" t="str">
        <f>IF((G67-1)=6,$A$67&amp;"/ ","")&amp;IF((G60-1)=6,$A$60&amp;"/ ","")&amp;IF((G58-1)=6,$A$58&amp;"/ ","")&amp;IF((G59-1)=6,$A$59&amp;"/ ","")&amp;IF((G66-1)=6,$A$66&amp;"/ ","")&amp;IF((G61-1)=6,$A$61&amp;"/ ","")&amp;IF((G65-1)=6,$A$65&amp;"/ ","")&amp;IF((G62-1)=6,$A$62&amp;"/ ","")&amp;IF((G63-1)=6,$A$63&amp;"/ ","")&amp;IF((G64-1)=6,$A$64&amp;"/ ","")</f>
        <v/>
      </c>
      <c r="N73" s="833" t="str">
        <f>IF((G67-1)=5,$A$67&amp;"/ ","")&amp;IF((G60-1)=5,$A$60&amp;"/ ","")&amp;IF((G58-1)=5,$A$58&amp;"/ ","")&amp;IF((G59-1)=5,$A$59&amp;"/ ","")&amp;IF((G66-1)=5,$A$66&amp;"/ ","")&amp;IF((G61-1)=5,$A$61&amp;"/ ","")&amp;IF((G65-1)=5,$A$65&amp;"/ ","")&amp;IF((G62-1)=5,$A$62&amp;"/ ","")&amp;IF((G63-1)=5,$A$63&amp;"/ ","")&amp;IF((G64-1)=5,$A$64&amp;"/ ","")</f>
        <v xml:space="preserve">Rahu/ Mars/ </v>
      </c>
      <c r="O73" s="835"/>
      <c r="S73" s="837" t="str">
        <f>Charts!K4</f>
        <v xml:space="preserve">Asc/ </v>
      </c>
      <c r="T73" s="839"/>
      <c r="U73" s="838"/>
      <c r="V73" s="836"/>
      <c r="W73" s="837" t="str">
        <f>Charts!H5</f>
        <v/>
      </c>
    </row>
    <row r="74" spans="1:26" ht="48.2" customHeight="1" x14ac:dyDescent="0.2">
      <c r="D74" s="834"/>
      <c r="E74" s="834"/>
      <c r="F74" s="834"/>
      <c r="G74" s="834"/>
      <c r="H74" s="834"/>
      <c r="I74" s="834"/>
      <c r="J74" s="834"/>
      <c r="K74" s="834"/>
      <c r="L74" s="834"/>
      <c r="M74" s="834"/>
      <c r="N74" s="834"/>
      <c r="O74" s="834"/>
      <c r="P74" s="834"/>
      <c r="Q74" s="834"/>
      <c r="R74" s="834"/>
      <c r="S74" s="834"/>
      <c r="T74" s="835"/>
      <c r="U74" s="835"/>
      <c r="V74" s="839"/>
      <c r="W74" s="837" t="str">
        <f>Charts!K5</f>
        <v/>
      </c>
      <c r="X74" s="838" t="str">
        <f>Charts!J5</f>
        <v/>
      </c>
      <c r="Y74" s="837" t="str">
        <f>Charts!I5</f>
        <v xml:space="preserve">Jupiter/ </v>
      </c>
      <c r="Z74" s="836"/>
    </row>
    <row r="75" spans="1:26" x14ac:dyDescent="0.2">
      <c r="D75" s="833" t="str">
        <f>IF((O67-1)=11,$A$67&amp;"/ ","")&amp;IF((O60-1)=11,$A$60&amp;"/ ","")&amp;IF((O58-1)=11,$A$58&amp;"/ ","")&amp;IF((O59-1)=11,$A$59&amp;"/ ","")&amp;IF((O66-1)=11,$A$66&amp;"/ ","")&amp;IF((O61-1)=11,$A$61&amp;"/ ","")&amp;IF((O65-1)=11,$A$65&amp;"/ ","")&amp;IF((O62-1)=11,$A$62&amp;"/ ","")&amp;IF((O63-1)=11,$A$63&amp;"/ ","")&amp;IF((O64-1)=11,$A$64&amp;"/ ","")</f>
        <v xml:space="preserve">Saturn/ </v>
      </c>
      <c r="E75" s="833" t="str">
        <f>IF((O67-1)=0,$A$67&amp;"/ ","")&amp;IF((O60-1)=0,$A$60&amp;"/ ","")&amp;IF((O58-1)=0,$A$58&amp;"/ ","")&amp;IF((O59-1)=0,$A$59&amp;"/ ","")&amp;IF((O66-1)=0,$A$66&amp;"/ ","")&amp;IF((O61-1)=0,$A$61&amp;"/ ","")&amp;IF((O65-1)=0,$A$65&amp;"/ ","")&amp;IF((O62-1)=0,$A$62&amp;"/ ","")&amp;IF((O63-1)=0,$A$63&amp;"/ ","")&amp;IF((O64-1)=0,$A$64&amp;"/ ","")</f>
        <v/>
      </c>
      <c r="F75" s="833" t="str">
        <f>IF((O67-1)=1,$A$67&amp;"/ ","")&amp;IF((O60-1)=1,$A$60&amp;"/ ","")&amp;IF((O58-1)=1,$A$58&amp;"/ ","")&amp;IF((O59-1)=1,$A$59&amp;"/ ","")&amp;IF((O66-1)=1,$A$66&amp;"/ ","")&amp;IF((O61-1)=1,$A$61&amp;"/ ","")&amp;IF((O65-1)=1,$A$65&amp;"/ ","")&amp;IF((O62-1)=1,$A$62&amp;"/ ","")&amp;IF((O63-1)=1,$A$63&amp;"/ ","")&amp;IF((O64-1)=1,$A$64&amp;"/ ","")</f>
        <v xml:space="preserve">Ketu/ Asc/ </v>
      </c>
      <c r="G75" s="833" t="str">
        <f>IF((O67-1)=2,$A$67&amp;"/ ","")&amp;IF((O60-1)=2,$A$60&amp;"/ ","")&amp;IF((O58-1)=2,$A$58&amp;"/ ","")&amp;IF((O59-1)=2,$A$59&amp;"/ ","")&amp;IF((O66-1)=2,$A$66&amp;"/ ","")&amp;IF((O61-1)=2,$A$61&amp;"/ ","")&amp;IF((O65-1)=2,$A$65&amp;"/ ","")&amp;IF((O62-1)=2,$A$62&amp;"/ ","")&amp;IF((O63-1)=2,$A$63&amp;"/ ","")&amp;IF((O64-1)=2,$A$64&amp;"/ ","")</f>
        <v/>
      </c>
      <c r="H75" s="832"/>
      <c r="I75" s="832"/>
      <c r="J75" s="832"/>
      <c r="K75" s="832"/>
      <c r="L75" s="832"/>
      <c r="M75" s="832"/>
      <c r="N75" s="832"/>
      <c r="O75" s="832"/>
      <c r="P75" s="832"/>
      <c r="Q75" s="832"/>
      <c r="R75" s="832"/>
      <c r="S75" s="832"/>
      <c r="T75" s="832"/>
      <c r="U75" s="832"/>
      <c r="V75" s="832"/>
      <c r="W75" s="832"/>
      <c r="X75" s="832"/>
      <c r="Y75" s="832"/>
      <c r="Z75" s="832"/>
    </row>
    <row r="76" spans="1:26" x14ac:dyDescent="0.2">
      <c r="D76" s="833" t="str">
        <f>IF((O67-1)=10,$A$67&amp;"/ ","")&amp;IF((O60-1)=10,$A$60&amp;"/ ","")&amp;IF((O58-1)=10,$A$58&amp;"/ ","")&amp;IF((O59-1)=10,$A$59&amp;"/ ","")&amp;IF((O66-1)=10,$A$66&amp;"/ ","")&amp;IF((O61-1)=10,$A$61&amp;"/ ","")&amp;IF((O65-1)=10,$A$65&amp;"/ ","")&amp;IF((O62-1)=10,$A$62&amp;"/ ","")&amp;IF((O63-1)=10,$A$63&amp;"/ ","")&amp;IF((O64-1)=10,$A$64&amp;"/ ","")</f>
        <v/>
      </c>
      <c r="E76" s="1488" t="s">
        <v>1671</v>
      </c>
      <c r="F76" s="1488"/>
      <c r="G76" s="833" t="str">
        <f>IF((O67-1)=3,$A$67&amp;"/ ","")&amp;IF((O60-1)=3,$A$60&amp;"/ ","")&amp;IF((O58-1)=3,$A$58&amp;"/ ","")&amp;IF((O59-1)=3,$A$59&amp;"/ ","")&amp;IF((O66-1)=3,$A$66&amp;"/ ","")&amp;IF((O61-1)=3,$A$61&amp;"/ ","")&amp;IF((O65-1)=3,$A$65&amp;"/ ","")&amp;IF((O62-1)=3,$A$62&amp;"/ ","")&amp;IF((O63-1)=3,$A$63&amp;"/ ","")&amp;IF((O64-1)=3,$A$64&amp;"/ ","")</f>
        <v xml:space="preserve">Moon/ Mercury/ Jupiter/ </v>
      </c>
      <c r="H76" s="832"/>
      <c r="I76" s="832"/>
      <c r="J76" s="832"/>
      <c r="K76" s="832"/>
      <c r="L76" s="832"/>
      <c r="M76" s="832"/>
      <c r="N76" s="832"/>
      <c r="O76" s="832"/>
      <c r="P76" s="832"/>
      <c r="Q76" s="832"/>
      <c r="R76" s="832"/>
      <c r="S76" s="832"/>
      <c r="T76" s="832"/>
      <c r="U76" s="832"/>
      <c r="V76" s="832"/>
      <c r="W76" s="832"/>
      <c r="X76" s="832"/>
      <c r="Y76" s="832"/>
      <c r="Z76" s="832"/>
    </row>
    <row r="77" spans="1:26" x14ac:dyDescent="0.2">
      <c r="D77" s="840" t="str">
        <f>IF((O67-1)=9,$A$67&amp;"/ ","")&amp;IF((O60-1)=9,$A$60&amp;"/ ","")&amp;IF((O58-1)=9,$A$58&amp;"/ ","")&amp;IF((O59-1)=9,$A$59&amp;"/ ","")&amp;IF((O66-1)=9,$A$66&amp;"/ ","")&amp;IF((O61-1)=9,$A$61&amp;"/ ","")&amp;IF((O65-1)=9,$A$65&amp;"/ ","")&amp;IF((O62-1)=9,$A$62&amp;"/ ","")&amp;IF((O63-1)=9,$A$63&amp;"/ ","")&amp;IF((O64-1)=9,$A$64&amp;"/ ","")</f>
        <v xml:space="preserve">Mars/ </v>
      </c>
      <c r="E77" s="834"/>
      <c r="F77" s="834" t="str">
        <f>O57</f>
        <v>D10#</v>
      </c>
      <c r="G77" s="833" t="str">
        <f>IF((O67-1)=4,$A$67&amp;"/ ","")&amp;IF((O60-1)=4,$A$60&amp;"/ ","")&amp;IF((O58-1)=4,$A$58&amp;"/ ","")&amp;IF((O59-1)=4,$A$59&amp;"/ ","")&amp;IF((O66-1)=4,$A$66&amp;"/ ","")&amp;IF((O61-1)=4,$A$61&amp;"/ ","")&amp;IF((O65-1)=4,$A$65&amp;"/ ","")&amp;IF((O62-1)=4,$A$62&amp;"/ ","")&amp;IF((O63-1)=4,$A$63&amp;"/ ","")&amp;IF((O64-1)=4,$A$64&amp;"/ ","")</f>
        <v/>
      </c>
      <c r="H77" s="832"/>
      <c r="I77" s="832"/>
      <c r="J77" s="832"/>
      <c r="K77" s="832"/>
      <c r="L77" s="832"/>
      <c r="M77" s="832"/>
      <c r="N77" s="832"/>
      <c r="O77" s="832"/>
      <c r="P77" s="832"/>
      <c r="Q77" s="832"/>
      <c r="R77" s="832"/>
      <c r="S77" s="832"/>
      <c r="T77" s="832"/>
      <c r="U77" s="832"/>
      <c r="V77" s="832"/>
      <c r="W77" s="832"/>
      <c r="X77" s="832"/>
      <c r="Y77" s="832"/>
      <c r="Z77" s="832"/>
    </row>
    <row r="78" spans="1:26" x14ac:dyDescent="0.2">
      <c r="D78" s="833" t="str">
        <f>IF((O67-1)=8,$A$67&amp;"/ ","")&amp;IF((O60-1)=8,$A$60&amp;"/ ","")&amp;IF((O58-1)=8,$A$58&amp;"/ ","")&amp;IF((O59-1)=8,$A$59&amp;"/ ","")&amp;IF((O66-1)=8,$A$66&amp;"/ ","")&amp;IF((O61-1)=8,$A$61&amp;"/ ","")&amp;IF((O65-1)=8,$A$65&amp;"/ ","")&amp;IF((O62-1)=8,$A$62&amp;"/ ","")&amp;IF((O63-1)=8,$A$63&amp;"/ ","")&amp;IF((O64-1)=8,$A$64&amp;"/ ","")</f>
        <v/>
      </c>
      <c r="E78" s="833" t="str">
        <f>IF((O67-1)=7,$A$67&amp;"/ ","")&amp;IF((O60-1)=7,$A$60&amp;"/ ","")&amp;IF((O58-1)=7,$A$58&amp;"/ ","")&amp;IF((O59-1)=7,$A$59&amp;"/ ","")&amp;IF((O66-1)=7,$A$66&amp;"/ ","")&amp;IF((O61-1)=7,$A$61&amp;"/ ","")&amp;IF((O65-1)=7,$A$65&amp;"/ ","")&amp;IF((O62-1)=7,$A$62&amp;"/ ","")&amp;IF((O63-1)=7,$A$63&amp;"/ ","")&amp;IF((O64-1)=7,$A$64&amp;"/ ","")</f>
        <v xml:space="preserve">Rahu/ </v>
      </c>
      <c r="F78" s="843" t="str">
        <f>IF((O67-1)=6,$A$67&amp;"/ ","")&amp;IF((O60-1)=6,$A$60&amp;"/ ","")&amp;IF((O58-1)=6,$A$58&amp;"/ ","")&amp;IF((O59-1)=6,$A$59&amp;"/ ","")&amp;IF((O66-1)=6,$A$66&amp;"/ ","")&amp;IF((O61-1)=6,$A$61&amp;"/ ","")&amp;IF((O65-1)=6,$A$65&amp;"/ ","")&amp;IF((O62-1)=6,$A$62&amp;"/ ","")&amp;IF((O63-1)=6,$A$63&amp;"/ ","")&amp;IF((O64-1)=6,$A$64&amp;"/ ","")</f>
        <v xml:space="preserve">Sun/ </v>
      </c>
      <c r="G78" s="833" t="str">
        <f>IF((O67-1)=5,$A$67&amp;"/ ","")&amp;IF((O60-1)=5,$A$60&amp;"/ ","")&amp;IF((O58-1)=5,$A$58&amp;"/ ","")&amp;IF((O59-1)=5,$A$59&amp;"/ ","")&amp;IF((O66-1)=5,$A$66&amp;"/ ","")&amp;IF((O61-1)=5,$A$61&amp;"/ ","")&amp;IF((O65-1)=5,$A$65&amp;"/ ","")&amp;IF((O62-1)=5,$A$62&amp;"/ ","")&amp;IF((O63-1)=5,$A$63&amp;"/ ","")&amp;IF((O64-1)=5,$A$64&amp;"/ ","")</f>
        <v xml:space="preserve">Venus/ </v>
      </c>
      <c r="H78" s="832"/>
      <c r="I78" s="832"/>
      <c r="J78" s="832"/>
      <c r="K78" s="832"/>
      <c r="L78" s="832"/>
      <c r="M78" s="832"/>
      <c r="N78" s="832"/>
      <c r="O78" s="832"/>
      <c r="P78" s="832"/>
      <c r="Q78" s="832"/>
      <c r="R78" s="832"/>
      <c r="S78" s="832"/>
      <c r="T78" s="832"/>
      <c r="U78" s="832"/>
      <c r="V78" s="832"/>
      <c r="W78" s="832"/>
      <c r="X78" s="832"/>
      <c r="Y78" s="832"/>
      <c r="Z78" s="832"/>
    </row>
  </sheetData>
  <mergeCells count="13">
    <mergeCell ref="G71:H71"/>
    <mergeCell ref="L71:M71"/>
    <mergeCell ref="E76:F76"/>
    <mergeCell ref="B52:D52"/>
    <mergeCell ref="A1:I1"/>
    <mergeCell ref="B3:F3"/>
    <mergeCell ref="A4:J4"/>
    <mergeCell ref="A5:J5"/>
    <mergeCell ref="J37:N37"/>
    <mergeCell ref="B42:D42"/>
    <mergeCell ref="C43:D43"/>
    <mergeCell ref="B44:D44"/>
    <mergeCell ref="B45:D45"/>
  </mergeCells>
  <phoneticPr fontId="107" type="noConversion"/>
  <pageMargins left="0.74791666666666667" right="0.74791666666666667" top="0.98402777777777772" bottom="0.98402777777777772" header="0.5" footer="0.5"/>
  <pageSetup paperSize="9" scale="41" firstPageNumber="0" orientation="landscape" r:id="rId1"/>
  <headerFooter alignWithMargins="0">
    <oddHeader>&amp;L&amp;"Arial,Regular"&amp;10Vimsottari Dasa Calculations&amp;C&amp;"Arial,Regular"&amp;10&amp;P of &amp;N</oddHeader>
    <oddFooter>&amp;C&amp;"Arial,Regular"&amp;10Prepared by sprabhak &amp;D&amp;R&amp;"Arial,Regular"&amp;10Page &amp;P</oddFooter>
  </headerFooter>
  <rowBreaks count="2" manualBreakCount="2">
    <brk id="52" max="16383" man="1"/>
    <brk id="68" max="16383" man="1"/>
  </rowBreaks>
  <colBreaks count="1" manualBreakCount="1">
    <brk id="11"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
  <sheetViews>
    <sheetView zoomScale="120" zoomScaleNormal="120" workbookViewId="0" xr3:uid="{842E5F09-E766-5B8D-85AF-A39847EA96FD}">
      <selection activeCell="O3" sqref="O3"/>
    </sheetView>
  </sheetViews>
  <sheetFormatPr defaultColWidth="8.33984375" defaultRowHeight="45" customHeight="1" x14ac:dyDescent="0.2"/>
  <cols>
    <col min="1" max="15" width="8.33984375" style="1214"/>
    <col min="16" max="16" width="10.22265625" style="1214" bestFit="1" customWidth="1"/>
    <col min="17" max="16384" width="8.33984375" style="1214"/>
  </cols>
  <sheetData>
    <row r="1" spans="1:11" ht="45" customHeight="1" thickBot="1" x14ac:dyDescent="0.25">
      <c r="A1" s="1214">
        <f t="array" ref="A1:C1">{1,2,3}</f>
        <v>1</v>
      </c>
      <c r="B1" s="1214">
        <v>2</v>
      </c>
      <c r="C1" s="1214">
        <v>3</v>
      </c>
    </row>
    <row r="2" spans="1:11" ht="45" customHeight="1" thickTop="1" x14ac:dyDescent="0.2">
      <c r="B2" s="1386" t="s">
        <v>4287</v>
      </c>
      <c r="C2" s="1387" t="str">
        <f>J2</f>
        <v xml:space="preserve">Moon/ Saturn/ </v>
      </c>
      <c r="D2" s="1389" t="str">
        <f>I2</f>
        <v/>
      </c>
      <c r="E2" s="1390" t="str">
        <f>H2</f>
        <v/>
      </c>
      <c r="F2" s="1391" t="s">
        <v>4288</v>
      </c>
      <c r="H2" s="833" t="str">
        <f>IF(TRUNC(Basics!B67/30)=11,Basics!$A$67&amp;"/ ","")&amp;IF(TRUNC(Basics!B60/30)=11,Basics!$A$60&amp;"/ ","")&amp;IF(TRUNC(Basics!B58/30)=11,Basics!$A$58&amp;"/ ","")&amp;IF(TRUNC(Basics!B59/30)=11,Basics!$A$59&amp;"/ ","")&amp;IF(TRUNC(Basics!B66/30)=11,Basics!$A$66&amp;"/ ","")&amp;IF(TRUNC(Basics!B61/30)=11,Basics!$A$61&amp;"/ ","")&amp;IF(TRUNC(Basics!B65/30)=11,Basics!$A$65&amp;"/ ","")&amp;IF(TRUNC(Basics!B62/30)=11,Basics!$A$62&amp;"/ ","")&amp;IF(TRUNC(Basics!B63/30)=11,Basics!$A$63&amp;"/ ","")&amp;IF(TRUNC(Basics!B64/30)=11,Basics!$A$64&amp;"/ ","")</f>
        <v/>
      </c>
      <c r="I2" s="833" t="str">
        <f>IF(TRUNC(Basics!B67/30)=0,Basics!$A$67&amp;"/ ","")&amp;IF(TRUNC(Basics!B60/30)=0,Basics!$A$60&amp;"/ ","")&amp;IF(TRUNC(Basics!B58/30)=0,Basics!$A$58&amp;"/ ","")&amp;IF(TRUNC(Basics!B59/30)=0,Basics!$A$59&amp;"/ ","")&amp;IF(TRUNC(Basics!B66/30)=0,Basics!$A$66&amp;"/ ","")&amp;IF(TRUNC(Basics!B61/30)=0,Basics!$A$61&amp;"/ ","")&amp;IF(TRUNC(Basics!B65/30)=0,Basics!$A$65&amp;"/ ","")&amp;IF(TRUNC(Basics!B62/30)=0,Basics!$A$62&amp;"/ ","")&amp;IF(TRUNC(Basics!B63/30)=0,Basics!$A$63&amp;"/ ","")&amp;IF(TRUNC(Basics!B64/30)=0,Basics!$A$64&amp;"/ ","")</f>
        <v/>
      </c>
      <c r="J2" s="833" t="str">
        <f>IF(TRUNC(Basics!B67/30)=1,Basics!$A$67&amp;"/ ","")&amp;IF(TRUNC(Basics!B60/30)=1,Basics!$A$60&amp;"/ ","")&amp;IF(TRUNC(Basics!B58/30)=1,Basics!$A$58&amp;"/ ","")&amp;IF(TRUNC(Basics!B59/30)=1,Basics!$A$59&amp;"/ ","")&amp;IF(TRUNC(Basics!B66/30)=1,Basics!$A$66&amp;"/ ","")&amp;IF(TRUNC(Basics!B61/30)=1,Basics!$A$61&amp;"/ ","")&amp;IF(TRUNC(Basics!B65/30)=1,Basics!$A$65&amp;"/ ","")&amp;IF(TRUNC(Basics!B62/30)=1,Basics!$A$62&amp;"/ ","")&amp;IF(TRUNC(Basics!B63/30)=1,Basics!$A$63&amp;"/ ","")&amp;IF(TRUNC(Basics!B64/30)=1,Basics!$A$64&amp;"/ ","")</f>
        <v xml:space="preserve">Moon/ Saturn/ </v>
      </c>
      <c r="K2" s="833" t="str">
        <f>IF(TRUNC(Basics!B67/30)=2,Basics!$A$67&amp;"/ ","")&amp;IF(TRUNC(Basics!B60/30)=2,Basics!$A$60&amp;"/ ","")&amp;IF(TRUNC(Basics!B58/30)=2,Basics!$A$58&amp;"/ ","")&amp;IF(TRUNC(Basics!B59/30)=2,Basics!$A$59&amp;"/ ","")&amp;IF(TRUNC(Basics!B66/30)=2,Basics!$A$66&amp;"/ ","")&amp;IF(TRUNC(Basics!B61/30)=2,Basics!$A$61&amp;"/ ","")&amp;IF(TRUNC(Basics!B65/30)=2,Basics!$A$65&amp;"/ ","")&amp;IF(TRUNC(Basics!B62/30)=2,Basics!$A$62&amp;"/ ","")&amp;IF(TRUNC(Basics!B63/30)=2,Basics!$A$63&amp;"/ ","")&amp;IF(TRUNC(Basics!B64/30)=2,Basics!$A$64&amp;"/ ","")</f>
        <v xml:space="preserve">Venus/ </v>
      </c>
    </row>
    <row r="3" spans="1:11" ht="45" customHeight="1" thickBot="1" x14ac:dyDescent="0.25">
      <c r="B3" s="1388" t="str">
        <f>K2</f>
        <v xml:space="preserve">Venus/ </v>
      </c>
      <c r="C3" s="1379" t="s">
        <v>4287</v>
      </c>
      <c r="D3" s="1380"/>
      <c r="E3" s="1217" t="s">
        <v>4288</v>
      </c>
      <c r="F3" s="1392" t="str">
        <f>H3</f>
        <v/>
      </c>
      <c r="H3" s="833" t="str">
        <f>IF(TRUNC(Basics!B67/30)=10,Basics!$A$67&amp;"/ ","")&amp;IF(TRUNC(Basics!B60/30)=10,Basics!$A$60&amp;"/ ","")&amp;IF(TRUNC(Basics!B58/30)=10,Basics!$A$58&amp;"/ ","")&amp;IF(TRUNC(Basics!B59/30)=10,Basics!$A$59&amp;"/ ","")&amp;IF(TRUNC(Basics!B66/30)=10,Basics!$A$66&amp;"/ ","")&amp;IF(TRUNC(Basics!B61/30)=10,Basics!$A$61&amp;"/ ","")&amp;IF(TRUNC(Basics!B65/30)=10,Basics!$A$65&amp;"/ ","")&amp;IF(TRUNC(Basics!B62/30)=10,Basics!$A$62&amp;"/ ","")&amp;IF(TRUNC(Basics!B63/30)=10,Basics!$A$63&amp;"/ ","")&amp;IF(TRUNC(Basics!B64/30)=10,Basics!$A$64&amp;"/ ","")</f>
        <v/>
      </c>
      <c r="I3" s="1488" t="s">
        <v>1669</v>
      </c>
      <c r="J3" s="1488"/>
      <c r="K3" s="833" t="str">
        <f>IF(TRUNC(Basics!B67/30)=3,Basics!$A$67&amp;"/ ","")&amp;IF(TRUNC(Basics!B60/30)=3,Basics!$A$60&amp;"/ ","")&amp;IF(TRUNC(Basics!B58/30)=3,Basics!$A$58&amp;"/ ","")&amp;IF(TRUNC(Basics!B59/30)=3,Basics!$A$59&amp;"/ ","")&amp;IF(TRUNC(Basics!B66/30)=3,Basics!$A$66&amp;"/ ","")&amp;IF(TRUNC(Basics!B61/30)=3,Basics!$A$61&amp;"/ ","")&amp;IF(TRUNC(Basics!B65/30)=3,Basics!$A$65&amp;"/ ","")&amp;IF(TRUNC(Basics!B62/30)=3,Basics!$A$62&amp;"/ ","")&amp;IF(TRUNC(Basics!B63/30)=3,Basics!$A$63&amp;"/ ","")&amp;IF(TRUNC(Basics!B64/30)=3,Basics!$A$64&amp;"/ ","")</f>
        <v xml:space="preserve">Ketu/ Sun/ Mercury/ </v>
      </c>
    </row>
    <row r="4" spans="1:11" ht="45" customHeight="1" thickTop="1" thickBot="1" x14ac:dyDescent="0.25">
      <c r="B4" s="1381" t="str">
        <f>K3</f>
        <v xml:space="preserve">Ketu/ Sun/ Mercury/ </v>
      </c>
      <c r="C4" s="1382"/>
      <c r="D4" s="1383" t="s">
        <v>1720</v>
      </c>
      <c r="E4" s="1384"/>
      <c r="F4" s="1385" t="str">
        <f>H4</f>
        <v xml:space="preserve">Rahu/ Mars/ </v>
      </c>
      <c r="H4" s="840" t="str">
        <f>IF(TRUNC(Basics!B67/30)=9,Basics!$A$67&amp;"/ ","")&amp;IF(TRUNC(Basics!B60/30)=9,Basics!$A$60&amp;"/ ","")&amp;IF(TRUNC(Basics!B58/30)=9,Basics!$A$58&amp;"/ ","")&amp;IF(TRUNC(Basics!B59/30)=9,Basics!$A$59&amp;"/ ","")&amp;IF(TRUNC(Basics!B66/30)=9,Basics!$A$66&amp;"/ ","")&amp;IF(TRUNC(Basics!B61/30)=9,Basics!$A$61&amp;"/ ","")&amp;IF(TRUNC(Basics!B65/30)=9,Basics!$A$65&amp;"/ ","")&amp;IF(TRUNC(Basics!B62/30)=9,Basics!$A$62&amp;"/ ","")&amp;IF(TRUNC(Basics!B63/30)=9,Basics!$A$63&amp;"/ ","")&amp;IF(TRUNC(Basics!B64/30)=9,Basics!$A$64&amp;"/ ","")</f>
        <v xml:space="preserve">Rahu/ Mars/ </v>
      </c>
      <c r="I4" s="834"/>
      <c r="J4" s="834" t="s">
        <v>1653</v>
      </c>
      <c r="K4" s="833" t="str">
        <f>IF(TRUNC(Basics!B67/30)=4,Basics!$A$67&amp;"/ ","")&amp;IF(TRUNC(Basics!B60/30)=4,Basics!$A$60&amp;"/ ","")&amp;IF(TRUNC(Basics!B58/30)=4,Basics!$A$58&amp;"/ ","")&amp;IF(TRUNC(Basics!B59/30)=4,Basics!$A$59&amp;"/ ","")&amp;IF(TRUNC(Basics!B66/30)=4,Basics!$A$66&amp;"/ ","")&amp;IF(TRUNC(Basics!B61/30)=4,Basics!$A$61&amp;"/ ","")&amp;IF(TRUNC(Basics!B65/30)=4,Basics!$A$65&amp;"/ ","")&amp;IF(TRUNC(Basics!B62/30)=4,Basics!$A$62&amp;"/ ","")&amp;IF(TRUNC(Basics!B63/30)=4,Basics!$A$63&amp;"/ ","")&amp;IF(TRUNC(Basics!B64/30)=4,Basics!$A$64&amp;"/ ","")</f>
        <v xml:space="preserve">Asc/ </v>
      </c>
    </row>
    <row r="5" spans="1:11" ht="45" customHeight="1" thickTop="1" x14ac:dyDescent="0.2">
      <c r="B5" s="1388" t="str">
        <f>K4</f>
        <v xml:space="preserve">Asc/ </v>
      </c>
      <c r="C5" s="1379" t="s">
        <v>4288</v>
      </c>
      <c r="D5" s="1397" t="str">
        <f>J5</f>
        <v/>
      </c>
      <c r="E5" s="1217" t="s">
        <v>4287</v>
      </c>
      <c r="F5" s="1392" t="str">
        <f>H5</f>
        <v/>
      </c>
      <c r="H5" s="833" t="str">
        <f>IF(TRUNC(Basics!B67/30)=8,Basics!$A$67&amp;"/ ","")&amp;IF(TRUNC(Basics!B60/30)=8,Basics!$A$60&amp;"/ ","")&amp;IF(TRUNC(Basics!B58/30)=8,Basics!$A$58&amp;"/ ","")&amp;IF(TRUNC(Basics!B59/30)=8,Basics!$A$59&amp;"/ ","")&amp;IF(TRUNC(Basics!B66/30)=8,Basics!$A$66&amp;"/ ","")&amp;IF(TRUNC(Basics!B61/30)=8,Basics!$A$61&amp;"/ ","")&amp;IF(TRUNC(Basics!B65/30)=8,Basics!$A$65&amp;"/ ","")&amp;IF(TRUNC(Basics!B62/30)=8,Basics!$A$62&amp;"/ ","")&amp;IF(TRUNC(Basics!B63/30)=8,Basics!$A$63&amp;"/ ","")&amp;IF(TRUNC(Basics!B64/30)=8,Basics!$A$64&amp;"/ ","")</f>
        <v/>
      </c>
      <c r="I5" s="833" t="str">
        <f>IF(TRUNC(Basics!B67/30)=7,Basics!$A$67&amp;"/ ","")&amp;IF(TRUNC(Basics!B60/30)=7,Basics!$A$60&amp;"/ ","")&amp;IF(TRUNC(Basics!B58/30)=7,Basics!$A$58&amp;"/ ","")&amp;IF(TRUNC(Basics!B59/30)=7,Basics!$A$59&amp;"/ ","")&amp;IF(TRUNC(Basics!B66/30)=7,Basics!$A$66&amp;"/ ","")&amp;IF(TRUNC(Basics!B61/30)=7,Basics!$A$61&amp;"/ ","")&amp;IF(TRUNC(Basics!B65/30)=7,Basics!$A$65&amp;"/ ","")&amp;IF(TRUNC(Basics!B62/30)=7,Basics!$A$62&amp;"/ ","")&amp;IF(TRUNC(Basics!B63/30)=7,Basics!$A$63&amp;"/ ","")&amp;IF(TRUNC(Basics!B64/30)=7,Basics!$A$64&amp;"/ ","")</f>
        <v xml:space="preserve">Jupiter/ </v>
      </c>
      <c r="J5" s="843" t="str">
        <f>IF(TRUNC(Basics!B67/30)=6,Basics!$A$67&amp;"/ ","")&amp;IF(TRUNC(Basics!B60/30)=6,Basics!$A$60&amp;"/ ","")&amp;IF(TRUNC(Basics!B58/30)=6,Basics!$A$58&amp;"/ ","")&amp;IF(TRUNC(Basics!B59/30)=6,Basics!$A$59&amp;"/ ","")&amp;IF(TRUNC(Basics!B66/30)=6,Basics!$A$66&amp;"/ ","")&amp;IF(TRUNC(Basics!B61/30)=6,Basics!$A$61&amp;"/ ","")&amp;IF(TRUNC(Basics!B65/30)=6,Basics!$A$65&amp;"/ ","")&amp;IF(TRUNC(Basics!B62/30)=6,Basics!$A$62&amp;"/ ","")&amp;IF(TRUNC(Basics!B63/30)=6,Basics!$A$63&amp;"/ ","")&amp;IF(TRUNC(Basics!B64/30)=6,Basics!$A$64&amp;"/ ","")</f>
        <v/>
      </c>
      <c r="K5" s="833" t="str">
        <f>IF(TRUNC(Basics!B67/30)=5,Basics!$A$67&amp;"/ ","")&amp;IF(TRUNC(Basics!B60/30)=5,Basics!$A$60&amp;"/ ","")&amp;IF(TRUNC(Basics!B58/30)=5,Basics!$A$58&amp;"/ ","")&amp;IF(TRUNC(Basics!B59/30)=5,Basics!$A$59&amp;"/ ","")&amp;IF(TRUNC(Basics!B66/30)=5,Basics!$A$66&amp;"/ ","")&amp;IF(TRUNC(Basics!B61/30)=5,Basics!$A$61&amp;"/ ","")&amp;IF(TRUNC(Basics!B65/30)=5,Basics!$A$65&amp;"/ ","")&amp;IF(TRUNC(Basics!B62/30)=5,Basics!$A$62&amp;"/ ","")&amp;IF(TRUNC(Basics!B63/30)=5,Basics!$A$63&amp;"/ ","")&amp;IF(TRUNC(Basics!B64/30)=5,Basics!$A$64&amp;"/ ","")</f>
        <v/>
      </c>
    </row>
    <row r="6" spans="1:11" ht="45" customHeight="1" thickBot="1" x14ac:dyDescent="0.25">
      <c r="B6" s="1393" t="s">
        <v>4288</v>
      </c>
      <c r="C6" s="1394" t="str">
        <f>K5</f>
        <v/>
      </c>
      <c r="D6" s="1398" t="str">
        <f>J5</f>
        <v/>
      </c>
      <c r="E6" s="1395" t="str">
        <f>I5</f>
        <v xml:space="preserve">Jupiter/ </v>
      </c>
      <c r="F6" s="1396" t="s">
        <v>4287</v>
      </c>
    </row>
    <row r="7" spans="1:11" ht="45" customHeight="1" thickTop="1" x14ac:dyDescent="0.2"/>
  </sheetData>
  <mergeCells count="1">
    <mergeCell ref="I3:J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1"/>
  <sheetViews>
    <sheetView workbookViewId="0" xr3:uid="{51F8DEE0-4D01-5F28-A812-FC0BD7CAC4A5}">
      <selection activeCell="D3" sqref="D3"/>
    </sheetView>
  </sheetViews>
  <sheetFormatPr defaultRowHeight="15" x14ac:dyDescent="0.2"/>
  <cols>
    <col min="1" max="1" width="11.02734375" customWidth="1"/>
    <col min="2" max="2" width="9.01171875" bestFit="1" customWidth="1"/>
    <col min="3" max="3" width="10.0859375" customWidth="1"/>
    <col min="4" max="4" width="10.76171875" customWidth="1"/>
    <col min="5" max="5" width="9.01171875" customWidth="1"/>
    <col min="6" max="6" width="12.375" customWidth="1"/>
    <col min="7" max="7" width="8.7421875" customWidth="1"/>
    <col min="8" max="8" width="9.953125" customWidth="1"/>
    <col min="9" max="9" width="13.44921875" customWidth="1"/>
    <col min="10" max="10" width="9.68359375" customWidth="1"/>
    <col min="11" max="11" width="6.9921875" bestFit="1" customWidth="1"/>
    <col min="12" max="12" width="13.44921875" customWidth="1"/>
    <col min="13" max="13" width="12.64453125" bestFit="1" customWidth="1"/>
    <col min="14" max="14" width="9.953125" customWidth="1"/>
    <col min="15" max="15" width="11.02734375" customWidth="1"/>
    <col min="16" max="16" width="11.8359375" customWidth="1"/>
    <col min="17" max="17" width="11.43359375" bestFit="1" customWidth="1"/>
  </cols>
  <sheetData>
    <row r="1" spans="1:17" x14ac:dyDescent="0.2">
      <c r="A1" s="1062"/>
      <c r="B1" s="1499" t="s">
        <v>4753</v>
      </c>
      <c r="C1" s="1499"/>
      <c r="D1" s="1500"/>
      <c r="E1" s="1499" t="s">
        <v>4752</v>
      </c>
      <c r="F1" s="1499"/>
      <c r="G1" s="1500"/>
      <c r="H1" s="1501" t="s">
        <v>4754</v>
      </c>
      <c r="I1" s="1499"/>
      <c r="J1" s="1500"/>
      <c r="K1" s="1501" t="s">
        <v>4758</v>
      </c>
      <c r="L1" s="1500"/>
      <c r="M1" s="1063" t="s">
        <v>4762</v>
      </c>
      <c r="N1" s="1501" t="s">
        <v>4763</v>
      </c>
      <c r="O1" s="1499"/>
      <c r="P1" s="1500"/>
      <c r="Q1" s="620" t="s">
        <v>4766</v>
      </c>
    </row>
    <row r="2" spans="1:17" ht="15.75" thickBot="1" x14ac:dyDescent="0.25">
      <c r="A2" s="296" t="s">
        <v>1582</v>
      </c>
      <c r="B2" s="296" t="s">
        <v>4759</v>
      </c>
      <c r="C2" s="296" t="s">
        <v>4760</v>
      </c>
      <c r="D2" s="1476" t="s">
        <v>4764</v>
      </c>
      <c r="E2" s="673" t="s">
        <v>4610</v>
      </c>
      <c r="F2" s="673" t="s">
        <v>245</v>
      </c>
      <c r="G2" s="674" t="s">
        <v>4776</v>
      </c>
      <c r="H2" s="1472" t="s">
        <v>4770</v>
      </c>
      <c r="I2" s="673" t="s">
        <v>4771</v>
      </c>
      <c r="J2" s="674" t="s">
        <v>4775</v>
      </c>
      <c r="K2" s="1478" t="s">
        <v>1662</v>
      </c>
      <c r="L2" s="1065" t="s">
        <v>4772</v>
      </c>
      <c r="M2" s="296" t="s">
        <v>4774</v>
      </c>
      <c r="N2" s="672" t="s">
        <v>4773</v>
      </c>
      <c r="O2" s="673" t="s">
        <v>4777</v>
      </c>
      <c r="P2" s="1477" t="s">
        <v>4765</v>
      </c>
      <c r="Q2" s="673" t="s">
        <v>4778</v>
      </c>
    </row>
    <row r="3" spans="1:17" x14ac:dyDescent="0.2">
      <c r="A3" s="1063" t="s">
        <v>1511</v>
      </c>
      <c r="B3" s="1450">
        <f ca="1">INDIRECT(A3)</f>
        <v>92.399202777777774</v>
      </c>
      <c r="C3" s="1481">
        <f>SunDeb</f>
        <v>190</v>
      </c>
      <c r="D3" s="1482">
        <f t="shared" ref="D3:D10" ca="1" si="0">(1-COS((360+B3-C3)/180*PI()))/2</f>
        <v>0.56613509108432658</v>
      </c>
      <c r="E3" s="296">
        <v>19</v>
      </c>
      <c r="F3" s="296"/>
      <c r="G3" s="1470">
        <f t="shared" ref="G3:G9" ca="1" si="1">(1-COS((360+B3-C3)/180*PI()))/2*E3</f>
        <v>10.756566730602206</v>
      </c>
      <c r="H3" s="671">
        <v>1</v>
      </c>
      <c r="I3" s="296"/>
      <c r="J3" s="1473">
        <f t="shared" ref="J3:J9" ca="1" si="2">(1-COS((360+B3-C3)/180*PI()))/2*H3</f>
        <v>0.56613509108432658</v>
      </c>
      <c r="K3" s="1449">
        <f t="shared" ref="K3:K10" ca="1" si="3">MOD(B3/3.333,12)</f>
        <v>3.7225330866419952</v>
      </c>
      <c r="L3" s="620"/>
      <c r="M3" s="1450">
        <f ca="1">Ashtakavarga!P30</f>
        <v>8.0383293996794034</v>
      </c>
      <c r="N3" s="671">
        <v>10</v>
      </c>
      <c r="O3" s="676">
        <f ca="1">N3*$D3*Table19[[#This Row],[Factor]]</f>
        <v>5.6613509108432662</v>
      </c>
      <c r="P3" s="677">
        <v>1</v>
      </c>
      <c r="Q3" s="296"/>
    </row>
    <row r="4" spans="1:17" x14ac:dyDescent="0.2">
      <c r="A4" s="296" t="s">
        <v>1512</v>
      </c>
      <c r="B4" s="676">
        <f t="shared" ref="B4:B10" ca="1" si="4">INDIRECT(A4)</f>
        <v>53.015944444444443</v>
      </c>
      <c r="C4" s="1471">
        <f>MoonDeb</f>
        <v>213</v>
      </c>
      <c r="D4" s="1470">
        <f t="shared" ca="1" si="0"/>
        <v>0.96979870299594828</v>
      </c>
      <c r="E4" s="296">
        <v>25</v>
      </c>
      <c r="F4" s="296"/>
      <c r="G4" s="1470">
        <f t="shared" ca="1" si="1"/>
        <v>24.244967574898705</v>
      </c>
      <c r="H4" s="671">
        <v>2</v>
      </c>
      <c r="I4" s="296"/>
      <c r="J4" s="1473">
        <f t="shared" ca="1" si="2"/>
        <v>1.9395974059918966</v>
      </c>
      <c r="K4" s="675">
        <f t="shared" ca="1" si="3"/>
        <v>3.9063739707304048</v>
      </c>
      <c r="L4" s="1065"/>
      <c r="M4" s="676">
        <f ca="1">Ashtakavarga!P31</f>
        <v>20.049280656730662</v>
      </c>
      <c r="N4" s="671">
        <v>9</v>
      </c>
      <c r="O4" s="676">
        <f ca="1">N4*$D4*Table19[[#This Row],[Factor]]</f>
        <v>26.184564980890606</v>
      </c>
      <c r="P4" s="677">
        <v>3</v>
      </c>
      <c r="Q4" s="296"/>
    </row>
    <row r="5" spans="1:17" x14ac:dyDescent="0.2">
      <c r="A5" s="296" t="s">
        <v>1513</v>
      </c>
      <c r="B5" s="676">
        <f t="shared" ca="1" si="4"/>
        <v>298.10866388888888</v>
      </c>
      <c r="C5" s="1471">
        <f>MarsDeb</f>
        <v>118</v>
      </c>
      <c r="D5" s="1470">
        <f t="shared" ca="1" si="0"/>
        <v>0.99999910078177401</v>
      </c>
      <c r="E5" s="296">
        <v>15</v>
      </c>
      <c r="F5" s="296"/>
      <c r="G5" s="1470">
        <f t="shared" ca="1" si="1"/>
        <v>14.999986511726609</v>
      </c>
      <c r="H5" s="671">
        <v>9</v>
      </c>
      <c r="I5" s="296"/>
      <c r="J5" s="1473">
        <f t="shared" ca="1" si="2"/>
        <v>8.999991907035966</v>
      </c>
      <c r="K5" s="675">
        <f t="shared" ca="1" si="3"/>
        <v>5.4415433209987611</v>
      </c>
      <c r="L5" s="1065"/>
      <c r="M5" s="676">
        <f ca="1">Ashtakavarga!P32</f>
        <v>20.043805028205032</v>
      </c>
      <c r="N5" s="671">
        <v>5</v>
      </c>
      <c r="O5" s="676">
        <f ca="1">N5*$D5*Table19[[#This Row],[Factor]]</f>
        <v>14.999986511726611</v>
      </c>
      <c r="P5" s="677">
        <v>3</v>
      </c>
      <c r="Q5" s="296"/>
    </row>
    <row r="6" spans="1:17" x14ac:dyDescent="0.2">
      <c r="A6" s="296" t="s">
        <v>1517</v>
      </c>
      <c r="B6" s="676">
        <f t="shared" ca="1" si="4"/>
        <v>117.12978611111112</v>
      </c>
      <c r="C6" s="1471">
        <f>MercDeb</f>
        <v>345</v>
      </c>
      <c r="D6" s="1470">
        <f t="shared" ca="1" si="0"/>
        <v>0.83540612807205905</v>
      </c>
      <c r="E6" s="296">
        <v>12</v>
      </c>
      <c r="F6" s="296"/>
      <c r="G6" s="1470">
        <f t="shared" ca="1" si="1"/>
        <v>10.024873536864709</v>
      </c>
      <c r="H6" s="671">
        <v>20</v>
      </c>
      <c r="I6" s="296"/>
      <c r="J6" s="1473">
        <f t="shared" ca="1" si="2"/>
        <v>16.708122561441179</v>
      </c>
      <c r="K6" s="675">
        <f t="shared" ca="1" si="3"/>
        <v>11.14245007834117</v>
      </c>
      <c r="L6" s="1065"/>
      <c r="M6" s="676">
        <f ca="1">Ashtakavarga!P33</f>
        <v>14.12457054895806</v>
      </c>
      <c r="N6" s="671">
        <v>5</v>
      </c>
      <c r="O6" s="676">
        <f ca="1">N6*$D6*Table19[[#This Row],[Factor]]</f>
        <v>4.1770306403602948</v>
      </c>
      <c r="P6" s="677">
        <v>1</v>
      </c>
      <c r="Q6" s="296"/>
    </row>
    <row r="7" spans="1:17" x14ac:dyDescent="0.2">
      <c r="A7" s="296" t="s">
        <v>1515</v>
      </c>
      <c r="B7" s="676">
        <f t="shared" ca="1" si="4"/>
        <v>213.19717499999999</v>
      </c>
      <c r="C7" s="1471">
        <f>JupDeb</f>
        <v>275</v>
      </c>
      <c r="D7" s="1470">
        <f t="shared" ca="1" si="0"/>
        <v>0.26374634442897488</v>
      </c>
      <c r="E7" s="296">
        <v>15</v>
      </c>
      <c r="F7" s="296"/>
      <c r="G7" s="1470">
        <f t="shared" ca="1" si="1"/>
        <v>3.9561951664346231</v>
      </c>
      <c r="H7" s="671">
        <v>18</v>
      </c>
      <c r="I7" s="296"/>
      <c r="J7" s="1473">
        <f t="shared" ca="1" si="2"/>
        <v>4.7474341997215479</v>
      </c>
      <c r="K7" s="675">
        <f t="shared" ca="1" si="3"/>
        <v>3.9655490549054804</v>
      </c>
      <c r="L7" s="1065"/>
      <c r="M7" s="676">
        <f ca="1">Ashtakavarga!P34</f>
        <v>4.0971924063299161</v>
      </c>
      <c r="N7" s="671">
        <v>7</v>
      </c>
      <c r="O7" s="676">
        <f ca="1">N7*$D7*Table19[[#This Row],[Factor]]</f>
        <v>2.4554784666337564</v>
      </c>
      <c r="P7" s="677">
        <v>1.33</v>
      </c>
      <c r="Q7" s="296"/>
    </row>
    <row r="8" spans="1:17" x14ac:dyDescent="0.2">
      <c r="A8" s="296" t="s">
        <v>1519</v>
      </c>
      <c r="B8" s="676">
        <f t="shared" ca="1" si="4"/>
        <v>81.540602777777778</v>
      </c>
      <c r="C8" s="1471">
        <f>VenuDeb</f>
        <v>177</v>
      </c>
      <c r="D8" s="1470">
        <f t="shared" ca="1" si="0"/>
        <v>0.54757016942463022</v>
      </c>
      <c r="E8" s="296">
        <v>21</v>
      </c>
      <c r="F8" s="296"/>
      <c r="G8" s="1470">
        <f t="shared" ca="1" si="1"/>
        <v>11.498973557917235</v>
      </c>
      <c r="H8" s="671">
        <v>20</v>
      </c>
      <c r="I8" s="296"/>
      <c r="J8" s="1473">
        <f t="shared" ca="1" si="2"/>
        <v>10.951403388492604</v>
      </c>
      <c r="K8" s="675">
        <f t="shared" ca="1" si="3"/>
        <v>0.46462729606293962</v>
      </c>
      <c r="L8" s="1065"/>
      <c r="M8" s="676">
        <f ca="1">Ashtakavarga!P35</f>
        <v>14.069814263701771</v>
      </c>
      <c r="N8" s="671">
        <v>8</v>
      </c>
      <c r="O8" s="676">
        <f ca="1">N8*$D8*Table19[[#This Row],[Factor]]</f>
        <v>5.8261466026780662</v>
      </c>
      <c r="P8" s="677">
        <v>1.33</v>
      </c>
      <c r="Q8" s="296"/>
    </row>
    <row r="9" spans="1:17" x14ac:dyDescent="0.2">
      <c r="A9" s="296" t="s">
        <v>1516</v>
      </c>
      <c r="B9" s="676">
        <f t="shared" ca="1" si="4"/>
        <v>39.885211111111111</v>
      </c>
      <c r="C9" s="1471">
        <f>SatDeb</f>
        <v>20</v>
      </c>
      <c r="D9" s="1470">
        <f t="shared" ca="1" si="0"/>
        <v>2.9812023656127173E-2</v>
      </c>
      <c r="E9" s="296">
        <v>20</v>
      </c>
      <c r="F9" s="296"/>
      <c r="G9" s="1470">
        <f t="shared" ca="1" si="1"/>
        <v>0.59624047312254347</v>
      </c>
      <c r="H9" s="671">
        <v>50</v>
      </c>
      <c r="I9" s="296"/>
      <c r="J9" s="1473">
        <f t="shared" ca="1" si="2"/>
        <v>1.4906011828063588</v>
      </c>
      <c r="K9" s="675">
        <f t="shared" ca="1" si="3"/>
        <v>11.966760009334266</v>
      </c>
      <c r="L9" s="1065"/>
      <c r="M9" s="676">
        <f ca="1">Ashtakavarga!P36</f>
        <v>8.0876100564100657</v>
      </c>
      <c r="N9" s="671">
        <v>5</v>
      </c>
      <c r="O9" s="676">
        <f ca="1">N9*$D9*Table19[[#This Row],[Factor]]</f>
        <v>0.19824995731324571</v>
      </c>
      <c r="P9" s="677">
        <v>1.33</v>
      </c>
      <c r="Q9" s="296"/>
    </row>
    <row r="10" spans="1:17" ht="15.75" thickBot="1" x14ac:dyDescent="0.25">
      <c r="A10" s="296" t="s">
        <v>1722</v>
      </c>
      <c r="B10" s="676">
        <f t="shared" ca="1" si="4"/>
        <v>136.71151666666665</v>
      </c>
      <c r="C10" s="1471"/>
      <c r="D10" s="1470">
        <f t="shared" ca="1" si="0"/>
        <v>0.86395529750830846</v>
      </c>
      <c r="E10" s="1480" t="s">
        <v>1086</v>
      </c>
      <c r="F10" s="296"/>
      <c r="G10" s="1473"/>
      <c r="H10" s="1475" t="s">
        <v>1086</v>
      </c>
      <c r="I10" s="296"/>
      <c r="J10" s="1473"/>
      <c r="K10" s="1474">
        <f t="shared" ca="1" si="3"/>
        <v>5.0175567556755638</v>
      </c>
      <c r="L10" s="1065"/>
      <c r="M10" s="1479">
        <f ca="1">Ashtakavarga!P37</f>
        <v>12.088978963541473</v>
      </c>
      <c r="N10" s="1475"/>
      <c r="O10" s="296"/>
      <c r="P10" s="677">
        <f t="shared" ref="P10" si="5">O10</f>
        <v>0</v>
      </c>
      <c r="Q10" s="296"/>
    </row>
    <row r="11" spans="1:17" x14ac:dyDescent="0.2">
      <c r="A11" s="1063" t="s">
        <v>1600</v>
      </c>
      <c r="B11" s="1063"/>
      <c r="C11" s="1063"/>
      <c r="D11" s="620"/>
      <c r="E11" s="1062">
        <f>SUM(E3:E9)</f>
        <v>127</v>
      </c>
      <c r="F11" s="1063"/>
      <c r="G11" s="1483">
        <f ca="1">SUM(G3:G9)</f>
        <v>76.077803551566646</v>
      </c>
      <c r="H11" s="1062">
        <f>SUM(H3:H9)</f>
        <v>120</v>
      </c>
      <c r="I11" s="1063"/>
      <c r="J11" s="1450">
        <f ca="1">SUM(J3:J9)</f>
        <v>45.403285736573878</v>
      </c>
      <c r="K11" s="1449">
        <f ca="1">SUM(K3:K10)</f>
        <v>45.627393572690586</v>
      </c>
      <c r="L11" s="620"/>
      <c r="M11" s="1449">
        <f ca="1">SUM(M3:M10)</f>
        <v>100.59958132355639</v>
      </c>
      <c r="N11" s="1062">
        <f>SUM(N3:N9)</f>
        <v>49</v>
      </c>
      <c r="O11" s="1450">
        <f ca="1">SUM(O3:O9)</f>
        <v>59.502808070445845</v>
      </c>
      <c r="P11" s="1451">
        <f>SUM(P3:P9)</f>
        <v>11.99</v>
      </c>
      <c r="Q11" s="1062">
        <f>'KalaChakra Dasa'!L31</f>
        <v>100</v>
      </c>
    </row>
    <row r="16" spans="1:17" x14ac:dyDescent="0.2">
      <c r="D16" t="s">
        <v>4769</v>
      </c>
    </row>
    <row r="17" spans="1:5" x14ac:dyDescent="0.2">
      <c r="A17" t="s">
        <v>4767</v>
      </c>
      <c r="B17" t="s">
        <v>1063</v>
      </c>
      <c r="C17" t="s">
        <v>4768</v>
      </c>
      <c r="D17" t="s">
        <v>2590</v>
      </c>
      <c r="E17">
        <f>E11</f>
        <v>127</v>
      </c>
    </row>
    <row r="18" spans="1:5" x14ac:dyDescent="0.2">
      <c r="A18" t="s">
        <v>4757</v>
      </c>
      <c r="B18">
        <v>365.24250000000001</v>
      </c>
      <c r="C18">
        <f>B18/B18</f>
        <v>1</v>
      </c>
      <c r="E18">
        <f>E17*C18</f>
        <v>127</v>
      </c>
    </row>
    <row r="19" spans="1:5" x14ac:dyDescent="0.2">
      <c r="A19" t="s">
        <v>1505</v>
      </c>
      <c r="B19">
        <f>27.33*12</f>
        <v>327.96</v>
      </c>
      <c r="C19" s="168">
        <f>B18/B19</f>
        <v>1.1136800219538969</v>
      </c>
      <c r="D19" s="99"/>
      <c r="E19">
        <f>E17/C19</f>
        <v>114.03634571551775</v>
      </c>
    </row>
    <row r="20" spans="1:5" x14ac:dyDescent="0.2">
      <c r="A20" t="s">
        <v>4756</v>
      </c>
      <c r="B20">
        <f>29.5*12</f>
        <v>354</v>
      </c>
      <c r="C20" s="168">
        <f>B18/B20</f>
        <v>1.0317584745762711</v>
      </c>
      <c r="D20" s="99"/>
      <c r="E20">
        <f>E17/C20</f>
        <v>123.09082322018934</v>
      </c>
    </row>
    <row r="21" spans="1:5" x14ac:dyDescent="0.2">
      <c r="A21" t="s">
        <v>4755</v>
      </c>
      <c r="B21">
        <v>360</v>
      </c>
      <c r="C21" s="168">
        <f>B18/B21</f>
        <v>1.0145625</v>
      </c>
      <c r="D21" s="99"/>
      <c r="E21">
        <f>E17/C21</f>
        <v>125.17710835951456</v>
      </c>
    </row>
  </sheetData>
  <mergeCells count="5">
    <mergeCell ref="E1:G1"/>
    <mergeCell ref="H1:J1"/>
    <mergeCell ref="B1:D1"/>
    <mergeCell ref="K1:L1"/>
    <mergeCell ref="N1:P1"/>
  </mergeCells>
  <pageMargins left="0.7" right="0.7" top="0.75" bottom="0.75" header="0.3" footer="0.3"/>
  <legacy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B1:AP41"/>
  <sheetViews>
    <sheetView tabSelected="1" workbookViewId="0" xr3:uid="{F9CF3CF3-643B-5BE6-8B46-32C596A47465}">
      <selection activeCell="D5" sqref="D5"/>
    </sheetView>
  </sheetViews>
  <sheetFormatPr defaultRowHeight="15" x14ac:dyDescent="0.2"/>
  <cols>
    <col min="1" max="1" width="3.765625" customWidth="1"/>
    <col min="2" max="2" width="8.33984375" bestFit="1" customWidth="1"/>
    <col min="3" max="3" width="6.58984375" bestFit="1" customWidth="1"/>
    <col min="4" max="4" width="6.3203125" customWidth="1"/>
    <col min="5" max="5" width="20.984375" customWidth="1"/>
    <col min="6" max="6" width="6.58984375" bestFit="1" customWidth="1"/>
    <col min="7" max="10" width="3.765625" bestFit="1" customWidth="1"/>
    <col min="11" max="11" width="3.765625" customWidth="1"/>
    <col min="12" max="14" width="3.765625" bestFit="1" customWidth="1"/>
    <col min="15" max="15" width="3.765625" customWidth="1"/>
    <col min="16" max="16" width="3.765625" bestFit="1" customWidth="1"/>
    <col min="17" max="17" width="3.765625" customWidth="1"/>
    <col min="18" max="21" width="3.765625" bestFit="1" customWidth="1"/>
    <col min="22" max="22" width="4.5703125" bestFit="1" customWidth="1"/>
    <col min="23" max="23" width="3.765625" bestFit="1" customWidth="1"/>
    <col min="24" max="25" width="3.765625" customWidth="1"/>
    <col min="26" max="26" width="3.765625" bestFit="1" customWidth="1"/>
    <col min="27" max="27" width="4.5703125" bestFit="1" customWidth="1"/>
    <col min="28" max="28" width="3.765625" bestFit="1" customWidth="1"/>
    <col min="29" max="29" width="3.765625" customWidth="1"/>
    <col min="30" max="31" width="3.765625" bestFit="1" customWidth="1"/>
    <col min="33" max="33" width="14.125" bestFit="1" customWidth="1"/>
    <col min="34" max="34" width="18.16015625" bestFit="1" customWidth="1"/>
    <col min="35" max="35" width="12.64453125" bestFit="1" customWidth="1"/>
    <col min="36" max="36" width="6.58984375" bestFit="1" customWidth="1"/>
    <col min="37" max="37" width="6.1875" bestFit="1" customWidth="1"/>
    <col min="38" max="38" width="5.51171875" bestFit="1" customWidth="1"/>
    <col min="39" max="39" width="8.33984375" bestFit="1" customWidth="1"/>
    <col min="40" max="40" width="7.12890625" bestFit="1" customWidth="1"/>
    <col min="41" max="41" width="6.58984375" bestFit="1" customWidth="1"/>
    <col min="42" max="42" width="6.72265625" bestFit="1" customWidth="1"/>
  </cols>
  <sheetData>
    <row r="1" spans="2:42" ht="15.75" thickBot="1" x14ac:dyDescent="0.25"/>
    <row r="2" spans="2:42" ht="75" customHeight="1" x14ac:dyDescent="0.2">
      <c r="B2" s="1512" t="s">
        <v>1582</v>
      </c>
      <c r="C2" s="1515" t="s">
        <v>4748</v>
      </c>
      <c r="D2" s="1505" t="s">
        <v>691</v>
      </c>
      <c r="E2" s="1505"/>
      <c r="F2" s="1505"/>
      <c r="G2" s="1505"/>
      <c r="H2" s="1505"/>
      <c r="I2" s="1505"/>
      <c r="J2" s="1505"/>
      <c r="K2" s="1505"/>
      <c r="L2" s="1505"/>
      <c r="M2" s="1505"/>
      <c r="N2" s="1505"/>
      <c r="O2" s="1505"/>
      <c r="P2" s="1505"/>
      <c r="Q2" s="1502" t="s">
        <v>707</v>
      </c>
      <c r="R2" s="1505" t="s">
        <v>706</v>
      </c>
      <c r="S2" s="1505"/>
      <c r="T2" s="1505"/>
      <c r="U2" s="1505"/>
      <c r="V2" s="1505"/>
      <c r="W2" s="1505"/>
      <c r="X2" s="1505"/>
      <c r="Y2" s="1505"/>
      <c r="Z2" s="1505"/>
      <c r="AA2" s="1502" t="s">
        <v>708</v>
      </c>
      <c r="AB2" s="1502" t="s">
        <v>4787</v>
      </c>
      <c r="AC2" s="1502" t="s">
        <v>709</v>
      </c>
      <c r="AD2" s="1502" t="s">
        <v>705</v>
      </c>
      <c r="AE2" s="1502" t="s">
        <v>4788</v>
      </c>
    </row>
    <row r="3" spans="2:42" ht="96" customHeight="1" x14ac:dyDescent="0.2">
      <c r="B3" s="1513"/>
      <c r="C3" s="1516"/>
      <c r="D3" s="1503" t="s">
        <v>4780</v>
      </c>
      <c r="E3" s="1506" t="s">
        <v>4781</v>
      </c>
      <c r="F3" s="1503"/>
      <c r="G3" s="1503"/>
      <c r="H3" s="1503"/>
      <c r="I3" s="1503"/>
      <c r="J3" s="1503"/>
      <c r="K3" s="1503"/>
      <c r="L3" s="1503"/>
      <c r="M3" s="1503" t="s">
        <v>4779</v>
      </c>
      <c r="N3" s="1503" t="s">
        <v>4782</v>
      </c>
      <c r="O3" s="1503" t="s">
        <v>4783</v>
      </c>
      <c r="P3" s="1503" t="s">
        <v>4749</v>
      </c>
      <c r="Q3" s="1503"/>
      <c r="R3" s="1503" t="s">
        <v>4784</v>
      </c>
      <c r="S3" s="1503" t="s">
        <v>4785</v>
      </c>
      <c r="T3" s="1503" t="s">
        <v>4786</v>
      </c>
      <c r="U3" s="1507" t="s">
        <v>4747</v>
      </c>
      <c r="V3" s="1508"/>
      <c r="W3" s="1508"/>
      <c r="X3" s="1508"/>
      <c r="Y3" s="1509"/>
      <c r="Z3" s="1510" t="s">
        <v>4751</v>
      </c>
      <c r="AA3" s="1503"/>
      <c r="AB3" s="1503"/>
      <c r="AC3" s="1503"/>
      <c r="AD3" s="1503"/>
      <c r="AE3" s="1503"/>
    </row>
    <row r="4" spans="2:42" s="670" customFormat="1" ht="65.25" thickBot="1" x14ac:dyDescent="0.25">
      <c r="B4" s="1514"/>
      <c r="C4" s="1517"/>
      <c r="D4" s="1504"/>
      <c r="E4" s="1486" t="s">
        <v>1653</v>
      </c>
      <c r="F4" s="1486" t="s">
        <v>9</v>
      </c>
      <c r="G4" s="1486" t="s">
        <v>1656</v>
      </c>
      <c r="H4" s="1486" t="s">
        <v>1660</v>
      </c>
      <c r="I4" s="1486" t="s">
        <v>1662</v>
      </c>
      <c r="J4" s="1486" t="s">
        <v>1666</v>
      </c>
      <c r="K4" s="1486" t="s">
        <v>10</v>
      </c>
      <c r="L4" s="1487" t="s">
        <v>1600</v>
      </c>
      <c r="M4" s="1504"/>
      <c r="N4" s="1504"/>
      <c r="O4" s="1504"/>
      <c r="P4" s="1504"/>
      <c r="Q4" s="1504"/>
      <c r="R4" s="1504"/>
      <c r="S4" s="1504"/>
      <c r="T4" s="1504"/>
      <c r="U4" s="1486" t="s">
        <v>700</v>
      </c>
      <c r="V4" s="1486" t="s">
        <v>701</v>
      </c>
      <c r="W4" s="1486" t="s">
        <v>702</v>
      </c>
      <c r="X4" s="1486" t="s">
        <v>703</v>
      </c>
      <c r="Y4" s="1486" t="s">
        <v>4750</v>
      </c>
      <c r="Z4" s="1511"/>
      <c r="AA4" s="1504"/>
      <c r="AB4" s="1504"/>
      <c r="AC4" s="1504"/>
      <c r="AD4" s="1504"/>
      <c r="AE4" s="1504"/>
    </row>
    <row r="5" spans="2:42" x14ac:dyDescent="0.2">
      <c r="B5" s="671" t="str">
        <f>Basics!A8</f>
        <v>Sun</v>
      </c>
      <c r="C5" s="1452">
        <f>Basics!G8</f>
        <v>92.399202777777774</v>
      </c>
      <c r="D5" s="1484">
        <f>(1-COS((360+C5-SunDeb)/180*PI()))/2</f>
        <v>0.56613509108432658</v>
      </c>
      <c r="E5" s="676">
        <f>ACOS(1-2*D5)*180/PI()/3/60</f>
        <v>0.54222665123456781</v>
      </c>
      <c r="F5" s="1450"/>
      <c r="G5" s="1450"/>
      <c r="H5" s="1450"/>
      <c r="I5" s="1450"/>
      <c r="J5" s="1450"/>
      <c r="K5" s="1450"/>
      <c r="L5" s="1453"/>
      <c r="M5" s="1453"/>
      <c r="N5" s="1453"/>
      <c r="O5" s="1453"/>
      <c r="P5" s="1451"/>
      <c r="Q5" s="676"/>
      <c r="R5" s="1452"/>
      <c r="S5" s="1452"/>
      <c r="T5" s="1452"/>
      <c r="U5" s="1449"/>
      <c r="V5" s="1450"/>
      <c r="W5" s="1450"/>
      <c r="X5" s="1450"/>
      <c r="Y5" s="1450"/>
      <c r="Z5" s="1451"/>
      <c r="AA5" s="681">
        <f>7/7</f>
        <v>1</v>
      </c>
      <c r="AB5" s="1452"/>
      <c r="AC5" s="1452"/>
      <c r="AD5" s="1452"/>
      <c r="AE5" s="677"/>
    </row>
    <row r="6" spans="2:42" x14ac:dyDescent="0.2">
      <c r="B6" s="671" t="str">
        <f>Basics!A9</f>
        <v>Moon</v>
      </c>
      <c r="C6" s="681">
        <f>Basics!G9</f>
        <v>53.015944444444443</v>
      </c>
      <c r="D6" s="1484">
        <f>(1-COS((360+C6-MoonDeb)/180*PI()))/2</f>
        <v>0.96979870299594828</v>
      </c>
      <c r="E6" s="676">
        <f t="shared" ref="E6:E11" si="0">ACOS(1-2*D6)*180/PI()/3/60</f>
        <v>0.88880030864197535</v>
      </c>
      <c r="F6" s="676"/>
      <c r="G6" s="676"/>
      <c r="H6" s="676"/>
      <c r="I6" s="676"/>
      <c r="J6" s="676"/>
      <c r="K6" s="676"/>
      <c r="L6" s="1454"/>
      <c r="M6" s="1454"/>
      <c r="N6" s="1454"/>
      <c r="O6" s="1454"/>
      <c r="P6" s="677"/>
      <c r="Q6" s="676"/>
      <c r="R6" s="681"/>
      <c r="S6" s="681"/>
      <c r="T6" s="681"/>
      <c r="U6" s="675"/>
      <c r="V6" s="676"/>
      <c r="W6" s="676"/>
      <c r="X6" s="676"/>
      <c r="Y6" s="676"/>
      <c r="Z6" s="677"/>
      <c r="AA6" s="681">
        <f>6/7</f>
        <v>0.8571428571428571</v>
      </c>
      <c r="AB6" s="681"/>
      <c r="AC6" s="681"/>
      <c r="AD6" s="681"/>
      <c r="AE6" s="677"/>
    </row>
    <row r="7" spans="2:42" x14ac:dyDescent="0.2">
      <c r="B7" s="671" t="str">
        <f>Basics!A10</f>
        <v>Mars</v>
      </c>
      <c r="C7" s="681">
        <f>Basics!G10</f>
        <v>298.10866388888888</v>
      </c>
      <c r="D7" s="1484">
        <f>(1-COS((360+C7-MarsDeb)/180*PI()))/2</f>
        <v>0.99999910078177401</v>
      </c>
      <c r="E7" s="676">
        <f t="shared" si="0"/>
        <v>0.9993963117283915</v>
      </c>
      <c r="F7" s="676"/>
      <c r="G7" s="676"/>
      <c r="H7" s="676"/>
      <c r="I7" s="676"/>
      <c r="J7" s="676"/>
      <c r="K7" s="676"/>
      <c r="L7" s="1454"/>
      <c r="M7" s="1454"/>
      <c r="N7" s="1454"/>
      <c r="O7" s="1454"/>
      <c r="P7" s="677"/>
      <c r="Q7" s="676"/>
      <c r="R7" s="681"/>
      <c r="S7" s="681"/>
      <c r="T7" s="681"/>
      <c r="U7" s="675"/>
      <c r="V7" s="676"/>
      <c r="W7" s="676"/>
      <c r="X7" s="676"/>
      <c r="Y7" s="676"/>
      <c r="Z7" s="677"/>
      <c r="AA7" s="681">
        <f>5/7</f>
        <v>0.7142857142857143</v>
      </c>
      <c r="AB7" s="681"/>
      <c r="AC7" s="681"/>
      <c r="AD7" s="681"/>
      <c r="AE7" s="677"/>
    </row>
    <row r="8" spans="2:42" x14ac:dyDescent="0.2">
      <c r="B8" s="671" t="str">
        <f>Basics!A11</f>
        <v>Mercury</v>
      </c>
      <c r="C8" s="681">
        <f>Basics!G11</f>
        <v>117.12978611111112</v>
      </c>
      <c r="D8" s="1484">
        <f>(1-COS((360+C8-MercDeb)/180*PI()))/2</f>
        <v>0.83540612807205905</v>
      </c>
      <c r="E8" s="676">
        <f t="shared" si="0"/>
        <v>0.73405436728395068</v>
      </c>
      <c r="F8" s="676"/>
      <c r="G8" s="676"/>
      <c r="H8" s="676"/>
      <c r="I8" s="676"/>
      <c r="J8" s="676"/>
      <c r="K8" s="676"/>
      <c r="L8" s="1454"/>
      <c r="M8" s="1454"/>
      <c r="N8" s="1454"/>
      <c r="O8" s="1454"/>
      <c r="P8" s="677"/>
      <c r="Q8" s="676"/>
      <c r="R8" s="681"/>
      <c r="S8" s="681"/>
      <c r="T8" s="681"/>
      <c r="U8" s="675"/>
      <c r="V8" s="676"/>
      <c r="W8" s="676"/>
      <c r="X8" s="676"/>
      <c r="Y8" s="676"/>
      <c r="Z8" s="677"/>
      <c r="AA8" s="681">
        <f>4/7</f>
        <v>0.5714285714285714</v>
      </c>
      <c r="AB8" s="681"/>
      <c r="AC8" s="681"/>
      <c r="AD8" s="681"/>
      <c r="AE8" s="677"/>
    </row>
    <row r="9" spans="2:42" x14ac:dyDescent="0.2">
      <c r="B9" s="671" t="str">
        <f>Basics!A12</f>
        <v>Jupiter</v>
      </c>
      <c r="C9" s="681">
        <f>Basics!G12</f>
        <v>213.19717499999999</v>
      </c>
      <c r="D9" s="1484">
        <f>(1-COS((360+C9-JupDeb)/180*PI()))/2</f>
        <v>0.26374634442897488</v>
      </c>
      <c r="E9" s="676">
        <f t="shared" si="0"/>
        <v>0.34334902777777765</v>
      </c>
      <c r="F9" s="676"/>
      <c r="G9" s="676"/>
      <c r="H9" s="676"/>
      <c r="I9" s="676"/>
      <c r="J9" s="676"/>
      <c r="K9" s="676"/>
      <c r="L9" s="1454"/>
      <c r="M9" s="1454"/>
      <c r="N9" s="1454"/>
      <c r="O9" s="1454"/>
      <c r="P9" s="677"/>
      <c r="Q9" s="676"/>
      <c r="R9" s="681"/>
      <c r="S9" s="681"/>
      <c r="T9" s="681"/>
      <c r="U9" s="675"/>
      <c r="V9" s="676"/>
      <c r="W9" s="676"/>
      <c r="X9" s="676"/>
      <c r="Y9" s="676"/>
      <c r="Z9" s="677"/>
      <c r="AA9" s="681">
        <f>3/7</f>
        <v>0.42857142857142855</v>
      </c>
      <c r="AB9" s="681"/>
      <c r="AC9" s="681"/>
      <c r="AD9" s="681"/>
      <c r="AE9" s="677"/>
    </row>
    <row r="10" spans="2:42" x14ac:dyDescent="0.2">
      <c r="B10" s="671" t="str">
        <f>Basics!A13</f>
        <v>Venus</v>
      </c>
      <c r="C10" s="681">
        <f>Basics!G13</f>
        <v>81.540602777777778</v>
      </c>
      <c r="D10" s="1484">
        <f>(1-COS((360+C10-VenuDeb)/180*PI()))/2</f>
        <v>0.54757016942463022</v>
      </c>
      <c r="E10" s="676">
        <f t="shared" si="0"/>
        <v>0.53032998456790137</v>
      </c>
      <c r="F10" s="676"/>
      <c r="G10" s="676"/>
      <c r="H10" s="676"/>
      <c r="I10" s="676"/>
      <c r="J10" s="676"/>
      <c r="K10" s="676"/>
      <c r="L10" s="1454"/>
      <c r="M10" s="1454"/>
      <c r="N10" s="1454"/>
      <c r="O10" s="1454"/>
      <c r="P10" s="677"/>
      <c r="Q10" s="676"/>
      <c r="R10" s="681"/>
      <c r="S10" s="681"/>
      <c r="T10" s="681"/>
      <c r="U10" s="675"/>
      <c r="V10" s="676"/>
      <c r="W10" s="676"/>
      <c r="X10" s="676"/>
      <c r="Y10" s="676"/>
      <c r="Z10" s="677"/>
      <c r="AA10" s="681">
        <f>2/7</f>
        <v>0.2857142857142857</v>
      </c>
      <c r="AB10" s="681"/>
      <c r="AC10" s="681"/>
      <c r="AD10" s="681"/>
      <c r="AE10" s="677"/>
    </row>
    <row r="11" spans="2:42" ht="15.75" thickBot="1" x14ac:dyDescent="0.25">
      <c r="B11" s="672" t="str">
        <f>Basics!A14</f>
        <v>Saturn</v>
      </c>
      <c r="C11" s="682">
        <f>Basics!G14</f>
        <v>39.885211111111111</v>
      </c>
      <c r="D11" s="1485">
        <f>(1-COS((360+C11-SatDeb)/180*PI()))/2</f>
        <v>2.9812023656127173E-2</v>
      </c>
      <c r="E11" s="679">
        <f t="shared" si="0"/>
        <v>0.11047339506172835</v>
      </c>
      <c r="F11" s="679"/>
      <c r="G11" s="679"/>
      <c r="H11" s="679"/>
      <c r="I11" s="679"/>
      <c r="J11" s="679"/>
      <c r="K11" s="679"/>
      <c r="L11" s="1455"/>
      <c r="M11" s="1455"/>
      <c r="N11" s="1455"/>
      <c r="O11" s="1455"/>
      <c r="P11" s="680"/>
      <c r="Q11" s="679"/>
      <c r="R11" s="682"/>
      <c r="S11" s="682"/>
      <c r="T11" s="682"/>
      <c r="U11" s="678"/>
      <c r="V11" s="679"/>
      <c r="W11" s="679"/>
      <c r="X11" s="679"/>
      <c r="Y11" s="679"/>
      <c r="Z11" s="680"/>
      <c r="AA11" s="682">
        <f>1/7</f>
        <v>0.14285714285714285</v>
      </c>
      <c r="AB11" s="682"/>
      <c r="AC11" s="682"/>
      <c r="AD11" s="682"/>
      <c r="AE11" s="680"/>
    </row>
    <row r="12" spans="2:42" ht="15.75" thickBot="1" x14ac:dyDescent="0.25">
      <c r="U12" s="676"/>
      <c r="V12" s="676"/>
      <c r="W12" s="676"/>
      <c r="X12" s="676"/>
      <c r="Y12" s="676"/>
      <c r="Z12" s="676"/>
      <c r="AG12" s="1456"/>
      <c r="AH12" s="1456"/>
      <c r="AI12" s="1456" t="s">
        <v>1582</v>
      </c>
      <c r="AJ12" s="1464" t="s">
        <v>1511</v>
      </c>
      <c r="AK12" s="1465" t="s">
        <v>1512</v>
      </c>
      <c r="AL12" s="1465" t="s">
        <v>1513</v>
      </c>
      <c r="AM12" s="1465" t="s">
        <v>1517</v>
      </c>
      <c r="AN12" s="1465" t="s">
        <v>1515</v>
      </c>
      <c r="AO12" s="1465" t="s">
        <v>1519</v>
      </c>
      <c r="AP12" s="1466" t="s">
        <v>1516</v>
      </c>
    </row>
    <row r="13" spans="2:42" ht="15.75" thickBot="1" x14ac:dyDescent="0.25">
      <c r="AG13" s="1456"/>
      <c r="AH13" s="1456"/>
      <c r="AI13" s="1457" t="s">
        <v>4748</v>
      </c>
      <c r="AJ13" s="1460">
        <v>136.71151666666665</v>
      </c>
      <c r="AK13" s="1458">
        <v>92.399202777777774</v>
      </c>
      <c r="AL13" s="1458">
        <v>53.015944444444443</v>
      </c>
      <c r="AM13" s="1458">
        <v>298.10866388888888</v>
      </c>
      <c r="AN13" s="1458">
        <v>117.12978611111112</v>
      </c>
      <c r="AO13" s="1458">
        <v>213.19717499999999</v>
      </c>
      <c r="AP13" s="1462">
        <v>81.540602777777778</v>
      </c>
    </row>
    <row r="14" spans="2:42" ht="15.75" thickBot="1" x14ac:dyDescent="0.25">
      <c r="AG14" s="1456" t="s">
        <v>691</v>
      </c>
      <c r="AH14" s="1456" t="s">
        <v>692</v>
      </c>
      <c r="AI14" s="1456"/>
      <c r="AJ14" s="1460"/>
      <c r="AK14" s="1458"/>
      <c r="AL14" s="1458"/>
      <c r="AM14" s="1458"/>
      <c r="AN14" s="1458"/>
      <c r="AO14" s="1458"/>
      <c r="AP14" s="1462"/>
    </row>
    <row r="15" spans="2:42" ht="15.75" thickBot="1" x14ac:dyDescent="0.25">
      <c r="AG15" s="1456"/>
      <c r="AH15" s="1456" t="s">
        <v>693</v>
      </c>
      <c r="AI15" s="1456" t="s">
        <v>1653</v>
      </c>
      <c r="AJ15" s="1460"/>
      <c r="AK15" s="1458"/>
      <c r="AL15" s="1458"/>
      <c r="AM15" s="1458"/>
      <c r="AN15" s="1458"/>
      <c r="AO15" s="1458"/>
      <c r="AP15" s="1462"/>
    </row>
    <row r="16" spans="2:42" ht="15.75" thickBot="1" x14ac:dyDescent="0.25">
      <c r="AG16" s="1456"/>
      <c r="AH16" s="1456"/>
      <c r="AI16" s="1456" t="s">
        <v>9</v>
      </c>
      <c r="AJ16" s="1460"/>
      <c r="AK16" s="1458"/>
      <c r="AL16" s="1458"/>
      <c r="AM16" s="1458"/>
      <c r="AN16" s="1458"/>
      <c r="AO16" s="1458"/>
      <c r="AP16" s="1462"/>
    </row>
    <row r="17" spans="33:42" ht="15.75" thickBot="1" x14ac:dyDescent="0.25">
      <c r="AG17" s="1456"/>
      <c r="AH17" s="1456"/>
      <c r="AI17" s="1456" t="s">
        <v>1656</v>
      </c>
      <c r="AJ17" s="1460"/>
      <c r="AK17" s="1458"/>
      <c r="AL17" s="1458"/>
      <c r="AM17" s="1458"/>
      <c r="AN17" s="1458"/>
      <c r="AO17" s="1458"/>
      <c r="AP17" s="1462"/>
    </row>
    <row r="18" spans="33:42" ht="15.75" thickBot="1" x14ac:dyDescent="0.25">
      <c r="AG18" s="1456"/>
      <c r="AH18" s="1456"/>
      <c r="AI18" s="1456" t="s">
        <v>1660</v>
      </c>
      <c r="AJ18" s="1460"/>
      <c r="AK18" s="1458"/>
      <c r="AL18" s="1458"/>
      <c r="AM18" s="1458"/>
      <c r="AN18" s="1458"/>
      <c r="AO18" s="1458"/>
      <c r="AP18" s="1462"/>
    </row>
    <row r="19" spans="33:42" ht="15.75" thickBot="1" x14ac:dyDescent="0.25">
      <c r="AG19" s="1456"/>
      <c r="AH19" s="1456"/>
      <c r="AI19" s="1456" t="s">
        <v>1662</v>
      </c>
      <c r="AJ19" s="1460"/>
      <c r="AK19" s="1458"/>
      <c r="AL19" s="1458"/>
      <c r="AM19" s="1458"/>
      <c r="AN19" s="1458"/>
      <c r="AO19" s="1458"/>
      <c r="AP19" s="1462"/>
    </row>
    <row r="20" spans="33:42" ht="15.75" thickBot="1" x14ac:dyDescent="0.25">
      <c r="AG20" s="1456"/>
      <c r="AH20" s="1456"/>
      <c r="AI20" s="1456" t="s">
        <v>1666</v>
      </c>
      <c r="AJ20" s="1460"/>
      <c r="AK20" s="1458"/>
      <c r="AL20" s="1458"/>
      <c r="AM20" s="1458"/>
      <c r="AN20" s="1458"/>
      <c r="AO20" s="1458"/>
      <c r="AP20" s="1462"/>
    </row>
    <row r="21" spans="33:42" ht="15.75" thickBot="1" x14ac:dyDescent="0.25">
      <c r="AG21" s="1456"/>
      <c r="AH21" s="1456"/>
      <c r="AI21" s="1456" t="s">
        <v>10</v>
      </c>
      <c r="AJ21" s="1460"/>
      <c r="AK21" s="1458"/>
      <c r="AL21" s="1458"/>
      <c r="AM21" s="1458"/>
      <c r="AN21" s="1458"/>
      <c r="AO21" s="1458"/>
      <c r="AP21" s="1462"/>
    </row>
    <row r="22" spans="33:42" ht="15.75" thickBot="1" x14ac:dyDescent="0.25">
      <c r="AG22" s="1456"/>
      <c r="AH22" s="1456"/>
      <c r="AI22" s="1456" t="s">
        <v>1600</v>
      </c>
      <c r="AJ22" s="1460"/>
      <c r="AK22" s="1458"/>
      <c r="AL22" s="1458"/>
      <c r="AM22" s="1458"/>
      <c r="AN22" s="1458"/>
      <c r="AO22" s="1458"/>
      <c r="AP22" s="1462"/>
    </row>
    <row r="23" spans="33:42" ht="15.75" thickBot="1" x14ac:dyDescent="0.25">
      <c r="AG23" s="1456"/>
      <c r="AH23" s="1456" t="s">
        <v>694</v>
      </c>
      <c r="AI23" s="1456"/>
      <c r="AJ23" s="1460"/>
      <c r="AK23" s="1458"/>
      <c r="AL23" s="1458"/>
      <c r="AM23" s="1458"/>
      <c r="AN23" s="1458"/>
      <c r="AO23" s="1458"/>
      <c r="AP23" s="1462"/>
    </row>
    <row r="24" spans="33:42" ht="15.75" thickBot="1" x14ac:dyDescent="0.25">
      <c r="AG24" s="1456"/>
      <c r="AH24" s="1456" t="s">
        <v>695</v>
      </c>
      <c r="AI24" s="1456"/>
      <c r="AJ24" s="1460"/>
      <c r="AK24" s="1458"/>
      <c r="AL24" s="1458"/>
      <c r="AM24" s="1458"/>
      <c r="AN24" s="1458"/>
      <c r="AO24" s="1458"/>
      <c r="AP24" s="1462"/>
    </row>
    <row r="25" spans="33:42" ht="15.75" thickBot="1" x14ac:dyDescent="0.25">
      <c r="AG25" s="1456"/>
      <c r="AH25" s="1456" t="s">
        <v>696</v>
      </c>
      <c r="AI25" s="1456"/>
      <c r="AJ25" s="1460"/>
      <c r="AK25" s="1458"/>
      <c r="AL25" s="1458"/>
      <c r="AM25" s="1458"/>
      <c r="AN25" s="1458"/>
      <c r="AO25" s="1458"/>
      <c r="AP25" s="1462"/>
    </row>
    <row r="26" spans="33:42" ht="15.75" thickBot="1" x14ac:dyDescent="0.25">
      <c r="AG26" s="1456"/>
      <c r="AH26" s="1456" t="s">
        <v>4749</v>
      </c>
      <c r="AI26" s="1456"/>
      <c r="AJ26" s="1460"/>
      <c r="AK26" s="1458"/>
      <c r="AL26" s="1458"/>
      <c r="AM26" s="1458"/>
      <c r="AN26" s="1458"/>
      <c r="AO26" s="1458"/>
      <c r="AP26" s="1462"/>
    </row>
    <row r="27" spans="33:42" ht="15.75" thickBot="1" x14ac:dyDescent="0.25">
      <c r="AG27" s="1456" t="s">
        <v>707</v>
      </c>
      <c r="AH27" s="1456"/>
      <c r="AI27" s="1456"/>
      <c r="AJ27" s="1460"/>
      <c r="AK27" s="1458"/>
      <c r="AL27" s="1458"/>
      <c r="AM27" s="1458"/>
      <c r="AN27" s="1458"/>
      <c r="AO27" s="1458"/>
      <c r="AP27" s="1462"/>
    </row>
    <row r="28" spans="33:42" ht="15.75" thickBot="1" x14ac:dyDescent="0.25">
      <c r="AG28" s="1456" t="s">
        <v>706</v>
      </c>
      <c r="AH28" s="1456" t="s">
        <v>697</v>
      </c>
      <c r="AI28" s="1456"/>
      <c r="AJ28" s="1460"/>
      <c r="AK28" s="1458"/>
      <c r="AL28" s="1458"/>
      <c r="AM28" s="1458"/>
      <c r="AN28" s="1458"/>
      <c r="AO28" s="1458"/>
      <c r="AP28" s="1462"/>
    </row>
    <row r="29" spans="33:42" ht="15.75" thickBot="1" x14ac:dyDescent="0.25">
      <c r="AG29" s="1456"/>
      <c r="AH29" s="1456" t="s">
        <v>698</v>
      </c>
      <c r="AI29" s="1456"/>
      <c r="AJ29" s="1460"/>
      <c r="AK29" s="1458"/>
      <c r="AL29" s="1458"/>
      <c r="AM29" s="1458"/>
      <c r="AN29" s="1458"/>
      <c r="AO29" s="1458"/>
      <c r="AP29" s="1462"/>
    </row>
    <row r="30" spans="33:42" ht="15.75" thickBot="1" x14ac:dyDescent="0.25">
      <c r="AG30" s="1456"/>
      <c r="AH30" s="1456" t="s">
        <v>699</v>
      </c>
      <c r="AI30" s="1456"/>
      <c r="AJ30" s="1460"/>
      <c r="AK30" s="1458"/>
      <c r="AL30" s="1458"/>
      <c r="AM30" s="1458"/>
      <c r="AN30" s="1458"/>
      <c r="AO30" s="1458"/>
      <c r="AP30" s="1462"/>
    </row>
    <row r="31" spans="33:42" ht="15.75" thickBot="1" x14ac:dyDescent="0.25">
      <c r="AG31" s="1456"/>
      <c r="AH31" s="1456" t="s">
        <v>4747</v>
      </c>
      <c r="AI31" s="1456" t="s">
        <v>700</v>
      </c>
      <c r="AJ31" s="1460"/>
      <c r="AK31" s="1458"/>
      <c r="AL31" s="1458"/>
      <c r="AM31" s="1458"/>
      <c r="AN31" s="1458"/>
      <c r="AO31" s="1458"/>
      <c r="AP31" s="1462"/>
    </row>
    <row r="32" spans="33:42" ht="15.75" thickBot="1" x14ac:dyDescent="0.25">
      <c r="AG32" s="1456"/>
      <c r="AH32" s="1456"/>
      <c r="AI32" s="1456" t="s">
        <v>701</v>
      </c>
      <c r="AJ32" s="1460"/>
      <c r="AK32" s="1458"/>
      <c r="AL32" s="1458"/>
      <c r="AM32" s="1458"/>
      <c r="AN32" s="1458"/>
      <c r="AO32" s="1458"/>
      <c r="AP32" s="1462"/>
    </row>
    <row r="33" spans="33:42" ht="15.75" thickBot="1" x14ac:dyDescent="0.25">
      <c r="AG33" s="1456"/>
      <c r="AH33" s="1456"/>
      <c r="AI33" s="1456" t="s">
        <v>702</v>
      </c>
      <c r="AJ33" s="1460"/>
      <c r="AK33" s="1458"/>
      <c r="AL33" s="1458"/>
      <c r="AM33" s="1458"/>
      <c r="AN33" s="1458"/>
      <c r="AO33" s="1458"/>
      <c r="AP33" s="1462"/>
    </row>
    <row r="34" spans="33:42" ht="15.75" thickBot="1" x14ac:dyDescent="0.25">
      <c r="AG34" s="1456"/>
      <c r="AH34" s="1456"/>
      <c r="AI34" s="1456" t="s">
        <v>703</v>
      </c>
      <c r="AJ34" s="1460"/>
      <c r="AK34" s="1458"/>
      <c r="AL34" s="1458"/>
      <c r="AM34" s="1458"/>
      <c r="AN34" s="1458"/>
      <c r="AO34" s="1458"/>
      <c r="AP34" s="1462"/>
    </row>
    <row r="35" spans="33:42" ht="15.75" thickBot="1" x14ac:dyDescent="0.25">
      <c r="AG35" s="1456"/>
      <c r="AH35" s="1456"/>
      <c r="AI35" s="1456" t="s">
        <v>4750</v>
      </c>
      <c r="AJ35" s="1460"/>
      <c r="AK35" s="1458"/>
      <c r="AL35" s="1458"/>
      <c r="AM35" s="1458"/>
      <c r="AN35" s="1458"/>
      <c r="AO35" s="1458"/>
      <c r="AP35" s="1462"/>
    </row>
    <row r="36" spans="33:42" ht="15.75" thickBot="1" x14ac:dyDescent="0.25">
      <c r="AG36" s="1456"/>
      <c r="AH36" s="1456" t="s">
        <v>4751</v>
      </c>
      <c r="AI36" s="1456"/>
      <c r="AJ36" s="1460"/>
      <c r="AK36" s="1458"/>
      <c r="AL36" s="1458"/>
      <c r="AM36" s="1458"/>
      <c r="AN36" s="1458"/>
      <c r="AO36" s="1458"/>
      <c r="AP36" s="1462"/>
    </row>
    <row r="37" spans="33:42" ht="15.75" thickBot="1" x14ac:dyDescent="0.25">
      <c r="AG37" s="1456" t="s">
        <v>708</v>
      </c>
      <c r="AH37" s="1456"/>
      <c r="AI37" s="1456"/>
      <c r="AJ37" s="1460">
        <v>1</v>
      </c>
      <c r="AK37" s="1458">
        <v>0.8571428571428571</v>
      </c>
      <c r="AL37" s="1458">
        <v>0.7142857142857143</v>
      </c>
      <c r="AM37" s="1458">
        <v>0.5714285714285714</v>
      </c>
      <c r="AN37" s="1458">
        <v>0.42857142857142855</v>
      </c>
      <c r="AO37" s="1458">
        <v>0.2857142857142857</v>
      </c>
      <c r="AP37" s="1462">
        <v>0.14285714285714285</v>
      </c>
    </row>
    <row r="38" spans="33:42" ht="15.75" thickBot="1" x14ac:dyDescent="0.25">
      <c r="AG38" s="1456" t="s">
        <v>704</v>
      </c>
      <c r="AH38" s="1456"/>
      <c r="AI38" s="1456"/>
      <c r="AJ38" s="1460"/>
      <c r="AK38" s="1458"/>
      <c r="AL38" s="1458"/>
      <c r="AM38" s="1458"/>
      <c r="AN38" s="1458"/>
      <c r="AO38" s="1458"/>
      <c r="AP38" s="1462"/>
    </row>
    <row r="39" spans="33:42" ht="15.75" thickBot="1" x14ac:dyDescent="0.25">
      <c r="AG39" s="1456" t="s">
        <v>709</v>
      </c>
      <c r="AH39" s="1456"/>
      <c r="AI39" s="1456"/>
      <c r="AJ39" s="1460"/>
      <c r="AK39" s="1458"/>
      <c r="AL39" s="1458"/>
      <c r="AM39" s="1458"/>
      <c r="AN39" s="1458"/>
      <c r="AO39" s="1458"/>
      <c r="AP39" s="1462"/>
    </row>
    <row r="40" spans="33:42" ht="15.75" thickBot="1" x14ac:dyDescent="0.25">
      <c r="AG40" s="1456" t="s">
        <v>705</v>
      </c>
      <c r="AH40" s="1456"/>
      <c r="AI40" s="1456"/>
      <c r="AJ40" s="1460"/>
      <c r="AK40" s="1458"/>
      <c r="AL40" s="1458"/>
      <c r="AM40" s="1458"/>
      <c r="AN40" s="1458"/>
      <c r="AO40" s="1458"/>
      <c r="AP40" s="1462"/>
    </row>
    <row r="41" spans="33:42" ht="15.75" thickBot="1" x14ac:dyDescent="0.25">
      <c r="AG41" s="1456" t="s">
        <v>710</v>
      </c>
      <c r="AH41" s="1456"/>
      <c r="AI41" s="1456"/>
      <c r="AJ41" s="1461"/>
      <c r="AK41" s="1459"/>
      <c r="AL41" s="1459"/>
      <c r="AM41" s="1459"/>
      <c r="AN41" s="1459"/>
      <c r="AO41" s="1459"/>
      <c r="AP41" s="1463"/>
    </row>
  </sheetData>
  <mergeCells count="21">
    <mergeCell ref="B2:B4"/>
    <mergeCell ref="C2:C4"/>
    <mergeCell ref="AB2:AB4"/>
    <mergeCell ref="AC2:AC4"/>
    <mergeCell ref="AD2:AD4"/>
    <mergeCell ref="AE2:AE4"/>
    <mergeCell ref="AA2:AA4"/>
    <mergeCell ref="D2:P2"/>
    <mergeCell ref="E3:L3"/>
    <mergeCell ref="R2:Z2"/>
    <mergeCell ref="M3:M4"/>
    <mergeCell ref="N3:N4"/>
    <mergeCell ref="O3:O4"/>
    <mergeCell ref="D3:D4"/>
    <mergeCell ref="Q2:Q4"/>
    <mergeCell ref="R3:R4"/>
    <mergeCell ref="S3:S4"/>
    <mergeCell ref="T3:T4"/>
    <mergeCell ref="P3:P4"/>
    <mergeCell ref="U3:Y3"/>
    <mergeCell ref="Z3:Z4"/>
  </mergeCells>
  <phoneticPr fontId="107"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C325"/>
  <sheetViews>
    <sheetView topLeftCell="H13" zoomScale="90" zoomScaleNormal="90" zoomScaleSheetLayoutView="75" workbookViewId="0" xr3:uid="{78B4E459-6924-5F8B-B7BA-2DD04133E49E}">
      <selection activeCell="O21" sqref="O21"/>
    </sheetView>
  </sheetViews>
  <sheetFormatPr defaultColWidth="7.12890625" defaultRowHeight="15" x14ac:dyDescent="0.2"/>
  <cols>
    <col min="1" max="1" width="30.1328125" bestFit="1" customWidth="1"/>
    <col min="2" max="2" width="17.08203125" bestFit="1" customWidth="1"/>
    <col min="3" max="3" width="14.9296875" customWidth="1"/>
    <col min="4" max="4" width="19.37109375" customWidth="1"/>
    <col min="5" max="5" width="18.0234375" bestFit="1" customWidth="1"/>
    <col min="6" max="6" width="16.0078125" customWidth="1"/>
    <col min="7" max="7" width="20.04296875" bestFit="1" customWidth="1"/>
    <col min="8" max="8" width="16.94921875" bestFit="1" customWidth="1"/>
    <col min="9" max="10" width="16.140625" customWidth="1"/>
    <col min="11" max="11" width="15.6015625" customWidth="1"/>
    <col min="12" max="12" width="18.0234375" customWidth="1"/>
    <col min="13" max="13" width="13.046875" bestFit="1" customWidth="1"/>
    <col min="14" max="14" width="11.56640625" bestFit="1" customWidth="1"/>
    <col min="15" max="15" width="12.23828125" bestFit="1" customWidth="1"/>
    <col min="16" max="16" width="12.375" bestFit="1" customWidth="1"/>
    <col min="17" max="17" width="11.56640625" bestFit="1" customWidth="1"/>
    <col min="18" max="18" width="18.16015625" bestFit="1" customWidth="1"/>
    <col min="19" max="19" width="27.0390625" bestFit="1" customWidth="1"/>
    <col min="20" max="20" width="9.81640625" bestFit="1" customWidth="1"/>
    <col min="21" max="21" width="17.890625" customWidth="1"/>
    <col min="22" max="22" width="15.46875" bestFit="1" customWidth="1"/>
  </cols>
  <sheetData>
    <row r="1" spans="1:12" x14ac:dyDescent="0.2">
      <c r="A1" t="s">
        <v>1650</v>
      </c>
      <c r="B1" t="s">
        <v>1935</v>
      </c>
      <c r="C1" t="s">
        <v>1936</v>
      </c>
      <c r="D1" t="s">
        <v>711</v>
      </c>
      <c r="E1" t="s">
        <v>4485</v>
      </c>
      <c r="F1" t="s">
        <v>1582</v>
      </c>
      <c r="G1" t="s">
        <v>4484</v>
      </c>
      <c r="H1" t="s">
        <v>1417</v>
      </c>
      <c r="I1" t="s">
        <v>4466</v>
      </c>
      <c r="J1" t="s">
        <v>4467</v>
      </c>
      <c r="K1" t="s">
        <v>4468</v>
      </c>
      <c r="L1" t="s">
        <v>4470</v>
      </c>
    </row>
    <row r="2" spans="1:12" x14ac:dyDescent="0.2">
      <c r="A2" t="str">
        <f>IF($E$1,F2,D2)</f>
        <v>Ketu</v>
      </c>
      <c r="B2">
        <f>IF($E$1,G2,E2)</f>
        <v>7</v>
      </c>
      <c r="C2">
        <f>H2</f>
        <v>0</v>
      </c>
      <c r="D2" t="s">
        <v>1517</v>
      </c>
      <c r="E2">
        <f>VimFactor*17</f>
        <v>17</v>
      </c>
      <c r="F2" t="s">
        <v>1518</v>
      </c>
      <c r="G2">
        <v>7</v>
      </c>
      <c r="H2">
        <v>0</v>
      </c>
      <c r="I2" s="232">
        <f>G2*360/13.33333333</f>
        <v>189.00000004724998</v>
      </c>
      <c r="J2">
        <f>G2*360/800</f>
        <v>3.15</v>
      </c>
      <c r="K2">
        <f>J2/60</f>
        <v>5.2499999999999998E-2</v>
      </c>
      <c r="L2">
        <f t="shared" ref="L2:L10" si="0">G2*360/(MoonPeriod/27*24*60)</f>
        <v>1.7294020529265104</v>
      </c>
    </row>
    <row r="3" spans="1:12" x14ac:dyDescent="0.2">
      <c r="A3" t="str">
        <f t="shared" ref="A3:B10" si="1">IF($E$1,F3,D3)</f>
        <v>Venus</v>
      </c>
      <c r="B3">
        <f t="shared" si="1"/>
        <v>20</v>
      </c>
      <c r="C3">
        <f>H3</f>
        <v>1</v>
      </c>
      <c r="D3" t="s">
        <v>1516</v>
      </c>
      <c r="E3">
        <f>VimFactor*19</f>
        <v>19</v>
      </c>
      <c r="F3" t="s">
        <v>1519</v>
      </c>
      <c r="G3">
        <v>20</v>
      </c>
      <c r="H3">
        <v>1</v>
      </c>
      <c r="I3" s="232">
        <f t="shared" ref="I3:I10" si="2">G3*360/13.33333333</f>
        <v>540.00000013499994</v>
      </c>
      <c r="J3">
        <f t="shared" ref="J3:J10" si="3">G3*360/800</f>
        <v>9</v>
      </c>
      <c r="K3">
        <f t="shared" ref="K3:K10" si="4">J3/60</f>
        <v>0.15</v>
      </c>
      <c r="L3">
        <f t="shared" si="0"/>
        <v>4.9411487226471724</v>
      </c>
    </row>
    <row r="4" spans="1:12" x14ac:dyDescent="0.2">
      <c r="A4" t="str">
        <f t="shared" si="1"/>
        <v>Sun</v>
      </c>
      <c r="B4">
        <f t="shared" si="1"/>
        <v>6</v>
      </c>
      <c r="C4">
        <f t="shared" ref="C4:C10" si="5">H4</f>
        <v>2</v>
      </c>
      <c r="D4" t="s">
        <v>1515</v>
      </c>
      <c r="E4">
        <f>VimFactor*16</f>
        <v>16</v>
      </c>
      <c r="F4" t="s">
        <v>1511</v>
      </c>
      <c r="G4">
        <v>6</v>
      </c>
      <c r="H4">
        <v>2</v>
      </c>
      <c r="I4" s="232">
        <f t="shared" si="2"/>
        <v>162.0000000405</v>
      </c>
      <c r="J4">
        <f t="shared" si="3"/>
        <v>2.7</v>
      </c>
      <c r="K4">
        <f t="shared" si="4"/>
        <v>4.5000000000000005E-2</v>
      </c>
      <c r="L4">
        <f t="shared" si="0"/>
        <v>1.4823446167941519</v>
      </c>
    </row>
    <row r="5" spans="1:12" x14ac:dyDescent="0.2">
      <c r="A5" t="str">
        <f t="shared" si="1"/>
        <v>Moon</v>
      </c>
      <c r="B5">
        <f t="shared" si="1"/>
        <v>10</v>
      </c>
      <c r="C5">
        <f t="shared" si="5"/>
        <v>3</v>
      </c>
      <c r="D5" t="s">
        <v>1514</v>
      </c>
      <c r="E5">
        <f>VimFactor*18</f>
        <v>18</v>
      </c>
      <c r="F5" t="s">
        <v>1512</v>
      </c>
      <c r="G5">
        <v>10</v>
      </c>
      <c r="H5">
        <v>3</v>
      </c>
      <c r="I5" s="232">
        <f t="shared" si="2"/>
        <v>270.00000006749997</v>
      </c>
      <c r="J5">
        <f t="shared" si="3"/>
        <v>4.5</v>
      </c>
      <c r="K5">
        <f t="shared" si="4"/>
        <v>7.4999999999999997E-2</v>
      </c>
      <c r="L5">
        <f t="shared" si="0"/>
        <v>2.4705743613235862</v>
      </c>
    </row>
    <row r="6" spans="1:12" x14ac:dyDescent="0.2">
      <c r="A6" t="str">
        <f t="shared" si="1"/>
        <v>Mars</v>
      </c>
      <c r="B6">
        <f t="shared" si="1"/>
        <v>7</v>
      </c>
      <c r="C6">
        <f t="shared" si="5"/>
        <v>4</v>
      </c>
      <c r="D6" t="s">
        <v>1513</v>
      </c>
      <c r="E6">
        <f>VimFactor*7</f>
        <v>7</v>
      </c>
      <c r="F6" t="s">
        <v>1513</v>
      </c>
      <c r="G6">
        <v>7</v>
      </c>
      <c r="H6">
        <v>4</v>
      </c>
      <c r="I6" s="232">
        <f t="shared" si="2"/>
        <v>189.00000004724998</v>
      </c>
      <c r="J6">
        <f t="shared" si="3"/>
        <v>3.15</v>
      </c>
      <c r="K6">
        <f t="shared" si="4"/>
        <v>5.2499999999999998E-2</v>
      </c>
      <c r="L6">
        <f t="shared" si="0"/>
        <v>1.7294020529265104</v>
      </c>
    </row>
    <row r="7" spans="1:12" x14ac:dyDescent="0.2">
      <c r="A7" t="str">
        <f t="shared" si="1"/>
        <v>Rahu</v>
      </c>
      <c r="B7">
        <f t="shared" si="1"/>
        <v>18</v>
      </c>
      <c r="C7">
        <f t="shared" si="5"/>
        <v>5</v>
      </c>
      <c r="D7" t="s">
        <v>1512</v>
      </c>
      <c r="E7">
        <f>VimFactor*10</f>
        <v>10</v>
      </c>
      <c r="F7" t="s">
        <v>1514</v>
      </c>
      <c r="G7">
        <v>18</v>
      </c>
      <c r="H7">
        <v>5</v>
      </c>
      <c r="I7" s="232">
        <f t="shared" si="2"/>
        <v>486.00000012149997</v>
      </c>
      <c r="J7">
        <f t="shared" si="3"/>
        <v>8.1</v>
      </c>
      <c r="K7">
        <f t="shared" si="4"/>
        <v>0.13499999999999998</v>
      </c>
      <c r="L7">
        <f t="shared" si="0"/>
        <v>4.4470338503824554</v>
      </c>
    </row>
    <row r="8" spans="1:12" x14ac:dyDescent="0.2">
      <c r="A8" t="str">
        <f t="shared" si="1"/>
        <v>Jupiter</v>
      </c>
      <c r="B8">
        <f t="shared" si="1"/>
        <v>16</v>
      </c>
      <c r="C8">
        <f t="shared" si="5"/>
        <v>6</v>
      </c>
      <c r="D8" t="s">
        <v>1511</v>
      </c>
      <c r="E8">
        <f>VimFactor*6</f>
        <v>6</v>
      </c>
      <c r="F8" t="s">
        <v>1515</v>
      </c>
      <c r="G8">
        <v>16</v>
      </c>
      <c r="H8">
        <v>6</v>
      </c>
      <c r="I8" s="232">
        <f t="shared" si="2"/>
        <v>432.00000010799999</v>
      </c>
      <c r="J8">
        <f t="shared" si="3"/>
        <v>7.2</v>
      </c>
      <c r="K8">
        <f t="shared" si="4"/>
        <v>0.12000000000000001</v>
      </c>
      <c r="L8">
        <f t="shared" si="0"/>
        <v>3.9529189781177378</v>
      </c>
    </row>
    <row r="9" spans="1:12" x14ac:dyDescent="0.2">
      <c r="A9" t="str">
        <f t="shared" si="1"/>
        <v>Saturn</v>
      </c>
      <c r="B9">
        <f t="shared" si="1"/>
        <v>19</v>
      </c>
      <c r="C9">
        <f t="shared" si="5"/>
        <v>7</v>
      </c>
      <c r="D9" t="s">
        <v>1519</v>
      </c>
      <c r="E9">
        <f>VimFactor*20</f>
        <v>20</v>
      </c>
      <c r="F9" t="s">
        <v>1516</v>
      </c>
      <c r="G9">
        <v>19</v>
      </c>
      <c r="H9">
        <v>7</v>
      </c>
      <c r="I9" s="232">
        <f t="shared" si="2"/>
        <v>513.00000012825001</v>
      </c>
      <c r="J9">
        <f t="shared" si="3"/>
        <v>8.5500000000000007</v>
      </c>
      <c r="K9">
        <f t="shared" si="4"/>
        <v>0.14250000000000002</v>
      </c>
      <c r="L9">
        <f t="shared" si="0"/>
        <v>4.6940912865148139</v>
      </c>
    </row>
    <row r="10" spans="1:12" x14ac:dyDescent="0.2">
      <c r="A10" t="str">
        <f t="shared" si="1"/>
        <v>Mercury</v>
      </c>
      <c r="B10">
        <f t="shared" si="1"/>
        <v>17</v>
      </c>
      <c r="C10">
        <f t="shared" si="5"/>
        <v>8</v>
      </c>
      <c r="D10" t="s">
        <v>1518</v>
      </c>
      <c r="E10">
        <f>VimFactor*7</f>
        <v>7</v>
      </c>
      <c r="F10" t="s">
        <v>1517</v>
      </c>
      <c r="G10">
        <v>17</v>
      </c>
      <c r="H10">
        <v>8</v>
      </c>
      <c r="I10" s="232">
        <f t="shared" si="2"/>
        <v>459.00000011474998</v>
      </c>
      <c r="J10">
        <f t="shared" si="3"/>
        <v>7.65</v>
      </c>
      <c r="K10">
        <f t="shared" si="4"/>
        <v>0.1275</v>
      </c>
      <c r="L10">
        <f t="shared" si="0"/>
        <v>4.1999764142500968</v>
      </c>
    </row>
    <row r="11" spans="1:12" x14ac:dyDescent="0.2">
      <c r="C11" s="336"/>
    </row>
    <row r="12" spans="1:12" x14ac:dyDescent="0.2">
      <c r="A12" s="36" t="s">
        <v>1156</v>
      </c>
      <c r="B12" s="37"/>
      <c r="C12" s="37"/>
      <c r="D12" s="37"/>
      <c r="E12" s="38"/>
      <c r="F12" t="s">
        <v>4469</v>
      </c>
      <c r="G12">
        <f>DATA!L4</f>
        <v>27.321581999999999</v>
      </c>
      <c r="H12" t="s">
        <v>4637</v>
      </c>
    </row>
    <row r="13" spans="1:12" x14ac:dyDescent="0.2">
      <c r="A13" s="40" t="str">
        <f>Basics!A9</f>
        <v>Moon</v>
      </c>
      <c r="B13" s="41" t="s">
        <v>1133</v>
      </c>
      <c r="C13" s="41"/>
      <c r="D13" s="41"/>
      <c r="E13" s="42"/>
      <c r="H13">
        <f>E15*360/(G12/27*24*60)</f>
        <v>2.4705743613235862</v>
      </c>
    </row>
    <row r="14" spans="1:12" x14ac:dyDescent="0.2">
      <c r="A14" s="43" t="s">
        <v>1134</v>
      </c>
      <c r="B14" s="1520">
        <f>VLOOKUP(A13,ChartInfo,7,FALSE)</f>
        <v>53.015944444444443</v>
      </c>
      <c r="C14" s="1520"/>
      <c r="D14" s="1520"/>
      <c r="E14" s="42"/>
      <c r="G14" t="s">
        <v>4466</v>
      </c>
      <c r="H14" t="s">
        <v>4467</v>
      </c>
      <c r="I14" t="s">
        <v>4468</v>
      </c>
    </row>
    <row r="15" spans="1:12" x14ac:dyDescent="0.2">
      <c r="A15" s="45" t="s">
        <v>1135</v>
      </c>
      <c r="B15" s="44" t="str">
        <f>INDEX(DasaYears,D15+1,1)</f>
        <v>Moon</v>
      </c>
      <c r="C15" s="44"/>
      <c r="D15" s="41">
        <f>MOD(FLOOR(B14/StarDeg,1),9)</f>
        <v>3</v>
      </c>
      <c r="E15" s="42">
        <f>INDEX(DasaYears,MOD(FLOOR(B14/StarDeg,1),9)+1,2)</f>
        <v>10</v>
      </c>
      <c r="G15" s="99">
        <f>E15*360/13.33333333</f>
        <v>270.00000006749997</v>
      </c>
      <c r="H15">
        <f>E15*360/800</f>
        <v>4.5</v>
      </c>
      <c r="I15" s="1311">
        <f>H15/60</f>
        <v>7.4999999999999997E-2</v>
      </c>
    </row>
    <row r="16" spans="1:12" x14ac:dyDescent="0.2">
      <c r="A16" s="45" t="s">
        <v>1136</v>
      </c>
      <c r="B16" s="1519">
        <f>((StarDeg-MOD(B14,StarDeg))/StarDeg)*E15</f>
        <v>0.23804166666666934</v>
      </c>
      <c r="C16" s="1519"/>
      <c r="D16" s="1519"/>
      <c r="E16" s="1519"/>
      <c r="F16" s="100"/>
    </row>
    <row r="17" spans="1:22" x14ac:dyDescent="0.2">
      <c r="A17" s="45" t="s">
        <v>1137</v>
      </c>
      <c r="B17" s="41"/>
      <c r="C17" s="41"/>
      <c r="D17" s="41"/>
      <c r="E17" s="42">
        <f>((MOD(B14,StarDeg))/StarDeg)*E15</f>
        <v>9.7619583333333306</v>
      </c>
      <c r="F17" s="100"/>
    </row>
    <row r="18" spans="1:22" x14ac:dyDescent="0.2">
      <c r="A18" s="45" t="str">
        <f>INDEX(DasaYears,MOD(D15,9)+1,1)</f>
        <v>Moon</v>
      </c>
      <c r="B18" s="1518">
        <f>DoB+G18</f>
        <v>26133.384143518517</v>
      </c>
      <c r="C18" s="1518"/>
      <c r="D18" s="1518"/>
      <c r="E18" s="1518"/>
      <c r="F18" s="100"/>
      <c r="G18">
        <v>0</v>
      </c>
      <c r="H18" t="s">
        <v>4638</v>
      </c>
    </row>
    <row r="19" spans="1:22" x14ac:dyDescent="0.2">
      <c r="A19" s="45"/>
      <c r="B19" s="41"/>
      <c r="C19" s="41"/>
      <c r="D19" s="41"/>
      <c r="E19" s="42"/>
      <c r="I19" t="s">
        <v>4633</v>
      </c>
      <c r="L19" t="s">
        <v>4634</v>
      </c>
      <c r="O19" t="s">
        <v>4635</v>
      </c>
      <c r="R19" t="s">
        <v>4636</v>
      </c>
      <c r="U19" t="s">
        <v>1145</v>
      </c>
    </row>
    <row r="20" spans="1:22" x14ac:dyDescent="0.2">
      <c r="A20" s="101" t="s">
        <v>1157</v>
      </c>
      <c r="B20" s="102" t="s">
        <v>1158</v>
      </c>
      <c r="C20" s="103" t="s">
        <v>1159</v>
      </c>
      <c r="D20" s="104" t="s">
        <v>1160</v>
      </c>
      <c r="E20" s="53"/>
      <c r="F20" s="53" t="s">
        <v>1161</v>
      </c>
      <c r="G20" s="105" t="s">
        <v>1162</v>
      </c>
      <c r="H20" s="100" t="s">
        <v>1163</v>
      </c>
      <c r="I20" s="106" t="str">
        <f>VLOOKUP("&gt;",VimMahaDasa,2,FALSE)</f>
        <v>Saturn</v>
      </c>
      <c r="J20" s="1399">
        <f>I30</f>
        <v>48135.622383281545</v>
      </c>
      <c r="K20" s="100" t="s">
        <v>1579</v>
      </c>
      <c r="L20" s="108" t="str">
        <f>VLOOKUP("&gt;",VimAD,2,FALSE)</f>
        <v>Mercury</v>
      </c>
      <c r="M20" s="1400">
        <f>L30</f>
        <v>43277.732576568626</v>
      </c>
      <c r="N20" s="100" t="s">
        <v>1164</v>
      </c>
      <c r="O20" s="108" t="str">
        <f>VLOOKUP("&gt;",VimPD,2,FALSE)</f>
        <v>Saturn</v>
      </c>
      <c r="P20" s="1400">
        <f>O30</f>
        <v>43277.732576568633</v>
      </c>
      <c r="Q20" s="100" t="s">
        <v>1145</v>
      </c>
      <c r="R20" s="108" t="str">
        <f>VLOOKUP("&gt;",VimSD,2,FALSE)</f>
        <v>Saturn</v>
      </c>
      <c r="S20" s="1401">
        <f>R30</f>
        <v>43146.714935063676</v>
      </c>
      <c r="T20" s="100" t="s">
        <v>1146</v>
      </c>
      <c r="U20" s="108" t="str">
        <f>VLOOKUP("&gt;",VimPAD,2,FALSE)</f>
        <v>Sun</v>
      </c>
      <c r="V20" s="1402">
        <f>U30</f>
        <v>43136.240009765133</v>
      </c>
    </row>
    <row r="21" spans="1:22" x14ac:dyDescent="0.2">
      <c r="A21">
        <v>1</v>
      </c>
      <c r="B21" t="s">
        <v>1165</v>
      </c>
      <c r="C21" s="105"/>
      <c r="D21" s="109" t="str">
        <f>INDEX(DasaYears,MOD(D15,9)+1,1)</f>
        <v>Moon</v>
      </c>
      <c r="E21" s="110">
        <f>DoB-DaysInYear*E17</f>
        <v>22567.7812953188</v>
      </c>
      <c r="F21" s="111">
        <f>(SunDeg-360*E17)/360</f>
        <v>-9.505293881172836</v>
      </c>
      <c r="G21" s="112"/>
      <c r="H21" s="109" t="str">
        <f>INDEX(DasaYears,MOD(VLOOKUP(VLOOKUP("&gt;",VimMahaDasa,2),DasaYears,3,FALSE)+IF(VLOOKUP(""&amp;VLOOKUP("&gt;",VimMahaDasa,2)&amp;"",ChartInfo,11),-1,0),9)+1,1)</f>
        <v>Saturn</v>
      </c>
      <c r="I21" s="113">
        <f>VLOOKUP("&gt;",VimMahaDasa,3,FALSE)</f>
        <v>41195.779802263081</v>
      </c>
      <c r="J21" s="107"/>
      <c r="K21" s="109" t="str">
        <f>INDEX(DasaYears,MOD(VLOOKUP(L20,DasaYears,3,FALSE)+IF(VLOOKUP(L20,ChartInfo,11,FALSE),-1,0),9)+1,1)</f>
        <v>Mercury</v>
      </c>
      <c r="L21" s="113">
        <f>VLOOKUP("&gt;",VimAD,3,FALSE)</f>
        <v>42294.588210924339</v>
      </c>
      <c r="M21" s="105" t="s">
        <v>1169</v>
      </c>
      <c r="N21" s="109" t="str">
        <f>INDEX(DasaYears,MOD(VLOOKUP(O20,DasaYears,3,FALSE)+IF(VLOOKUP(O20,ChartInfo,11,FALSE),-1,0),9)+1,1)</f>
        <v>Saturn</v>
      </c>
      <c r="O21" s="113">
        <f>VLOOKUP("&gt;",VimPD,3,FALSE)</f>
        <v>43122.068052008282</v>
      </c>
      <c r="P21" s="105"/>
      <c r="Q21" s="109" t="str">
        <f>INDEX(DasaYears,MOD(VLOOKUP(R20,DasaYears,3,FALSE)+IF(VLOOKUP(R20,ChartInfo,11,FALSE),-1,0),9)+1,1)</f>
        <v>Saturn</v>
      </c>
      <c r="R21" s="110">
        <f>VLOOKUP("&gt;",VimSD,3,FALSE)</f>
        <v>43122.068052008282</v>
      </c>
      <c r="S21" s="109"/>
      <c r="T21" s="113" t="str">
        <f>INDEX(DasaYears,MOD(VLOOKUP(U20,DasaYears,3,FALSE)+IF(VLOOKUP(U20,ChartInfo,11,FALSE),-1,0),9)+1,1)</f>
        <v>Sun</v>
      </c>
      <c r="U21" s="114">
        <f>VLOOKUP("&gt;",VimPAD,3,FALSE)</f>
        <v>43135.007665612364</v>
      </c>
    </row>
    <row r="22" spans="1:22" x14ac:dyDescent="0.2">
      <c r="A22">
        <v>2</v>
      </c>
      <c r="B22" t="s">
        <v>1166</v>
      </c>
      <c r="C22" s="105"/>
      <c r="D22" s="53" t="str">
        <f>INDEX(DasaYears,MOD($D$15+1,9)+1,1)</f>
        <v>Mars</v>
      </c>
      <c r="E22" s="115">
        <f>B18+(B16*DaysInYear)</f>
        <v>26220.330022170619</v>
      </c>
      <c r="F22" s="111">
        <f>(SunDeg+(B16*360))</f>
        <v>178.09420277777872</v>
      </c>
      <c r="G22" s="116" t="s">
        <v>1169</v>
      </c>
      <c r="H22" s="53" t="str">
        <f t="shared" ref="H22:H29" si="6">INDEX(DasaYears,(MOD(VLOOKUP(H21,DasaYears,3,FALSE)+IF(VLOOKUP(VLOOKUP("&gt;",VimMahaDasa,2,FALSE),ChartInfo,11),-1,1),9)+1),1)</f>
        <v>Mercury</v>
      </c>
      <c r="I22" s="117">
        <f t="shared" ref="I22:I30" si="7">I21+(VLOOKUP($I$20,DasaYears,2,FALSE)*VLOOKUP(H21,DasaYears,2,FALSE)/VimTotal)*DaysInYear</f>
        <v>42294.588210924339</v>
      </c>
      <c r="J22" s="105"/>
      <c r="K22" s="53" t="str">
        <f t="shared" ref="K22:K29" si="8">INDEX(DasaYears,(MOD(VLOOKUP(K21,DasaYears,3,FALSE)+IF(VLOOKUP($L$20,ChartInfo,11,FALSE),-1,1),9)+1),1)</f>
        <v>Ketu</v>
      </c>
      <c r="L22" s="117">
        <f t="shared" ref="L22:L30" si="9">L21+DaysInYear*VLOOKUP($I$20,DasaYears,2,FALSE)*VLOOKUP($L$20,DasaYears,2,FALSE)/120*VLOOKUP(K21,DasaYears,2,FALSE)/120</f>
        <v>42433.866996057281</v>
      </c>
      <c r="M22" s="105"/>
      <c r="N22" s="53" t="str">
        <f t="shared" ref="N22:N29" si="10">INDEX(DasaYears,(MOD(VLOOKUP(N21,DasaYears,3,FALSE)+IF(VLOOKUP($L$20,ChartInfo,11,FALSE),-1,1),9)+1),1)</f>
        <v>Mercury</v>
      </c>
      <c r="O22" s="117">
        <f t="shared" ref="O22:O30" si="11">O21+DaysInYear*VLOOKUP($I$20,DasaYears,2,FALSE)*VLOOKUP($L$20,DasaYears,2,FALSE)/120*VLOOKUP(N21,DasaYears,2,FALSE)/120*VLOOKUP($O$20,DasaYears,2,FALSE)/120</f>
        <v>43146.714935063668</v>
      </c>
      <c r="P22" s="105"/>
      <c r="Q22" s="53" t="str">
        <f t="shared" ref="Q22:Q29" si="12">INDEX(DasaYears,(MOD(VLOOKUP(Q21,DasaYears,3,FALSE)+IF(VLOOKUP($L$20,ChartInfo,11,FALSE),-1,1),9)+1),1)</f>
        <v>Mercury</v>
      </c>
      <c r="R22" s="115">
        <f t="shared" ref="R22:R30" si="13">R21+DaysInYear*VLOOKUP($I$20,DasaYears,2,FALSE)*VLOOKUP($L$20,DasaYears,2,FALSE)/120*VLOOKUP(Q21,DasaYears,2,FALSE)/120*VLOOKUP($O$20,DasaYears,2,FALSE)/120*VLOOKUP($R$20,DasaYears,2,FALSE)/120</f>
        <v>43125.97047515872</v>
      </c>
      <c r="S22" s="53"/>
      <c r="T22" s="117" t="str">
        <f t="shared" ref="T22:T29" si="14">INDEX(DasaYears,(MOD(VLOOKUP(T21,DasaYears,3,FALSE)+IF(VLOOKUP($L$20,ChartInfo,11,FALSE),-1,1),9)+1),1)</f>
        <v>Moon</v>
      </c>
      <c r="U22" s="118">
        <f t="shared" ref="U22:U30" si="15">U21+DaysInYear*VLOOKUP($I$20,DasaYears,2,FALSE)*VLOOKUP($L$20,DasaYears,2,FALSE)/120*VLOOKUP(T21,DasaYears,2,FALSE)/120*VLOOKUP($O$20,DasaYears,2,FALSE)/120*VLOOKUP($R$20,DasaYears,2,FALSE)/120*VLOOKUP($U$20,DasaYears,2,FALSE)/120</f>
        <v>43135.069282820004</v>
      </c>
    </row>
    <row r="23" spans="1:22" x14ac:dyDescent="0.2">
      <c r="A23">
        <v>3</v>
      </c>
      <c r="B23" t="s">
        <v>1167</v>
      </c>
      <c r="C23" s="105"/>
      <c r="D23" s="109" t="str">
        <f>INDEX(DasaYears,MOD($D$15+2,9)+1,1)</f>
        <v>Rahu</v>
      </c>
      <c r="E23" s="110">
        <f t="shared" ref="E23:E30" si="16">E22+DaysInYear*VLOOKUP(D22,DasaYears,2,FALSE)</f>
        <v>28777.114130966893</v>
      </c>
      <c r="F23" s="119">
        <f t="shared" ref="F23:F30" si="17">F22+360*VLOOKUP(D22,DasaYears,2,FALSE)</f>
        <v>2698.0942027777787</v>
      </c>
      <c r="G23" s="112"/>
      <c r="H23" s="53" t="str">
        <f t="shared" si="6"/>
        <v>Ketu</v>
      </c>
      <c r="I23" s="113">
        <f t="shared" si="7"/>
        <v>43277.732576568618</v>
      </c>
      <c r="J23" s="107"/>
      <c r="K23" s="109" t="str">
        <f t="shared" si="8"/>
        <v>Venus</v>
      </c>
      <c r="L23" s="113">
        <f t="shared" si="9"/>
        <v>42491.217084053198</v>
      </c>
      <c r="M23" s="105"/>
      <c r="N23" s="109" t="str">
        <f t="shared" si="10"/>
        <v>Ketu</v>
      </c>
      <c r="O23" s="113">
        <f t="shared" si="11"/>
        <v>43168.767409376385</v>
      </c>
      <c r="P23" s="105"/>
      <c r="Q23" s="109" t="str">
        <f t="shared" si="12"/>
        <v>Ketu</v>
      </c>
      <c r="R23" s="110">
        <f t="shared" si="13"/>
        <v>43129.4621169249</v>
      </c>
      <c r="S23" s="109"/>
      <c r="T23" s="113" t="str">
        <f t="shared" si="14"/>
        <v>Mars</v>
      </c>
      <c r="U23" s="114">
        <f t="shared" si="15"/>
        <v>43135.171978166065</v>
      </c>
    </row>
    <row r="24" spans="1:22" x14ac:dyDescent="0.2">
      <c r="A24">
        <v>4</v>
      </c>
      <c r="B24" t="s">
        <v>1168</v>
      </c>
      <c r="C24" s="105"/>
      <c r="D24" s="53" t="str">
        <f>INDEX(DasaYears,MOD($D$15+3,9)+1,1)</f>
        <v>Jupiter</v>
      </c>
      <c r="E24" s="115">
        <f t="shared" si="16"/>
        <v>35351.701839300171</v>
      </c>
      <c r="F24" s="119">
        <f t="shared" si="17"/>
        <v>9178.0942027777783</v>
      </c>
      <c r="G24" s="116"/>
      <c r="H24" s="53" t="str">
        <f t="shared" si="6"/>
        <v>Venus</v>
      </c>
      <c r="I24" s="117">
        <f t="shared" si="7"/>
        <v>43682.556727128031</v>
      </c>
      <c r="J24" s="107"/>
      <c r="K24" s="53" t="str">
        <f t="shared" si="8"/>
        <v>Sun</v>
      </c>
      <c r="L24" s="117">
        <f t="shared" si="9"/>
        <v>42655.074478327246</v>
      </c>
      <c r="M24" s="105"/>
      <c r="N24" s="53" t="str">
        <f t="shared" si="10"/>
        <v>Venus</v>
      </c>
      <c r="O24" s="117">
        <f t="shared" si="11"/>
        <v>43177.847839975737</v>
      </c>
      <c r="P24" s="105"/>
      <c r="Q24" s="53" t="str">
        <f t="shared" si="12"/>
        <v>Venus</v>
      </c>
      <c r="R24" s="115">
        <f t="shared" si="13"/>
        <v>43130.899851769798</v>
      </c>
      <c r="S24" s="53"/>
      <c r="T24" s="117" t="str">
        <f t="shared" si="14"/>
        <v>Rahu</v>
      </c>
      <c r="U24" s="118">
        <f t="shared" si="15"/>
        <v>43135.243864908312</v>
      </c>
    </row>
    <row r="25" spans="1:22" x14ac:dyDescent="0.2">
      <c r="A25">
        <v>5</v>
      </c>
      <c r="B25" t="s">
        <v>1170</v>
      </c>
      <c r="C25" s="105" t="s">
        <v>1169</v>
      </c>
      <c r="D25" s="47" t="str">
        <f>INDEX(DasaYears,MOD($D$15+4,9)+1,1)</f>
        <v>Saturn</v>
      </c>
      <c r="E25" s="120">
        <f t="shared" si="16"/>
        <v>41195.779802263081</v>
      </c>
      <c r="F25" s="119">
        <f t="shared" si="17"/>
        <v>14938.094202777778</v>
      </c>
      <c r="G25" s="121" t="s">
        <v>1169</v>
      </c>
      <c r="H25" s="53" t="str">
        <f t="shared" si="6"/>
        <v>Sun</v>
      </c>
      <c r="I25" s="122">
        <f t="shared" si="7"/>
        <v>44839.197157297771</v>
      </c>
      <c r="J25" s="123"/>
      <c r="K25" s="47" t="str">
        <f t="shared" si="8"/>
        <v>Moon</v>
      </c>
      <c r="L25" s="122">
        <f t="shared" si="9"/>
        <v>42704.231696609459</v>
      </c>
      <c r="M25" s="124"/>
      <c r="N25" s="47" t="str">
        <f t="shared" si="10"/>
        <v>Sun</v>
      </c>
      <c r="O25" s="122">
        <f t="shared" si="11"/>
        <v>43203.791927402461</v>
      </c>
      <c r="P25" s="124" t="s">
        <v>1169</v>
      </c>
      <c r="Q25" s="47" t="str">
        <f t="shared" si="12"/>
        <v>Sun</v>
      </c>
      <c r="R25" s="120">
        <f t="shared" si="13"/>
        <v>43135.007665612364</v>
      </c>
      <c r="S25" s="47"/>
      <c r="T25" s="122" t="str">
        <f t="shared" si="14"/>
        <v>Jupiter</v>
      </c>
      <c r="U25" s="125">
        <f t="shared" si="15"/>
        <v>43135.428716531227</v>
      </c>
    </row>
    <row r="26" spans="1:22" x14ac:dyDescent="0.2">
      <c r="A26">
        <v>6</v>
      </c>
      <c r="B26" t="s">
        <v>1171</v>
      </c>
      <c r="C26" s="105"/>
      <c r="D26" s="61" t="str">
        <f>INDEX(DasaYears,MOD($D$15+5,9)+1,1)</f>
        <v>Mercury</v>
      </c>
      <c r="E26" s="115">
        <f t="shared" si="16"/>
        <v>48135.622383281538</v>
      </c>
      <c r="F26" s="119">
        <f t="shared" si="17"/>
        <v>21778.094202777778</v>
      </c>
      <c r="G26" s="116"/>
      <c r="H26" s="53" t="str">
        <f t="shared" si="6"/>
        <v>Moon</v>
      </c>
      <c r="I26" s="117">
        <f t="shared" si="7"/>
        <v>45186.189286348694</v>
      </c>
      <c r="J26" s="107"/>
      <c r="K26" s="61" t="str">
        <f t="shared" si="8"/>
        <v>Mars</v>
      </c>
      <c r="L26" s="117">
        <f t="shared" si="9"/>
        <v>42786.160393746482</v>
      </c>
      <c r="M26" s="105"/>
      <c r="N26" s="61" t="str">
        <f t="shared" si="10"/>
        <v>Moon</v>
      </c>
      <c r="O26" s="117">
        <f t="shared" si="11"/>
        <v>43211.575153630482</v>
      </c>
      <c r="P26" s="105"/>
      <c r="Q26" s="61" t="str">
        <f t="shared" si="12"/>
        <v>Moon</v>
      </c>
      <c r="R26" s="115">
        <f t="shared" si="13"/>
        <v>43136.240009765133</v>
      </c>
      <c r="S26" s="61"/>
      <c r="T26" s="117" t="str">
        <f t="shared" si="14"/>
        <v>Saturn</v>
      </c>
      <c r="U26" s="126">
        <f t="shared" si="15"/>
        <v>43135.593029084928</v>
      </c>
    </row>
    <row r="27" spans="1:22" x14ac:dyDescent="0.2">
      <c r="A27">
        <v>7</v>
      </c>
      <c r="B27" t="s">
        <v>1172</v>
      </c>
      <c r="C27" s="105"/>
      <c r="D27" s="64" t="str">
        <f>INDEX(DasaYears,MOD($D$15+6,9)+1,1)</f>
        <v>Ketu</v>
      </c>
      <c r="E27" s="120">
        <f t="shared" si="16"/>
        <v>54344.95521892963</v>
      </c>
      <c r="F27" s="119">
        <f t="shared" si="17"/>
        <v>27898.094202777778</v>
      </c>
      <c r="G27" s="121"/>
      <c r="H27" s="53" t="str">
        <f t="shared" si="6"/>
        <v>Mars</v>
      </c>
      <c r="I27" s="122">
        <f t="shared" si="7"/>
        <v>45764.509501433567</v>
      </c>
      <c r="J27" s="107"/>
      <c r="K27" s="64" t="str">
        <f t="shared" si="8"/>
        <v>Rahu</v>
      </c>
      <c r="L27" s="122">
        <f t="shared" si="9"/>
        <v>42843.5104817424</v>
      </c>
      <c r="M27" s="105"/>
      <c r="N27" s="64" t="str">
        <f t="shared" si="10"/>
        <v>Mars</v>
      </c>
      <c r="O27" s="122">
        <f t="shared" si="11"/>
        <v>43224.547197343847</v>
      </c>
      <c r="P27" s="105" t="s">
        <v>1169</v>
      </c>
      <c r="Q27" s="64" t="str">
        <f t="shared" si="12"/>
        <v>Mars</v>
      </c>
      <c r="R27" s="120">
        <f t="shared" si="13"/>
        <v>43138.293916686416</v>
      </c>
      <c r="S27" s="64"/>
      <c r="T27" s="122" t="str">
        <f t="shared" si="14"/>
        <v>Mercury</v>
      </c>
      <c r="U27" s="127">
        <f t="shared" si="15"/>
        <v>43135.78815024245</v>
      </c>
    </row>
    <row r="28" spans="1:22" x14ac:dyDescent="0.2">
      <c r="A28">
        <v>8</v>
      </c>
      <c r="B28" t="s">
        <v>1173</v>
      </c>
      <c r="C28" s="105"/>
      <c r="D28" s="61" t="str">
        <f>INDEX(DasaYears,MOD($D$15+7,9)+1,1)</f>
        <v>Venus</v>
      </c>
      <c r="E28" s="115">
        <f t="shared" si="16"/>
        <v>56901.739327725903</v>
      </c>
      <c r="F28" s="119">
        <f t="shared" si="17"/>
        <v>30418.094202777778</v>
      </c>
      <c r="G28" s="116" t="s">
        <v>1169</v>
      </c>
      <c r="H28" s="53" t="str">
        <f t="shared" si="6"/>
        <v>Rahu</v>
      </c>
      <c r="I28" s="117">
        <f t="shared" si="7"/>
        <v>46169.33365199298</v>
      </c>
      <c r="J28" s="107"/>
      <c r="K28" s="61" t="str">
        <f t="shared" si="8"/>
        <v>Jupiter</v>
      </c>
      <c r="L28" s="117">
        <f t="shared" si="9"/>
        <v>42990.982136589046</v>
      </c>
      <c r="M28" s="105" t="s">
        <v>1169</v>
      </c>
      <c r="N28" s="61" t="str">
        <f t="shared" si="10"/>
        <v>Rahu</v>
      </c>
      <c r="O28" s="117">
        <f t="shared" si="11"/>
        <v>43233.627627943199</v>
      </c>
      <c r="P28" s="105" t="s">
        <v>1169</v>
      </c>
      <c r="Q28" s="61" t="str">
        <f t="shared" si="12"/>
        <v>Rahu</v>
      </c>
      <c r="R28" s="115">
        <f t="shared" si="13"/>
        <v>43139.731651531314</v>
      </c>
      <c r="S28" s="61"/>
      <c r="T28" s="117" t="str">
        <f t="shared" si="14"/>
        <v>Ketu</v>
      </c>
      <c r="U28" s="126">
        <f t="shared" si="15"/>
        <v>43135.962732330758</v>
      </c>
    </row>
    <row r="29" spans="1:22" x14ac:dyDescent="0.2">
      <c r="A29">
        <v>9</v>
      </c>
      <c r="B29" t="s">
        <v>1489</v>
      </c>
      <c r="C29" s="105" t="s">
        <v>1169</v>
      </c>
      <c r="D29" s="64" t="str">
        <f>INDEX(DasaYears,MOD($D$15+8,9)+1,1)</f>
        <v>Sun</v>
      </c>
      <c r="E29" s="120">
        <f t="shared" si="16"/>
        <v>64206.836781429542</v>
      </c>
      <c r="F29" s="119">
        <f t="shared" si="17"/>
        <v>37618.094202777778</v>
      </c>
      <c r="G29" s="121" t="s">
        <v>1169</v>
      </c>
      <c r="H29" s="53" t="str">
        <f t="shared" si="6"/>
        <v>Jupiter</v>
      </c>
      <c r="I29" s="122">
        <f t="shared" si="7"/>
        <v>47210.310039145748</v>
      </c>
      <c r="J29" s="107" t="s">
        <v>1169</v>
      </c>
      <c r="K29" s="64" t="str">
        <f t="shared" si="8"/>
        <v>Saturn</v>
      </c>
      <c r="L29" s="122">
        <f t="shared" si="9"/>
        <v>43122.068052008282</v>
      </c>
      <c r="M29" s="105" t="s">
        <v>1169</v>
      </c>
      <c r="N29" s="64" t="str">
        <f t="shared" si="10"/>
        <v>Jupiter</v>
      </c>
      <c r="O29" s="122">
        <f t="shared" si="11"/>
        <v>43256.977306627254</v>
      </c>
      <c r="P29" s="105" t="s">
        <v>1169</v>
      </c>
      <c r="Q29" s="64" t="str">
        <f t="shared" si="12"/>
        <v>Jupiter</v>
      </c>
      <c r="R29" s="120">
        <f t="shared" si="13"/>
        <v>43143.428683989623</v>
      </c>
      <c r="S29" s="64"/>
      <c r="T29" s="120" t="str">
        <f t="shared" si="14"/>
        <v>Venus</v>
      </c>
      <c r="U29" s="127">
        <f t="shared" si="15"/>
        <v>43136.034619073005</v>
      </c>
    </row>
    <row r="30" spans="1:22" x14ac:dyDescent="0.2">
      <c r="C30" s="105"/>
      <c r="D30" s="67" t="str">
        <f>INDEX(DasaYears,MOD(D15+9,9)+1,1)</f>
        <v>Moon</v>
      </c>
      <c r="E30" s="128">
        <f t="shared" si="16"/>
        <v>66398.36601754064</v>
      </c>
      <c r="F30" s="119">
        <f t="shared" si="17"/>
        <v>39778.094202777778</v>
      </c>
      <c r="G30" s="105"/>
      <c r="H30" s="67"/>
      <c r="I30" s="129">
        <f t="shared" si="7"/>
        <v>48135.622383281545</v>
      </c>
      <c r="J30" s="107"/>
      <c r="K30" s="67"/>
      <c r="L30" s="129">
        <f t="shared" si="9"/>
        <v>43277.732576568626</v>
      </c>
      <c r="M30" s="105"/>
      <c r="N30" s="67"/>
      <c r="O30" s="129">
        <f t="shared" si="11"/>
        <v>43277.732576568633</v>
      </c>
      <c r="P30" s="105"/>
      <c r="Q30" s="67"/>
      <c r="R30" s="128">
        <f t="shared" si="13"/>
        <v>43146.714935063676</v>
      </c>
      <c r="S30" s="67"/>
      <c r="T30" s="129"/>
      <c r="U30" s="130">
        <f t="shared" si="15"/>
        <v>43136.240009765133</v>
      </c>
    </row>
    <row r="31" spans="1:22" x14ac:dyDescent="0.2">
      <c r="C31" s="105"/>
      <c r="D31" s="67"/>
      <c r="E31" s="129"/>
      <c r="F31" s="129"/>
      <c r="G31" s="105"/>
      <c r="H31" t="s">
        <v>1490</v>
      </c>
      <c r="I31">
        <f>I30-I21</f>
        <v>6939.8425810184635</v>
      </c>
      <c r="J31" s="107"/>
      <c r="K31" t="s">
        <v>1490</v>
      </c>
      <c r="L31">
        <f>L30-L21</f>
        <v>983.14436564428615</v>
      </c>
      <c r="M31" s="105"/>
      <c r="N31" t="s">
        <v>1490</v>
      </c>
      <c r="O31">
        <f>O30-O21</f>
        <v>155.6645245603504</v>
      </c>
      <c r="P31" s="105"/>
      <c r="Q31" t="s">
        <v>1490</v>
      </c>
      <c r="R31" s="28">
        <f>R30-R21</f>
        <v>24.646883055393118</v>
      </c>
      <c r="S31" s="67"/>
      <c r="T31" t="s">
        <v>1490</v>
      </c>
      <c r="U31" s="28">
        <f>U30-U21</f>
        <v>1.2323441527696559</v>
      </c>
    </row>
    <row r="32" spans="1:22" ht="17.25" x14ac:dyDescent="0.2">
      <c r="C32" s="105"/>
      <c r="D32" s="67"/>
      <c r="E32" s="129"/>
      <c r="F32" s="129"/>
      <c r="G32" s="105"/>
      <c r="H32" t="s">
        <v>1559</v>
      </c>
      <c r="I32" s="131">
        <f>I21</f>
        <v>41195.779802263081</v>
      </c>
      <c r="J32" s="107"/>
      <c r="K32" t="s">
        <v>1491</v>
      </c>
      <c r="L32" s="131">
        <f>L21</f>
        <v>42294.588210924339</v>
      </c>
      <c r="M32" s="105"/>
      <c r="N32" t="s">
        <v>1491</v>
      </c>
      <c r="O32" s="131">
        <f>O21</f>
        <v>43122.068052008282</v>
      </c>
      <c r="P32" s="105"/>
      <c r="Q32" t="s">
        <v>1491</v>
      </c>
      <c r="R32" s="131">
        <f>R21</f>
        <v>43122.068052008282</v>
      </c>
      <c r="S32" s="67"/>
      <c r="T32" t="s">
        <v>1491</v>
      </c>
      <c r="U32" s="131">
        <f>U21</f>
        <v>43135.007665612364</v>
      </c>
    </row>
    <row r="33" spans="1:21" ht="17.25" x14ac:dyDescent="0.2">
      <c r="C33" s="105"/>
      <c r="D33" s="67"/>
      <c r="E33" s="129"/>
      <c r="F33" s="129"/>
      <c r="G33" s="105"/>
      <c r="H33" t="s">
        <v>1560</v>
      </c>
      <c r="I33" s="131">
        <f>I32+I31/4</f>
        <v>42930.740447517695</v>
      </c>
      <c r="J33" s="107"/>
      <c r="K33" t="s">
        <v>1492</v>
      </c>
      <c r="L33" s="131">
        <f>L32+L31/4</f>
        <v>42540.374302335411</v>
      </c>
      <c r="M33" s="105"/>
      <c r="N33" t="s">
        <v>1492</v>
      </c>
      <c r="O33" s="131">
        <f>O32+O31/4</f>
        <v>43160.984183148372</v>
      </c>
      <c r="P33" s="105"/>
      <c r="Q33" t="s">
        <v>1492</v>
      </c>
      <c r="R33" s="131">
        <f>R32+R31/4</f>
        <v>43128.229772772131</v>
      </c>
      <c r="S33" s="67"/>
      <c r="T33" t="s">
        <v>1492</v>
      </c>
      <c r="U33" s="131">
        <f>U32+U31/4</f>
        <v>43135.31575165056</v>
      </c>
    </row>
    <row r="34" spans="1:21" ht="17.25" x14ac:dyDescent="0.2">
      <c r="B34" s="132"/>
      <c r="C34" s="105"/>
      <c r="D34" s="67"/>
      <c r="E34" s="129"/>
      <c r="F34" s="129"/>
      <c r="G34" s="105"/>
      <c r="H34" t="s">
        <v>1561</v>
      </c>
      <c r="I34" s="131">
        <f>I33+I31/4</f>
        <v>44665.701092772309</v>
      </c>
      <c r="J34" s="107"/>
      <c r="K34" t="s">
        <v>1493</v>
      </c>
      <c r="L34" s="131">
        <f>L33+L31/4</f>
        <v>42786.160393746482</v>
      </c>
      <c r="M34" s="105"/>
      <c r="N34" t="s">
        <v>1493</v>
      </c>
      <c r="O34" s="131">
        <f>O33+O31/4</f>
        <v>43199.900314288461</v>
      </c>
      <c r="P34" s="105"/>
      <c r="Q34" t="s">
        <v>1493</v>
      </c>
      <c r="R34" s="131">
        <f>R33+R31/4</f>
        <v>43134.391493535979</v>
      </c>
      <c r="S34" s="67"/>
      <c r="T34" t="s">
        <v>1493</v>
      </c>
      <c r="U34" s="131">
        <f>U33+U31/4</f>
        <v>43135.623837688749</v>
      </c>
    </row>
    <row r="35" spans="1:21" ht="17.25" x14ac:dyDescent="0.2">
      <c r="C35" s="105"/>
      <c r="D35" s="67"/>
      <c r="E35" s="129"/>
      <c r="F35" s="129"/>
      <c r="G35" s="105"/>
      <c r="H35" t="s">
        <v>1562</v>
      </c>
      <c r="I35" s="131">
        <f>I34+I31/4</f>
        <v>46400.661738026924</v>
      </c>
      <c r="J35" s="107"/>
      <c r="K35" t="s">
        <v>1494</v>
      </c>
      <c r="L35" s="131">
        <f>L34+L31/4</f>
        <v>43031.946485157554</v>
      </c>
      <c r="M35" s="105"/>
      <c r="N35" t="s">
        <v>1494</v>
      </c>
      <c r="O35" s="131">
        <f>O34+O31/4</f>
        <v>43238.816445428551</v>
      </c>
      <c r="P35" s="105"/>
      <c r="Q35" t="s">
        <v>1494</v>
      </c>
      <c r="R35" s="131">
        <f>R34+R31/4</f>
        <v>43140.553214299827</v>
      </c>
      <c r="S35" s="67"/>
      <c r="T35" t="s">
        <v>1494</v>
      </c>
      <c r="U35" s="131">
        <f>U34+U31/4</f>
        <v>43135.931923726937</v>
      </c>
    </row>
    <row r="36" spans="1:21" x14ac:dyDescent="0.2">
      <c r="C36" s="105"/>
      <c r="D36" s="62"/>
      <c r="E36" s="612"/>
      <c r="F36" s="612"/>
      <c r="G36" s="105"/>
      <c r="I36" s="131"/>
      <c r="J36" s="107"/>
      <c r="L36" s="131"/>
      <c r="M36" s="105"/>
      <c r="O36" s="131"/>
      <c r="P36" s="105"/>
      <c r="R36" s="131"/>
      <c r="S36" s="62"/>
      <c r="U36" s="131"/>
    </row>
    <row r="37" spans="1:21" x14ac:dyDescent="0.2">
      <c r="C37" s="105"/>
      <c r="D37" s="62"/>
      <c r="I37" s="131"/>
      <c r="R37" s="131"/>
      <c r="S37" s="62"/>
      <c r="U37" s="131"/>
    </row>
    <row r="38" spans="1:21" ht="15.75" thickBot="1" x14ac:dyDescent="0.25">
      <c r="A38" t="s">
        <v>1576</v>
      </c>
      <c r="C38" s="623" t="str">
        <f>I20</f>
        <v>Saturn</v>
      </c>
      <c r="E38" s="612" t="s">
        <v>1575</v>
      </c>
      <c r="F38" s="612" t="s">
        <v>1578</v>
      </c>
      <c r="G38" s="105" t="s">
        <v>6</v>
      </c>
      <c r="H38" s="615" t="str">
        <f>IF(C38="Rahu","Saturn",IF(C38="Ketu","Ketu",C38))</f>
        <v>Saturn</v>
      </c>
      <c r="I38" s="107" t="s">
        <v>1516</v>
      </c>
      <c r="J38" t="s">
        <v>1515</v>
      </c>
      <c r="K38" s="131" t="s">
        <v>1513</v>
      </c>
      <c r="L38" s="105" t="s">
        <v>1511</v>
      </c>
      <c r="M38" t="s">
        <v>1519</v>
      </c>
      <c r="N38" s="131" t="s">
        <v>1517</v>
      </c>
      <c r="O38" s="105" t="s">
        <v>1512</v>
      </c>
      <c r="P38" t="s">
        <v>1722</v>
      </c>
      <c r="R38" s="131"/>
      <c r="S38" s="62"/>
      <c r="U38" s="131"/>
    </row>
    <row r="39" spans="1:21" x14ac:dyDescent="0.2">
      <c r="C39" s="62"/>
      <c r="D39" s="612" t="s">
        <v>1577</v>
      </c>
      <c r="E39" s="615">
        <f>INT(VLOOKUP(I20,ChartInfo,7,FALSE)/30+0.9999999)</f>
        <v>2</v>
      </c>
      <c r="F39" s="622" t="b">
        <f>NOT(VLOOKUP(I20,ChartInfo,11,FALSE))</f>
        <v>1</v>
      </c>
      <c r="G39" s="105" t="s">
        <v>124</v>
      </c>
      <c r="H39" t="s">
        <v>7</v>
      </c>
      <c r="I39" s="601" t="str">
        <f t="shared" ref="I39:P39" ca="1" si="18">VLOOKUP($H$38&amp;"-"&amp;I$38,AllPAV,$E40+3,FALSE)</f>
        <v>*</v>
      </c>
      <c r="J39" s="596" t="str">
        <f t="shared" ca="1" si="18"/>
        <v>*</v>
      </c>
      <c r="K39" s="596">
        <f t="shared" ca="1" si="18"/>
        <v>1</v>
      </c>
      <c r="L39" s="596">
        <f t="shared" ca="1" si="18"/>
        <v>1</v>
      </c>
      <c r="M39" s="596">
        <f t="shared" ca="1" si="18"/>
        <v>1</v>
      </c>
      <c r="N39" s="596">
        <f t="shared" ca="1" si="18"/>
        <v>1</v>
      </c>
      <c r="O39" s="596" t="str">
        <f t="shared" ca="1" si="18"/>
        <v>*</v>
      </c>
      <c r="P39" s="597">
        <f t="shared" ca="1" si="18"/>
        <v>1</v>
      </c>
      <c r="Q39" s="620"/>
      <c r="R39" s="619"/>
      <c r="S39" s="62"/>
      <c r="U39" s="131"/>
    </row>
    <row r="40" spans="1:21" ht="15.75" thickBot="1" x14ac:dyDescent="0.25">
      <c r="C40" s="62"/>
      <c r="D40" s="612"/>
      <c r="E40" s="138">
        <f>MOD(E39+12-IF($F$39,1,2),12)+1</f>
        <v>2</v>
      </c>
      <c r="F40" s="105" t="str">
        <f>INDEX(RsTbl,E40)</f>
        <v>Ta</v>
      </c>
      <c r="G40">
        <f ca="1">VLOOKUP($H$38,BAV,E40+2,FALSE)</f>
        <v>5</v>
      </c>
      <c r="H40" s="614" t="s">
        <v>1563</v>
      </c>
      <c r="I40" s="621">
        <f>I21</f>
        <v>41195.779802263081</v>
      </c>
      <c r="J40" s="616">
        <f>I40+$I$31/12/8</f>
        <v>41268.069829148691</v>
      </c>
      <c r="K40" s="617">
        <f t="shared" ref="K40:Q40" si="19">J40+$I$31/12/8</f>
        <v>41340.359856034302</v>
      </c>
      <c r="L40" s="617">
        <f t="shared" si="19"/>
        <v>41412.649882919912</v>
      </c>
      <c r="M40" s="617">
        <f t="shared" si="19"/>
        <v>41484.939909805522</v>
      </c>
      <c r="N40" s="617">
        <f t="shared" si="19"/>
        <v>41557.229936691132</v>
      </c>
      <c r="O40" s="617">
        <f t="shared" si="19"/>
        <v>41629.519963576742</v>
      </c>
      <c r="P40" s="617">
        <f t="shared" si="19"/>
        <v>41701.809990462352</v>
      </c>
      <c r="Q40" s="618">
        <f t="shared" si="19"/>
        <v>41774.100017347962</v>
      </c>
      <c r="R40" s="618"/>
      <c r="S40" s="62"/>
      <c r="U40" s="131"/>
    </row>
    <row r="41" spans="1:21" x14ac:dyDescent="0.2">
      <c r="C41" s="62"/>
      <c r="D41" s="612"/>
      <c r="E41" s="612"/>
      <c r="F41" s="105"/>
      <c r="H41" s="614"/>
      <c r="I41" s="601" t="str">
        <f t="shared" ref="I41:P41" ca="1" si="20">VLOOKUP($H$38&amp;"-"&amp;I$38,AllPAV,$E42+3,FALSE)</f>
        <v>*</v>
      </c>
      <c r="J41" s="596" t="str">
        <f t="shared" ca="1" si="20"/>
        <v>*</v>
      </c>
      <c r="K41" s="596">
        <f t="shared" ca="1" si="20"/>
        <v>1</v>
      </c>
      <c r="L41" s="596" t="str">
        <f t="shared" ca="1" si="20"/>
        <v>*</v>
      </c>
      <c r="M41" s="596" t="str">
        <f t="shared" ca="1" si="20"/>
        <v>*</v>
      </c>
      <c r="N41" s="596">
        <f t="shared" ca="1" si="20"/>
        <v>1</v>
      </c>
      <c r="O41" s="596" t="str">
        <f t="shared" ca="1" si="20"/>
        <v>*</v>
      </c>
      <c r="P41" s="597">
        <f t="shared" ca="1" si="20"/>
        <v>1</v>
      </c>
      <c r="Q41" s="620"/>
      <c r="R41" s="619"/>
      <c r="S41" s="62"/>
      <c r="U41" s="131"/>
    </row>
    <row r="42" spans="1:21" ht="15.75" thickBot="1" x14ac:dyDescent="0.25">
      <c r="E42" s="138">
        <f>MOD(E40+12-IF($F$39,0,2),12)+1</f>
        <v>3</v>
      </c>
      <c r="F42" s="105" t="str">
        <f>INDEX(RsTbl,E42)</f>
        <v>Ge</v>
      </c>
      <c r="G42">
        <f ca="1">VLOOKUP($H$38,BAV,E42+2,FALSE)</f>
        <v>3</v>
      </c>
      <c r="H42" s="614" t="s">
        <v>1564</v>
      </c>
      <c r="I42" s="616">
        <f>I40+$I$31/12</f>
        <v>41774.100017347955</v>
      </c>
      <c r="J42" s="616">
        <f>I42+$I$31/12/8</f>
        <v>41846.390044233565</v>
      </c>
      <c r="K42" s="617">
        <f t="shared" ref="K42:Q42" si="21">J42+$I$31/12/8</f>
        <v>41918.680071119175</v>
      </c>
      <c r="L42" s="617">
        <f t="shared" si="21"/>
        <v>41990.970098004786</v>
      </c>
      <c r="M42" s="617">
        <f t="shared" si="21"/>
        <v>42063.260124890396</v>
      </c>
      <c r="N42" s="617">
        <f t="shared" si="21"/>
        <v>42135.550151776006</v>
      </c>
      <c r="O42" s="617">
        <f t="shared" si="21"/>
        <v>42207.840178661616</v>
      </c>
      <c r="P42" s="617">
        <f t="shared" si="21"/>
        <v>42280.130205547226</v>
      </c>
      <c r="Q42" s="618">
        <f t="shared" si="21"/>
        <v>42352.420232432836</v>
      </c>
      <c r="R42" s="618"/>
      <c r="S42" s="62"/>
      <c r="U42" s="131"/>
    </row>
    <row r="43" spans="1:21" x14ac:dyDescent="0.2">
      <c r="E43" s="138"/>
      <c r="F43" s="105"/>
      <c r="H43" s="614"/>
      <c r="I43" s="601">
        <f t="shared" ref="I43:P43" ca="1" si="22">VLOOKUP($H$38&amp;"-"&amp;I$38,AllPAV,$E44+3,FALSE)</f>
        <v>1</v>
      </c>
      <c r="J43" s="596" t="str">
        <f t="shared" ca="1" si="22"/>
        <v>*</v>
      </c>
      <c r="K43" s="596" t="str">
        <f t="shared" ca="1" si="22"/>
        <v>*</v>
      </c>
      <c r="L43" s="596">
        <f t="shared" ca="1" si="22"/>
        <v>1</v>
      </c>
      <c r="M43" s="596" t="str">
        <f t="shared" ca="1" si="22"/>
        <v>*</v>
      </c>
      <c r="N43" s="596" t="str">
        <f t="shared" ca="1" si="22"/>
        <v>*</v>
      </c>
      <c r="O43" s="596">
        <f t="shared" ca="1" si="22"/>
        <v>1</v>
      </c>
      <c r="P43" s="597" t="str">
        <f t="shared" ca="1" si="22"/>
        <v>*</v>
      </c>
      <c r="Q43" s="620"/>
      <c r="R43" s="619"/>
      <c r="S43" s="62"/>
      <c r="U43" s="131"/>
    </row>
    <row r="44" spans="1:21" ht="15.75" thickBot="1" x14ac:dyDescent="0.25">
      <c r="C44" s="62"/>
      <c r="D44" s="612"/>
      <c r="E44" s="138">
        <f>MOD(E42+12-IF($F$39,0,2),12)+1</f>
        <v>4</v>
      </c>
      <c r="F44" s="105" t="str">
        <f>INDEX(RsTbl,E44)</f>
        <v>Cn</v>
      </c>
      <c r="G44">
        <f ca="1">VLOOKUP($H$38,BAV,E44+2,FALSE)</f>
        <v>3</v>
      </c>
      <c r="H44" s="613" t="s">
        <v>1565</v>
      </c>
      <c r="I44" s="616">
        <f>I42+$I$31/12</f>
        <v>42352.420232432829</v>
      </c>
      <c r="J44" s="616">
        <f>I44+$I$31/12/8</f>
        <v>42424.710259318439</v>
      </c>
      <c r="K44" s="617">
        <f t="shared" ref="K44:Q44" si="23">J44+$I$31/12/8</f>
        <v>42497.000286204049</v>
      </c>
      <c r="L44" s="617">
        <f t="shared" si="23"/>
        <v>42569.290313089659</v>
      </c>
      <c r="M44" s="617">
        <f t="shared" si="23"/>
        <v>42641.580339975269</v>
      </c>
      <c r="N44" s="617">
        <f t="shared" si="23"/>
        <v>42713.87036686088</v>
      </c>
      <c r="O44" s="617">
        <f t="shared" si="23"/>
        <v>42786.16039374649</v>
      </c>
      <c r="P44" s="617">
        <f t="shared" si="23"/>
        <v>42858.4504206321</v>
      </c>
      <c r="Q44" s="618">
        <f t="shared" si="23"/>
        <v>42930.74044751771</v>
      </c>
      <c r="R44" s="618"/>
      <c r="S44" s="62"/>
      <c r="U44" s="131"/>
    </row>
    <row r="45" spans="1:21" x14ac:dyDescent="0.2">
      <c r="C45" s="62"/>
      <c r="D45" s="612"/>
      <c r="E45" s="138"/>
      <c r="F45" s="105"/>
      <c r="H45" s="613"/>
      <c r="I45" s="601" t="str">
        <f t="shared" ref="I45:P45" ca="1" si="24">VLOOKUP($H$38&amp;"-"&amp;I$38,AllPAV,$E46+3,FALSE)</f>
        <v>*</v>
      </c>
      <c r="J45" s="596" t="str">
        <f t="shared" ca="1" si="24"/>
        <v>*</v>
      </c>
      <c r="K45" s="596" t="str">
        <f t="shared" ca="1" si="24"/>
        <v>*</v>
      </c>
      <c r="L45" s="596">
        <f t="shared" ca="1" si="24"/>
        <v>1</v>
      </c>
      <c r="M45" s="596" t="str">
        <f t="shared" ca="1" si="24"/>
        <v>*</v>
      </c>
      <c r="N45" s="596" t="str">
        <f t="shared" ca="1" si="24"/>
        <v>*</v>
      </c>
      <c r="O45" s="596" t="str">
        <f t="shared" ca="1" si="24"/>
        <v>*</v>
      </c>
      <c r="P45" s="597">
        <f t="shared" ca="1" si="24"/>
        <v>1</v>
      </c>
      <c r="Q45" s="620"/>
      <c r="R45" s="619"/>
      <c r="S45" s="62"/>
      <c r="U45" s="131"/>
    </row>
    <row r="46" spans="1:21" ht="15.75" thickBot="1" x14ac:dyDescent="0.25">
      <c r="C46" s="62"/>
      <c r="D46" s="612"/>
      <c r="E46" s="138">
        <f>MOD(E44+12-IF($F$39,0,2),12)+1</f>
        <v>5</v>
      </c>
      <c r="F46" s="105" t="str">
        <f>INDEX(RsTbl,E46)</f>
        <v>Le</v>
      </c>
      <c r="G46">
        <f ca="1">VLOOKUP($H$38,BAV,E46+2,FALSE)</f>
        <v>2</v>
      </c>
      <c r="H46" s="613" t="s">
        <v>1566</v>
      </c>
      <c r="I46" s="616">
        <f>I44+$I$31/12</f>
        <v>42930.740447517703</v>
      </c>
      <c r="J46" s="616">
        <f>I46+$I$31/12/8</f>
        <v>43003.030474403313</v>
      </c>
      <c r="K46" s="617">
        <f t="shared" ref="K46:Q46" si="25">J46+$I$31/12/8</f>
        <v>43075.320501288923</v>
      </c>
      <c r="L46" s="617">
        <f t="shared" si="25"/>
        <v>43147.610528174533</v>
      </c>
      <c r="M46" s="617">
        <f t="shared" si="25"/>
        <v>43219.900555060143</v>
      </c>
      <c r="N46" s="617">
        <f t="shared" si="25"/>
        <v>43292.190581945753</v>
      </c>
      <c r="O46" s="617">
        <f t="shared" si="25"/>
        <v>43364.480608831363</v>
      </c>
      <c r="P46" s="617">
        <f t="shared" si="25"/>
        <v>43436.770635716974</v>
      </c>
      <c r="Q46" s="618">
        <f t="shared" si="25"/>
        <v>43509.060662602584</v>
      </c>
      <c r="R46" s="618"/>
      <c r="S46" s="62"/>
      <c r="U46" s="131"/>
    </row>
    <row r="47" spans="1:21" x14ac:dyDescent="0.2">
      <c r="C47" s="62"/>
      <c r="D47" s="612"/>
      <c r="E47" s="138"/>
      <c r="F47" s="105"/>
      <c r="H47" s="613"/>
      <c r="I47" s="601">
        <f t="shared" ref="I47:P47" ca="1" si="26">VLOOKUP($H$38&amp;"-"&amp;I$38,AllPAV,$E48+3,FALSE)</f>
        <v>1</v>
      </c>
      <c r="J47" s="596">
        <f t="shared" ca="1" si="26"/>
        <v>1</v>
      </c>
      <c r="K47" s="596" t="str">
        <f t="shared" ca="1" si="26"/>
        <v>*</v>
      </c>
      <c r="L47" s="596" t="str">
        <f t="shared" ca="1" si="26"/>
        <v>*</v>
      </c>
      <c r="M47" s="596" t="str">
        <f t="shared" ca="1" si="26"/>
        <v>*</v>
      </c>
      <c r="N47" s="596" t="str">
        <f t="shared" ca="1" si="26"/>
        <v>*</v>
      </c>
      <c r="O47" s="596" t="str">
        <f t="shared" ca="1" si="26"/>
        <v>*</v>
      </c>
      <c r="P47" s="597" t="str">
        <f t="shared" ca="1" si="26"/>
        <v>*</v>
      </c>
      <c r="Q47" s="620"/>
      <c r="R47" s="619"/>
      <c r="S47" s="62"/>
      <c r="U47" s="131"/>
    </row>
    <row r="48" spans="1:21" ht="15.75" thickBot="1" x14ac:dyDescent="0.25">
      <c r="C48" s="62"/>
      <c r="D48" s="612"/>
      <c r="E48" s="138">
        <f>MOD(E46+12-IF($F$39,0,2),12)+1</f>
        <v>6</v>
      </c>
      <c r="F48" s="105" t="str">
        <f>INDEX(RsTbl,E48)</f>
        <v>Vi</v>
      </c>
      <c r="G48">
        <f ca="1">VLOOKUP($H$38,BAV,E48+2,FALSE)</f>
        <v>2</v>
      </c>
      <c r="H48" s="613" t="s">
        <v>1567</v>
      </c>
      <c r="I48" s="616">
        <f>I46+$I$31/12</f>
        <v>43509.060662602576</v>
      </c>
      <c r="J48" s="616">
        <f>I48+$I$31/12/8</f>
        <v>43581.350689488187</v>
      </c>
      <c r="K48" s="617">
        <f t="shared" ref="K48:Q48" si="27">J48+$I$31/12/8</f>
        <v>43653.640716373797</v>
      </c>
      <c r="L48" s="617">
        <f t="shared" si="27"/>
        <v>43725.930743259407</v>
      </c>
      <c r="M48" s="617">
        <f t="shared" si="27"/>
        <v>43798.220770145017</v>
      </c>
      <c r="N48" s="617">
        <f t="shared" si="27"/>
        <v>43870.510797030627</v>
      </c>
      <c r="O48" s="617">
        <f t="shared" si="27"/>
        <v>43942.800823916237</v>
      </c>
      <c r="P48" s="617">
        <f t="shared" si="27"/>
        <v>44015.090850801847</v>
      </c>
      <c r="Q48" s="618">
        <f t="shared" si="27"/>
        <v>44087.380877687458</v>
      </c>
      <c r="R48" s="618"/>
      <c r="S48" s="62"/>
      <c r="U48" s="131"/>
    </row>
    <row r="49" spans="1:21" x14ac:dyDescent="0.2">
      <c r="C49" s="62"/>
      <c r="D49" s="612"/>
      <c r="E49" s="138"/>
      <c r="F49" s="105"/>
      <c r="H49" s="613"/>
      <c r="I49" s="601">
        <f t="shared" ref="I49:P49" ca="1" si="28">VLOOKUP($H$38&amp;"-"&amp;I$38,AllPAV,$E50+3,FALSE)</f>
        <v>1</v>
      </c>
      <c r="J49" s="596">
        <f t="shared" ca="1" si="28"/>
        <v>1</v>
      </c>
      <c r="K49" s="596">
        <f t="shared" ca="1" si="28"/>
        <v>1</v>
      </c>
      <c r="L49" s="596">
        <f t="shared" ca="1" si="28"/>
        <v>1</v>
      </c>
      <c r="M49" s="596" t="str">
        <f t="shared" ca="1" si="28"/>
        <v>*</v>
      </c>
      <c r="N49" s="596" t="str">
        <f t="shared" ca="1" si="28"/>
        <v>*</v>
      </c>
      <c r="O49" s="596">
        <f t="shared" ca="1" si="28"/>
        <v>1</v>
      </c>
      <c r="P49" s="597">
        <f t="shared" ca="1" si="28"/>
        <v>1</v>
      </c>
      <c r="Q49" s="620"/>
      <c r="R49" s="619"/>
      <c r="S49" s="62"/>
      <c r="U49" s="131"/>
    </row>
    <row r="50" spans="1:21" ht="15.75" thickBot="1" x14ac:dyDescent="0.25">
      <c r="C50" s="62"/>
      <c r="D50" s="612"/>
      <c r="E50" s="138">
        <f>MOD(E48+12-IF($F$39,0,2),12)+1</f>
        <v>7</v>
      </c>
      <c r="F50" s="105" t="str">
        <f>INDEX(RsTbl,E50)</f>
        <v>Li</v>
      </c>
      <c r="G50">
        <f ca="1">VLOOKUP($H$38,BAV,E50+2,FALSE)</f>
        <v>6</v>
      </c>
      <c r="H50" s="613" t="s">
        <v>1568</v>
      </c>
      <c r="I50" s="616">
        <f>I48+$I$31/12</f>
        <v>44087.38087768745</v>
      </c>
      <c r="J50" s="616">
        <f>I50+$I$31/12/8</f>
        <v>44159.67090457306</v>
      </c>
      <c r="K50" s="617">
        <f t="shared" ref="K50:Q50" si="29">J50+$I$31/12/8</f>
        <v>44231.960931458671</v>
      </c>
      <c r="L50" s="617">
        <f t="shared" si="29"/>
        <v>44304.250958344281</v>
      </c>
      <c r="M50" s="617">
        <f t="shared" si="29"/>
        <v>44376.540985229891</v>
      </c>
      <c r="N50" s="617">
        <f t="shared" si="29"/>
        <v>44448.831012115501</v>
      </c>
      <c r="O50" s="617">
        <f t="shared" si="29"/>
        <v>44521.121039001111</v>
      </c>
      <c r="P50" s="617">
        <f t="shared" si="29"/>
        <v>44593.411065886721</v>
      </c>
      <c r="Q50" s="618">
        <f t="shared" si="29"/>
        <v>44665.701092772331</v>
      </c>
      <c r="R50" s="618"/>
      <c r="S50" s="62"/>
      <c r="U50" s="131"/>
    </row>
    <row r="51" spans="1:21" x14ac:dyDescent="0.2">
      <c r="C51" s="62"/>
      <c r="D51" s="612"/>
      <c r="E51" s="138"/>
      <c r="F51" s="105"/>
      <c r="H51" s="613"/>
      <c r="I51" s="601" t="str">
        <f t="shared" ref="I51:P51" ca="1" si="30">VLOOKUP($H$38&amp;"-"&amp;I$38,AllPAV,$E52+3,FALSE)</f>
        <v>*</v>
      </c>
      <c r="J51" s="596" t="str">
        <f t="shared" ca="1" si="30"/>
        <v>*</v>
      </c>
      <c r="K51" s="596">
        <f t="shared" ca="1" si="30"/>
        <v>1</v>
      </c>
      <c r="L51" s="596" t="str">
        <f t="shared" ca="1" si="30"/>
        <v>*</v>
      </c>
      <c r="M51" s="596">
        <f t="shared" ca="1" si="30"/>
        <v>1</v>
      </c>
      <c r="N51" s="596" t="str">
        <f t="shared" ca="1" si="30"/>
        <v>*</v>
      </c>
      <c r="O51" s="596" t="str">
        <f t="shared" ca="1" si="30"/>
        <v>*</v>
      </c>
      <c r="P51" s="597">
        <f t="shared" ca="1" si="30"/>
        <v>1</v>
      </c>
      <c r="Q51" s="620"/>
      <c r="R51" s="619"/>
      <c r="S51" s="62"/>
      <c r="U51" s="131"/>
    </row>
    <row r="52" spans="1:21" ht="15.75" thickBot="1" x14ac:dyDescent="0.25">
      <c r="C52" s="62"/>
      <c r="D52" s="612"/>
      <c r="E52" s="138">
        <f>MOD(E50+12-IF($F$39,0,2),12)+1</f>
        <v>8</v>
      </c>
      <c r="F52" s="105" t="str">
        <f>INDEX(RsTbl,E52)</f>
        <v>Sc</v>
      </c>
      <c r="G52">
        <f ca="1">VLOOKUP($H$38,BAV,E52+2,FALSE)</f>
        <v>3</v>
      </c>
      <c r="H52" s="613" t="s">
        <v>1569</v>
      </c>
      <c r="I52" s="616">
        <f>I50+$I$31/12</f>
        <v>44665.701092772324</v>
      </c>
      <c r="J52" s="616">
        <f>I52+$I$31/12/8</f>
        <v>44737.991119657934</v>
      </c>
      <c r="K52" s="617">
        <f t="shared" ref="K52:Q52" si="31">J52+$I$31/12/8</f>
        <v>44810.281146543544</v>
      </c>
      <c r="L52" s="617">
        <f t="shared" si="31"/>
        <v>44882.571173429154</v>
      </c>
      <c r="M52" s="617">
        <f t="shared" si="31"/>
        <v>44954.861200314765</v>
      </c>
      <c r="N52" s="617">
        <f t="shared" si="31"/>
        <v>45027.151227200375</v>
      </c>
      <c r="O52" s="617">
        <f t="shared" si="31"/>
        <v>45099.441254085985</v>
      </c>
      <c r="P52" s="617">
        <f t="shared" si="31"/>
        <v>45171.731280971595</v>
      </c>
      <c r="Q52" s="618">
        <f t="shared" si="31"/>
        <v>45244.021307857205</v>
      </c>
      <c r="R52" s="618"/>
      <c r="S52" s="62"/>
      <c r="U52" s="131"/>
    </row>
    <row r="53" spans="1:21" x14ac:dyDescent="0.2">
      <c r="C53" s="62"/>
      <c r="D53" s="612"/>
      <c r="E53" s="138"/>
      <c r="F53" s="105"/>
      <c r="H53" s="613"/>
      <c r="I53" s="601" t="str">
        <f t="shared" ref="I53:P53" ca="1" si="32">VLOOKUP($H$38&amp;"-"&amp;I$38,AllPAV,$E54+3,FALSE)</f>
        <v>*</v>
      </c>
      <c r="J53" s="596" t="str">
        <f t="shared" ca="1" si="32"/>
        <v>*</v>
      </c>
      <c r="K53" s="596">
        <f t="shared" ca="1" si="32"/>
        <v>1</v>
      </c>
      <c r="L53" s="596" t="str">
        <f t="shared" ca="1" si="32"/>
        <v>*</v>
      </c>
      <c r="M53" s="596" t="str">
        <f t="shared" ca="1" si="32"/>
        <v>*</v>
      </c>
      <c r="N53" s="596">
        <f t="shared" ca="1" si="32"/>
        <v>1</v>
      </c>
      <c r="O53" s="596" t="str">
        <f t="shared" ca="1" si="32"/>
        <v>*</v>
      </c>
      <c r="P53" s="597" t="str">
        <f t="shared" ca="1" si="32"/>
        <v>*</v>
      </c>
      <c r="Q53" s="620"/>
      <c r="R53" s="619"/>
      <c r="S53" s="62"/>
      <c r="U53" s="131"/>
    </row>
    <row r="54" spans="1:21" ht="15.75" thickBot="1" x14ac:dyDescent="0.25">
      <c r="C54" s="62"/>
      <c r="D54" s="612"/>
      <c r="E54" s="138">
        <f>MOD(E52+12-IF($F$39,0,2),12)+1</f>
        <v>9</v>
      </c>
      <c r="F54" s="105" t="str">
        <f>INDEX(RsTbl,E54)</f>
        <v>Sg</v>
      </c>
      <c r="G54">
        <f ca="1">VLOOKUP($H$38,BAV,E54+2,FALSE)</f>
        <v>2</v>
      </c>
      <c r="H54" s="613" t="s">
        <v>1570</v>
      </c>
      <c r="I54" s="616">
        <f>I52+$I$31/12</f>
        <v>45244.021307857198</v>
      </c>
      <c r="J54" s="616">
        <f>I54+$I$31/12/8</f>
        <v>45316.311334742808</v>
      </c>
      <c r="K54" s="617">
        <f t="shared" ref="K54:Q54" si="33">J54+$I$31/12/8</f>
        <v>45388.601361628418</v>
      </c>
      <c r="L54" s="617">
        <f t="shared" si="33"/>
        <v>45460.891388514028</v>
      </c>
      <c r="M54" s="617">
        <f t="shared" si="33"/>
        <v>45533.181415399638</v>
      </c>
      <c r="N54" s="617">
        <f t="shared" si="33"/>
        <v>45605.471442285248</v>
      </c>
      <c r="O54" s="617">
        <f t="shared" si="33"/>
        <v>45677.761469170859</v>
      </c>
      <c r="P54" s="617">
        <f t="shared" si="33"/>
        <v>45750.051496056469</v>
      </c>
      <c r="Q54" s="618">
        <f t="shared" si="33"/>
        <v>45822.341522942079</v>
      </c>
      <c r="R54" s="618"/>
      <c r="S54" s="62"/>
      <c r="U54" s="131"/>
    </row>
    <row r="55" spans="1:21" x14ac:dyDescent="0.2">
      <c r="C55" s="62"/>
      <c r="D55" s="612"/>
      <c r="E55" s="138"/>
      <c r="F55" s="105"/>
      <c r="H55" s="613"/>
      <c r="I55" s="601" t="str">
        <f t="shared" ref="I55:P55" ca="1" si="34">VLOOKUP($H$38&amp;"-"&amp;I$38,AllPAV,$E56+3,FALSE)</f>
        <v>*</v>
      </c>
      <c r="J55" s="596" t="str">
        <f t="shared" ca="1" si="34"/>
        <v>*</v>
      </c>
      <c r="K55" s="596" t="str">
        <f t="shared" ca="1" si="34"/>
        <v>*</v>
      </c>
      <c r="L55" s="596">
        <f t="shared" ca="1" si="34"/>
        <v>1</v>
      </c>
      <c r="M55" s="596" t="str">
        <f t="shared" ca="1" si="34"/>
        <v>*</v>
      </c>
      <c r="N55" s="596" t="str">
        <f t="shared" ca="1" si="34"/>
        <v>*</v>
      </c>
      <c r="O55" s="596" t="str">
        <f t="shared" ca="1" si="34"/>
        <v>*</v>
      </c>
      <c r="P55" s="597">
        <f t="shared" ca="1" si="34"/>
        <v>1</v>
      </c>
      <c r="Q55" s="620"/>
      <c r="R55" s="619"/>
      <c r="S55" s="62"/>
      <c r="U55" s="131"/>
    </row>
    <row r="56" spans="1:21" ht="15.75" thickBot="1" x14ac:dyDescent="0.25">
      <c r="C56" s="62"/>
      <c r="D56" s="612"/>
      <c r="E56" s="138">
        <f>MOD(E54+12-IF($F$39,0,2),12)+1</f>
        <v>10</v>
      </c>
      <c r="F56" s="105" t="str">
        <f>INDEX(RsTbl,E56)</f>
        <v>Cp</v>
      </c>
      <c r="G56">
        <f ca="1">VLOOKUP($H$38,BAV,E56+2,FALSE)</f>
        <v>2</v>
      </c>
      <c r="H56" s="613" t="s">
        <v>1571</v>
      </c>
      <c r="I56" s="616">
        <f>I54+$I$31/12</f>
        <v>45822.341522942072</v>
      </c>
      <c r="J56" s="616">
        <f>I56+$I$31/12/8</f>
        <v>45894.631549827682</v>
      </c>
      <c r="K56" s="617">
        <f t="shared" ref="K56:Q56" si="35">J56+$I$31/12/8</f>
        <v>45966.921576713292</v>
      </c>
      <c r="L56" s="617">
        <f t="shared" si="35"/>
        <v>46039.211603598902</v>
      </c>
      <c r="M56" s="617">
        <f t="shared" si="35"/>
        <v>46111.501630484512</v>
      </c>
      <c r="N56" s="617">
        <f t="shared" si="35"/>
        <v>46183.791657370122</v>
      </c>
      <c r="O56" s="617">
        <f t="shared" si="35"/>
        <v>46256.081684255732</v>
      </c>
      <c r="P56" s="617">
        <f t="shared" si="35"/>
        <v>46328.371711141343</v>
      </c>
      <c r="Q56" s="618">
        <f t="shared" si="35"/>
        <v>46400.661738026953</v>
      </c>
      <c r="R56" s="618"/>
      <c r="S56" s="62"/>
      <c r="U56" s="131"/>
    </row>
    <row r="57" spans="1:21" x14ac:dyDescent="0.2">
      <c r="C57" s="62"/>
      <c r="D57" s="612"/>
      <c r="E57" s="138"/>
      <c r="F57" s="105"/>
      <c r="H57" s="613"/>
      <c r="I57" s="601" t="str">
        <f t="shared" ref="I57:P57" ca="1" si="36">VLOOKUP($H$38&amp;"-"&amp;I$38,AllPAV,$E58+3,FALSE)</f>
        <v>*</v>
      </c>
      <c r="J57" s="596" t="str">
        <f t="shared" ca="1" si="36"/>
        <v>*</v>
      </c>
      <c r="K57" s="596" t="str">
        <f t="shared" ca="1" si="36"/>
        <v>*</v>
      </c>
      <c r="L57" s="596">
        <f t="shared" ca="1" si="36"/>
        <v>1</v>
      </c>
      <c r="M57" s="596" t="str">
        <f t="shared" ca="1" si="36"/>
        <v>*</v>
      </c>
      <c r="N57" s="596">
        <f t="shared" ca="1" si="36"/>
        <v>1</v>
      </c>
      <c r="O57" s="596" t="str">
        <f t="shared" ca="1" si="36"/>
        <v>*</v>
      </c>
      <c r="P57" s="597" t="str">
        <f t="shared" ca="1" si="36"/>
        <v>*</v>
      </c>
      <c r="Q57" s="620"/>
      <c r="R57" s="619"/>
      <c r="S57" s="62"/>
      <c r="U57" s="131"/>
    </row>
    <row r="58" spans="1:21" ht="15.75" thickBot="1" x14ac:dyDescent="0.25">
      <c r="C58" s="62"/>
      <c r="D58" s="612"/>
      <c r="E58" s="138">
        <f>MOD(E56+12-IF($F$39,0,2),12)+1</f>
        <v>11</v>
      </c>
      <c r="F58" s="105" t="str">
        <f>INDEX(RsTbl,E58)</f>
        <v>Aq</v>
      </c>
      <c r="G58">
        <f ca="1">VLOOKUP($H$38,BAV,E58+2,FALSE)</f>
        <v>2</v>
      </c>
      <c r="H58" s="613" t="s">
        <v>1572</v>
      </c>
      <c r="I58" s="616">
        <f>I56+$I$31/12</f>
        <v>46400.661738026945</v>
      </c>
      <c r="J58" s="616">
        <f>I58+$I$31/12/8</f>
        <v>46472.951764912556</v>
      </c>
      <c r="K58" s="617">
        <f t="shared" ref="K58:Q58" si="37">J58+$I$31/12/8</f>
        <v>46545.241791798166</v>
      </c>
      <c r="L58" s="617">
        <f t="shared" si="37"/>
        <v>46617.531818683776</v>
      </c>
      <c r="M58" s="617">
        <f t="shared" si="37"/>
        <v>46689.821845569386</v>
      </c>
      <c r="N58" s="617">
        <f t="shared" si="37"/>
        <v>46762.111872454996</v>
      </c>
      <c r="O58" s="617">
        <f t="shared" si="37"/>
        <v>46834.401899340606</v>
      </c>
      <c r="P58" s="617">
        <f t="shared" si="37"/>
        <v>46906.691926226216</v>
      </c>
      <c r="Q58" s="618">
        <f t="shared" si="37"/>
        <v>46978.981953111826</v>
      </c>
      <c r="R58" s="618"/>
      <c r="S58" s="62"/>
      <c r="U58" s="131"/>
    </row>
    <row r="59" spans="1:21" x14ac:dyDescent="0.2">
      <c r="C59" s="62"/>
      <c r="D59" s="612"/>
      <c r="E59" s="138"/>
      <c r="F59" s="105"/>
      <c r="H59" s="613"/>
      <c r="I59" s="601">
        <f t="shared" ref="I59:P59" ca="1" si="38">VLOOKUP($H$38&amp;"-"&amp;I$38,AllPAV,$E60+3,FALSE)</f>
        <v>1</v>
      </c>
      <c r="J59" s="596">
        <f t="shared" ca="1" si="38"/>
        <v>1</v>
      </c>
      <c r="K59" s="596">
        <f t="shared" ca="1" si="38"/>
        <v>1</v>
      </c>
      <c r="L59" s="596" t="str">
        <f t="shared" ca="1" si="38"/>
        <v>*</v>
      </c>
      <c r="M59" s="596" t="str">
        <f t="shared" ca="1" si="38"/>
        <v>*</v>
      </c>
      <c r="N59" s="596">
        <f t="shared" ca="1" si="38"/>
        <v>1</v>
      </c>
      <c r="O59" s="596">
        <f t="shared" ca="1" si="38"/>
        <v>1</v>
      </c>
      <c r="P59" s="597" t="str">
        <f t="shared" ca="1" si="38"/>
        <v>*</v>
      </c>
      <c r="Q59" s="620"/>
      <c r="R59" s="619"/>
      <c r="S59" s="62"/>
      <c r="U59" s="131"/>
    </row>
    <row r="60" spans="1:21" ht="15.75" thickBot="1" x14ac:dyDescent="0.25">
      <c r="C60" s="62"/>
      <c r="D60" s="612"/>
      <c r="E60" s="138">
        <f>MOD(E58+12-IF($F$39,0,2),12)+1</f>
        <v>12</v>
      </c>
      <c r="F60" s="105" t="str">
        <f>INDEX(RsTbl,E60)</f>
        <v>Pi</v>
      </c>
      <c r="G60">
        <f ca="1">VLOOKUP($H$38,BAV,E60+2,FALSE)</f>
        <v>5</v>
      </c>
      <c r="H60" s="613" t="s">
        <v>1573</v>
      </c>
      <c r="I60" s="616">
        <f>I58+$I$31/12</f>
        <v>46978.981953111819</v>
      </c>
      <c r="J60" s="616">
        <f>I60+$I$31/12/8</f>
        <v>47051.271979997429</v>
      </c>
      <c r="K60" s="617">
        <f t="shared" ref="K60:Q60" si="39">J60+$I$31/12/8</f>
        <v>47123.562006883039</v>
      </c>
      <c r="L60" s="617">
        <f t="shared" si="39"/>
        <v>47195.85203376865</v>
      </c>
      <c r="M60" s="617">
        <f t="shared" si="39"/>
        <v>47268.14206065426</v>
      </c>
      <c r="N60" s="617">
        <f t="shared" si="39"/>
        <v>47340.43208753987</v>
      </c>
      <c r="O60" s="617">
        <f t="shared" si="39"/>
        <v>47412.72211442548</v>
      </c>
      <c r="P60" s="617">
        <f t="shared" si="39"/>
        <v>47485.01214131109</v>
      </c>
      <c r="Q60" s="618">
        <f t="shared" si="39"/>
        <v>47557.3021681967</v>
      </c>
      <c r="R60" s="618"/>
      <c r="S60" s="62"/>
      <c r="U60" s="131"/>
    </row>
    <row r="61" spans="1:21" x14ac:dyDescent="0.2">
      <c r="C61" s="62"/>
      <c r="D61" s="612"/>
      <c r="E61" s="138"/>
      <c r="F61" s="105"/>
      <c r="H61" s="613"/>
      <c r="I61" s="601" t="str">
        <f t="shared" ref="I61:P61" ca="1" si="40">VLOOKUP($H$38&amp;"-"&amp;I$38,AllPAV,$E62+3,FALSE)</f>
        <v>*</v>
      </c>
      <c r="J61" s="596">
        <f t="shared" ca="1" si="40"/>
        <v>1</v>
      </c>
      <c r="K61" s="596" t="str">
        <f t="shared" ca="1" si="40"/>
        <v>*</v>
      </c>
      <c r="L61" s="596">
        <f t="shared" ca="1" si="40"/>
        <v>1</v>
      </c>
      <c r="M61" s="596">
        <f t="shared" ca="1" si="40"/>
        <v>1</v>
      </c>
      <c r="N61" s="596">
        <f t="shared" ca="1" si="40"/>
        <v>1</v>
      </c>
      <c r="O61" s="596" t="str">
        <f t="shared" ca="1" si="40"/>
        <v>*</v>
      </c>
      <c r="P61" s="597" t="str">
        <f t="shared" ca="1" si="40"/>
        <v>*</v>
      </c>
      <c r="Q61" s="620"/>
      <c r="R61" s="619"/>
      <c r="S61" s="62"/>
      <c r="U61" s="131"/>
    </row>
    <row r="62" spans="1:21" ht="15.75" thickBot="1" x14ac:dyDescent="0.25">
      <c r="E62" s="138">
        <f>MOD(E60+12-IF($F$39,0,2),12)+1</f>
        <v>1</v>
      </c>
      <c r="F62" s="105" t="str">
        <f>INDEX(RsTbl,E62)</f>
        <v>Ar</v>
      </c>
      <c r="G62">
        <f ca="1">VLOOKUP($H$38,BAV,E62+2,FALSE)</f>
        <v>4</v>
      </c>
      <c r="H62" s="613" t="s">
        <v>1574</v>
      </c>
      <c r="I62" s="616">
        <f>I60+$I$31/12</f>
        <v>47557.302168196693</v>
      </c>
      <c r="J62" s="616">
        <f>I62+$I$31/12/8</f>
        <v>47629.592195082303</v>
      </c>
      <c r="K62" s="617">
        <f t="shared" ref="K62:Q62" si="41">J62+$I$31/12/8</f>
        <v>47701.882221967913</v>
      </c>
      <c r="L62" s="617">
        <f t="shared" si="41"/>
        <v>47774.172248853523</v>
      </c>
      <c r="M62" s="617">
        <f t="shared" si="41"/>
        <v>47846.462275739133</v>
      </c>
      <c r="N62" s="617">
        <f t="shared" si="41"/>
        <v>47918.752302624744</v>
      </c>
      <c r="O62" s="617">
        <f t="shared" si="41"/>
        <v>47991.042329510354</v>
      </c>
      <c r="P62" s="617">
        <f t="shared" si="41"/>
        <v>48063.332356395964</v>
      </c>
      <c r="Q62" s="618">
        <f t="shared" si="41"/>
        <v>48135.622383281574</v>
      </c>
      <c r="R62" s="618"/>
    </row>
    <row r="63" spans="1:21" x14ac:dyDescent="0.2">
      <c r="A63" s="100" t="s">
        <v>1495</v>
      </c>
      <c r="B63" s="133">
        <v>4</v>
      </c>
      <c r="C63" t="str">
        <f>VLOOKUP(B63,VimshottariDasa,2,FALSE)</f>
        <v>Kshema</v>
      </c>
      <c r="I63" s="131"/>
    </row>
    <row r="64" spans="1:21" x14ac:dyDescent="0.2">
      <c r="B64" s="104" t="s">
        <v>1496</v>
      </c>
      <c r="C64" s="104"/>
      <c r="D64" s="104" t="s">
        <v>1497</v>
      </c>
      <c r="E64" s="134"/>
      <c r="F64" s="100" t="s">
        <v>1498</v>
      </c>
      <c r="G64" s="100"/>
      <c r="H64" s="100"/>
    </row>
    <row r="65" spans="2:11" x14ac:dyDescent="0.2">
      <c r="B65" s="53" t="str">
        <f t="shared" ref="B65:B96" si="42">INDEX(DasaYears,MOD($D$15+$B$63-1,9)+1,1)</f>
        <v>Jupiter</v>
      </c>
      <c r="C65" s="56">
        <f>VLOOKUP($B$63,VimshottariDasa,5,FALSE)</f>
        <v>35351.701839300171</v>
      </c>
      <c r="D65" s="54" t="str">
        <f>INDEX(DasaYears,MOD(VLOOKUP(B65,DasaYears,3,FALSE)+IF(VLOOKUP(B65,ChartInfo,11),-1,0),9)+1,1)</f>
        <v>Jupiter</v>
      </c>
      <c r="E65" s="135">
        <f>C65</f>
        <v>35351.701839300171</v>
      </c>
      <c r="F65" s="54" t="str">
        <f>INDEX(DasaYears,MOD(VLOOKUP(D65,DasaYears,3,FALSE)+IF(VLOOKUP(D65,ChartInfo,11),-1,0),9)+1,1)</f>
        <v>Jupiter</v>
      </c>
      <c r="G65" s="136">
        <f>E65</f>
        <v>35351.701839300171</v>
      </c>
      <c r="H65" s="137"/>
      <c r="I65" s="138"/>
    </row>
    <row r="66" spans="2:11" x14ac:dyDescent="0.2">
      <c r="B66" s="53" t="str">
        <f t="shared" si="42"/>
        <v>Jupiter</v>
      </c>
      <c r="C66" s="139"/>
      <c r="D66" s="140" t="str">
        <f t="shared" ref="D66:D97" si="43">INDEX(DasaYears,(MOD(VLOOKUP(D65,DasaYears,3,FALSE)+IF(VLOOKUP(B66,ChartInfo,11),-1,1)*NOT(ISBLANK(E66)),9)+1),1)</f>
        <v>Jupiter</v>
      </c>
      <c r="E66" s="135"/>
      <c r="F66" s="140" t="str">
        <f t="shared" ref="F66:F97" si="44">INDEX(DasaYears,(MOD(VLOOKUP(F65,DasaYears,3,FALSE)+IF(VLOOKUP(D66,ChartInfo,11),-1,1)*ISBLANK(H66),9)+1),1)</f>
        <v>Saturn</v>
      </c>
      <c r="G66" s="141">
        <f t="shared" ref="G66:G97" si="45">G65+DaysInYear*VLOOKUP(B65,DasaYears,2,FALSE)*VLOOKUP(D65,DasaYears,2,FALSE)/120*VLOOKUP(F65,DasaYears,2,FALSE)/120</f>
        <v>35455.596558641737</v>
      </c>
      <c r="H66" s="138"/>
      <c r="I66" s="138"/>
    </row>
    <row r="67" spans="2:11" x14ac:dyDescent="0.2">
      <c r="B67" s="53" t="str">
        <f t="shared" si="42"/>
        <v>Jupiter</v>
      </c>
      <c r="C67" s="139"/>
      <c r="D67" s="140" t="str">
        <f t="shared" si="43"/>
        <v>Jupiter</v>
      </c>
      <c r="E67" s="135"/>
      <c r="F67" s="140" t="str">
        <f t="shared" si="44"/>
        <v>Mercury</v>
      </c>
      <c r="G67" s="141">
        <f t="shared" si="45"/>
        <v>35578.971537859841</v>
      </c>
      <c r="H67" s="138"/>
      <c r="I67" s="138"/>
      <c r="J67" s="55"/>
      <c r="K67" s="131"/>
    </row>
    <row r="68" spans="2:11" x14ac:dyDescent="0.2">
      <c r="B68" s="53" t="str">
        <f t="shared" si="42"/>
        <v>Jupiter</v>
      </c>
      <c r="C68" s="139"/>
      <c r="D68" s="140" t="str">
        <f t="shared" si="43"/>
        <v>Jupiter</v>
      </c>
      <c r="E68" s="135"/>
      <c r="F68" s="140" t="str">
        <f t="shared" si="44"/>
        <v>Ketu</v>
      </c>
      <c r="G68" s="141">
        <f t="shared" si="45"/>
        <v>35689.359677160253</v>
      </c>
      <c r="H68" s="138"/>
      <c r="I68" s="138"/>
      <c r="J68" s="55"/>
      <c r="K68" s="56"/>
    </row>
    <row r="69" spans="2:11" x14ac:dyDescent="0.2">
      <c r="B69" s="53" t="str">
        <f t="shared" si="42"/>
        <v>Jupiter</v>
      </c>
      <c r="C69" s="139"/>
      <c r="D69" s="140" t="str">
        <f t="shared" si="43"/>
        <v>Jupiter</v>
      </c>
      <c r="E69" s="135"/>
      <c r="F69" s="140" t="str">
        <f t="shared" si="44"/>
        <v>Venus</v>
      </c>
      <c r="G69" s="141">
        <f t="shared" si="45"/>
        <v>35734.81361687219</v>
      </c>
      <c r="H69" s="138"/>
      <c r="I69" s="138"/>
      <c r="J69" s="55"/>
      <c r="K69" s="56"/>
    </row>
    <row r="70" spans="2:11" x14ac:dyDescent="0.2">
      <c r="B70" s="53" t="str">
        <f t="shared" si="42"/>
        <v>Jupiter</v>
      </c>
      <c r="C70" s="139"/>
      <c r="D70" s="140" t="str">
        <f t="shared" si="43"/>
        <v>Jupiter</v>
      </c>
      <c r="E70" s="135"/>
      <c r="F70" s="140" t="str">
        <f t="shared" si="44"/>
        <v>Sun</v>
      </c>
      <c r="G70" s="141">
        <f t="shared" si="45"/>
        <v>35864.682016049141</v>
      </c>
      <c r="H70" s="138"/>
      <c r="I70" s="138"/>
      <c r="J70" s="55"/>
      <c r="K70" s="56"/>
    </row>
    <row r="71" spans="2:11" x14ac:dyDescent="0.2">
      <c r="B71" s="53" t="str">
        <f t="shared" si="42"/>
        <v>Jupiter</v>
      </c>
      <c r="C71" s="139"/>
      <c r="D71" s="140" t="str">
        <f t="shared" si="43"/>
        <v>Jupiter</v>
      </c>
      <c r="E71" s="135"/>
      <c r="F71" s="140" t="str">
        <f t="shared" si="44"/>
        <v>Moon</v>
      </c>
      <c r="G71" s="141">
        <f t="shared" si="45"/>
        <v>35903.642535802224</v>
      </c>
      <c r="H71" s="138"/>
      <c r="I71" s="138"/>
      <c r="J71" s="55"/>
      <c r="K71" s="56"/>
    </row>
    <row r="72" spans="2:11" x14ac:dyDescent="0.2">
      <c r="B72" s="53" t="str">
        <f t="shared" si="42"/>
        <v>Jupiter</v>
      </c>
      <c r="C72" s="139"/>
      <c r="D72" s="140" t="str">
        <f t="shared" si="43"/>
        <v>Jupiter</v>
      </c>
      <c r="E72" s="135"/>
      <c r="F72" s="140" t="str">
        <f t="shared" si="44"/>
        <v>Mars</v>
      </c>
      <c r="G72" s="141">
        <f t="shared" si="45"/>
        <v>35968.576735390699</v>
      </c>
      <c r="H72" s="138"/>
      <c r="I72" s="138"/>
      <c r="J72" s="55"/>
      <c r="K72" s="56"/>
    </row>
    <row r="73" spans="2:11" x14ac:dyDescent="0.2">
      <c r="B73" s="53" t="str">
        <f t="shared" si="42"/>
        <v>Jupiter</v>
      </c>
      <c r="C73" s="139"/>
      <c r="D73" s="140" t="str">
        <f t="shared" si="43"/>
        <v>Jupiter</v>
      </c>
      <c r="E73" s="135"/>
      <c r="F73" s="140" t="str">
        <f t="shared" si="44"/>
        <v>Rahu</v>
      </c>
      <c r="G73" s="141">
        <f t="shared" si="45"/>
        <v>36014.030675102636</v>
      </c>
      <c r="H73" s="138"/>
      <c r="I73" s="138"/>
      <c r="J73" s="55"/>
      <c r="K73" s="56"/>
    </row>
    <row r="74" spans="2:11" x14ac:dyDescent="0.2">
      <c r="B74" s="53" t="str">
        <f t="shared" si="42"/>
        <v>Jupiter</v>
      </c>
      <c r="C74" s="139"/>
      <c r="D74" s="140" t="str">
        <f t="shared" si="43"/>
        <v>Saturn</v>
      </c>
      <c r="E74" s="135">
        <f>E65+(VLOOKUP(B65,DasaYears,2,FALSE)*VLOOKUP(D65,DasaYears,2,FALSE)/VimTotal)*DaysInYear</f>
        <v>36130.912234361895</v>
      </c>
      <c r="F74" s="140" t="str">
        <f t="shared" si="44"/>
        <v>Jupiter</v>
      </c>
      <c r="G74" s="141">
        <f t="shared" si="45"/>
        <v>36130.912234361895</v>
      </c>
      <c r="H74" s="138"/>
      <c r="I74" s="138"/>
      <c r="J74" s="55"/>
      <c r="K74" s="56"/>
    </row>
    <row r="75" spans="2:11" x14ac:dyDescent="0.2">
      <c r="B75" s="53" t="str">
        <f t="shared" si="42"/>
        <v>Jupiter</v>
      </c>
      <c r="C75" s="139"/>
      <c r="D75" s="140" t="str">
        <f t="shared" si="43"/>
        <v>Saturn</v>
      </c>
      <c r="E75" s="135"/>
      <c r="F75" s="140" t="str">
        <f t="shared" si="44"/>
        <v>Saturn</v>
      </c>
      <c r="G75" s="141">
        <f t="shared" si="45"/>
        <v>36254.287213579999</v>
      </c>
      <c r="H75" s="138"/>
      <c r="I75" s="138"/>
      <c r="J75" s="55"/>
      <c r="K75" s="56"/>
    </row>
    <row r="76" spans="2:11" x14ac:dyDescent="0.2">
      <c r="B76" s="53" t="str">
        <f t="shared" si="42"/>
        <v>Jupiter</v>
      </c>
      <c r="C76" s="139"/>
      <c r="D76" s="140" t="str">
        <f t="shared" si="43"/>
        <v>Saturn</v>
      </c>
      <c r="E76" s="135"/>
      <c r="F76" s="140" t="str">
        <f t="shared" si="44"/>
        <v>Mercury</v>
      </c>
      <c r="G76" s="141">
        <f t="shared" si="45"/>
        <v>36400.7950014015</v>
      </c>
      <c r="H76" s="138"/>
      <c r="I76" s="138"/>
      <c r="J76" s="55"/>
      <c r="K76" s="56"/>
    </row>
    <row r="77" spans="2:11" x14ac:dyDescent="0.2">
      <c r="B77" s="53" t="str">
        <f t="shared" si="42"/>
        <v>Jupiter</v>
      </c>
      <c r="C77" s="139"/>
      <c r="D77" s="140" t="str">
        <f t="shared" si="43"/>
        <v>Saturn</v>
      </c>
      <c r="E77" s="135"/>
      <c r="F77" s="140" t="str">
        <f t="shared" si="44"/>
        <v>Ketu</v>
      </c>
      <c r="G77" s="141">
        <f t="shared" si="45"/>
        <v>36531.880916820737</v>
      </c>
      <c r="H77" s="138"/>
      <c r="I77" s="138"/>
      <c r="J77" s="55"/>
      <c r="K77" s="56"/>
    </row>
    <row r="78" spans="2:11" x14ac:dyDescent="0.2">
      <c r="B78" s="53" t="str">
        <f t="shared" si="42"/>
        <v>Jupiter</v>
      </c>
      <c r="C78" s="139"/>
      <c r="D78" s="140" t="str">
        <f t="shared" si="43"/>
        <v>Saturn</v>
      </c>
      <c r="E78" s="135"/>
      <c r="F78" s="140" t="str">
        <f t="shared" si="44"/>
        <v>Venus</v>
      </c>
      <c r="G78" s="141">
        <f t="shared" si="45"/>
        <v>36585.857470228657</v>
      </c>
      <c r="H78" s="138"/>
      <c r="I78" s="138"/>
      <c r="J78" s="55"/>
      <c r="K78" s="56"/>
    </row>
    <row r="79" spans="2:11" x14ac:dyDescent="0.2">
      <c r="B79" s="53" t="str">
        <f t="shared" si="42"/>
        <v>Jupiter</v>
      </c>
      <c r="C79" s="139"/>
      <c r="D79" s="140" t="str">
        <f t="shared" si="43"/>
        <v>Saturn</v>
      </c>
      <c r="E79" s="135"/>
      <c r="F79" s="140" t="str">
        <f t="shared" si="44"/>
        <v>Sun</v>
      </c>
      <c r="G79" s="141">
        <f t="shared" si="45"/>
        <v>36740.076194251291</v>
      </c>
      <c r="H79" s="138"/>
      <c r="I79" s="138"/>
      <c r="J79" s="55"/>
      <c r="K79" s="56"/>
    </row>
    <row r="80" spans="2:11" x14ac:dyDescent="0.2">
      <c r="B80" s="53" t="str">
        <f t="shared" si="42"/>
        <v>Jupiter</v>
      </c>
      <c r="C80" s="139"/>
      <c r="D80" s="140" t="str">
        <f t="shared" si="43"/>
        <v>Saturn</v>
      </c>
      <c r="E80" s="135"/>
      <c r="F80" s="140" t="str">
        <f t="shared" si="44"/>
        <v>Moon</v>
      </c>
      <c r="G80" s="141">
        <f t="shared" si="45"/>
        <v>36786.341811458078</v>
      </c>
      <c r="H80" s="138"/>
      <c r="I80" s="138"/>
      <c r="J80" s="55"/>
      <c r="K80" s="56"/>
    </row>
    <row r="81" spans="2:11" x14ac:dyDescent="0.2">
      <c r="B81" s="53" t="str">
        <f t="shared" si="42"/>
        <v>Jupiter</v>
      </c>
      <c r="C81" s="139"/>
      <c r="D81" s="140" t="str">
        <f t="shared" si="43"/>
        <v>Saturn</v>
      </c>
      <c r="E81" s="135"/>
      <c r="F81" s="140" t="str">
        <f t="shared" si="44"/>
        <v>Mars</v>
      </c>
      <c r="G81" s="141">
        <f t="shared" si="45"/>
        <v>36863.451173469395</v>
      </c>
      <c r="H81" s="138"/>
      <c r="I81" s="138"/>
      <c r="J81" s="55"/>
      <c r="K81" s="56"/>
    </row>
    <row r="82" spans="2:11" x14ac:dyDescent="0.2">
      <c r="B82" s="53" t="str">
        <f t="shared" si="42"/>
        <v>Jupiter</v>
      </c>
      <c r="C82" s="139"/>
      <c r="D82" s="140" t="str">
        <f t="shared" si="43"/>
        <v>Saturn</v>
      </c>
      <c r="E82" s="135"/>
      <c r="F82" s="140" t="str">
        <f t="shared" si="44"/>
        <v>Rahu</v>
      </c>
      <c r="G82" s="141">
        <f t="shared" si="45"/>
        <v>36917.427726877315</v>
      </c>
      <c r="H82" s="138"/>
      <c r="I82" s="138"/>
      <c r="J82" s="55"/>
      <c r="K82" s="56"/>
    </row>
    <row r="83" spans="2:11" x14ac:dyDescent="0.2">
      <c r="B83" s="53" t="str">
        <f t="shared" si="42"/>
        <v>Jupiter</v>
      </c>
      <c r="C83" s="139"/>
      <c r="D83" s="140" t="str">
        <f t="shared" si="43"/>
        <v>Mercury</v>
      </c>
      <c r="E83" s="135">
        <f>E74+(VLOOKUP(B74,DasaYears,2,FALSE)*VLOOKUP(D74,DasaYears,2,FALSE)/VimTotal)*DaysInYear</f>
        <v>37056.224578497691</v>
      </c>
      <c r="F83" s="140" t="str">
        <f t="shared" si="44"/>
        <v>Jupiter</v>
      </c>
      <c r="G83" s="141">
        <f t="shared" si="45"/>
        <v>37056.224578497684</v>
      </c>
      <c r="H83" s="142"/>
      <c r="I83" s="138"/>
      <c r="J83" s="55"/>
      <c r="K83" s="56"/>
    </row>
    <row r="84" spans="2:11" x14ac:dyDescent="0.2">
      <c r="B84" s="53" t="str">
        <f t="shared" si="42"/>
        <v>Jupiter</v>
      </c>
      <c r="C84" s="139"/>
      <c r="D84" s="140" t="str">
        <f t="shared" si="43"/>
        <v>Mercury</v>
      </c>
      <c r="E84" s="135"/>
      <c r="F84" s="140" t="str">
        <f t="shared" si="44"/>
        <v>Saturn</v>
      </c>
      <c r="G84" s="141">
        <f t="shared" si="45"/>
        <v>37166.612717798096</v>
      </c>
      <c r="H84" s="138"/>
      <c r="I84" s="138"/>
      <c r="J84" s="55"/>
      <c r="K84" s="56"/>
    </row>
    <row r="85" spans="2:11" x14ac:dyDescent="0.2">
      <c r="B85" s="53" t="str">
        <f t="shared" si="42"/>
        <v>Jupiter</v>
      </c>
      <c r="C85" s="139"/>
      <c r="D85" s="140" t="str">
        <f t="shared" si="43"/>
        <v>Mercury</v>
      </c>
      <c r="E85" s="135"/>
      <c r="F85" s="140" t="str">
        <f t="shared" si="44"/>
        <v>Mercury</v>
      </c>
      <c r="G85" s="141">
        <f t="shared" si="45"/>
        <v>37297.698633217333</v>
      </c>
      <c r="H85" s="138"/>
      <c r="I85" s="138"/>
      <c r="J85" s="55"/>
      <c r="K85" s="56"/>
    </row>
    <row r="86" spans="2:11" x14ac:dyDescent="0.2">
      <c r="B86" s="53" t="str">
        <f t="shared" si="42"/>
        <v>Jupiter</v>
      </c>
      <c r="C86" s="139"/>
      <c r="D86" s="140" t="str">
        <f t="shared" si="43"/>
        <v>Mercury</v>
      </c>
      <c r="E86" s="135"/>
      <c r="F86" s="140" t="str">
        <f t="shared" si="44"/>
        <v>Ketu</v>
      </c>
      <c r="G86" s="141">
        <f t="shared" si="45"/>
        <v>37414.98603122402</v>
      </c>
      <c r="H86" s="138"/>
      <c r="I86" s="138"/>
      <c r="J86" s="55"/>
      <c r="K86" s="56"/>
    </row>
    <row r="87" spans="2:11" x14ac:dyDescent="0.2">
      <c r="B87" s="53" t="str">
        <f t="shared" si="42"/>
        <v>Jupiter</v>
      </c>
      <c r="C87" s="139"/>
      <c r="D87" s="140" t="str">
        <f t="shared" si="43"/>
        <v>Mercury</v>
      </c>
      <c r="E87" s="135"/>
      <c r="F87" s="140" t="str">
        <f t="shared" si="44"/>
        <v>Venus</v>
      </c>
      <c r="G87" s="141">
        <f t="shared" si="45"/>
        <v>37463.280842167951</v>
      </c>
      <c r="H87" s="138"/>
      <c r="I87" s="138"/>
      <c r="J87" s="55"/>
      <c r="K87" s="56"/>
    </row>
    <row r="88" spans="2:11" x14ac:dyDescent="0.2">
      <c r="B88" s="53" t="str">
        <f t="shared" si="42"/>
        <v>Jupiter</v>
      </c>
      <c r="C88" s="139"/>
      <c r="D88" s="140" t="str">
        <f t="shared" si="43"/>
        <v>Mercury</v>
      </c>
      <c r="E88" s="135"/>
      <c r="F88" s="140" t="str">
        <f t="shared" si="44"/>
        <v>Sun</v>
      </c>
      <c r="G88" s="141">
        <f t="shared" si="45"/>
        <v>37601.266016293463</v>
      </c>
      <c r="H88" s="138"/>
      <c r="I88" s="138"/>
      <c r="J88" s="55"/>
      <c r="K88" s="56"/>
    </row>
    <row r="89" spans="2:11" x14ac:dyDescent="0.2">
      <c r="B89" s="53" t="str">
        <f t="shared" si="42"/>
        <v>Jupiter</v>
      </c>
      <c r="C89" s="139"/>
      <c r="D89" s="140" t="str">
        <f t="shared" si="43"/>
        <v>Mercury</v>
      </c>
      <c r="E89" s="135"/>
      <c r="F89" s="140" t="str">
        <f t="shared" si="44"/>
        <v>Moon</v>
      </c>
      <c r="G89" s="141">
        <f t="shared" si="45"/>
        <v>37642.661568531119</v>
      </c>
      <c r="H89" s="138"/>
      <c r="I89" s="138"/>
      <c r="J89" s="55"/>
      <c r="K89" s="56"/>
    </row>
    <row r="90" spans="2:11" x14ac:dyDescent="0.2">
      <c r="B90" s="53" t="str">
        <f t="shared" si="42"/>
        <v>Jupiter</v>
      </c>
      <c r="C90" s="139"/>
      <c r="D90" s="140" t="str">
        <f t="shared" si="43"/>
        <v>Mercury</v>
      </c>
      <c r="E90" s="135"/>
      <c r="F90" s="140" t="str">
        <f t="shared" si="44"/>
        <v>Mars</v>
      </c>
      <c r="G90" s="141">
        <f t="shared" si="45"/>
        <v>37711.654155593875</v>
      </c>
      <c r="H90" s="138"/>
      <c r="I90" s="138"/>
      <c r="J90" s="55"/>
      <c r="K90" s="56"/>
    </row>
    <row r="91" spans="2:11" x14ac:dyDescent="0.2">
      <c r="B91" s="53" t="str">
        <f t="shared" si="42"/>
        <v>Jupiter</v>
      </c>
      <c r="C91" s="139"/>
      <c r="D91" s="140" t="str">
        <f t="shared" si="43"/>
        <v>Mercury</v>
      </c>
      <c r="E91" s="135"/>
      <c r="F91" s="140" t="str">
        <f t="shared" si="44"/>
        <v>Rahu</v>
      </c>
      <c r="G91" s="141">
        <f t="shared" si="45"/>
        <v>37759.948966537806</v>
      </c>
      <c r="H91" s="138"/>
      <c r="I91" s="138"/>
      <c r="J91" s="55"/>
      <c r="K91" s="56"/>
    </row>
    <row r="92" spans="2:11" x14ac:dyDescent="0.2">
      <c r="B92" s="53" t="str">
        <f t="shared" si="42"/>
        <v>Jupiter</v>
      </c>
      <c r="C92" s="139"/>
      <c r="D92" s="140" t="str">
        <f t="shared" si="43"/>
        <v>Ketu</v>
      </c>
      <c r="E92" s="135">
        <f>E83+(VLOOKUP(B83,DasaYears,2,FALSE)*VLOOKUP(D83,DasaYears,2,FALSE)/VimTotal)*DaysInYear</f>
        <v>37884.135623250768</v>
      </c>
      <c r="F92" s="140" t="str">
        <f t="shared" si="44"/>
        <v>Jupiter</v>
      </c>
      <c r="G92" s="141">
        <f t="shared" si="45"/>
        <v>37884.135623250768</v>
      </c>
      <c r="H92" s="138"/>
      <c r="I92" s="138"/>
      <c r="J92" s="55"/>
      <c r="K92" s="56"/>
    </row>
    <row r="93" spans="2:11" x14ac:dyDescent="0.2">
      <c r="B93" s="53" t="str">
        <f t="shared" si="42"/>
        <v>Jupiter</v>
      </c>
      <c r="C93" s="139"/>
      <c r="D93" s="140" t="str">
        <f t="shared" si="43"/>
        <v>Ketu</v>
      </c>
      <c r="E93" s="135"/>
      <c r="F93" s="140" t="str">
        <f t="shared" si="44"/>
        <v>Saturn</v>
      </c>
      <c r="G93" s="141">
        <f t="shared" si="45"/>
        <v>37929.589562962705</v>
      </c>
      <c r="H93" s="138"/>
      <c r="I93" s="138"/>
      <c r="J93" s="55"/>
      <c r="K93" s="56"/>
    </row>
    <row r="94" spans="2:11" x14ac:dyDescent="0.2">
      <c r="B94" s="53" t="str">
        <f t="shared" si="42"/>
        <v>Jupiter</v>
      </c>
      <c r="C94" s="139"/>
      <c r="D94" s="140" t="str">
        <f t="shared" si="43"/>
        <v>Ketu</v>
      </c>
      <c r="E94" s="135"/>
      <c r="F94" s="140" t="str">
        <f t="shared" si="44"/>
        <v>Mercury</v>
      </c>
      <c r="G94" s="141">
        <f t="shared" si="45"/>
        <v>37983.566116370625</v>
      </c>
      <c r="H94" s="138"/>
      <c r="I94" s="138"/>
      <c r="J94" s="55"/>
      <c r="K94" s="56"/>
    </row>
    <row r="95" spans="2:11" x14ac:dyDescent="0.2">
      <c r="B95" s="53" t="str">
        <f t="shared" si="42"/>
        <v>Jupiter</v>
      </c>
      <c r="C95" s="139"/>
      <c r="D95" s="140" t="str">
        <f t="shared" si="43"/>
        <v>Ketu</v>
      </c>
      <c r="E95" s="135"/>
      <c r="F95" s="140" t="str">
        <f t="shared" si="44"/>
        <v>Ketu</v>
      </c>
      <c r="G95" s="141">
        <f t="shared" si="45"/>
        <v>38031.860927314556</v>
      </c>
      <c r="H95" s="138"/>
      <c r="I95" s="138"/>
      <c r="J95" s="55"/>
      <c r="K95" s="56"/>
    </row>
    <row r="96" spans="2:11" x14ac:dyDescent="0.2">
      <c r="B96" s="53" t="str">
        <f t="shared" si="42"/>
        <v>Jupiter</v>
      </c>
      <c r="C96" s="139"/>
      <c r="D96" s="140" t="str">
        <f t="shared" si="43"/>
        <v>Ketu</v>
      </c>
      <c r="E96" s="135"/>
      <c r="F96" s="140" t="str">
        <f t="shared" si="44"/>
        <v>Venus</v>
      </c>
      <c r="G96" s="141">
        <f t="shared" si="45"/>
        <v>38051.74702593853</v>
      </c>
      <c r="H96" s="138"/>
      <c r="I96" s="138"/>
      <c r="J96" s="55"/>
      <c r="K96" s="56"/>
    </row>
    <row r="97" spans="1:11" x14ac:dyDescent="0.2">
      <c r="B97" s="53" t="str">
        <f t="shared" ref="B97:B128" si="46">INDEX(DasaYears,MOD($D$15+$B$63-1,9)+1,1)</f>
        <v>Jupiter</v>
      </c>
      <c r="C97" s="139"/>
      <c r="D97" s="140" t="str">
        <f t="shared" si="43"/>
        <v>Ketu</v>
      </c>
      <c r="E97" s="135"/>
      <c r="F97" s="140" t="str">
        <f t="shared" si="44"/>
        <v>Sun</v>
      </c>
      <c r="G97" s="141">
        <f t="shared" si="45"/>
        <v>38108.564450578444</v>
      </c>
      <c r="H97" s="138"/>
      <c r="I97" s="138"/>
      <c r="J97" s="55"/>
      <c r="K97" s="56"/>
    </row>
    <row r="98" spans="1:11" x14ac:dyDescent="0.2">
      <c r="B98" s="53" t="str">
        <f t="shared" si="46"/>
        <v>Jupiter</v>
      </c>
      <c r="C98" s="139"/>
      <c r="D98" s="140" t="str">
        <f t="shared" ref="D98:D129" si="47">INDEX(DasaYears,(MOD(VLOOKUP(D97,DasaYears,3,FALSE)+IF(VLOOKUP(B98,ChartInfo,11),-1,1)*NOT(ISBLANK(E98)),9)+1),1)</f>
        <v>Ketu</v>
      </c>
      <c r="E98" s="135"/>
      <c r="F98" s="140" t="str">
        <f t="shared" ref="F98:F129" si="48">INDEX(DasaYears,(MOD(VLOOKUP(F97,DasaYears,3,FALSE)+IF(VLOOKUP(D98,ChartInfo,11),-1,1)*ISBLANK(H98),9)+1),1)</f>
        <v>Moon</v>
      </c>
      <c r="G98" s="141">
        <f t="shared" ref="G98:G129" si="49">G97+DaysInYear*VLOOKUP(B97,DasaYears,2,FALSE)*VLOOKUP(D97,DasaYears,2,FALSE)/120*VLOOKUP(F97,DasaYears,2,FALSE)/120</f>
        <v>38125.609677970417</v>
      </c>
      <c r="H98" s="138"/>
      <c r="I98" s="138"/>
      <c r="J98" s="55"/>
      <c r="K98" s="56"/>
    </row>
    <row r="99" spans="1:11" x14ac:dyDescent="0.2">
      <c r="A99" t="s">
        <v>1169</v>
      </c>
      <c r="B99" s="53" t="str">
        <f t="shared" si="46"/>
        <v>Jupiter</v>
      </c>
      <c r="C99" s="139"/>
      <c r="D99" s="140" t="str">
        <f t="shared" si="47"/>
        <v>Ketu</v>
      </c>
      <c r="E99" s="135"/>
      <c r="F99" s="140" t="str">
        <f t="shared" si="48"/>
        <v>Mars</v>
      </c>
      <c r="G99" s="141">
        <f t="shared" si="49"/>
        <v>38154.018390290374</v>
      </c>
      <c r="H99" s="138"/>
      <c r="I99" s="138"/>
      <c r="J99" s="55"/>
      <c r="K99" s="56"/>
    </row>
    <row r="100" spans="1:11" x14ac:dyDescent="0.2">
      <c r="B100" s="53" t="str">
        <f t="shared" si="46"/>
        <v>Jupiter</v>
      </c>
      <c r="C100" s="139"/>
      <c r="D100" s="140" t="str">
        <f t="shared" si="47"/>
        <v>Ketu</v>
      </c>
      <c r="E100" s="135"/>
      <c r="F100" s="140" t="str">
        <f t="shared" si="48"/>
        <v>Rahu</v>
      </c>
      <c r="G100" s="141">
        <f t="shared" si="49"/>
        <v>38173.904488914348</v>
      </c>
      <c r="H100" s="138"/>
      <c r="I100" s="138"/>
      <c r="J100" s="55"/>
      <c r="K100" s="56"/>
    </row>
    <row r="101" spans="1:11" x14ac:dyDescent="0.2">
      <c r="B101" s="53" t="str">
        <f t="shared" si="46"/>
        <v>Jupiter</v>
      </c>
      <c r="C101" s="139"/>
      <c r="D101" s="140" t="str">
        <f t="shared" si="47"/>
        <v>Venus</v>
      </c>
      <c r="E101" s="135">
        <f>E92+(VLOOKUP(B92,DasaYears,2,FALSE)*VLOOKUP(D92,DasaYears,2,FALSE)/VimTotal)*DaysInYear</f>
        <v>38225.040171090273</v>
      </c>
      <c r="F101" s="140" t="str">
        <f t="shared" si="48"/>
        <v>Jupiter</v>
      </c>
      <c r="G101" s="141">
        <f t="shared" si="49"/>
        <v>38225.040171090273</v>
      </c>
      <c r="H101" s="138"/>
      <c r="I101" s="138"/>
      <c r="J101" s="55"/>
      <c r="K101" s="56"/>
    </row>
    <row r="102" spans="1:11" x14ac:dyDescent="0.2">
      <c r="B102" s="53" t="str">
        <f t="shared" si="46"/>
        <v>Jupiter</v>
      </c>
      <c r="C102" s="139"/>
      <c r="D102" s="140" t="str">
        <f t="shared" si="47"/>
        <v>Venus</v>
      </c>
      <c r="E102" s="135"/>
      <c r="F102" s="140" t="str">
        <f t="shared" si="48"/>
        <v>Saturn</v>
      </c>
      <c r="G102" s="141">
        <f t="shared" si="49"/>
        <v>38354.908570267224</v>
      </c>
      <c r="H102" s="138"/>
      <c r="I102" s="138"/>
      <c r="J102" s="55"/>
      <c r="K102" s="56"/>
    </row>
    <row r="103" spans="1:11" x14ac:dyDescent="0.2">
      <c r="B103" s="53" t="str">
        <f t="shared" si="46"/>
        <v>Jupiter</v>
      </c>
      <c r="C103" s="139"/>
      <c r="D103" s="140" t="str">
        <f t="shared" si="47"/>
        <v>Venus</v>
      </c>
      <c r="E103" s="135"/>
      <c r="F103" s="140" t="str">
        <f t="shared" si="48"/>
        <v>Mercury</v>
      </c>
      <c r="G103" s="141">
        <f t="shared" si="49"/>
        <v>38509.127294289858</v>
      </c>
      <c r="H103" s="138"/>
      <c r="I103" s="138"/>
      <c r="J103" s="55"/>
      <c r="K103" s="56"/>
    </row>
    <row r="104" spans="1:11" x14ac:dyDescent="0.2">
      <c r="B104" s="53" t="str">
        <f t="shared" si="46"/>
        <v>Jupiter</v>
      </c>
      <c r="C104" s="139"/>
      <c r="D104" s="140" t="str">
        <f t="shared" si="47"/>
        <v>Venus</v>
      </c>
      <c r="E104" s="135"/>
      <c r="F104" s="140" t="str">
        <f t="shared" si="48"/>
        <v>Ketu</v>
      </c>
      <c r="G104" s="141">
        <f t="shared" si="49"/>
        <v>38647.112468415369</v>
      </c>
      <c r="H104" s="138"/>
      <c r="I104" s="138"/>
      <c r="J104" s="55"/>
      <c r="K104" s="56"/>
    </row>
    <row r="105" spans="1:11" x14ac:dyDescent="0.2">
      <c r="B105" s="53" t="str">
        <f t="shared" si="46"/>
        <v>Jupiter</v>
      </c>
      <c r="C105" s="139"/>
      <c r="D105" s="140" t="str">
        <f t="shared" si="47"/>
        <v>Venus</v>
      </c>
      <c r="E105" s="135"/>
      <c r="F105" s="140" t="str">
        <f t="shared" si="48"/>
        <v>Venus</v>
      </c>
      <c r="G105" s="141">
        <f t="shared" si="49"/>
        <v>38703.929893055283</v>
      </c>
      <c r="H105" s="138"/>
      <c r="I105" s="138"/>
      <c r="J105" s="55"/>
      <c r="K105" s="56"/>
    </row>
    <row r="106" spans="1:11" x14ac:dyDescent="0.2">
      <c r="B106" s="53" t="str">
        <f t="shared" si="46"/>
        <v>Jupiter</v>
      </c>
      <c r="C106" s="139"/>
      <c r="D106" s="140" t="str">
        <f t="shared" si="47"/>
        <v>Venus</v>
      </c>
      <c r="E106" s="135"/>
      <c r="F106" s="140" t="str">
        <f t="shared" si="48"/>
        <v>Sun</v>
      </c>
      <c r="G106" s="141">
        <f t="shared" si="49"/>
        <v>38866.265392026478</v>
      </c>
      <c r="H106" s="138"/>
      <c r="I106" s="138"/>
      <c r="J106" s="55"/>
      <c r="K106" s="56"/>
    </row>
    <row r="107" spans="1:11" x14ac:dyDescent="0.2">
      <c r="B107" s="53" t="str">
        <f t="shared" si="46"/>
        <v>Jupiter</v>
      </c>
      <c r="C107" s="139"/>
      <c r="D107" s="140" t="str">
        <f t="shared" si="47"/>
        <v>Venus</v>
      </c>
      <c r="E107" s="135"/>
      <c r="F107" s="140" t="str">
        <f t="shared" si="48"/>
        <v>Moon</v>
      </c>
      <c r="G107" s="141">
        <f t="shared" si="49"/>
        <v>38914.966041717838</v>
      </c>
      <c r="H107" s="138"/>
      <c r="I107" s="138"/>
      <c r="J107" s="55"/>
      <c r="K107" s="56"/>
    </row>
    <row r="108" spans="1:11" x14ac:dyDescent="0.2">
      <c r="B108" s="53" t="str">
        <f t="shared" si="46"/>
        <v>Jupiter</v>
      </c>
      <c r="C108" s="139"/>
      <c r="D108" s="140" t="str">
        <f t="shared" si="47"/>
        <v>Venus</v>
      </c>
      <c r="E108" s="135"/>
      <c r="F108" s="140" t="str">
        <f t="shared" si="48"/>
        <v>Mars</v>
      </c>
      <c r="G108" s="141">
        <f t="shared" si="49"/>
        <v>38996.133791203436</v>
      </c>
      <c r="H108" s="138"/>
      <c r="I108" s="138"/>
      <c r="J108" s="55"/>
      <c r="K108" s="56"/>
    </row>
    <row r="109" spans="1:11" x14ac:dyDescent="0.2">
      <c r="B109" s="53" t="str">
        <f t="shared" si="46"/>
        <v>Jupiter</v>
      </c>
      <c r="C109" s="139"/>
      <c r="D109" s="140" t="str">
        <f t="shared" si="47"/>
        <v>Venus</v>
      </c>
      <c r="E109" s="135"/>
      <c r="F109" s="140" t="str">
        <f t="shared" si="48"/>
        <v>Rahu</v>
      </c>
      <c r="G109" s="141">
        <f t="shared" si="49"/>
        <v>39052.95121584335</v>
      </c>
      <c r="H109" s="138"/>
      <c r="I109" s="138"/>
      <c r="J109" s="55"/>
      <c r="K109" s="56"/>
    </row>
    <row r="110" spans="1:11" x14ac:dyDescent="0.2">
      <c r="B110" s="53" t="str">
        <f t="shared" si="46"/>
        <v>Jupiter</v>
      </c>
      <c r="C110" s="139"/>
      <c r="D110" s="140" t="str">
        <f t="shared" si="47"/>
        <v>Sun</v>
      </c>
      <c r="E110" s="135">
        <f>E101+(VLOOKUP(B101,DasaYears,2,FALSE)*VLOOKUP(D101,DasaYears,2,FALSE)/VimTotal)*DaysInYear</f>
        <v>39199.053164917423</v>
      </c>
      <c r="F110" s="140" t="str">
        <f t="shared" si="48"/>
        <v>Jupiter</v>
      </c>
      <c r="G110" s="141">
        <f t="shared" si="49"/>
        <v>39199.053164917423</v>
      </c>
      <c r="H110" s="138"/>
      <c r="I110" s="138"/>
      <c r="J110" s="55"/>
      <c r="K110" s="56"/>
    </row>
    <row r="111" spans="1:11" x14ac:dyDescent="0.2">
      <c r="B111" s="53" t="str">
        <f t="shared" si="46"/>
        <v>Jupiter</v>
      </c>
      <c r="C111" s="139"/>
      <c r="D111" s="140" t="str">
        <f t="shared" si="47"/>
        <v>Sun</v>
      </c>
      <c r="E111" s="135"/>
      <c r="F111" s="140" t="str">
        <f t="shared" si="48"/>
        <v>Saturn</v>
      </c>
      <c r="G111" s="141">
        <f t="shared" si="49"/>
        <v>39238.013684670506</v>
      </c>
      <c r="H111" s="138"/>
      <c r="I111" s="138"/>
      <c r="J111" s="55"/>
      <c r="K111" s="55"/>
    </row>
    <row r="112" spans="1:11" x14ac:dyDescent="0.2">
      <c r="B112" s="53" t="str">
        <f t="shared" si="46"/>
        <v>Jupiter</v>
      </c>
      <c r="C112" s="139"/>
      <c r="D112" s="140" t="str">
        <f t="shared" si="47"/>
        <v>Sun</v>
      </c>
      <c r="E112" s="135"/>
      <c r="F112" s="140" t="str">
        <f t="shared" si="48"/>
        <v>Mercury</v>
      </c>
      <c r="G112" s="141">
        <f t="shared" si="49"/>
        <v>39284.279301877294</v>
      </c>
      <c r="H112" s="138"/>
      <c r="I112" s="138"/>
      <c r="J112" s="55"/>
      <c r="K112" s="55"/>
    </row>
    <row r="113" spans="1:11" x14ac:dyDescent="0.2">
      <c r="B113" s="53" t="str">
        <f t="shared" si="46"/>
        <v>Jupiter</v>
      </c>
      <c r="C113" s="139"/>
      <c r="D113" s="140" t="str">
        <f t="shared" si="47"/>
        <v>Sun</v>
      </c>
      <c r="E113" s="135"/>
      <c r="F113" s="140" t="str">
        <f t="shared" si="48"/>
        <v>Ketu</v>
      </c>
      <c r="G113" s="141">
        <f t="shared" si="49"/>
        <v>39325.67485411495</v>
      </c>
      <c r="H113" s="138"/>
      <c r="I113" s="138"/>
      <c r="J113" s="55"/>
      <c r="K113" s="55"/>
    </row>
    <row r="114" spans="1:11" x14ac:dyDescent="0.2">
      <c r="B114" s="53" t="str">
        <f t="shared" si="46"/>
        <v>Jupiter</v>
      </c>
      <c r="C114" s="139"/>
      <c r="D114" s="140" t="str">
        <f t="shared" si="47"/>
        <v>Sun</v>
      </c>
      <c r="E114" s="135"/>
      <c r="F114" s="140" t="str">
        <f t="shared" si="48"/>
        <v>Venus</v>
      </c>
      <c r="G114" s="141">
        <f t="shared" si="49"/>
        <v>39342.720081506923</v>
      </c>
      <c r="H114" s="138"/>
      <c r="I114" s="138"/>
      <c r="J114" s="55"/>
      <c r="K114" s="55"/>
    </row>
    <row r="115" spans="1:11" x14ac:dyDescent="0.2">
      <c r="A115" s="100" t="s">
        <v>1169</v>
      </c>
      <c r="B115" s="53" t="str">
        <f t="shared" si="46"/>
        <v>Jupiter</v>
      </c>
      <c r="C115" s="139"/>
      <c r="D115" s="140" t="str">
        <f t="shared" si="47"/>
        <v>Sun</v>
      </c>
      <c r="E115" s="135"/>
      <c r="F115" s="140" t="str">
        <f t="shared" si="48"/>
        <v>Sun</v>
      </c>
      <c r="G115" s="141">
        <f t="shared" si="49"/>
        <v>39391.420731198283</v>
      </c>
      <c r="H115" s="138"/>
      <c r="I115" s="138"/>
      <c r="J115" s="55"/>
      <c r="K115" s="55"/>
    </row>
    <row r="116" spans="1:11" x14ac:dyDescent="0.2">
      <c r="B116" s="53" t="str">
        <f t="shared" si="46"/>
        <v>Jupiter</v>
      </c>
      <c r="C116" s="139"/>
      <c r="D116" s="140" t="str">
        <f t="shared" si="47"/>
        <v>Sun</v>
      </c>
      <c r="E116" s="135"/>
      <c r="F116" s="140" t="str">
        <f t="shared" si="48"/>
        <v>Moon</v>
      </c>
      <c r="G116" s="141">
        <f t="shared" si="49"/>
        <v>39406.03092610569</v>
      </c>
      <c r="H116" s="138"/>
      <c r="I116" s="138"/>
      <c r="J116" s="55"/>
      <c r="K116" s="55"/>
    </row>
    <row r="117" spans="1:11" x14ac:dyDescent="0.2">
      <c r="B117" s="53" t="str">
        <f t="shared" si="46"/>
        <v>Jupiter</v>
      </c>
      <c r="C117" s="139"/>
      <c r="D117" s="140" t="str">
        <f t="shared" si="47"/>
        <v>Sun</v>
      </c>
      <c r="E117" s="135"/>
      <c r="F117" s="140" t="str">
        <f t="shared" si="48"/>
        <v>Mars</v>
      </c>
      <c r="G117" s="141">
        <f t="shared" si="49"/>
        <v>39430.381250951366</v>
      </c>
      <c r="H117" s="138"/>
      <c r="I117" s="138"/>
      <c r="J117" s="55"/>
      <c r="K117" s="55"/>
    </row>
    <row r="118" spans="1:11" x14ac:dyDescent="0.2">
      <c r="B118" s="53" t="str">
        <f t="shared" si="46"/>
        <v>Jupiter</v>
      </c>
      <c r="C118" s="139"/>
      <c r="D118" s="140" t="str">
        <f t="shared" si="47"/>
        <v>Sun</v>
      </c>
      <c r="E118" s="135"/>
      <c r="F118" s="140" t="str">
        <f t="shared" si="48"/>
        <v>Rahu</v>
      </c>
      <c r="G118" s="141">
        <f t="shared" si="49"/>
        <v>39447.426478343339</v>
      </c>
      <c r="H118" s="138"/>
      <c r="I118" s="138"/>
      <c r="J118" s="55"/>
      <c r="K118" s="55"/>
    </row>
    <row r="119" spans="1:11" x14ac:dyDescent="0.2">
      <c r="B119" s="53" t="str">
        <f t="shared" si="46"/>
        <v>Jupiter</v>
      </c>
      <c r="C119" s="139"/>
      <c r="D119" s="140" t="str">
        <f t="shared" si="47"/>
        <v>Moon</v>
      </c>
      <c r="E119" s="135">
        <f>E110+(VLOOKUP(B110,DasaYears,2,FALSE)*VLOOKUP(D110,DasaYears,2,FALSE)/VimTotal)*DaysInYear</f>
        <v>39491.257063065568</v>
      </c>
      <c r="F119" s="140" t="str">
        <f t="shared" si="48"/>
        <v>Jupiter</v>
      </c>
      <c r="G119" s="141">
        <f t="shared" si="49"/>
        <v>39491.257063065561</v>
      </c>
      <c r="H119" s="55"/>
      <c r="I119" s="56"/>
    </row>
    <row r="120" spans="1:11" x14ac:dyDescent="0.2">
      <c r="B120" s="53" t="str">
        <f t="shared" si="46"/>
        <v>Jupiter</v>
      </c>
      <c r="C120" s="139"/>
      <c r="D120" s="140" t="str">
        <f t="shared" si="47"/>
        <v>Moon</v>
      </c>
      <c r="E120" s="140"/>
      <c r="F120" s="140" t="str">
        <f t="shared" si="48"/>
        <v>Saturn</v>
      </c>
      <c r="G120" s="141">
        <f t="shared" si="49"/>
        <v>39556.191262654036</v>
      </c>
      <c r="H120" s="138"/>
      <c r="I120" s="138"/>
      <c r="J120" s="55"/>
    </row>
    <row r="121" spans="1:11" x14ac:dyDescent="0.2">
      <c r="B121" s="53" t="str">
        <f t="shared" si="46"/>
        <v>Jupiter</v>
      </c>
      <c r="C121" s="139"/>
      <c r="D121" s="140" t="str">
        <f t="shared" si="47"/>
        <v>Moon</v>
      </c>
      <c r="E121" s="140"/>
      <c r="F121" s="140" t="str">
        <f t="shared" si="48"/>
        <v>Mercury</v>
      </c>
      <c r="G121" s="141">
        <f t="shared" si="49"/>
        <v>39633.300624665353</v>
      </c>
      <c r="H121" s="138"/>
      <c r="I121" s="138"/>
      <c r="J121" s="55"/>
    </row>
    <row r="122" spans="1:11" x14ac:dyDescent="0.2">
      <c r="B122" s="53" t="str">
        <f t="shared" si="46"/>
        <v>Jupiter</v>
      </c>
      <c r="C122" s="139"/>
      <c r="D122" s="140" t="str">
        <f t="shared" si="47"/>
        <v>Moon</v>
      </c>
      <c r="E122" s="140"/>
      <c r="F122" s="140" t="str">
        <f t="shared" si="48"/>
        <v>Ketu</v>
      </c>
      <c r="G122" s="141">
        <f t="shared" si="49"/>
        <v>39702.293211728109</v>
      </c>
      <c r="H122" s="138"/>
      <c r="I122" s="138"/>
      <c r="J122" s="55"/>
    </row>
    <row r="123" spans="1:11" x14ac:dyDescent="0.2">
      <c r="B123" s="53" t="str">
        <f t="shared" si="46"/>
        <v>Jupiter</v>
      </c>
      <c r="C123" s="139"/>
      <c r="D123" s="140" t="str">
        <f t="shared" si="47"/>
        <v>Moon</v>
      </c>
      <c r="E123" s="140"/>
      <c r="F123" s="140" t="str">
        <f t="shared" si="48"/>
        <v>Venus</v>
      </c>
      <c r="G123" s="141">
        <f t="shared" si="49"/>
        <v>39730.701924048066</v>
      </c>
      <c r="H123" s="138"/>
      <c r="I123" s="138"/>
      <c r="J123" s="55"/>
    </row>
    <row r="124" spans="1:11" x14ac:dyDescent="0.2">
      <c r="B124" s="53" t="str">
        <f t="shared" si="46"/>
        <v>Jupiter</v>
      </c>
      <c r="C124" s="139"/>
      <c r="D124" s="140" t="str">
        <f t="shared" si="47"/>
        <v>Moon</v>
      </c>
      <c r="E124" s="140"/>
      <c r="F124" s="140" t="str">
        <f t="shared" si="48"/>
        <v>Sun</v>
      </c>
      <c r="G124" s="141">
        <f t="shared" si="49"/>
        <v>39811.869673533663</v>
      </c>
      <c r="H124" s="138"/>
      <c r="I124" s="138"/>
      <c r="J124" s="55"/>
    </row>
    <row r="125" spans="1:11" x14ac:dyDescent="0.2">
      <c r="B125" s="53" t="str">
        <f t="shared" si="46"/>
        <v>Jupiter</v>
      </c>
      <c r="C125" s="139"/>
      <c r="D125" s="140" t="str">
        <f t="shared" si="47"/>
        <v>Moon</v>
      </c>
      <c r="E125" s="140"/>
      <c r="F125" s="140" t="str">
        <f t="shared" si="48"/>
        <v>Moon</v>
      </c>
      <c r="G125" s="141">
        <f t="shared" si="49"/>
        <v>39836.21999837934</v>
      </c>
      <c r="H125" s="138"/>
      <c r="I125" s="138"/>
      <c r="J125" s="55"/>
    </row>
    <row r="126" spans="1:11" x14ac:dyDescent="0.2">
      <c r="B126" s="53" t="str">
        <f t="shared" si="46"/>
        <v>Jupiter</v>
      </c>
      <c r="C126" s="139"/>
      <c r="D126" s="140" t="str">
        <f t="shared" si="47"/>
        <v>Moon</v>
      </c>
      <c r="E126" s="140"/>
      <c r="F126" s="140" t="str">
        <f t="shared" si="48"/>
        <v>Mars</v>
      </c>
      <c r="G126" s="141">
        <f t="shared" si="49"/>
        <v>39876.803873122139</v>
      </c>
      <c r="H126" s="138"/>
      <c r="I126" s="138"/>
      <c r="J126" s="55"/>
    </row>
    <row r="127" spans="1:11" x14ac:dyDescent="0.2">
      <c r="B127" s="53" t="str">
        <f t="shared" si="46"/>
        <v>Jupiter</v>
      </c>
      <c r="C127" s="139"/>
      <c r="D127" s="140" t="str">
        <f t="shared" si="47"/>
        <v>Moon</v>
      </c>
      <c r="E127" s="140"/>
      <c r="F127" s="140" t="str">
        <f t="shared" si="48"/>
        <v>Rahu</v>
      </c>
      <c r="G127" s="141">
        <f t="shared" si="49"/>
        <v>39905.212585442096</v>
      </c>
      <c r="H127" s="138"/>
      <c r="I127" s="138"/>
      <c r="J127" s="55"/>
    </row>
    <row r="128" spans="1:11" x14ac:dyDescent="0.2">
      <c r="B128" s="53" t="str">
        <f t="shared" si="46"/>
        <v>Jupiter</v>
      </c>
      <c r="C128" s="139"/>
      <c r="D128" s="140" t="str">
        <f t="shared" si="47"/>
        <v>Mars</v>
      </c>
      <c r="E128" s="135">
        <f>E119+(VLOOKUP(B119,DasaYears,2,FALSE)*VLOOKUP(D119,DasaYears,2,FALSE)/VimTotal)*DaysInYear</f>
        <v>39978.263559979147</v>
      </c>
      <c r="F128" s="140" t="str">
        <f t="shared" si="48"/>
        <v>Jupiter</v>
      </c>
      <c r="G128" s="141">
        <f t="shared" si="49"/>
        <v>39978.263559979132</v>
      </c>
      <c r="H128" s="55"/>
      <c r="I128" s="55"/>
      <c r="K128" s="56"/>
    </row>
    <row r="129" spans="2:11" x14ac:dyDescent="0.2">
      <c r="B129" s="53" t="str">
        <f t="shared" ref="B129:B145" si="50">INDEX(DasaYears,MOD($D$15+$B$63-1,9)+1,1)</f>
        <v>Jupiter</v>
      </c>
      <c r="C129" s="139"/>
      <c r="D129" s="140" t="str">
        <f t="shared" si="47"/>
        <v>Mars</v>
      </c>
      <c r="E129" s="140"/>
      <c r="F129" s="140" t="str">
        <f t="shared" si="48"/>
        <v>Saturn</v>
      </c>
      <c r="G129" s="141">
        <f t="shared" si="49"/>
        <v>40023.717499691069</v>
      </c>
      <c r="H129" s="138"/>
      <c r="I129" s="138"/>
      <c r="J129" s="55"/>
    </row>
    <row r="130" spans="2:11" x14ac:dyDescent="0.2">
      <c r="B130" s="53" t="str">
        <f t="shared" si="50"/>
        <v>Jupiter</v>
      </c>
      <c r="C130" s="139"/>
      <c r="D130" s="140" t="str">
        <f t="shared" ref="D130:D145" si="51">INDEX(DasaYears,(MOD(VLOOKUP(D129,DasaYears,3,FALSE)+IF(VLOOKUP(B130,ChartInfo,11),-1,1)*NOT(ISBLANK(E130)),9)+1),1)</f>
        <v>Mars</v>
      </c>
      <c r="E130" s="140"/>
      <c r="F130" s="140" t="str">
        <f t="shared" ref="F130:F145" si="52">INDEX(DasaYears,(MOD(VLOOKUP(F129,DasaYears,3,FALSE)+IF(VLOOKUP(D130,ChartInfo,11),-1,1)*ISBLANK(H130),9)+1),1)</f>
        <v>Mercury</v>
      </c>
      <c r="G130" s="141">
        <f t="shared" ref="G130:G145" si="53">G129+DaysInYear*VLOOKUP(B129,DasaYears,2,FALSE)*VLOOKUP(D129,DasaYears,2,FALSE)/120*VLOOKUP(F129,DasaYears,2,FALSE)/120</f>
        <v>40077.694053098989</v>
      </c>
      <c r="H130" s="138"/>
      <c r="I130" s="138"/>
      <c r="J130" s="55"/>
    </row>
    <row r="131" spans="2:11" x14ac:dyDescent="0.2">
      <c r="B131" s="53" t="str">
        <f t="shared" si="50"/>
        <v>Jupiter</v>
      </c>
      <c r="C131" s="139"/>
      <c r="D131" s="140" t="str">
        <f t="shared" si="51"/>
        <v>Mars</v>
      </c>
      <c r="E131" s="140"/>
      <c r="F131" s="140" t="str">
        <f t="shared" si="52"/>
        <v>Ketu</v>
      </c>
      <c r="G131" s="141">
        <f t="shared" si="53"/>
        <v>40125.98886404292</v>
      </c>
      <c r="H131" s="138"/>
      <c r="I131" s="138"/>
      <c r="J131" s="55"/>
    </row>
    <row r="132" spans="2:11" x14ac:dyDescent="0.2">
      <c r="B132" s="53" t="str">
        <f t="shared" si="50"/>
        <v>Jupiter</v>
      </c>
      <c r="C132" s="139"/>
      <c r="D132" s="140" t="str">
        <f t="shared" si="51"/>
        <v>Mars</v>
      </c>
      <c r="E132" s="140"/>
      <c r="F132" s="140" t="str">
        <f t="shared" si="52"/>
        <v>Venus</v>
      </c>
      <c r="G132" s="141">
        <f t="shared" si="53"/>
        <v>40145.874962666894</v>
      </c>
      <c r="H132" s="138"/>
      <c r="I132" s="138"/>
      <c r="J132" s="55"/>
    </row>
    <row r="133" spans="2:11" x14ac:dyDescent="0.2">
      <c r="B133" s="53" t="str">
        <f t="shared" si="50"/>
        <v>Jupiter</v>
      </c>
      <c r="C133" s="139"/>
      <c r="D133" s="140" t="str">
        <f t="shared" si="51"/>
        <v>Mars</v>
      </c>
      <c r="E133" s="140"/>
      <c r="F133" s="140" t="str">
        <f t="shared" si="52"/>
        <v>Sun</v>
      </c>
      <c r="G133" s="141">
        <f t="shared" si="53"/>
        <v>40202.692387306808</v>
      </c>
      <c r="H133" s="138"/>
      <c r="I133" s="138"/>
      <c r="J133" s="55"/>
    </row>
    <row r="134" spans="2:11" x14ac:dyDescent="0.2">
      <c r="B134" s="53" t="str">
        <f t="shared" si="50"/>
        <v>Jupiter</v>
      </c>
      <c r="C134" s="139"/>
      <c r="D134" s="140" t="str">
        <f t="shared" si="51"/>
        <v>Mars</v>
      </c>
      <c r="E134" s="140"/>
      <c r="F134" s="140" t="str">
        <f t="shared" si="52"/>
        <v>Moon</v>
      </c>
      <c r="G134" s="141">
        <f t="shared" si="53"/>
        <v>40219.737614698781</v>
      </c>
      <c r="H134" s="138"/>
      <c r="I134" s="138"/>
      <c r="J134" s="55"/>
    </row>
    <row r="135" spans="2:11" x14ac:dyDescent="0.2">
      <c r="B135" s="53" t="str">
        <f t="shared" si="50"/>
        <v>Jupiter</v>
      </c>
      <c r="C135" s="139"/>
      <c r="D135" s="140" t="str">
        <f t="shared" si="51"/>
        <v>Mars</v>
      </c>
      <c r="E135" s="140"/>
      <c r="F135" s="140" t="str">
        <f t="shared" si="52"/>
        <v>Mars</v>
      </c>
      <c r="G135" s="141">
        <f t="shared" si="53"/>
        <v>40248.146327018738</v>
      </c>
      <c r="H135" s="138"/>
      <c r="I135" s="138"/>
      <c r="J135" s="55"/>
    </row>
    <row r="136" spans="2:11" x14ac:dyDescent="0.2">
      <c r="B136" s="53" t="str">
        <f t="shared" si="50"/>
        <v>Jupiter</v>
      </c>
      <c r="C136" s="139"/>
      <c r="D136" s="140" t="str">
        <f t="shared" si="51"/>
        <v>Mars</v>
      </c>
      <c r="E136" s="140"/>
      <c r="F136" s="140" t="str">
        <f t="shared" si="52"/>
        <v>Rahu</v>
      </c>
      <c r="G136" s="141">
        <f t="shared" si="53"/>
        <v>40268.032425642712</v>
      </c>
      <c r="H136" s="55"/>
      <c r="I136" s="56"/>
    </row>
    <row r="137" spans="2:11" x14ac:dyDescent="0.2">
      <c r="B137" s="53" t="str">
        <f t="shared" si="50"/>
        <v>Jupiter</v>
      </c>
      <c r="C137" s="139"/>
      <c r="D137" s="140" t="str">
        <f t="shared" si="51"/>
        <v>Rahu</v>
      </c>
      <c r="E137" s="135">
        <f>E128+(VLOOKUP(B128,DasaYears,2,FALSE)*VLOOKUP(D128,DasaYears,2,FALSE)/VimTotal)*DaysInYear</f>
        <v>40319.168107818652</v>
      </c>
      <c r="F137" s="140" t="str">
        <f t="shared" si="52"/>
        <v>Jupiter</v>
      </c>
      <c r="G137" s="141">
        <f t="shared" si="53"/>
        <v>40319.168107818638</v>
      </c>
      <c r="H137" s="55"/>
      <c r="I137" s="55"/>
      <c r="K137" s="56"/>
    </row>
    <row r="138" spans="2:11" x14ac:dyDescent="0.2">
      <c r="B138" s="53" t="str">
        <f t="shared" si="50"/>
        <v>Jupiter</v>
      </c>
      <c r="C138" s="139"/>
      <c r="D138" s="140" t="str">
        <f t="shared" si="51"/>
        <v>Rahu</v>
      </c>
      <c r="E138" s="140"/>
      <c r="F138" s="140" t="str">
        <f t="shared" si="52"/>
        <v>Saturn</v>
      </c>
      <c r="G138" s="141">
        <f t="shared" si="53"/>
        <v>40436.049667077896</v>
      </c>
      <c r="H138" s="138"/>
      <c r="I138" s="138"/>
      <c r="J138" s="55"/>
    </row>
    <row r="139" spans="2:11" x14ac:dyDescent="0.2">
      <c r="B139" s="53" t="str">
        <f t="shared" si="50"/>
        <v>Jupiter</v>
      </c>
      <c r="C139" s="139"/>
      <c r="D139" s="140" t="str">
        <f t="shared" si="51"/>
        <v>Rahu</v>
      </c>
      <c r="E139" s="140"/>
      <c r="F139" s="140" t="str">
        <f t="shared" si="52"/>
        <v>Mercury</v>
      </c>
      <c r="G139" s="141">
        <f t="shared" si="53"/>
        <v>40574.846518698265</v>
      </c>
      <c r="H139" s="138"/>
      <c r="I139" s="138"/>
      <c r="J139" s="55"/>
    </row>
    <row r="140" spans="2:11" x14ac:dyDescent="0.2">
      <c r="B140" s="53" t="str">
        <f t="shared" si="50"/>
        <v>Jupiter</v>
      </c>
      <c r="C140" s="139"/>
      <c r="D140" s="140" t="str">
        <f t="shared" si="51"/>
        <v>Rahu</v>
      </c>
      <c r="E140" s="140"/>
      <c r="F140" s="140" t="str">
        <f t="shared" si="52"/>
        <v>Ketu</v>
      </c>
      <c r="G140" s="141">
        <f t="shared" si="53"/>
        <v>40699.033175411227</v>
      </c>
      <c r="H140" s="138"/>
      <c r="I140" s="138"/>
      <c r="J140" s="55"/>
    </row>
    <row r="141" spans="2:11" x14ac:dyDescent="0.2">
      <c r="B141" s="53" t="str">
        <f t="shared" si="50"/>
        <v>Jupiter</v>
      </c>
      <c r="C141" s="139"/>
      <c r="D141" s="140" t="str">
        <f t="shared" si="51"/>
        <v>Rahu</v>
      </c>
      <c r="E141" s="140"/>
      <c r="F141" s="140" t="str">
        <f t="shared" si="52"/>
        <v>Venus</v>
      </c>
      <c r="G141" s="141">
        <f t="shared" si="53"/>
        <v>40750.168857587152</v>
      </c>
      <c r="H141" s="138"/>
      <c r="I141" s="138"/>
      <c r="J141" s="55"/>
    </row>
    <row r="142" spans="2:11" x14ac:dyDescent="0.2">
      <c r="B142" s="53" t="str">
        <f t="shared" si="50"/>
        <v>Jupiter</v>
      </c>
      <c r="C142" s="139"/>
      <c r="D142" s="140" t="str">
        <f t="shared" si="51"/>
        <v>Rahu</v>
      </c>
      <c r="E142" s="140"/>
      <c r="F142" s="140" t="str">
        <f t="shared" si="52"/>
        <v>Sun</v>
      </c>
      <c r="G142" s="141">
        <f t="shared" si="53"/>
        <v>40896.270806661225</v>
      </c>
      <c r="H142" s="138"/>
      <c r="I142" s="138"/>
      <c r="J142" s="55"/>
    </row>
    <row r="143" spans="2:11" x14ac:dyDescent="0.2">
      <c r="B143" s="53" t="str">
        <f t="shared" si="50"/>
        <v>Jupiter</v>
      </c>
      <c r="C143" s="139"/>
      <c r="D143" s="140" t="str">
        <f t="shared" si="51"/>
        <v>Rahu</v>
      </c>
      <c r="E143" s="140"/>
      <c r="F143" s="140" t="str">
        <f t="shared" si="52"/>
        <v>Moon</v>
      </c>
      <c r="G143" s="141">
        <f t="shared" si="53"/>
        <v>40940.101391383447</v>
      </c>
      <c r="H143" s="138"/>
      <c r="I143" s="138"/>
      <c r="J143" s="55"/>
    </row>
    <row r="144" spans="2:11" x14ac:dyDescent="0.2">
      <c r="B144" s="53" t="str">
        <f t="shared" si="50"/>
        <v>Jupiter</v>
      </c>
      <c r="C144" s="139"/>
      <c r="D144" s="140" t="str">
        <f t="shared" si="51"/>
        <v>Rahu</v>
      </c>
      <c r="E144" s="140"/>
      <c r="F144" s="140" t="str">
        <f t="shared" si="52"/>
        <v>Mars</v>
      </c>
      <c r="G144" s="141">
        <f t="shared" si="53"/>
        <v>41013.152365920483</v>
      </c>
      <c r="H144" s="138"/>
      <c r="I144" s="138"/>
      <c r="J144" s="55"/>
    </row>
    <row r="145" spans="1:13" x14ac:dyDescent="0.2">
      <c r="B145" s="53" t="str">
        <f t="shared" si="50"/>
        <v>Jupiter</v>
      </c>
      <c r="C145" s="139"/>
      <c r="D145" s="140" t="str">
        <f t="shared" si="51"/>
        <v>Rahu</v>
      </c>
      <c r="E145" s="140"/>
      <c r="F145" s="140" t="str">
        <f t="shared" si="52"/>
        <v>Rahu</v>
      </c>
      <c r="G145" s="141">
        <f t="shared" si="53"/>
        <v>41064.288048096409</v>
      </c>
      <c r="H145" s="55"/>
      <c r="I145" s="56"/>
    </row>
    <row r="146" spans="1:13" x14ac:dyDescent="0.2">
      <c r="B146" s="53"/>
      <c r="C146" s="143"/>
      <c r="D146" s="140"/>
      <c r="E146" s="140"/>
      <c r="F146" s="140"/>
      <c r="G146" s="144"/>
      <c r="H146" s="55"/>
      <c r="I146" s="56"/>
    </row>
    <row r="147" spans="1:13" x14ac:dyDescent="0.2">
      <c r="B147" s="53"/>
      <c r="C147" s="140"/>
      <c r="D147" s="140"/>
      <c r="E147" s="140"/>
      <c r="F147" s="140"/>
      <c r="G147" s="144"/>
      <c r="H147" s="145" t="s">
        <v>1499</v>
      </c>
      <c r="I147" s="146"/>
      <c r="J147" s="100" t="s">
        <v>1500</v>
      </c>
      <c r="K147" s="100"/>
      <c r="L147" s="100" t="s">
        <v>1501</v>
      </c>
    </row>
    <row r="148" spans="1:13" x14ac:dyDescent="0.2">
      <c r="A148" t="s">
        <v>1502</v>
      </c>
      <c r="B148" s="147" t="str">
        <f>VLOOKUP("&gt;",VimshottariDAP,2,FALSE)</f>
        <v>Jupiter</v>
      </c>
      <c r="C148" s="148"/>
      <c r="D148" s="149" t="str">
        <f>VLOOKUP("&gt;",VimshottariDAP,4,FALSE)</f>
        <v>Ketu</v>
      </c>
      <c r="E148" s="148"/>
      <c r="F148" s="149" t="str">
        <f>VLOOKUP("&gt;",VimshottariDAP,6,FALSE)</f>
        <v>Mars</v>
      </c>
      <c r="G148" s="146">
        <f>VLOOKUP("&gt;",VimshottariDAP,7,FALSE)</f>
        <v>38154.018390290374</v>
      </c>
      <c r="H148" s="137" t="str">
        <f>INDEX(DasaYears,MOD(VLOOKUP(F148,DasaYears,3,FALSE)+IF(VLOOKUP(F148,ChartInfo,11),-1,0),9)+1,1)</f>
        <v>Mars</v>
      </c>
      <c r="I148" s="150">
        <f>G148</f>
        <v>38154.018390290374</v>
      </c>
      <c r="J148" s="137" t="str">
        <f>INDEX(DasaYears,MOD(VLOOKUP(H148,DasaYears,3,FALSE)+IF(VLOOKUP(H148,ChartInfo,11),-1,0),9)+1,1)</f>
        <v>Mars</v>
      </c>
      <c r="K148" s="150">
        <f>I148</f>
        <v>38154.018390290374</v>
      </c>
      <c r="L148" s="137" t="str">
        <f>INDEX(DasaYears,MOD(VLOOKUP(J148,DasaYears,3,FALSE)+IF(VLOOKUP(J148,ChartInfo,11),-1,0),9)+1,1)</f>
        <v>Mars</v>
      </c>
      <c r="M148" s="150">
        <f>K148</f>
        <v>38154.018390290374</v>
      </c>
    </row>
    <row r="149" spans="1:13" x14ac:dyDescent="0.2">
      <c r="B149" s="151"/>
      <c r="C149" s="152"/>
      <c r="D149" s="140"/>
      <c r="E149" s="152"/>
      <c r="F149" s="140"/>
      <c r="G149" s="153"/>
      <c r="H149" s="140" t="str">
        <f t="shared" ref="H149:H180" si="54">INDEX(DasaYears,(MOD(VLOOKUP(H148,DasaYears,3,FALSE)+IF(VLOOKUP($F$148,ChartInfo,11),-1,1)*NOT(ISBLANK(I149)),9)+1),1)</f>
        <v>Mars</v>
      </c>
      <c r="I149" s="150"/>
      <c r="J149" s="140" t="str">
        <f t="shared" ref="J149:J180" si="55">INDEX(DasaYears,(MOD(VLOOKUP(J148,DasaYears,3,FALSE)+IF(VLOOKUP(H148,ChartInfo,11),-1,1)*NOT(ISBLANK(K149)),9)+1),1)</f>
        <v>Mars</v>
      </c>
      <c r="K149" s="150"/>
      <c r="L149" s="140" t="str">
        <f t="shared" ref="L149:L180" si="56">INDEX(DasaYears,(MOD(VLOOKUP(L148,DasaYears,3,FALSE)+IF(VLOOKUP(J148,ChartInfo,11),-1,1)*NOT(ISBLANK(M149)),9)+1),1)</f>
        <v>Rahu</v>
      </c>
      <c r="M149" s="144">
        <f t="shared" ref="M149:M180" si="57">M148+DaysInYear*VLOOKUP($F$148,DasaYears,2,FALSE)/120*VLOOKUP(H148,DasaYears,2,FALSE)*VLOOKUP(J148,DasaYears,2,FALSE)/120*VLOOKUP(L148,DasaYears,2,FALSE)/120*VLOOKUP($D$148,DasaYears,2,FALSE)/120*VLOOKUP($B$148,DasaYears,2,FALSE)/120</f>
        <v>38154.022337588882</v>
      </c>
    </row>
    <row r="150" spans="1:13" x14ac:dyDescent="0.2">
      <c r="B150" s="151"/>
      <c r="C150" s="152"/>
      <c r="D150" s="140"/>
      <c r="E150" s="152"/>
      <c r="F150" s="140"/>
      <c r="G150" s="153"/>
      <c r="H150" s="140" t="str">
        <f t="shared" si="54"/>
        <v>Mars</v>
      </c>
      <c r="I150" s="150"/>
      <c r="J150" s="140" t="str">
        <f t="shared" si="55"/>
        <v>Mars</v>
      </c>
      <c r="K150" s="150"/>
      <c r="L150" s="140" t="str">
        <f t="shared" si="56"/>
        <v>Jupiter</v>
      </c>
      <c r="M150" s="144">
        <f t="shared" si="57"/>
        <v>38154.032487785058</v>
      </c>
    </row>
    <row r="151" spans="1:13" x14ac:dyDescent="0.2">
      <c r="B151" s="151"/>
      <c r="C151" s="152"/>
      <c r="D151" s="140"/>
      <c r="E151" s="152"/>
      <c r="F151" s="140"/>
      <c r="G151" s="153"/>
      <c r="H151" s="140" t="str">
        <f t="shared" si="54"/>
        <v>Mars</v>
      </c>
      <c r="I151" s="150"/>
      <c r="J151" s="140" t="str">
        <f t="shared" si="55"/>
        <v>Mars</v>
      </c>
      <c r="K151" s="150"/>
      <c r="L151" s="140" t="str">
        <f t="shared" si="56"/>
        <v>Saturn</v>
      </c>
      <c r="M151" s="144">
        <f t="shared" si="57"/>
        <v>38154.041510181654</v>
      </c>
    </row>
    <row r="152" spans="1:13" x14ac:dyDescent="0.2">
      <c r="B152" s="151"/>
      <c r="C152" s="152"/>
      <c r="D152" s="140"/>
      <c r="E152" s="152"/>
      <c r="F152" s="140"/>
      <c r="G152" s="153"/>
      <c r="H152" s="140" t="str">
        <f t="shared" si="54"/>
        <v>Mars</v>
      </c>
      <c r="I152" s="150"/>
      <c r="J152" s="140" t="str">
        <f t="shared" si="55"/>
        <v>Mars</v>
      </c>
      <c r="K152" s="150"/>
      <c r="L152" s="140" t="str">
        <f t="shared" si="56"/>
        <v>Mercury</v>
      </c>
      <c r="M152" s="144">
        <f t="shared" si="57"/>
        <v>38154.052224277613</v>
      </c>
    </row>
    <row r="153" spans="1:13" x14ac:dyDescent="0.2">
      <c r="B153" s="151"/>
      <c r="C153" s="152"/>
      <c r="D153" s="140"/>
      <c r="E153" s="152"/>
      <c r="F153" s="140"/>
      <c r="G153" s="153"/>
      <c r="H153" s="140" t="str">
        <f t="shared" si="54"/>
        <v>Mars</v>
      </c>
      <c r="I153" s="150"/>
      <c r="J153" s="140" t="str">
        <f t="shared" si="55"/>
        <v>Mars</v>
      </c>
      <c r="K153" s="150"/>
      <c r="L153" s="140" t="str">
        <f t="shared" si="56"/>
        <v>Ketu</v>
      </c>
      <c r="M153" s="144">
        <f t="shared" si="57"/>
        <v>38154.061810574</v>
      </c>
    </row>
    <row r="154" spans="1:13" x14ac:dyDescent="0.2">
      <c r="B154" s="151"/>
      <c r="C154" s="152"/>
      <c r="D154" s="140"/>
      <c r="E154" s="152"/>
      <c r="F154" s="140"/>
      <c r="G154" s="153"/>
      <c r="H154" s="140" t="str">
        <f t="shared" si="54"/>
        <v>Mars</v>
      </c>
      <c r="I154" s="150"/>
      <c r="J154" s="140" t="str">
        <f t="shared" si="55"/>
        <v>Mars</v>
      </c>
      <c r="K154" s="150"/>
      <c r="L154" s="140" t="str">
        <f t="shared" si="56"/>
        <v>Venus</v>
      </c>
      <c r="M154" s="144">
        <f t="shared" si="57"/>
        <v>38154.065757872508</v>
      </c>
    </row>
    <row r="155" spans="1:13" x14ac:dyDescent="0.2">
      <c r="B155" s="151"/>
      <c r="C155" s="152"/>
      <c r="D155" s="140"/>
      <c r="E155" s="152"/>
      <c r="F155" s="140"/>
      <c r="G155" s="153"/>
      <c r="H155" s="140" t="str">
        <f t="shared" si="54"/>
        <v>Mars</v>
      </c>
      <c r="I155" s="150"/>
      <c r="J155" s="140" t="str">
        <f t="shared" si="55"/>
        <v>Mars</v>
      </c>
      <c r="K155" s="150"/>
      <c r="L155" s="140" t="str">
        <f t="shared" si="56"/>
        <v>Sun</v>
      </c>
      <c r="M155" s="144">
        <f t="shared" si="57"/>
        <v>38154.077035868257</v>
      </c>
    </row>
    <row r="156" spans="1:13" x14ac:dyDescent="0.2">
      <c r="B156" s="151"/>
      <c r="C156" s="152"/>
      <c r="D156" s="140"/>
      <c r="E156" s="152"/>
      <c r="F156" s="140"/>
      <c r="G156" s="153"/>
      <c r="H156" s="140" t="str">
        <f t="shared" si="54"/>
        <v>Mars</v>
      </c>
      <c r="I156" s="150"/>
      <c r="J156" s="140" t="str">
        <f t="shared" si="55"/>
        <v>Mars</v>
      </c>
      <c r="K156" s="150"/>
      <c r="L156" s="140" t="str">
        <f t="shared" si="56"/>
        <v>Moon</v>
      </c>
      <c r="M156" s="144">
        <f t="shared" si="57"/>
        <v>38154.080419266982</v>
      </c>
    </row>
    <row r="157" spans="1:13" x14ac:dyDescent="0.2">
      <c r="B157" s="151"/>
      <c r="C157" s="152"/>
      <c r="D157" s="140"/>
      <c r="E157" s="152"/>
      <c r="F157" s="140"/>
      <c r="G157" s="153"/>
      <c r="H157" s="140" t="str">
        <f t="shared" si="54"/>
        <v>Mars</v>
      </c>
      <c r="I157" s="150"/>
      <c r="J157" s="140" t="str">
        <f t="shared" si="55"/>
        <v>Rahu</v>
      </c>
      <c r="K157" s="144">
        <f>K148+DaysInYear*VLOOKUP($D$148,DasaYears,2,FALSE)/120*VLOOKUP($F$148,DasaYears,2,FALSE)*VLOOKUP(H148,DasaYears,2,FALSE)/120*VLOOKUP(J148,DasaYears,2,FALSE)/120*VLOOKUP($B$148,DasaYears,2,FALSE)/120</f>
        <v>38154.08605826486</v>
      </c>
      <c r="L157" s="140" t="str">
        <f t="shared" si="56"/>
        <v>Mars</v>
      </c>
      <c r="M157" s="144">
        <f t="shared" si="57"/>
        <v>38154.086058264853</v>
      </c>
    </row>
    <row r="158" spans="1:13" x14ac:dyDescent="0.2">
      <c r="B158" s="151"/>
      <c r="C158" s="152"/>
      <c r="D158" s="140"/>
      <c r="E158" s="152"/>
      <c r="F158" s="140"/>
      <c r="G158" s="153"/>
      <c r="H158" s="140" t="str">
        <f t="shared" si="54"/>
        <v>Mars</v>
      </c>
      <c r="I158" s="150"/>
      <c r="J158" s="140" t="str">
        <f t="shared" si="55"/>
        <v>Rahu</v>
      </c>
      <c r="K158" s="150"/>
      <c r="L158" s="140" t="str">
        <f t="shared" si="56"/>
        <v>Rahu</v>
      </c>
      <c r="M158" s="144">
        <f t="shared" si="57"/>
        <v>38154.096208461029</v>
      </c>
    </row>
    <row r="159" spans="1:13" x14ac:dyDescent="0.2">
      <c r="B159" s="151"/>
      <c r="C159" s="152"/>
      <c r="D159" s="140"/>
      <c r="E159" s="152"/>
      <c r="F159" s="140"/>
      <c r="G159" s="153"/>
      <c r="H159" s="140" t="str">
        <f t="shared" si="54"/>
        <v>Mars</v>
      </c>
      <c r="I159" s="150"/>
      <c r="J159" s="140" t="str">
        <f t="shared" si="55"/>
        <v>Rahu</v>
      </c>
      <c r="K159" s="150"/>
      <c r="L159" s="140" t="str">
        <f t="shared" si="56"/>
        <v>Jupiter</v>
      </c>
      <c r="M159" s="144">
        <f t="shared" si="57"/>
        <v>38154.122308965474</v>
      </c>
    </row>
    <row r="160" spans="1:13" x14ac:dyDescent="0.2">
      <c r="B160" s="151"/>
      <c r="C160" s="152"/>
      <c r="D160" s="140"/>
      <c r="E160" s="152"/>
      <c r="F160" s="140"/>
      <c r="G160" s="153"/>
      <c r="H160" s="140" t="str">
        <f t="shared" si="54"/>
        <v>Mars</v>
      </c>
      <c r="I160" s="150"/>
      <c r="J160" s="140" t="str">
        <f t="shared" si="55"/>
        <v>Rahu</v>
      </c>
      <c r="K160" s="150"/>
      <c r="L160" s="140" t="str">
        <f t="shared" si="56"/>
        <v>Saturn</v>
      </c>
      <c r="M160" s="144">
        <f t="shared" si="57"/>
        <v>38154.145509413866</v>
      </c>
    </row>
    <row r="161" spans="2:13" x14ac:dyDescent="0.2">
      <c r="B161" s="151"/>
      <c r="C161" s="152"/>
      <c r="D161" s="140"/>
      <c r="E161" s="152"/>
      <c r="F161" s="140"/>
      <c r="G161" s="153"/>
      <c r="H161" s="140" t="str">
        <f t="shared" si="54"/>
        <v>Mars</v>
      </c>
      <c r="I161" s="150"/>
      <c r="J161" s="140" t="str">
        <f t="shared" si="55"/>
        <v>Rahu</v>
      </c>
      <c r="K161" s="150"/>
      <c r="L161" s="140" t="str">
        <f t="shared" si="56"/>
        <v>Mercury</v>
      </c>
      <c r="M161" s="144">
        <f t="shared" si="57"/>
        <v>38154.173059946334</v>
      </c>
    </row>
    <row r="162" spans="2:13" x14ac:dyDescent="0.2">
      <c r="B162" s="151"/>
      <c r="C162" s="152"/>
      <c r="D162" s="140"/>
      <c r="E162" s="152"/>
      <c r="F162" s="140"/>
      <c r="G162" s="153"/>
      <c r="H162" s="140" t="str">
        <f t="shared" si="54"/>
        <v>Mars</v>
      </c>
      <c r="I162" s="150"/>
      <c r="J162" s="140" t="str">
        <f t="shared" si="55"/>
        <v>Rahu</v>
      </c>
      <c r="K162" s="150"/>
      <c r="L162" s="140" t="str">
        <f t="shared" si="56"/>
        <v>Ketu</v>
      </c>
      <c r="M162" s="144">
        <f t="shared" si="57"/>
        <v>38154.197710422755</v>
      </c>
    </row>
    <row r="163" spans="2:13" x14ac:dyDescent="0.2">
      <c r="B163" s="151"/>
      <c r="C163" s="152"/>
      <c r="D163" s="140"/>
      <c r="E163" s="152"/>
      <c r="F163" s="140"/>
      <c r="G163" s="153"/>
      <c r="H163" s="140" t="str">
        <f t="shared" si="54"/>
        <v>Mars</v>
      </c>
      <c r="I163" s="150"/>
      <c r="J163" s="140" t="str">
        <f t="shared" si="55"/>
        <v>Rahu</v>
      </c>
      <c r="K163" s="150"/>
      <c r="L163" s="140" t="str">
        <f t="shared" si="56"/>
        <v>Venus</v>
      </c>
      <c r="M163" s="144">
        <f t="shared" si="57"/>
        <v>38154.207860618932</v>
      </c>
    </row>
    <row r="164" spans="2:13" x14ac:dyDescent="0.2">
      <c r="B164" s="151"/>
      <c r="C164" s="152"/>
      <c r="D164" s="140"/>
      <c r="E164" s="152"/>
      <c r="F164" s="140"/>
      <c r="G164" s="153"/>
      <c r="H164" s="140" t="str">
        <f t="shared" si="54"/>
        <v>Mars</v>
      </c>
      <c r="I164" s="150"/>
      <c r="J164" s="140" t="str">
        <f t="shared" si="55"/>
        <v>Rahu</v>
      </c>
      <c r="K164" s="150"/>
      <c r="L164" s="140" t="str">
        <f t="shared" si="56"/>
        <v>Sun</v>
      </c>
      <c r="M164" s="144">
        <f t="shared" si="57"/>
        <v>38154.236861179423</v>
      </c>
    </row>
    <row r="165" spans="2:13" x14ac:dyDescent="0.2">
      <c r="B165" s="151"/>
      <c r="C165" s="152"/>
      <c r="D165" s="140"/>
      <c r="E165" s="152"/>
      <c r="F165" s="140"/>
      <c r="G165" s="153"/>
      <c r="H165" s="140" t="str">
        <f t="shared" si="54"/>
        <v>Mars</v>
      </c>
      <c r="I165" s="150"/>
      <c r="J165" s="140" t="str">
        <f t="shared" si="55"/>
        <v>Rahu</v>
      </c>
      <c r="K165" s="150"/>
      <c r="L165" s="140" t="str">
        <f t="shared" si="56"/>
        <v>Moon</v>
      </c>
      <c r="M165" s="144">
        <f t="shared" si="57"/>
        <v>38154.245561347569</v>
      </c>
    </row>
    <row r="166" spans="2:13" x14ac:dyDescent="0.2">
      <c r="B166" s="151"/>
      <c r="C166" s="152"/>
      <c r="D166" s="140"/>
      <c r="E166" s="152"/>
      <c r="F166" s="140"/>
      <c r="G166" s="153"/>
      <c r="H166" s="140" t="str">
        <f t="shared" si="54"/>
        <v>Mars</v>
      </c>
      <c r="I166" s="150"/>
      <c r="J166" s="140" t="str">
        <f t="shared" si="55"/>
        <v>Jupiter</v>
      </c>
      <c r="K166" s="144">
        <f>K157+DaysInYear*VLOOKUP($D$148,DasaYears,2,FALSE)/120*VLOOKUP($F$148,DasaYears,2,FALSE)*VLOOKUP(H157,DasaYears,2,FALSE)/120*VLOOKUP(J157,DasaYears,2,FALSE)/120*VLOOKUP($B$148,DasaYears,2,FALSE)/120</f>
        <v>38154.260061627821</v>
      </c>
      <c r="L166" s="140" t="str">
        <f t="shared" si="56"/>
        <v>Mars</v>
      </c>
      <c r="M166" s="144">
        <f t="shared" si="57"/>
        <v>38154.260061627814</v>
      </c>
    </row>
    <row r="167" spans="2:13" x14ac:dyDescent="0.2">
      <c r="B167" s="151"/>
      <c r="C167" s="152"/>
      <c r="D167" s="140"/>
      <c r="E167" s="152"/>
      <c r="F167" s="140"/>
      <c r="G167" s="153"/>
      <c r="H167" s="140" t="str">
        <f t="shared" si="54"/>
        <v>Mars</v>
      </c>
      <c r="I167" s="150"/>
      <c r="J167" s="140" t="str">
        <f t="shared" si="55"/>
        <v>Jupiter</v>
      </c>
      <c r="K167" s="150"/>
      <c r="L167" s="140" t="str">
        <f t="shared" si="56"/>
        <v>Rahu</v>
      </c>
      <c r="M167" s="144">
        <f t="shared" si="57"/>
        <v>38154.26908402441</v>
      </c>
    </row>
    <row r="168" spans="2:13" x14ac:dyDescent="0.2">
      <c r="B168" s="151"/>
      <c r="C168" s="152"/>
      <c r="D168" s="140"/>
      <c r="E168" s="152"/>
      <c r="F168" s="140"/>
      <c r="G168" s="153"/>
      <c r="H168" s="140" t="str">
        <f t="shared" si="54"/>
        <v>Mars</v>
      </c>
      <c r="I168" s="150"/>
      <c r="J168" s="140" t="str">
        <f t="shared" si="55"/>
        <v>Jupiter</v>
      </c>
      <c r="K168" s="150"/>
      <c r="L168" s="140" t="str">
        <f t="shared" si="56"/>
        <v>Jupiter</v>
      </c>
      <c r="M168" s="144">
        <f t="shared" si="57"/>
        <v>38154.292284472802</v>
      </c>
    </row>
    <row r="169" spans="2:13" x14ac:dyDescent="0.2">
      <c r="B169" s="151"/>
      <c r="C169" s="152"/>
      <c r="D169" s="140"/>
      <c r="E169" s="152"/>
      <c r="F169" s="140"/>
      <c r="G169" s="153"/>
      <c r="H169" s="140" t="str">
        <f t="shared" si="54"/>
        <v>Mars</v>
      </c>
      <c r="I169" s="150"/>
      <c r="J169" s="140" t="str">
        <f t="shared" si="55"/>
        <v>Jupiter</v>
      </c>
      <c r="K169" s="150"/>
      <c r="L169" s="140" t="str">
        <f t="shared" si="56"/>
        <v>Saturn</v>
      </c>
      <c r="M169" s="144">
        <f t="shared" si="57"/>
        <v>38154.312907093597</v>
      </c>
    </row>
    <row r="170" spans="2:13" x14ac:dyDescent="0.2">
      <c r="B170" s="151"/>
      <c r="C170" s="152"/>
      <c r="D170" s="140"/>
      <c r="E170" s="152"/>
      <c r="F170" s="140"/>
      <c r="G170" s="153"/>
      <c r="H170" s="140" t="str">
        <f t="shared" si="54"/>
        <v>Mars</v>
      </c>
      <c r="I170" s="150"/>
      <c r="J170" s="140" t="str">
        <f t="shared" si="55"/>
        <v>Jupiter</v>
      </c>
      <c r="K170" s="150"/>
      <c r="L170" s="140" t="str">
        <f t="shared" si="56"/>
        <v>Mercury</v>
      </c>
      <c r="M170" s="144">
        <f t="shared" si="57"/>
        <v>38154.33739645579</v>
      </c>
    </row>
    <row r="171" spans="2:13" x14ac:dyDescent="0.2">
      <c r="B171" s="151"/>
      <c r="C171" s="152"/>
      <c r="D171" s="140"/>
      <c r="E171" s="152"/>
      <c r="F171" s="140"/>
      <c r="G171" s="153"/>
      <c r="H171" s="140" t="str">
        <f t="shared" si="54"/>
        <v>Mars</v>
      </c>
      <c r="I171" s="150"/>
      <c r="J171" s="140" t="str">
        <f t="shared" si="55"/>
        <v>Jupiter</v>
      </c>
      <c r="K171" s="150"/>
      <c r="L171" s="140" t="str">
        <f t="shared" si="56"/>
        <v>Ketu</v>
      </c>
      <c r="M171" s="144">
        <f t="shared" si="57"/>
        <v>38154.359307990388</v>
      </c>
    </row>
    <row r="172" spans="2:13" x14ac:dyDescent="0.2">
      <c r="B172" s="151"/>
      <c r="C172" s="152"/>
      <c r="D172" s="140"/>
      <c r="E172" s="152"/>
      <c r="F172" s="140"/>
      <c r="G172" s="153"/>
      <c r="H172" s="140" t="str">
        <f t="shared" si="54"/>
        <v>Mars</v>
      </c>
      <c r="I172" s="150"/>
      <c r="J172" s="140" t="str">
        <f t="shared" si="55"/>
        <v>Jupiter</v>
      </c>
      <c r="K172" s="150"/>
      <c r="L172" s="140" t="str">
        <f t="shared" si="56"/>
        <v>Venus</v>
      </c>
      <c r="M172" s="144">
        <f t="shared" si="57"/>
        <v>38154.368330386984</v>
      </c>
    </row>
    <row r="173" spans="2:13" x14ac:dyDescent="0.2">
      <c r="B173" s="151"/>
      <c r="C173" s="152"/>
      <c r="D173" s="140"/>
      <c r="E173" s="152"/>
      <c r="F173" s="140"/>
      <c r="G173" s="153"/>
      <c r="H173" s="140" t="str">
        <f t="shared" si="54"/>
        <v>Mars</v>
      </c>
      <c r="I173" s="150"/>
      <c r="J173" s="140" t="str">
        <f t="shared" si="55"/>
        <v>Jupiter</v>
      </c>
      <c r="K173" s="150"/>
      <c r="L173" s="140" t="str">
        <f t="shared" si="56"/>
        <v>Sun</v>
      </c>
      <c r="M173" s="144">
        <f t="shared" si="57"/>
        <v>38154.394108662978</v>
      </c>
    </row>
    <row r="174" spans="2:13" x14ac:dyDescent="0.2">
      <c r="B174" s="151"/>
      <c r="C174" s="152"/>
      <c r="D174" s="140"/>
      <c r="E174" s="152"/>
      <c r="F174" s="140"/>
      <c r="G174" s="153"/>
      <c r="H174" s="140" t="str">
        <f t="shared" si="54"/>
        <v>Mars</v>
      </c>
      <c r="I174" s="150"/>
      <c r="J174" s="140" t="str">
        <f t="shared" si="55"/>
        <v>Jupiter</v>
      </c>
      <c r="K174" s="150"/>
      <c r="L174" s="140" t="str">
        <f t="shared" si="56"/>
        <v>Moon</v>
      </c>
      <c r="M174" s="144">
        <f t="shared" si="57"/>
        <v>38154.401842145773</v>
      </c>
    </row>
    <row r="175" spans="2:13" x14ac:dyDescent="0.2">
      <c r="B175" s="151"/>
      <c r="C175" s="152"/>
      <c r="D175" s="140"/>
      <c r="E175" s="152"/>
      <c r="F175" s="140"/>
      <c r="G175" s="153"/>
      <c r="H175" s="140" t="str">
        <f t="shared" si="54"/>
        <v>Mars</v>
      </c>
      <c r="I175" s="150"/>
      <c r="J175" s="140" t="str">
        <f t="shared" si="55"/>
        <v>Saturn</v>
      </c>
      <c r="K175" s="144">
        <f>K166+DaysInYear*VLOOKUP($D$148,DasaYears,2,FALSE)/120*VLOOKUP($F$148,DasaYears,2,FALSE)*VLOOKUP(H166,DasaYears,2,FALSE)/120*VLOOKUP(J166,DasaYears,2,FALSE)/120*VLOOKUP($B$148,DasaYears,2,FALSE)/120</f>
        <v>38154.414731283789</v>
      </c>
      <c r="L175" s="140" t="str">
        <f t="shared" si="56"/>
        <v>Mars</v>
      </c>
      <c r="M175" s="144">
        <f t="shared" si="57"/>
        <v>38154.414731283767</v>
      </c>
    </row>
    <row r="176" spans="2:13" x14ac:dyDescent="0.2">
      <c r="B176" s="151"/>
      <c r="C176" s="152"/>
      <c r="D176" s="140"/>
      <c r="E176" s="152"/>
      <c r="F176" s="140"/>
      <c r="G176" s="153"/>
      <c r="H176" s="140" t="str">
        <f t="shared" si="54"/>
        <v>Mars</v>
      </c>
      <c r="I176" s="150"/>
      <c r="J176" s="140" t="str">
        <f t="shared" si="55"/>
        <v>Saturn</v>
      </c>
      <c r="K176" s="150"/>
      <c r="L176" s="140" t="str">
        <f t="shared" si="56"/>
        <v>Rahu</v>
      </c>
      <c r="M176" s="144">
        <f t="shared" si="57"/>
        <v>38154.425445379726</v>
      </c>
    </row>
    <row r="177" spans="2:13" x14ac:dyDescent="0.2">
      <c r="B177" s="151"/>
      <c r="C177" s="152"/>
      <c r="D177" s="140"/>
      <c r="E177" s="152"/>
      <c r="F177" s="140"/>
      <c r="G177" s="153"/>
      <c r="H177" s="140" t="str">
        <f t="shared" si="54"/>
        <v>Mars</v>
      </c>
      <c r="I177" s="150"/>
      <c r="J177" s="140" t="str">
        <f t="shared" si="55"/>
        <v>Saturn</v>
      </c>
      <c r="K177" s="150"/>
      <c r="L177" s="140" t="str">
        <f t="shared" si="56"/>
        <v>Jupiter</v>
      </c>
      <c r="M177" s="144">
        <f t="shared" si="57"/>
        <v>38154.452995912194</v>
      </c>
    </row>
    <row r="178" spans="2:13" x14ac:dyDescent="0.2">
      <c r="B178" s="151"/>
      <c r="C178" s="152"/>
      <c r="D178" s="140"/>
      <c r="E178" s="152"/>
      <c r="F178" s="140"/>
      <c r="G178" s="153"/>
      <c r="H178" s="140" t="str">
        <f t="shared" si="54"/>
        <v>Mars</v>
      </c>
      <c r="I178" s="150"/>
      <c r="J178" s="140" t="str">
        <f t="shared" si="55"/>
        <v>Saturn</v>
      </c>
      <c r="K178" s="150"/>
      <c r="L178" s="140" t="str">
        <f t="shared" si="56"/>
        <v>Saturn</v>
      </c>
      <c r="M178" s="144">
        <f t="shared" si="57"/>
        <v>38154.477485274387</v>
      </c>
    </row>
    <row r="179" spans="2:13" x14ac:dyDescent="0.2">
      <c r="B179" s="151"/>
      <c r="C179" s="152"/>
      <c r="D179" s="140"/>
      <c r="E179" s="152"/>
      <c r="F179" s="140"/>
      <c r="G179" s="153"/>
      <c r="H179" s="140" t="str">
        <f t="shared" si="54"/>
        <v>Mars</v>
      </c>
      <c r="I179" s="150"/>
      <c r="J179" s="140" t="str">
        <f t="shared" si="55"/>
        <v>Saturn</v>
      </c>
      <c r="K179" s="150"/>
      <c r="L179" s="140" t="str">
        <f t="shared" si="56"/>
        <v>Mercury</v>
      </c>
      <c r="M179" s="144">
        <f t="shared" si="57"/>
        <v>38154.506566391996</v>
      </c>
    </row>
    <row r="180" spans="2:13" x14ac:dyDescent="0.2">
      <c r="B180" s="151"/>
      <c r="C180" s="152"/>
      <c r="D180" s="140"/>
      <c r="E180" s="152"/>
      <c r="F180" s="140"/>
      <c r="G180" s="153"/>
      <c r="H180" s="140" t="str">
        <f t="shared" si="54"/>
        <v>Mars</v>
      </c>
      <c r="I180" s="150"/>
      <c r="J180" s="140" t="str">
        <f t="shared" si="55"/>
        <v>Saturn</v>
      </c>
      <c r="K180" s="150"/>
      <c r="L180" s="140" t="str">
        <f t="shared" si="56"/>
        <v>Ketu</v>
      </c>
      <c r="M180" s="144">
        <f t="shared" si="57"/>
        <v>38154.53258633933</v>
      </c>
    </row>
    <row r="181" spans="2:13" x14ac:dyDescent="0.2">
      <c r="B181" s="151"/>
      <c r="C181" s="152"/>
      <c r="D181" s="140"/>
      <c r="E181" s="152"/>
      <c r="F181" s="140"/>
      <c r="G181" s="153"/>
      <c r="H181" s="140" t="str">
        <f t="shared" ref="H181:H212" si="58">INDEX(DasaYears,(MOD(VLOOKUP(H180,DasaYears,3,FALSE)+IF(VLOOKUP($F$148,ChartInfo,11),-1,1)*NOT(ISBLANK(I181)),9)+1),1)</f>
        <v>Mars</v>
      </c>
      <c r="I181" s="150"/>
      <c r="J181" s="140" t="str">
        <f t="shared" ref="J181:J212" si="59">INDEX(DasaYears,(MOD(VLOOKUP(J180,DasaYears,3,FALSE)+IF(VLOOKUP(H180,ChartInfo,11),-1,1)*NOT(ISBLANK(K181)),9)+1),1)</f>
        <v>Saturn</v>
      </c>
      <c r="K181" s="150"/>
      <c r="L181" s="140" t="str">
        <f t="shared" ref="L181:L212" si="60">INDEX(DasaYears,(MOD(VLOOKUP(L180,DasaYears,3,FALSE)+IF(VLOOKUP(J180,ChartInfo,11),-1,1)*NOT(ISBLANK(M181)),9)+1),1)</f>
        <v>Venus</v>
      </c>
      <c r="M181" s="144">
        <f t="shared" ref="M181:M212" si="61">M180+DaysInYear*VLOOKUP($F$148,DasaYears,2,FALSE)/120*VLOOKUP(H180,DasaYears,2,FALSE)*VLOOKUP(J180,DasaYears,2,FALSE)/120*VLOOKUP(L180,DasaYears,2,FALSE)/120*VLOOKUP($D$148,DasaYears,2,FALSE)/120*VLOOKUP($B$148,DasaYears,2,FALSE)/120</f>
        <v>38154.543300435289</v>
      </c>
    </row>
    <row r="182" spans="2:13" x14ac:dyDescent="0.2">
      <c r="B182" s="151"/>
      <c r="C182" s="152"/>
      <c r="D182" s="140"/>
      <c r="E182" s="152"/>
      <c r="F182" s="140"/>
      <c r="G182" s="153"/>
      <c r="H182" s="140" t="str">
        <f t="shared" si="58"/>
        <v>Mars</v>
      </c>
      <c r="I182" s="150"/>
      <c r="J182" s="140" t="str">
        <f t="shared" si="59"/>
        <v>Saturn</v>
      </c>
      <c r="K182" s="150"/>
      <c r="L182" s="140" t="str">
        <f t="shared" si="60"/>
        <v>Sun</v>
      </c>
      <c r="M182" s="144">
        <f t="shared" si="61"/>
        <v>38154.573912138032</v>
      </c>
    </row>
    <row r="183" spans="2:13" x14ac:dyDescent="0.2">
      <c r="B183" s="151"/>
      <c r="C183" s="152"/>
      <c r="D183" s="140"/>
      <c r="E183" s="152"/>
      <c r="F183" s="140"/>
      <c r="G183" s="153"/>
      <c r="H183" s="140" t="str">
        <f t="shared" si="58"/>
        <v>Mars</v>
      </c>
      <c r="I183" s="150"/>
      <c r="J183" s="140" t="str">
        <f t="shared" si="59"/>
        <v>Saturn</v>
      </c>
      <c r="K183" s="150"/>
      <c r="L183" s="140" t="str">
        <f t="shared" si="60"/>
        <v>Moon</v>
      </c>
      <c r="M183" s="144">
        <f t="shared" si="61"/>
        <v>38154.583095648857</v>
      </c>
    </row>
    <row r="184" spans="2:13" x14ac:dyDescent="0.2">
      <c r="B184" s="151"/>
      <c r="C184" s="152"/>
      <c r="D184" s="140"/>
      <c r="E184" s="152"/>
      <c r="F184" s="140"/>
      <c r="G184" s="153"/>
      <c r="H184" s="140" t="str">
        <f t="shared" si="58"/>
        <v>Mars</v>
      </c>
      <c r="I184" s="150"/>
      <c r="J184" s="140" t="str">
        <f t="shared" si="59"/>
        <v>Mercury</v>
      </c>
      <c r="K184" s="144">
        <f>K175+DaysInYear*VLOOKUP($D$148,DasaYears,2,FALSE)/120*VLOOKUP($F$148,DasaYears,2,FALSE)*VLOOKUP(H175,DasaYears,2,FALSE)/120*VLOOKUP(J175,DasaYears,2,FALSE)/120*VLOOKUP($B$148,DasaYears,2,FALSE)/120</f>
        <v>38154.598401500247</v>
      </c>
      <c r="L184" s="140" t="str">
        <f t="shared" si="60"/>
        <v>Mars</v>
      </c>
      <c r="M184" s="144">
        <f t="shared" si="61"/>
        <v>38154.598401500225</v>
      </c>
    </row>
    <row r="185" spans="2:13" x14ac:dyDescent="0.2">
      <c r="B185" s="151"/>
      <c r="C185" s="152"/>
      <c r="D185" s="140"/>
      <c r="E185" s="152"/>
      <c r="F185" s="140"/>
      <c r="G185" s="153"/>
      <c r="H185" s="140" t="str">
        <f t="shared" si="58"/>
        <v>Mars</v>
      </c>
      <c r="I185" s="150"/>
      <c r="J185" s="140" t="str">
        <f t="shared" si="59"/>
        <v>Mercury</v>
      </c>
      <c r="K185" s="150"/>
      <c r="L185" s="140" t="str">
        <f t="shared" si="60"/>
        <v>Rahu</v>
      </c>
      <c r="M185" s="144">
        <f t="shared" si="61"/>
        <v>38154.607987796611</v>
      </c>
    </row>
    <row r="186" spans="2:13" x14ac:dyDescent="0.2">
      <c r="B186" s="151"/>
      <c r="C186" s="152"/>
      <c r="D186" s="140"/>
      <c r="E186" s="152"/>
      <c r="F186" s="140"/>
      <c r="G186" s="153"/>
      <c r="H186" s="140" t="str">
        <f t="shared" si="58"/>
        <v>Mars</v>
      </c>
      <c r="I186" s="150"/>
      <c r="J186" s="140" t="str">
        <f t="shared" si="59"/>
        <v>Mercury</v>
      </c>
      <c r="K186" s="150"/>
      <c r="L186" s="140" t="str">
        <f t="shared" si="60"/>
        <v>Jupiter</v>
      </c>
      <c r="M186" s="144">
        <f t="shared" si="61"/>
        <v>38154.632638273033</v>
      </c>
    </row>
    <row r="187" spans="2:13" x14ac:dyDescent="0.2">
      <c r="B187" s="151"/>
      <c r="C187" s="152"/>
      <c r="D187" s="140"/>
      <c r="E187" s="152"/>
      <c r="F187" s="140"/>
      <c r="G187" s="153"/>
      <c r="H187" s="140" t="str">
        <f t="shared" si="58"/>
        <v>Mars</v>
      </c>
      <c r="I187" s="150"/>
      <c r="J187" s="140" t="str">
        <f t="shared" si="59"/>
        <v>Mercury</v>
      </c>
      <c r="K187" s="150"/>
      <c r="L187" s="140" t="str">
        <f t="shared" si="60"/>
        <v>Saturn</v>
      </c>
      <c r="M187" s="144">
        <f t="shared" si="61"/>
        <v>38154.65454980763</v>
      </c>
    </row>
    <row r="188" spans="2:13" x14ac:dyDescent="0.2">
      <c r="B188" s="151"/>
      <c r="C188" s="152"/>
      <c r="D188" s="140"/>
      <c r="E188" s="152"/>
      <c r="F188" s="140"/>
      <c r="G188" s="153"/>
      <c r="H188" s="140" t="str">
        <f t="shared" si="58"/>
        <v>Mars</v>
      </c>
      <c r="I188" s="150"/>
      <c r="J188" s="140" t="str">
        <f t="shared" si="59"/>
        <v>Mercury</v>
      </c>
      <c r="K188" s="150"/>
      <c r="L188" s="140" t="str">
        <f t="shared" si="60"/>
        <v>Mercury</v>
      </c>
      <c r="M188" s="144">
        <f t="shared" si="61"/>
        <v>38154.680569754964</v>
      </c>
    </row>
    <row r="189" spans="2:13" x14ac:dyDescent="0.2">
      <c r="B189" s="151"/>
      <c r="C189" s="152"/>
      <c r="D189" s="140"/>
      <c r="E189" s="152"/>
      <c r="F189" s="140"/>
      <c r="G189" s="153"/>
      <c r="H189" s="140" t="str">
        <f t="shared" si="58"/>
        <v>Mars</v>
      </c>
      <c r="I189" s="150"/>
      <c r="J189" s="140" t="str">
        <f t="shared" si="59"/>
        <v>Mercury</v>
      </c>
      <c r="K189" s="150"/>
      <c r="L189" s="140" t="str">
        <f t="shared" si="60"/>
        <v>Ketu</v>
      </c>
      <c r="M189" s="144">
        <f t="shared" si="61"/>
        <v>38154.703850760474</v>
      </c>
    </row>
    <row r="190" spans="2:13" x14ac:dyDescent="0.2">
      <c r="B190" s="151"/>
      <c r="C190" s="152"/>
      <c r="D190" s="140"/>
      <c r="E190" s="152"/>
      <c r="F190" s="140"/>
      <c r="G190" s="153"/>
      <c r="H190" s="140" t="str">
        <f t="shared" si="58"/>
        <v>Mars</v>
      </c>
      <c r="I190" s="150"/>
      <c r="J190" s="140" t="str">
        <f t="shared" si="59"/>
        <v>Mercury</v>
      </c>
      <c r="K190" s="150"/>
      <c r="L190" s="140" t="str">
        <f t="shared" si="60"/>
        <v>Venus</v>
      </c>
      <c r="M190" s="144">
        <f t="shared" si="61"/>
        <v>38154.71343705686</v>
      </c>
    </row>
    <row r="191" spans="2:13" x14ac:dyDescent="0.2">
      <c r="B191" s="151"/>
      <c r="C191" s="152"/>
      <c r="D191" s="140"/>
      <c r="E191" s="152"/>
      <c r="F191" s="140"/>
      <c r="G191" s="153"/>
      <c r="H191" s="140" t="str">
        <f t="shared" si="58"/>
        <v>Mars</v>
      </c>
      <c r="I191" s="150"/>
      <c r="J191" s="140" t="str">
        <f t="shared" si="59"/>
        <v>Mercury</v>
      </c>
      <c r="K191" s="150"/>
      <c r="L191" s="140" t="str">
        <f t="shared" si="60"/>
        <v>Sun</v>
      </c>
      <c r="M191" s="144">
        <f t="shared" si="61"/>
        <v>38154.740826475107</v>
      </c>
    </row>
    <row r="192" spans="2:13" x14ac:dyDescent="0.2">
      <c r="B192" s="151"/>
      <c r="C192" s="152"/>
      <c r="D192" s="140"/>
      <c r="E192" s="152"/>
      <c r="F192" s="140"/>
      <c r="G192" s="153"/>
      <c r="H192" s="140" t="str">
        <f t="shared" si="58"/>
        <v>Mars</v>
      </c>
      <c r="I192" s="150"/>
      <c r="J192" s="140" t="str">
        <f t="shared" si="59"/>
        <v>Mercury</v>
      </c>
      <c r="K192" s="150"/>
      <c r="L192" s="140" t="str">
        <f t="shared" si="60"/>
        <v>Moon</v>
      </c>
      <c r="M192" s="144">
        <f t="shared" si="61"/>
        <v>38154.749043300581</v>
      </c>
    </row>
    <row r="193" spans="2:13" x14ac:dyDescent="0.2">
      <c r="B193" s="151"/>
      <c r="C193" s="152"/>
      <c r="D193" s="140"/>
      <c r="E193" s="152"/>
      <c r="F193" s="140"/>
      <c r="G193" s="153"/>
      <c r="H193" s="140" t="str">
        <f t="shared" si="58"/>
        <v>Mars</v>
      </c>
      <c r="I193" s="150"/>
      <c r="J193" s="140" t="str">
        <f t="shared" si="59"/>
        <v>Ketu</v>
      </c>
      <c r="K193" s="144">
        <f>K184+DaysInYear*VLOOKUP($D$148,DasaYears,2,FALSE)/120*VLOOKUP($F$148,DasaYears,2,FALSE)*VLOOKUP(H184,DasaYears,2,FALSE)/120*VLOOKUP(J184,DasaYears,2,FALSE)/120*VLOOKUP($B$148,DasaYears,2,FALSE)/120</f>
        <v>38154.762738009711</v>
      </c>
      <c r="L193" s="140" t="str">
        <f t="shared" si="60"/>
        <v>Mars</v>
      </c>
      <c r="M193" s="144">
        <f t="shared" si="61"/>
        <v>38154.762738009704</v>
      </c>
    </row>
    <row r="194" spans="2:13" x14ac:dyDescent="0.2">
      <c r="B194" s="151"/>
      <c r="C194" s="152"/>
      <c r="D194" s="140"/>
      <c r="E194" s="152"/>
      <c r="F194" s="140"/>
      <c r="G194" s="153"/>
      <c r="H194" s="140" t="str">
        <f t="shared" si="58"/>
        <v>Mars</v>
      </c>
      <c r="I194" s="150"/>
      <c r="J194" s="140" t="str">
        <f t="shared" si="59"/>
        <v>Ketu</v>
      </c>
      <c r="K194" s="150"/>
      <c r="L194" s="140" t="str">
        <f t="shared" si="60"/>
        <v>Rahu</v>
      </c>
      <c r="M194" s="144">
        <f t="shared" si="61"/>
        <v>38154.766685308212</v>
      </c>
    </row>
    <row r="195" spans="2:13" x14ac:dyDescent="0.2">
      <c r="B195" s="151"/>
      <c r="C195" s="152"/>
      <c r="D195" s="140"/>
      <c r="E195" s="152"/>
      <c r="F195" s="140"/>
      <c r="G195" s="153"/>
      <c r="H195" s="140" t="str">
        <f t="shared" si="58"/>
        <v>Mars</v>
      </c>
      <c r="I195" s="150"/>
      <c r="J195" s="140" t="str">
        <f t="shared" si="59"/>
        <v>Ketu</v>
      </c>
      <c r="K195" s="150"/>
      <c r="L195" s="140" t="str">
        <f t="shared" si="60"/>
        <v>Jupiter</v>
      </c>
      <c r="M195" s="144">
        <f t="shared" si="61"/>
        <v>38154.776835504388</v>
      </c>
    </row>
    <row r="196" spans="2:13" x14ac:dyDescent="0.2">
      <c r="B196" s="151"/>
      <c r="C196" s="152"/>
      <c r="D196" s="140"/>
      <c r="E196" s="152"/>
      <c r="F196" s="140"/>
      <c r="G196" s="153"/>
      <c r="H196" s="140" t="str">
        <f t="shared" si="58"/>
        <v>Mars</v>
      </c>
      <c r="I196" s="150"/>
      <c r="J196" s="140" t="str">
        <f t="shared" si="59"/>
        <v>Ketu</v>
      </c>
      <c r="K196" s="150"/>
      <c r="L196" s="140" t="str">
        <f t="shared" si="60"/>
        <v>Saturn</v>
      </c>
      <c r="M196" s="144">
        <f t="shared" si="61"/>
        <v>38154.785857900984</v>
      </c>
    </row>
    <row r="197" spans="2:13" x14ac:dyDescent="0.2">
      <c r="B197" s="151"/>
      <c r="C197" s="152"/>
      <c r="D197" s="140"/>
      <c r="E197" s="152"/>
      <c r="F197" s="140"/>
      <c r="G197" s="153"/>
      <c r="H197" s="140" t="str">
        <f t="shared" si="58"/>
        <v>Mars</v>
      </c>
      <c r="I197" s="150"/>
      <c r="J197" s="140" t="str">
        <f t="shared" si="59"/>
        <v>Ketu</v>
      </c>
      <c r="K197" s="150"/>
      <c r="L197" s="140" t="str">
        <f t="shared" si="60"/>
        <v>Mercury</v>
      </c>
      <c r="M197" s="144">
        <f t="shared" si="61"/>
        <v>38154.796571996943</v>
      </c>
    </row>
    <row r="198" spans="2:13" x14ac:dyDescent="0.2">
      <c r="B198" s="151"/>
      <c r="C198" s="152"/>
      <c r="D198" s="140"/>
      <c r="E198" s="152"/>
      <c r="F198" s="140"/>
      <c r="G198" s="153"/>
      <c r="H198" s="140" t="str">
        <f t="shared" si="58"/>
        <v>Mars</v>
      </c>
      <c r="I198" s="150"/>
      <c r="J198" s="140" t="str">
        <f t="shared" si="59"/>
        <v>Ketu</v>
      </c>
      <c r="K198" s="150"/>
      <c r="L198" s="140" t="str">
        <f t="shared" si="60"/>
        <v>Ketu</v>
      </c>
      <c r="M198" s="144">
        <f t="shared" si="61"/>
        <v>38154.80615829333</v>
      </c>
    </row>
    <row r="199" spans="2:13" x14ac:dyDescent="0.2">
      <c r="B199" s="151"/>
      <c r="C199" s="152"/>
      <c r="D199" s="140"/>
      <c r="E199" s="152"/>
      <c r="F199" s="140"/>
      <c r="G199" s="153"/>
      <c r="H199" s="140" t="str">
        <f t="shared" si="58"/>
        <v>Mars</v>
      </c>
      <c r="I199" s="150"/>
      <c r="J199" s="140" t="str">
        <f t="shared" si="59"/>
        <v>Ketu</v>
      </c>
      <c r="K199" s="150"/>
      <c r="L199" s="140" t="str">
        <f t="shared" si="60"/>
        <v>Venus</v>
      </c>
      <c r="M199" s="144">
        <f t="shared" si="61"/>
        <v>38154.810105591838</v>
      </c>
    </row>
    <row r="200" spans="2:13" x14ac:dyDescent="0.2">
      <c r="B200" s="151"/>
      <c r="C200" s="152"/>
      <c r="D200" s="140"/>
      <c r="E200" s="152"/>
      <c r="F200" s="140"/>
      <c r="G200" s="153"/>
      <c r="H200" s="140" t="str">
        <f t="shared" si="58"/>
        <v>Mars</v>
      </c>
      <c r="I200" s="150"/>
      <c r="J200" s="140" t="str">
        <f t="shared" si="59"/>
        <v>Ketu</v>
      </c>
      <c r="K200" s="150"/>
      <c r="L200" s="140" t="str">
        <f t="shared" si="60"/>
        <v>Sun</v>
      </c>
      <c r="M200" s="144">
        <f t="shared" si="61"/>
        <v>38154.821383587587</v>
      </c>
    </row>
    <row r="201" spans="2:13" x14ac:dyDescent="0.2">
      <c r="B201" s="151"/>
      <c r="C201" s="152"/>
      <c r="D201" s="140"/>
      <c r="E201" s="152"/>
      <c r="F201" s="140"/>
      <c r="G201" s="153"/>
      <c r="H201" s="140" t="str">
        <f t="shared" si="58"/>
        <v>Mars</v>
      </c>
      <c r="I201" s="150"/>
      <c r="J201" s="140" t="str">
        <f t="shared" si="59"/>
        <v>Ketu</v>
      </c>
      <c r="K201" s="150"/>
      <c r="L201" s="140" t="str">
        <f t="shared" si="60"/>
        <v>Moon</v>
      </c>
      <c r="M201" s="144">
        <f t="shared" si="61"/>
        <v>38154.824766986312</v>
      </c>
    </row>
    <row r="202" spans="2:13" x14ac:dyDescent="0.2">
      <c r="B202" s="151"/>
      <c r="C202" s="152"/>
      <c r="D202" s="140"/>
      <c r="E202" s="152"/>
      <c r="F202" s="140"/>
      <c r="G202" s="153"/>
      <c r="H202" s="140" t="str">
        <f t="shared" si="58"/>
        <v>Mars</v>
      </c>
      <c r="I202" s="150"/>
      <c r="J202" s="140" t="str">
        <f t="shared" si="59"/>
        <v>Venus</v>
      </c>
      <c r="K202" s="144">
        <f>K193+DaysInYear*VLOOKUP($D$148,DasaYears,2,FALSE)/120*VLOOKUP($F$148,DasaYears,2,FALSE)*VLOOKUP(H193,DasaYears,2,FALSE)/120*VLOOKUP(J193,DasaYears,2,FALSE)/120*VLOOKUP($B$148,DasaYears,2,FALSE)/120</f>
        <v>38154.830405984198</v>
      </c>
      <c r="L202" s="140" t="str">
        <f t="shared" si="60"/>
        <v>Mars</v>
      </c>
      <c r="M202" s="144">
        <f t="shared" si="61"/>
        <v>38154.830405984183</v>
      </c>
    </row>
    <row r="203" spans="2:13" x14ac:dyDescent="0.2">
      <c r="B203" s="151"/>
      <c r="C203" s="152"/>
      <c r="D203" s="140"/>
      <c r="E203" s="152"/>
      <c r="F203" s="140"/>
      <c r="G203" s="153"/>
      <c r="H203" s="140" t="str">
        <f t="shared" si="58"/>
        <v>Mars</v>
      </c>
      <c r="I203" s="150"/>
      <c r="J203" s="140" t="str">
        <f t="shared" si="59"/>
        <v>Venus</v>
      </c>
      <c r="K203" s="150"/>
      <c r="L203" s="140" t="str">
        <f t="shared" si="60"/>
        <v>Rahu</v>
      </c>
      <c r="M203" s="144">
        <f t="shared" si="61"/>
        <v>38154.841683979932</v>
      </c>
    </row>
    <row r="204" spans="2:13" x14ac:dyDescent="0.2">
      <c r="B204" s="151"/>
      <c r="C204" s="152"/>
      <c r="D204" s="140"/>
      <c r="E204" s="152"/>
      <c r="F204" s="140"/>
      <c r="G204" s="153"/>
      <c r="H204" s="140" t="str">
        <f t="shared" si="58"/>
        <v>Mars</v>
      </c>
      <c r="I204" s="150"/>
      <c r="J204" s="140" t="str">
        <f t="shared" si="59"/>
        <v>Venus</v>
      </c>
      <c r="K204" s="150"/>
      <c r="L204" s="140" t="str">
        <f t="shared" si="60"/>
        <v>Jupiter</v>
      </c>
      <c r="M204" s="144">
        <f t="shared" si="61"/>
        <v>38154.870684540423</v>
      </c>
    </row>
    <row r="205" spans="2:13" x14ac:dyDescent="0.2">
      <c r="B205" s="151"/>
      <c r="C205" s="152"/>
      <c r="D205" s="140"/>
      <c r="E205" s="152"/>
      <c r="F205" s="140"/>
      <c r="G205" s="153"/>
      <c r="H205" s="140" t="str">
        <f t="shared" si="58"/>
        <v>Mars</v>
      </c>
      <c r="I205" s="150"/>
      <c r="J205" s="140" t="str">
        <f t="shared" si="59"/>
        <v>Venus</v>
      </c>
      <c r="K205" s="150"/>
      <c r="L205" s="140" t="str">
        <f t="shared" si="60"/>
        <v>Saturn</v>
      </c>
      <c r="M205" s="144">
        <f t="shared" si="61"/>
        <v>38154.896462816418</v>
      </c>
    </row>
    <row r="206" spans="2:13" x14ac:dyDescent="0.2">
      <c r="B206" s="151"/>
      <c r="C206" s="152"/>
      <c r="D206" s="140"/>
      <c r="E206" s="152"/>
      <c r="F206" s="140"/>
      <c r="G206" s="153"/>
      <c r="H206" s="140" t="str">
        <f t="shared" si="58"/>
        <v>Mars</v>
      </c>
      <c r="I206" s="150"/>
      <c r="J206" s="140" t="str">
        <f t="shared" si="59"/>
        <v>Venus</v>
      </c>
      <c r="K206" s="150"/>
      <c r="L206" s="140" t="str">
        <f t="shared" si="60"/>
        <v>Mercury</v>
      </c>
      <c r="M206" s="144">
        <f t="shared" si="61"/>
        <v>38154.927074519161</v>
      </c>
    </row>
    <row r="207" spans="2:13" x14ac:dyDescent="0.2">
      <c r="B207" s="151"/>
      <c r="C207" s="152"/>
      <c r="D207" s="140"/>
      <c r="E207" s="152"/>
      <c r="F207" s="140"/>
      <c r="G207" s="153"/>
      <c r="H207" s="140" t="str">
        <f t="shared" si="58"/>
        <v>Mars</v>
      </c>
      <c r="I207" s="150"/>
      <c r="J207" s="140" t="str">
        <f t="shared" si="59"/>
        <v>Venus</v>
      </c>
      <c r="K207" s="150"/>
      <c r="L207" s="140" t="str">
        <f t="shared" si="60"/>
        <v>Ketu</v>
      </c>
      <c r="M207" s="144">
        <f t="shared" si="61"/>
        <v>38154.954463937407</v>
      </c>
    </row>
    <row r="208" spans="2:13" x14ac:dyDescent="0.2">
      <c r="B208" s="151"/>
      <c r="C208" s="152"/>
      <c r="D208" s="140"/>
      <c r="E208" s="152"/>
      <c r="F208" s="140"/>
      <c r="G208" s="153"/>
      <c r="H208" s="140" t="str">
        <f t="shared" si="58"/>
        <v>Mars</v>
      </c>
      <c r="I208" s="150"/>
      <c r="J208" s="140" t="str">
        <f t="shared" si="59"/>
        <v>Venus</v>
      </c>
      <c r="K208" s="150"/>
      <c r="L208" s="140" t="str">
        <f t="shared" si="60"/>
        <v>Venus</v>
      </c>
      <c r="M208" s="144">
        <f t="shared" si="61"/>
        <v>38154.965741933156</v>
      </c>
    </row>
    <row r="209" spans="2:13" x14ac:dyDescent="0.2">
      <c r="B209" s="151"/>
      <c r="C209" s="152"/>
      <c r="D209" s="140"/>
      <c r="E209" s="152"/>
      <c r="F209" s="140"/>
      <c r="G209" s="153"/>
      <c r="H209" s="140" t="str">
        <f t="shared" si="58"/>
        <v>Mars</v>
      </c>
      <c r="I209" s="150"/>
      <c r="J209" s="140" t="str">
        <f t="shared" si="59"/>
        <v>Venus</v>
      </c>
      <c r="K209" s="150"/>
      <c r="L209" s="140" t="str">
        <f t="shared" si="60"/>
        <v>Sun</v>
      </c>
      <c r="M209" s="144">
        <f t="shared" si="61"/>
        <v>38154.997964778151</v>
      </c>
    </row>
    <row r="210" spans="2:13" x14ac:dyDescent="0.2">
      <c r="B210" s="151"/>
      <c r="C210" s="152"/>
      <c r="D210" s="140"/>
      <c r="E210" s="152"/>
      <c r="F210" s="140"/>
      <c r="G210" s="153"/>
      <c r="H210" s="140" t="str">
        <f t="shared" si="58"/>
        <v>Mars</v>
      </c>
      <c r="I210" s="150"/>
      <c r="J210" s="140" t="str">
        <f t="shared" si="59"/>
        <v>Venus</v>
      </c>
      <c r="K210" s="150"/>
      <c r="L210" s="140" t="str">
        <f t="shared" si="60"/>
        <v>Moon</v>
      </c>
      <c r="M210" s="144">
        <f t="shared" si="61"/>
        <v>38155.007631631648</v>
      </c>
    </row>
    <row r="211" spans="2:13" x14ac:dyDescent="0.2">
      <c r="B211" s="151"/>
      <c r="C211" s="152"/>
      <c r="D211" s="140"/>
      <c r="E211" s="152"/>
      <c r="F211" s="140"/>
      <c r="G211" s="153"/>
      <c r="H211" s="140" t="str">
        <f t="shared" si="58"/>
        <v>Mars</v>
      </c>
      <c r="I211" s="150"/>
      <c r="J211" s="140" t="str">
        <f t="shared" si="59"/>
        <v>Sun</v>
      </c>
      <c r="K211" s="144">
        <f>K202+DaysInYear*VLOOKUP($D$148,DasaYears,2,FALSE)/120*VLOOKUP($F$148,DasaYears,2,FALSE)*VLOOKUP(H202,DasaYears,2,FALSE)/120*VLOOKUP(J202,DasaYears,2,FALSE)/120*VLOOKUP($B$148,DasaYears,2,FALSE)/120</f>
        <v>38155.023743054153</v>
      </c>
      <c r="L211" s="140" t="str">
        <f t="shared" si="60"/>
        <v>Mars</v>
      </c>
      <c r="M211" s="144">
        <f t="shared" si="61"/>
        <v>38155.023743054146</v>
      </c>
    </row>
    <row r="212" spans="2:13" x14ac:dyDescent="0.2">
      <c r="B212" s="151"/>
      <c r="C212" s="152"/>
      <c r="D212" s="140"/>
      <c r="E212" s="152"/>
      <c r="F212" s="140"/>
      <c r="G212" s="153"/>
      <c r="H212" s="140" t="str">
        <f t="shared" si="58"/>
        <v>Mars</v>
      </c>
      <c r="I212" s="150"/>
      <c r="J212" s="140" t="str">
        <f t="shared" si="59"/>
        <v>Sun</v>
      </c>
      <c r="K212" s="150"/>
      <c r="L212" s="140" t="str">
        <f t="shared" si="60"/>
        <v>Rahu</v>
      </c>
      <c r="M212" s="144">
        <f t="shared" si="61"/>
        <v>38155.027126452871</v>
      </c>
    </row>
    <row r="213" spans="2:13" x14ac:dyDescent="0.2">
      <c r="B213" s="151"/>
      <c r="C213" s="152"/>
      <c r="D213" s="140"/>
      <c r="E213" s="152"/>
      <c r="F213" s="140"/>
      <c r="G213" s="153"/>
      <c r="H213" s="140" t="str">
        <f t="shared" ref="H213:H228" si="62">INDEX(DasaYears,(MOD(VLOOKUP(H212,DasaYears,3,FALSE)+IF(VLOOKUP($F$148,ChartInfo,11),-1,1)*NOT(ISBLANK(I213)),9)+1),1)</f>
        <v>Mars</v>
      </c>
      <c r="I213" s="150"/>
      <c r="J213" s="140" t="str">
        <f t="shared" ref="J213:J228" si="63">INDEX(DasaYears,(MOD(VLOOKUP(J212,DasaYears,3,FALSE)+IF(VLOOKUP(H212,ChartInfo,11),-1,1)*NOT(ISBLANK(K213)),9)+1),1)</f>
        <v>Sun</v>
      </c>
      <c r="K213" s="150"/>
      <c r="L213" s="140" t="str">
        <f t="shared" ref="L213:L228" si="64">INDEX(DasaYears,(MOD(VLOOKUP(L212,DasaYears,3,FALSE)+IF(VLOOKUP(J212,ChartInfo,11),-1,1)*NOT(ISBLANK(M213)),9)+1),1)</f>
        <v>Jupiter</v>
      </c>
      <c r="M213" s="144">
        <f t="shared" ref="M213:M229" si="65">M212+DaysInYear*VLOOKUP($F$148,DasaYears,2,FALSE)/120*VLOOKUP(H212,DasaYears,2,FALSE)*VLOOKUP(J212,DasaYears,2,FALSE)/120*VLOOKUP(L212,DasaYears,2,FALSE)/120*VLOOKUP($D$148,DasaYears,2,FALSE)/120*VLOOKUP($B$148,DasaYears,2,FALSE)/120</f>
        <v>38155.035826621017</v>
      </c>
    </row>
    <row r="214" spans="2:13" x14ac:dyDescent="0.2">
      <c r="B214" s="151"/>
      <c r="C214" s="152"/>
      <c r="D214" s="140"/>
      <c r="E214" s="152"/>
      <c r="F214" s="140"/>
      <c r="G214" s="153"/>
      <c r="H214" s="140" t="str">
        <f t="shared" si="62"/>
        <v>Mars</v>
      </c>
      <c r="I214" s="150"/>
      <c r="J214" s="140" t="str">
        <f t="shared" si="63"/>
        <v>Sun</v>
      </c>
      <c r="K214" s="150"/>
      <c r="L214" s="140" t="str">
        <f t="shared" si="64"/>
        <v>Saturn</v>
      </c>
      <c r="M214" s="144">
        <f t="shared" si="65"/>
        <v>38155.043560103812</v>
      </c>
    </row>
    <row r="215" spans="2:13" x14ac:dyDescent="0.2">
      <c r="B215" s="151"/>
      <c r="C215" s="152"/>
      <c r="D215" s="140"/>
      <c r="E215" s="152"/>
      <c r="F215" s="140"/>
      <c r="G215" s="153"/>
      <c r="H215" s="140" t="str">
        <f t="shared" si="62"/>
        <v>Mars</v>
      </c>
      <c r="I215" s="150"/>
      <c r="J215" s="140" t="str">
        <f t="shared" si="63"/>
        <v>Sun</v>
      </c>
      <c r="K215" s="150"/>
      <c r="L215" s="140" t="str">
        <f t="shared" si="64"/>
        <v>Mercury</v>
      </c>
      <c r="M215" s="144">
        <f t="shared" si="65"/>
        <v>38155.052743614637</v>
      </c>
    </row>
    <row r="216" spans="2:13" x14ac:dyDescent="0.2">
      <c r="B216" s="151"/>
      <c r="C216" s="152"/>
      <c r="D216" s="140"/>
      <c r="E216" s="152"/>
      <c r="F216" s="140"/>
      <c r="G216" s="153"/>
      <c r="H216" s="140" t="str">
        <f t="shared" si="62"/>
        <v>Mars</v>
      </c>
      <c r="I216" s="150"/>
      <c r="J216" s="140" t="str">
        <f t="shared" si="63"/>
        <v>Sun</v>
      </c>
      <c r="K216" s="150"/>
      <c r="L216" s="140" t="str">
        <f t="shared" si="64"/>
        <v>Ketu</v>
      </c>
      <c r="M216" s="144">
        <f t="shared" si="65"/>
        <v>38155.060960440111</v>
      </c>
    </row>
    <row r="217" spans="2:13" x14ac:dyDescent="0.2">
      <c r="B217" s="151"/>
      <c r="C217" s="152"/>
      <c r="D217" s="140"/>
      <c r="E217" s="152"/>
      <c r="F217" s="140"/>
      <c r="G217" s="153"/>
      <c r="H217" s="140" t="str">
        <f t="shared" si="62"/>
        <v>Mars</v>
      </c>
      <c r="I217" s="150"/>
      <c r="J217" s="140" t="str">
        <f t="shared" si="63"/>
        <v>Sun</v>
      </c>
      <c r="K217" s="150"/>
      <c r="L217" s="140" t="str">
        <f t="shared" si="64"/>
        <v>Venus</v>
      </c>
      <c r="M217" s="144">
        <f t="shared" si="65"/>
        <v>38155.064343838836</v>
      </c>
    </row>
    <row r="218" spans="2:13" x14ac:dyDescent="0.2">
      <c r="B218" s="151"/>
      <c r="C218" s="152"/>
      <c r="D218" s="140"/>
      <c r="E218" s="152"/>
      <c r="F218" s="140"/>
      <c r="G218" s="153"/>
      <c r="H218" s="140" t="str">
        <f t="shared" si="62"/>
        <v>Mars</v>
      </c>
      <c r="I218" s="150"/>
      <c r="J218" s="140" t="str">
        <f t="shared" si="63"/>
        <v>Sun</v>
      </c>
      <c r="K218" s="150"/>
      <c r="L218" s="140" t="str">
        <f t="shared" si="64"/>
        <v>Sun</v>
      </c>
      <c r="M218" s="144">
        <f t="shared" si="65"/>
        <v>38155.074010692333</v>
      </c>
    </row>
    <row r="219" spans="2:13" x14ac:dyDescent="0.2">
      <c r="B219" s="151"/>
      <c r="C219" s="152"/>
      <c r="D219" s="140"/>
      <c r="E219" s="152"/>
      <c r="F219" s="140"/>
      <c r="G219" s="153"/>
      <c r="H219" s="140" t="str">
        <f t="shared" si="62"/>
        <v>Mars</v>
      </c>
      <c r="I219" s="150"/>
      <c r="J219" s="140" t="str">
        <f t="shared" si="63"/>
        <v>Sun</v>
      </c>
      <c r="K219" s="150"/>
      <c r="L219" s="140" t="str">
        <f t="shared" si="64"/>
        <v>Moon</v>
      </c>
      <c r="M219" s="144">
        <f t="shared" si="65"/>
        <v>38155.076910748379</v>
      </c>
    </row>
    <row r="220" spans="2:13" x14ac:dyDescent="0.2">
      <c r="B220" s="151"/>
      <c r="C220" s="152"/>
      <c r="D220" s="140"/>
      <c r="E220" s="152"/>
      <c r="F220" s="140"/>
      <c r="G220" s="153"/>
      <c r="H220" s="140" t="str">
        <f t="shared" si="62"/>
        <v>Mars</v>
      </c>
      <c r="I220" s="150"/>
      <c r="J220" s="140" t="str">
        <f t="shared" si="63"/>
        <v>Moon</v>
      </c>
      <c r="K220" s="144">
        <f>K211+DaysInYear*VLOOKUP($D$148,DasaYears,2,FALSE)/120*VLOOKUP($F$148,DasaYears,2,FALSE)*VLOOKUP(H211,DasaYears,2,FALSE)/120*VLOOKUP(J211,DasaYears,2,FALSE)/120*VLOOKUP($B$148,DasaYears,2,FALSE)/120</f>
        <v>38155.081744175142</v>
      </c>
      <c r="L220" s="140" t="str">
        <f t="shared" si="64"/>
        <v>Mars</v>
      </c>
      <c r="M220" s="144">
        <f t="shared" si="65"/>
        <v>38155.081744175128</v>
      </c>
    </row>
    <row r="221" spans="2:13" x14ac:dyDescent="0.2">
      <c r="B221" s="151"/>
      <c r="C221" s="152"/>
      <c r="D221" s="140"/>
      <c r="E221" s="152"/>
      <c r="F221" s="140"/>
      <c r="G221" s="153"/>
      <c r="H221" s="140" t="str">
        <f t="shared" si="62"/>
        <v>Mars</v>
      </c>
      <c r="I221" s="150"/>
      <c r="J221" s="140" t="str">
        <f t="shared" si="63"/>
        <v>Moon</v>
      </c>
      <c r="K221" s="150"/>
      <c r="L221" s="140" t="str">
        <f t="shared" si="64"/>
        <v>Rahu</v>
      </c>
      <c r="M221" s="144">
        <f t="shared" si="65"/>
        <v>38155.087383172999</v>
      </c>
    </row>
    <row r="222" spans="2:13" x14ac:dyDescent="0.2">
      <c r="B222" s="151"/>
      <c r="C222" s="152"/>
      <c r="D222" s="140"/>
      <c r="E222" s="152"/>
      <c r="F222" s="140"/>
      <c r="G222" s="153"/>
      <c r="H222" s="140" t="str">
        <f t="shared" si="62"/>
        <v>Mars</v>
      </c>
      <c r="I222" s="150"/>
      <c r="J222" s="140" t="str">
        <f t="shared" si="63"/>
        <v>Moon</v>
      </c>
      <c r="K222" s="150"/>
      <c r="L222" s="140" t="str">
        <f t="shared" si="64"/>
        <v>Jupiter</v>
      </c>
      <c r="M222" s="144">
        <f t="shared" si="65"/>
        <v>38155.101883453244</v>
      </c>
    </row>
    <row r="223" spans="2:13" x14ac:dyDescent="0.2">
      <c r="B223" s="151"/>
      <c r="C223" s="152"/>
      <c r="D223" s="140"/>
      <c r="E223" s="152"/>
      <c r="F223" s="140"/>
      <c r="G223" s="153"/>
      <c r="H223" s="140" t="str">
        <f t="shared" si="62"/>
        <v>Mars</v>
      </c>
      <c r="I223" s="150"/>
      <c r="J223" s="140" t="str">
        <f t="shared" si="63"/>
        <v>Moon</v>
      </c>
      <c r="K223" s="150"/>
      <c r="L223" s="140" t="str">
        <f t="shared" si="64"/>
        <v>Saturn</v>
      </c>
      <c r="M223" s="144">
        <f t="shared" si="65"/>
        <v>38155.114772591238</v>
      </c>
    </row>
    <row r="224" spans="2:13" x14ac:dyDescent="0.2">
      <c r="B224" s="151"/>
      <c r="C224" s="152"/>
      <c r="D224" s="140"/>
      <c r="E224" s="152"/>
      <c r="F224" s="140"/>
      <c r="G224" s="153"/>
      <c r="H224" s="140" t="str">
        <f t="shared" si="62"/>
        <v>Mars</v>
      </c>
      <c r="I224" s="150"/>
      <c r="J224" s="140" t="str">
        <f t="shared" si="63"/>
        <v>Moon</v>
      </c>
      <c r="K224" s="150"/>
      <c r="L224" s="140" t="str">
        <f t="shared" si="64"/>
        <v>Mercury</v>
      </c>
      <c r="M224" s="144">
        <f t="shared" si="65"/>
        <v>38155.130078442606</v>
      </c>
    </row>
    <row r="225" spans="1:29" x14ac:dyDescent="0.2">
      <c r="B225" s="151"/>
      <c r="C225" s="152"/>
      <c r="D225" s="140"/>
      <c r="E225" s="152"/>
      <c r="F225" s="140"/>
      <c r="G225" s="153"/>
      <c r="H225" s="140" t="str">
        <f t="shared" si="62"/>
        <v>Mars</v>
      </c>
      <c r="I225" s="150"/>
      <c r="J225" s="140" t="str">
        <f t="shared" si="63"/>
        <v>Moon</v>
      </c>
      <c r="K225" s="150"/>
      <c r="L225" s="140" t="str">
        <f t="shared" si="64"/>
        <v>Ketu</v>
      </c>
      <c r="M225" s="144">
        <f t="shared" si="65"/>
        <v>38155.143773151729</v>
      </c>
    </row>
    <row r="226" spans="1:29" x14ac:dyDescent="0.2">
      <c r="B226" s="151"/>
      <c r="C226" s="152"/>
      <c r="D226" s="140"/>
      <c r="E226" s="152"/>
      <c r="F226" s="140"/>
      <c r="G226" s="153"/>
      <c r="H226" s="140" t="str">
        <f t="shared" si="62"/>
        <v>Mars</v>
      </c>
      <c r="I226" s="150"/>
      <c r="J226" s="140" t="str">
        <f t="shared" si="63"/>
        <v>Moon</v>
      </c>
      <c r="K226" s="150"/>
      <c r="L226" s="140" t="str">
        <f t="shared" si="64"/>
        <v>Venus</v>
      </c>
      <c r="M226" s="144">
        <f t="shared" si="65"/>
        <v>38155.1494121496</v>
      </c>
    </row>
    <row r="227" spans="1:29" x14ac:dyDescent="0.2">
      <c r="B227" s="151"/>
      <c r="C227" s="152"/>
      <c r="D227" s="140"/>
      <c r="E227" s="152"/>
      <c r="F227" s="140"/>
      <c r="G227" s="153"/>
      <c r="H227" s="140" t="str">
        <f t="shared" si="62"/>
        <v>Mars</v>
      </c>
      <c r="I227" s="150"/>
      <c r="J227" s="140" t="str">
        <f t="shared" si="63"/>
        <v>Moon</v>
      </c>
      <c r="K227" s="150"/>
      <c r="L227" s="140" t="str">
        <f t="shared" si="64"/>
        <v>Sun</v>
      </c>
      <c r="M227" s="144">
        <f t="shared" si="65"/>
        <v>38155.165523572097</v>
      </c>
    </row>
    <row r="228" spans="1:29" x14ac:dyDescent="0.2">
      <c r="B228" s="151"/>
      <c r="C228" s="152"/>
      <c r="D228" s="140"/>
      <c r="E228" s="152"/>
      <c r="F228" s="140"/>
      <c r="G228" s="153"/>
      <c r="H228" s="140" t="str">
        <f t="shared" si="62"/>
        <v>Mars</v>
      </c>
      <c r="I228" s="150"/>
      <c r="J228" s="140" t="str">
        <f t="shared" si="63"/>
        <v>Moon</v>
      </c>
      <c r="K228" s="150"/>
      <c r="L228" s="140" t="str">
        <f t="shared" si="64"/>
        <v>Moon</v>
      </c>
      <c r="M228" s="144">
        <f t="shared" si="65"/>
        <v>38155.170356998846</v>
      </c>
    </row>
    <row r="229" spans="1:29" x14ac:dyDescent="0.2">
      <c r="M229" s="144">
        <f t="shared" si="65"/>
        <v>38155.178412710091</v>
      </c>
    </row>
    <row r="231" spans="1:29" s="1" customFormat="1" x14ac:dyDescent="0.2">
      <c r="E231" s="1521" t="s">
        <v>1126</v>
      </c>
      <c r="F231" s="1521"/>
      <c r="G231" s="34">
        <v>1</v>
      </c>
      <c r="H231" s="35" t="s">
        <v>1127</v>
      </c>
      <c r="I231" s="26"/>
      <c r="J231" s="26"/>
    </row>
    <row r="232" spans="1:29" s="1" customFormat="1" x14ac:dyDescent="0.2"/>
    <row r="233" spans="1:29" s="39" customFormat="1" ht="14.25" x14ac:dyDescent="0.15">
      <c r="A233" s="36" t="s">
        <v>1128</v>
      </c>
      <c r="B233" s="37"/>
      <c r="C233" s="37"/>
      <c r="D233" s="37"/>
      <c r="E233" s="38"/>
      <c r="G233" s="1522" t="s">
        <v>1129</v>
      </c>
      <c r="H233" s="1522"/>
      <c r="I233" s="1522"/>
      <c r="J233" s="1522"/>
      <c r="K233" s="38"/>
      <c r="M233" s="36" t="s">
        <v>1130</v>
      </c>
      <c r="N233" s="37"/>
      <c r="O233" s="37"/>
      <c r="P233" s="37"/>
      <c r="Q233" s="38"/>
      <c r="S233" s="36" t="s">
        <v>1131</v>
      </c>
      <c r="T233" s="37"/>
      <c r="U233" s="37"/>
      <c r="V233" s="37"/>
      <c r="W233" s="38"/>
      <c r="Y233" s="36" t="s">
        <v>1132</v>
      </c>
      <c r="Z233" s="37"/>
      <c r="AA233" s="37"/>
      <c r="AB233" s="37"/>
      <c r="AC233" s="38"/>
    </row>
    <row r="234" spans="1:29" s="1" customFormat="1" x14ac:dyDescent="0.2">
      <c r="A234" s="40" t="str">
        <f>Basics!A9</f>
        <v>Moon</v>
      </c>
      <c r="B234" s="41" t="s">
        <v>1133</v>
      </c>
      <c r="C234" s="41"/>
      <c r="D234" s="41"/>
      <c r="E234" s="42"/>
      <c r="G234" s="40" t="str">
        <f>Basics!A34</f>
        <v>Utpanna(5th) Star</v>
      </c>
      <c r="H234" s="41" t="s">
        <v>1133</v>
      </c>
      <c r="I234" s="41"/>
      <c r="J234" s="41"/>
      <c r="K234" s="42"/>
      <c r="M234" s="40" t="str">
        <f>Basics!A35</f>
        <v>Kshema(4th) Star</v>
      </c>
      <c r="N234" s="41" t="s">
        <v>1133</v>
      </c>
      <c r="O234" s="41"/>
      <c r="P234" s="41"/>
      <c r="Q234" s="42"/>
      <c r="S234" s="40" t="e">
        <f>#N/A</f>
        <v>#N/A</v>
      </c>
      <c r="T234" s="41" t="s">
        <v>1133</v>
      </c>
      <c r="U234" s="41"/>
      <c r="V234" s="41"/>
      <c r="W234" s="42"/>
      <c r="Y234" s="40" t="str">
        <f>Basics!A7</f>
        <v>Lagna</v>
      </c>
      <c r="Z234" s="41" t="s">
        <v>1133</v>
      </c>
      <c r="AA234" s="41"/>
      <c r="AB234" s="41"/>
      <c r="AC234" s="42"/>
    </row>
    <row r="235" spans="1:29" s="1" customFormat="1" x14ac:dyDescent="0.2">
      <c r="A235" s="43" t="s">
        <v>1134</v>
      </c>
      <c r="B235" s="1520">
        <f>VLOOKUP(A234,ChartInfo,7,FALSE)</f>
        <v>53.015944444444443</v>
      </c>
      <c r="C235" s="1520"/>
      <c r="D235" s="1520"/>
      <c r="E235" s="42"/>
      <c r="G235" s="43" t="s">
        <v>1134</v>
      </c>
      <c r="H235" s="1520">
        <f>VLOOKUP(G234,ChartInfo,7,FALSE)</f>
        <v>106.34927777777779</v>
      </c>
      <c r="I235" s="1520"/>
      <c r="J235" s="1520"/>
      <c r="K235" s="42"/>
      <c r="M235" s="43" t="s">
        <v>1134</v>
      </c>
      <c r="N235" s="1520">
        <f>VLOOKUP(M234,ChartInfo,7,FALSE)</f>
        <v>93.015944444444443</v>
      </c>
      <c r="O235" s="1520"/>
      <c r="P235" s="1520"/>
      <c r="Q235" s="42"/>
      <c r="S235" s="43" t="s">
        <v>1134</v>
      </c>
      <c r="T235" s="1520" t="e">
        <f>VLOOKUP(S234,ChartInfo,7,FALSE)</f>
        <v>#N/A</v>
      </c>
      <c r="U235" s="1520"/>
      <c r="V235" s="1520"/>
      <c r="W235" s="42"/>
      <c r="Y235" s="43" t="s">
        <v>1134</v>
      </c>
      <c r="Z235" s="1520">
        <f>VLOOKUP(Y234,ChartInfo,7,FALSE)</f>
        <v>136.71151666666665</v>
      </c>
      <c r="AA235" s="1520"/>
      <c r="AB235" s="1520"/>
      <c r="AC235" s="42"/>
    </row>
    <row r="236" spans="1:29" s="1" customFormat="1" x14ac:dyDescent="0.2">
      <c r="A236" s="45" t="s">
        <v>1135</v>
      </c>
      <c r="B236" s="44" t="str">
        <f>INDEX(DasaYears,D236+1,1)</f>
        <v>Moon</v>
      </c>
      <c r="C236" s="44"/>
      <c r="D236" s="41">
        <f>MOD(FLOOR(B235/StarDeg,1),9)</f>
        <v>3</v>
      </c>
      <c r="E236" s="42">
        <f>INDEX(DasaYears,MOD(FLOOR(B235/StarDeg,1),9)+1,2)</f>
        <v>10</v>
      </c>
      <c r="G236" s="45" t="s">
        <v>1135</v>
      </c>
      <c r="H236" s="44" t="str">
        <f>INDEX(DasaYears,J236+1,1)</f>
        <v>Saturn</v>
      </c>
      <c r="I236" s="44"/>
      <c r="J236" s="41">
        <f>MOD(FLOOR(H235/StarDeg,1),9)</f>
        <v>7</v>
      </c>
      <c r="K236" s="42">
        <f>INDEX(DasaYears,MOD(FLOOR(H235/StarDeg,1),9)+1,2)</f>
        <v>19</v>
      </c>
      <c r="M236" s="45" t="s">
        <v>1135</v>
      </c>
      <c r="N236" s="44" t="str">
        <f>INDEX(DasaYears,P236+1,1)</f>
        <v>Jupiter</v>
      </c>
      <c r="O236" s="44"/>
      <c r="P236" s="41">
        <f>MOD(FLOOR(N235/StarDeg,1),9)</f>
        <v>6</v>
      </c>
      <c r="Q236" s="42">
        <f>INDEX(DasaYears,MOD(FLOOR(N235/StarDeg,1),9)+1,2)</f>
        <v>16</v>
      </c>
      <c r="S236" s="45" t="s">
        <v>1135</v>
      </c>
      <c r="T236" s="44" t="e">
        <f>INDEX(DasaYears,V236+1,1)</f>
        <v>#N/A</v>
      </c>
      <c r="U236" s="44"/>
      <c r="V236" s="41" t="e">
        <f>MOD(FLOOR(T235/StarDeg,1),9)</f>
        <v>#N/A</v>
      </c>
      <c r="W236" s="42" t="e">
        <f>INDEX(DasaYears,MOD(FLOOR(T235/StarDeg,1),9)+1,2)</f>
        <v>#N/A</v>
      </c>
      <c r="Y236" s="45" t="s">
        <v>1135</v>
      </c>
      <c r="Z236" s="44" t="str">
        <f>INDEX(DasaYears,AB236+1,1)</f>
        <v>Venus</v>
      </c>
      <c r="AA236" s="44"/>
      <c r="AB236" s="41">
        <f>MOD(FLOOR(Z235/StarDeg,1),9)</f>
        <v>1</v>
      </c>
      <c r="AC236" s="42">
        <f>INDEX(DasaYears,MOD(FLOOR(Z235/StarDeg,1),9)+1,2)</f>
        <v>20</v>
      </c>
    </row>
    <row r="237" spans="1:29" s="1" customFormat="1" x14ac:dyDescent="0.2">
      <c r="A237" s="45" t="s">
        <v>1136</v>
      </c>
      <c r="B237" s="1519">
        <f>((StarDeg-MOD(B235,StarDeg))/StarDeg)*E236</f>
        <v>0.23804166666666934</v>
      </c>
      <c r="C237" s="1519"/>
      <c r="D237" s="1519"/>
      <c r="E237" s="1519"/>
      <c r="G237" s="45" t="s">
        <v>1136</v>
      </c>
      <c r="H237" s="1519">
        <f>((StarDeg-MOD(H235,StarDeg))/StarDeg)*K236</f>
        <v>0.45227916666666168</v>
      </c>
      <c r="I237" s="1519"/>
      <c r="J237" s="1519"/>
      <c r="K237" s="1519"/>
      <c r="M237" s="45" t="s">
        <v>1136</v>
      </c>
      <c r="N237" s="1519">
        <f>((StarDeg-MOD(N235,StarDeg))/StarDeg)*Q236</f>
        <v>0.38086666666667313</v>
      </c>
      <c r="O237" s="1519"/>
      <c r="P237" s="1519"/>
      <c r="Q237" s="1519"/>
      <c r="S237" s="45" t="s">
        <v>1136</v>
      </c>
      <c r="T237" s="1519" t="e">
        <f>((StarDeg-MOD(T235,StarDeg))/StarDeg)*W236</f>
        <v>#N/A</v>
      </c>
      <c r="U237" s="1519"/>
      <c r="V237" s="1519"/>
      <c r="W237" s="1519"/>
      <c r="Y237" s="45" t="s">
        <v>1136</v>
      </c>
      <c r="Z237" s="1519">
        <f>((StarDeg-MOD(Z235,StarDeg))/StarDeg)*AC236</f>
        <v>14.93272500000003</v>
      </c>
      <c r="AA237" s="1519"/>
      <c r="AB237" s="1519"/>
      <c r="AC237" s="1519"/>
    </row>
    <row r="238" spans="1:29" s="1" customFormat="1" x14ac:dyDescent="0.2">
      <c r="A238" s="45" t="s">
        <v>1137</v>
      </c>
      <c r="B238" s="41"/>
      <c r="C238" s="41"/>
      <c r="D238" s="41"/>
      <c r="E238" s="42">
        <f>((MOD(B235,StarDeg))/StarDeg)*E236</f>
        <v>9.7619583333333306</v>
      </c>
      <c r="G238" s="45" t="s">
        <v>1137</v>
      </c>
      <c r="H238" s="41"/>
      <c r="I238" s="41"/>
      <c r="J238" s="41"/>
      <c r="K238" s="42">
        <f>((MOD(H235,StarDeg))/StarDeg)*K236</f>
        <v>18.547720833333337</v>
      </c>
      <c r="M238" s="45" t="s">
        <v>1137</v>
      </c>
      <c r="N238" s="41"/>
      <c r="O238" s="41"/>
      <c r="P238" s="41"/>
      <c r="Q238" s="42">
        <f>((MOD(N235,StarDeg))/StarDeg)*Q236</f>
        <v>15.619133333333327</v>
      </c>
      <c r="S238" s="45" t="s">
        <v>1137</v>
      </c>
      <c r="T238" s="41"/>
      <c r="U238" s="41"/>
      <c r="V238" s="41"/>
      <c r="W238" s="42" t="e">
        <f>((MOD(T235,StarDeg))/StarDeg)*W236</f>
        <v>#N/A</v>
      </c>
      <c r="Y238" s="45" t="s">
        <v>1137</v>
      </c>
      <c r="Z238" s="41"/>
      <c r="AA238" s="41"/>
      <c r="AB238" s="41"/>
      <c r="AC238" s="42">
        <f>((MOD(Z235,StarDeg))/StarDeg)*AC236</f>
        <v>5.067274999999972</v>
      </c>
    </row>
    <row r="239" spans="1:29" s="1" customFormat="1" x14ac:dyDescent="0.2">
      <c r="A239" s="45" t="str">
        <f>INDEX(DasaYears,MOD(D236,9)+1,1)</f>
        <v>Moon</v>
      </c>
      <c r="B239" s="1518">
        <f>DoB</f>
        <v>26133.384143518517</v>
      </c>
      <c r="C239" s="1518"/>
      <c r="D239" s="1518"/>
      <c r="E239" s="1518"/>
      <c r="F239" s="46"/>
      <c r="G239" s="45" t="str">
        <f>INDEX(DasaYears,MOD(J236,9)+1,1)</f>
        <v>Saturn</v>
      </c>
      <c r="H239" s="1518">
        <f>DoB</f>
        <v>26133.384143518517</v>
      </c>
      <c r="I239" s="1518"/>
      <c r="J239" s="1518"/>
      <c r="K239" s="1518"/>
      <c r="M239" s="45" t="str">
        <f>INDEX(DasaYears,MOD(P236,9)+1,1)</f>
        <v>Jupiter</v>
      </c>
      <c r="N239" s="1518">
        <f>DoB</f>
        <v>26133.384143518517</v>
      </c>
      <c r="O239" s="1518"/>
      <c r="P239" s="1518"/>
      <c r="Q239" s="1518"/>
      <c r="S239" s="45" t="e">
        <f>INDEX(DasaYears,MOD(V236,9)+1,1)</f>
        <v>#N/A</v>
      </c>
      <c r="T239" s="1518">
        <f>DoB</f>
        <v>26133.384143518517</v>
      </c>
      <c r="U239" s="1518"/>
      <c r="V239" s="1518"/>
      <c r="W239" s="1518"/>
      <c r="Y239" s="45" t="str">
        <f>INDEX(DasaYears,MOD(AB236,9)+1,1)</f>
        <v>Venus</v>
      </c>
      <c r="Z239" s="1518">
        <f>DoB</f>
        <v>26133.384143518517</v>
      </c>
      <c r="AA239" s="1518"/>
      <c r="AB239" s="1518"/>
      <c r="AC239" s="1518"/>
    </row>
    <row r="240" spans="1:29" s="1" customFormat="1" x14ac:dyDescent="0.2">
      <c r="A240" s="45"/>
      <c r="B240" s="41"/>
      <c r="C240" s="41"/>
      <c r="D240" s="41"/>
      <c r="E240" s="42"/>
      <c r="G240" s="45"/>
      <c r="H240" s="41"/>
      <c r="I240" s="41"/>
      <c r="J240" s="41"/>
      <c r="K240" s="42"/>
      <c r="M240" s="45"/>
      <c r="N240" s="41"/>
      <c r="O240" s="41"/>
      <c r="P240" s="41"/>
      <c r="Q240" s="42"/>
      <c r="S240" s="45"/>
      <c r="T240" s="41"/>
      <c r="U240" s="41"/>
      <c r="V240" s="41"/>
      <c r="W240" s="42"/>
      <c r="Y240" s="45"/>
      <c r="Z240" s="41"/>
      <c r="AA240" s="41"/>
      <c r="AB240" s="41"/>
      <c r="AC240" s="42"/>
    </row>
    <row r="241" spans="1:29" s="1" customFormat="1" x14ac:dyDescent="0.2">
      <c r="A241" s="45"/>
      <c r="B241" s="41"/>
      <c r="C241" s="41"/>
      <c r="D241" s="41"/>
      <c r="E241" s="42"/>
      <c r="G241" s="45"/>
      <c r="H241" s="41"/>
      <c r="I241" s="41"/>
      <c r="J241" s="41"/>
      <c r="K241" s="42"/>
      <c r="M241" s="45"/>
      <c r="N241" s="41"/>
      <c r="O241" s="41"/>
      <c r="P241" s="41"/>
      <c r="Q241" s="42"/>
      <c r="S241" s="45"/>
      <c r="T241" s="41"/>
      <c r="U241" s="41"/>
      <c r="V241" s="41"/>
      <c r="W241" s="42"/>
      <c r="Y241" s="45"/>
      <c r="Z241" s="41"/>
      <c r="AA241" s="41"/>
      <c r="AB241" s="41"/>
      <c r="AC241" s="42"/>
    </row>
    <row r="242" spans="1:29" s="51" customFormat="1" ht="12.75" x14ac:dyDescent="0.15">
      <c r="A242" s="47" t="str">
        <f>INDEX(DasaYears,MOD(D236,9)+1,1)</f>
        <v>Moon</v>
      </c>
      <c r="B242" s="48" t="str">
        <f>INDEX(DasaYears,MOD(D236,9)+1,1)</f>
        <v>Moon</v>
      </c>
      <c r="C242" s="48"/>
      <c r="D242" s="48"/>
      <c r="E242" s="49">
        <f t="shared" ref="E242:E250" si="66">E243-(VLOOKUP(A242,DasaYears,2,FALSE)*VLOOKUP(B242,DasaYears,2,FALSE)/VimTotal)*DaysInYear</f>
        <v>22567.781295318804</v>
      </c>
      <c r="F242" s="50"/>
      <c r="G242" s="47" t="str">
        <f>INDEX(DasaYears,MOD(J236,9)+1,1)</f>
        <v>Saturn</v>
      </c>
      <c r="H242" s="48" t="str">
        <f>INDEX(DasaYears,MOD(J236,9)+1,1)</f>
        <v>Saturn</v>
      </c>
      <c r="I242" s="48"/>
      <c r="J242" s="48"/>
      <c r="K242" s="49">
        <f t="shared" ref="K242:K250" si="67">K243-(VLOOKUP(G242,DasaYears,2,FALSE)*VLOOKUP(H242,DasaYears,2,FALSE)/VimTotal)*DaysInYear</f>
        <v>19358.738731939055</v>
      </c>
      <c r="M242" s="47" t="str">
        <f>INDEX(DasaYears,MOD(P236,9)+1,1)</f>
        <v>Jupiter</v>
      </c>
      <c r="N242" s="48" t="str">
        <f>INDEX(DasaYears,MOD(P236,9)+1,1)</f>
        <v>Jupiter</v>
      </c>
      <c r="O242" s="48"/>
      <c r="P242" s="48"/>
      <c r="Q242" s="49">
        <f t="shared" ref="Q242:Q250" si="68">Q243-(VLOOKUP(M242,DasaYears,2,FALSE)*VLOOKUP(N242,DasaYears,2,FALSE)/VimTotal)*DaysInYear</f>
        <v>20428.419586398973</v>
      </c>
      <c r="S242" s="47" t="e">
        <f>INDEX(DasaYears,MOD(V236,9)+1,1)</f>
        <v>#N/A</v>
      </c>
      <c r="T242" s="48" t="e">
        <f>INDEX(DasaYears,MOD(V236,9)+1,1)</f>
        <v>#N/A</v>
      </c>
      <c r="U242" s="48"/>
      <c r="V242" s="48"/>
      <c r="W242" s="49" t="e">
        <f t="shared" ref="W242:W250" si="69">W243-(VLOOKUP(S242,DasaYears,2,FALSE)*VLOOKUP(T242,DasaYears,2,FALSE)/VimTotal)*DaysInYear</f>
        <v>#N/A</v>
      </c>
      <c r="Y242" s="47" t="str">
        <f>INDEX(DasaYears,MOD(AB236,9)+1,1)</f>
        <v>Venus</v>
      </c>
      <c r="Z242" s="48" t="str">
        <f>INDEX(DasaYears,MOD(AB236,9)+1,1)</f>
        <v>Venus</v>
      </c>
      <c r="AA242" s="48"/>
      <c r="AB242" s="48"/>
      <c r="AC242" s="49">
        <f t="shared" ref="AC242:AC250" si="70">AC243-(VLOOKUP(Y242,DasaYears,2,FALSE)*VLOOKUP(Z242,DasaYears,2,FALSE)/VimTotal)*DaysInYear</f>
        <v>24282.53725853272</v>
      </c>
    </row>
    <row r="243" spans="1:29" s="51" customFormat="1" ht="12.75" x14ac:dyDescent="0.15">
      <c r="A243" s="47" t="str">
        <f t="shared" ref="A243:A250" si="71">A242</f>
        <v>Moon</v>
      </c>
      <c r="B243" s="48" t="str">
        <f>INDEX(DasaYears,MOD(D236-8,9)+1,1)</f>
        <v>Mars</v>
      </c>
      <c r="C243" s="48"/>
      <c r="D243" s="48"/>
      <c r="E243" s="49">
        <f t="shared" si="66"/>
        <v>22872.160355889788</v>
      </c>
      <c r="F243" s="50"/>
      <c r="G243" s="47" t="str">
        <f t="shared" ref="G243:G250" si="72">G242</f>
        <v>Saturn</v>
      </c>
      <c r="H243" s="48" t="str">
        <f>INDEX(DasaYears,MOD(J236-8,9)+1,1)</f>
        <v>Mercury</v>
      </c>
      <c r="I243" s="48"/>
      <c r="J243" s="48"/>
      <c r="K243" s="49">
        <f t="shared" si="67"/>
        <v>20457.547140600309</v>
      </c>
      <c r="M243" s="47" t="str">
        <f t="shared" ref="M243:M250" si="73">M242</f>
        <v>Jupiter</v>
      </c>
      <c r="N243" s="48" t="str">
        <f>INDEX(DasaYears,MOD(P236-8,9)+1,1)</f>
        <v>Saturn</v>
      </c>
      <c r="O243" s="48"/>
      <c r="P243" s="48"/>
      <c r="Q243" s="49">
        <f t="shared" si="68"/>
        <v>21207.629981460694</v>
      </c>
      <c r="S243" s="47" t="e">
        <f t="shared" ref="S243:S250" si="74">S242</f>
        <v>#N/A</v>
      </c>
      <c r="T243" s="48" t="e">
        <f>INDEX(DasaYears,MOD(V236-8,9)+1,1)</f>
        <v>#N/A</v>
      </c>
      <c r="U243" s="48"/>
      <c r="V243" s="48"/>
      <c r="W243" s="49" t="e">
        <f t="shared" si="69"/>
        <v>#N/A</v>
      </c>
      <c r="Y243" s="47" t="str">
        <f t="shared" ref="Y243:Y250" si="75">Y242</f>
        <v>Venus</v>
      </c>
      <c r="Z243" s="48" t="str">
        <f>INDEX(DasaYears,MOD(AB236-8,9)+1,1)</f>
        <v>Sun</v>
      </c>
      <c r="AA243" s="48"/>
      <c r="AB243" s="48"/>
      <c r="AC243" s="49">
        <f t="shared" si="70"/>
        <v>25500.053500816659</v>
      </c>
    </row>
    <row r="244" spans="1:29" s="51" customFormat="1" ht="12.75" x14ac:dyDescent="0.15">
      <c r="A244" s="47" t="str">
        <f t="shared" si="71"/>
        <v>Moon</v>
      </c>
      <c r="B244" s="48" t="str">
        <f>INDEX(DasaYears,MOD(D236-7,9)+1,1)</f>
        <v>Rahu</v>
      </c>
      <c r="C244" s="48"/>
      <c r="D244" s="48"/>
      <c r="E244" s="49">
        <f t="shared" si="66"/>
        <v>23085.225698289476</v>
      </c>
      <c r="F244" s="50"/>
      <c r="G244" s="47" t="str">
        <f t="shared" si="72"/>
        <v>Saturn</v>
      </c>
      <c r="H244" s="48" t="str">
        <f>INDEX(DasaYears,MOD(J236-7,9)+1,1)</f>
        <v>Ketu</v>
      </c>
      <c r="I244" s="48"/>
      <c r="J244" s="48"/>
      <c r="K244" s="49">
        <f t="shared" si="67"/>
        <v>21440.691506244591</v>
      </c>
      <c r="M244" s="47" t="str">
        <f t="shared" si="73"/>
        <v>Jupiter</v>
      </c>
      <c r="N244" s="48" t="str">
        <f>INDEX(DasaYears,MOD(P236-7,9)+1,1)</f>
        <v>Mercury</v>
      </c>
      <c r="O244" s="48"/>
      <c r="P244" s="48"/>
      <c r="Q244" s="49">
        <f t="shared" si="68"/>
        <v>22132.942325596487</v>
      </c>
      <c r="S244" s="47" t="e">
        <f t="shared" si="74"/>
        <v>#N/A</v>
      </c>
      <c r="T244" s="48" t="e">
        <f>INDEX(DasaYears,MOD(V236-7,9)+1,1)</f>
        <v>#N/A</v>
      </c>
      <c r="U244" s="48"/>
      <c r="V244" s="48"/>
      <c r="W244" s="49" t="e">
        <f t="shared" si="69"/>
        <v>#N/A</v>
      </c>
      <c r="Y244" s="47" t="str">
        <f t="shared" si="75"/>
        <v>Venus</v>
      </c>
      <c r="Z244" s="48" t="str">
        <f>INDEX(DasaYears,MOD(AB236-7,9)+1,1)</f>
        <v>Moon</v>
      </c>
      <c r="AA244" s="48"/>
      <c r="AB244" s="48"/>
      <c r="AC244" s="49">
        <f t="shared" si="70"/>
        <v>25865.308373501841</v>
      </c>
    </row>
    <row r="245" spans="1:29" s="51" customFormat="1" ht="12.75" x14ac:dyDescent="0.15">
      <c r="A245" s="47" t="str">
        <f t="shared" si="71"/>
        <v>Moon</v>
      </c>
      <c r="B245" s="48" t="str">
        <f>INDEX(DasaYears,MOD(D236-6,9)+1,1)</f>
        <v>Jupiter</v>
      </c>
      <c r="C245" s="48"/>
      <c r="D245" s="48"/>
      <c r="E245" s="49">
        <f t="shared" si="66"/>
        <v>23633.108007317249</v>
      </c>
      <c r="F245" s="50"/>
      <c r="G245" s="47" t="str">
        <f t="shared" si="72"/>
        <v>Saturn</v>
      </c>
      <c r="H245" s="48" t="str">
        <f>INDEX(DasaYears,MOD(J236-6,9)+1,1)</f>
        <v>Venus</v>
      </c>
      <c r="I245" s="48"/>
      <c r="J245" s="48"/>
      <c r="K245" s="49">
        <f t="shared" si="67"/>
        <v>21845.515656804</v>
      </c>
      <c r="M245" s="47" t="str">
        <f t="shared" si="73"/>
        <v>Jupiter</v>
      </c>
      <c r="N245" s="48" t="str">
        <f>INDEX(DasaYears,MOD(P236-6,9)+1,1)</f>
        <v>Ketu</v>
      </c>
      <c r="O245" s="48"/>
      <c r="P245" s="48"/>
      <c r="Q245" s="49">
        <f t="shared" si="68"/>
        <v>22960.853370349567</v>
      </c>
      <c r="S245" s="47" t="e">
        <f t="shared" si="74"/>
        <v>#N/A</v>
      </c>
      <c r="T245" s="48" t="e">
        <f>INDEX(DasaYears,MOD(V236-6,9)+1,1)</f>
        <v>#N/A</v>
      </c>
      <c r="U245" s="48"/>
      <c r="V245" s="48"/>
      <c r="W245" s="49" t="e">
        <f t="shared" si="69"/>
        <v>#N/A</v>
      </c>
      <c r="Y245" s="47" t="str">
        <f t="shared" si="75"/>
        <v>Venus</v>
      </c>
      <c r="Z245" s="48" t="str">
        <f>INDEX(DasaYears,MOD(AB236-6,9)+1,1)</f>
        <v>Mars</v>
      </c>
      <c r="AA245" s="48"/>
      <c r="AB245" s="48"/>
      <c r="AC245" s="49">
        <f t="shared" si="70"/>
        <v>26474.066494643812</v>
      </c>
    </row>
    <row r="246" spans="1:29" s="51" customFormat="1" ht="12.75" x14ac:dyDescent="0.15">
      <c r="A246" s="47" t="str">
        <f t="shared" si="71"/>
        <v>Moon</v>
      </c>
      <c r="B246" s="48" t="str">
        <f>INDEX(DasaYears,MOD(D236-5,9)+1,1)</f>
        <v>Saturn</v>
      </c>
      <c r="C246" s="48"/>
      <c r="D246" s="48"/>
      <c r="E246" s="49">
        <f t="shared" si="66"/>
        <v>24120.114504230824</v>
      </c>
      <c r="F246" s="50"/>
      <c r="G246" s="47" t="str">
        <f t="shared" si="72"/>
        <v>Saturn</v>
      </c>
      <c r="H246" s="48" t="str">
        <f>INDEX(DasaYears,MOD(J236-5,9)+1,1)</f>
        <v>Sun</v>
      </c>
      <c r="I246" s="48"/>
      <c r="J246" s="48"/>
      <c r="K246" s="49">
        <f t="shared" si="67"/>
        <v>23002.156086973744</v>
      </c>
      <c r="M246" s="47" t="str">
        <f t="shared" si="73"/>
        <v>Jupiter</v>
      </c>
      <c r="N246" s="48" t="str">
        <f>INDEX(DasaYears,MOD(P236-5,9)+1,1)</f>
        <v>Venus</v>
      </c>
      <c r="O246" s="48"/>
      <c r="P246" s="48"/>
      <c r="Q246" s="49">
        <f t="shared" si="68"/>
        <v>23301.757918189069</v>
      </c>
      <c r="S246" s="47" t="e">
        <f t="shared" si="74"/>
        <v>#N/A</v>
      </c>
      <c r="T246" s="48" t="e">
        <f>INDEX(DasaYears,MOD(V236-5,9)+1,1)</f>
        <v>#N/A</v>
      </c>
      <c r="U246" s="48"/>
      <c r="V246" s="48"/>
      <c r="W246" s="49" t="e">
        <f t="shared" si="69"/>
        <v>#N/A</v>
      </c>
      <c r="Y246" s="47" t="str">
        <f t="shared" si="75"/>
        <v>Venus</v>
      </c>
      <c r="Z246" s="48" t="str">
        <f>INDEX(DasaYears,MOD(AB236-5,9)+1,1)</f>
        <v>Rahu</v>
      </c>
      <c r="AA246" s="48"/>
      <c r="AB246" s="48"/>
      <c r="AC246" s="49">
        <f t="shared" si="70"/>
        <v>26900.197179443192</v>
      </c>
    </row>
    <row r="247" spans="1:29" s="51" customFormat="1" ht="12.75" x14ac:dyDescent="0.15">
      <c r="A247" s="47" t="str">
        <f t="shared" si="71"/>
        <v>Moon</v>
      </c>
      <c r="B247" s="48" t="str">
        <f>INDEX(DasaYears,MOD(D236-4,9)+1,1)</f>
        <v>Mercury</v>
      </c>
      <c r="C247" s="48"/>
      <c r="D247" s="48"/>
      <c r="E247" s="49">
        <f t="shared" si="66"/>
        <v>24698.434719315694</v>
      </c>
      <c r="F247" s="50"/>
      <c r="G247" s="47" t="str">
        <f t="shared" si="72"/>
        <v>Saturn</v>
      </c>
      <c r="H247" s="48" t="str">
        <f>INDEX(DasaYears,MOD(J236-4,9)+1,1)</f>
        <v>Moon</v>
      </c>
      <c r="I247" s="48"/>
      <c r="J247" s="48"/>
      <c r="K247" s="49">
        <f t="shared" si="67"/>
        <v>23349.148216024667</v>
      </c>
      <c r="M247" s="47" t="str">
        <f t="shared" si="73"/>
        <v>Jupiter</v>
      </c>
      <c r="N247" s="48" t="str">
        <f>INDEX(DasaYears,MOD(P236-4,9)+1,1)</f>
        <v>Sun</v>
      </c>
      <c r="O247" s="48"/>
      <c r="P247" s="48"/>
      <c r="Q247" s="49">
        <f t="shared" si="68"/>
        <v>24275.770912016222</v>
      </c>
      <c r="S247" s="47" t="e">
        <f t="shared" si="74"/>
        <v>#N/A</v>
      </c>
      <c r="T247" s="48" t="e">
        <f>INDEX(DasaYears,MOD(V236-4,9)+1,1)</f>
        <v>#N/A</v>
      </c>
      <c r="U247" s="48"/>
      <c r="V247" s="48"/>
      <c r="W247" s="49" t="e">
        <f t="shared" si="69"/>
        <v>#N/A</v>
      </c>
      <c r="Y247" s="47" t="str">
        <f t="shared" si="75"/>
        <v>Venus</v>
      </c>
      <c r="Z247" s="48" t="str">
        <f>INDEX(DasaYears,MOD(AB236-4,9)+1,1)</f>
        <v>Jupiter</v>
      </c>
      <c r="AA247" s="48"/>
      <c r="AB247" s="48"/>
      <c r="AC247" s="49">
        <f t="shared" si="70"/>
        <v>27995.961797498738</v>
      </c>
    </row>
    <row r="248" spans="1:29" s="51" customFormat="1" ht="12.75" x14ac:dyDescent="0.15">
      <c r="A248" s="47" t="str">
        <f t="shared" si="71"/>
        <v>Moon</v>
      </c>
      <c r="B248" s="48" t="str">
        <f>INDEX(DasaYears,MOD(D236-3,9)+1,1)</f>
        <v>Ketu</v>
      </c>
      <c r="C248" s="48"/>
      <c r="D248" s="48"/>
      <c r="E248" s="49">
        <f t="shared" si="66"/>
        <v>25215.879122286369</v>
      </c>
      <c r="F248" s="50"/>
      <c r="G248" s="47" t="str">
        <f t="shared" si="72"/>
        <v>Saturn</v>
      </c>
      <c r="H248" s="48" t="str">
        <f>INDEX(DasaYears,MOD(J236-3,9)+1,1)</f>
        <v>Mars</v>
      </c>
      <c r="I248" s="48"/>
      <c r="J248" s="48"/>
      <c r="K248" s="49">
        <f t="shared" si="67"/>
        <v>23927.468431109537</v>
      </c>
      <c r="M248" s="47" t="str">
        <f t="shared" si="73"/>
        <v>Jupiter</v>
      </c>
      <c r="N248" s="48" t="str">
        <f>INDEX(DasaYears,MOD(P236-3,9)+1,1)</f>
        <v>Moon</v>
      </c>
      <c r="O248" s="48"/>
      <c r="P248" s="48"/>
      <c r="Q248" s="49">
        <f t="shared" si="68"/>
        <v>24567.974810164367</v>
      </c>
      <c r="S248" s="47" t="e">
        <f t="shared" si="74"/>
        <v>#N/A</v>
      </c>
      <c r="T248" s="48" t="e">
        <f>INDEX(DasaYears,MOD(V236-3,9)+1,1)</f>
        <v>#N/A</v>
      </c>
      <c r="U248" s="48"/>
      <c r="V248" s="48"/>
      <c r="W248" s="49" t="e">
        <f t="shared" si="69"/>
        <v>#N/A</v>
      </c>
      <c r="Y248" s="47" t="str">
        <f t="shared" si="75"/>
        <v>Venus</v>
      </c>
      <c r="Z248" s="48" t="str">
        <f>INDEX(DasaYears,MOD(AB236-3,9)+1,1)</f>
        <v>Saturn</v>
      </c>
      <c r="AA248" s="48"/>
      <c r="AB248" s="48"/>
      <c r="AC248" s="49">
        <f t="shared" si="70"/>
        <v>28969.974791325891</v>
      </c>
    </row>
    <row r="249" spans="1:29" s="51" customFormat="1" ht="12.75" x14ac:dyDescent="0.15">
      <c r="A249" s="47" t="str">
        <f t="shared" si="71"/>
        <v>Moon</v>
      </c>
      <c r="B249" s="48" t="str">
        <f>INDEX(DasaYears,MOD(D236-2,9)+1,1)</f>
        <v>Venus</v>
      </c>
      <c r="C249" s="48"/>
      <c r="D249" s="48"/>
      <c r="E249" s="49">
        <f t="shared" si="66"/>
        <v>25428.944464686057</v>
      </c>
      <c r="F249" s="50"/>
      <c r="G249" s="47" t="str">
        <f t="shared" si="72"/>
        <v>Saturn</v>
      </c>
      <c r="H249" s="48" t="str">
        <f>INDEX(DasaYears,MOD(J236-2,9)+1,1)</f>
        <v>Rahu</v>
      </c>
      <c r="I249" s="48"/>
      <c r="J249" s="48"/>
      <c r="K249" s="49">
        <f t="shared" si="67"/>
        <v>24332.292581668946</v>
      </c>
      <c r="M249" s="47" t="str">
        <f t="shared" si="73"/>
        <v>Jupiter</v>
      </c>
      <c r="N249" s="48" t="str">
        <f>INDEX(DasaYears,MOD(P236-2,9)+1,1)</f>
        <v>Mars</v>
      </c>
      <c r="O249" s="48"/>
      <c r="P249" s="48"/>
      <c r="Q249" s="49">
        <f t="shared" si="68"/>
        <v>25054.981307077942</v>
      </c>
      <c r="S249" s="47" t="e">
        <f t="shared" si="74"/>
        <v>#N/A</v>
      </c>
      <c r="T249" s="48" t="e">
        <f>INDEX(DasaYears,MOD(V236-2,9)+1,1)</f>
        <v>#N/A</v>
      </c>
      <c r="U249" s="48"/>
      <c r="V249" s="48"/>
      <c r="W249" s="49" t="e">
        <f t="shared" si="69"/>
        <v>#N/A</v>
      </c>
      <c r="Y249" s="47" t="str">
        <f t="shared" si="75"/>
        <v>Venus</v>
      </c>
      <c r="Z249" s="48" t="str">
        <f>INDEX(DasaYears,MOD(AB236-2,9)+1,1)</f>
        <v>Mercury</v>
      </c>
      <c r="AA249" s="48"/>
      <c r="AB249" s="48"/>
      <c r="AC249" s="49">
        <f t="shared" si="70"/>
        <v>30126.615221495635</v>
      </c>
    </row>
    <row r="250" spans="1:29" s="51" customFormat="1" ht="12.75" x14ac:dyDescent="0.15">
      <c r="A250" s="47" t="str">
        <f t="shared" si="71"/>
        <v>Moon</v>
      </c>
      <c r="B250" s="52" t="str">
        <f>INDEX(DasaYears,MOD(D236-1,9)+1,1)</f>
        <v>Sun</v>
      </c>
      <c r="C250" s="48"/>
      <c r="D250" s="48"/>
      <c r="E250" s="49">
        <f t="shared" si="66"/>
        <v>26037.702585828029</v>
      </c>
      <c r="F250" s="50"/>
      <c r="G250" s="47" t="str">
        <f t="shared" si="72"/>
        <v>Saturn</v>
      </c>
      <c r="H250" s="52" t="str">
        <f>INDEX(DasaYears,MOD(J236-1,9)+1,1)</f>
        <v>Jupiter</v>
      </c>
      <c r="I250" s="48"/>
      <c r="J250" s="48"/>
      <c r="K250" s="49">
        <f t="shared" si="67"/>
        <v>25373.268968821714</v>
      </c>
      <c r="M250" s="47" t="str">
        <f t="shared" si="73"/>
        <v>Jupiter</v>
      </c>
      <c r="N250" s="52" t="str">
        <f>INDEX(DasaYears,MOD(P236-1,9)+1,1)</f>
        <v>Rahu</v>
      </c>
      <c r="O250" s="48"/>
      <c r="P250" s="48"/>
      <c r="Q250" s="49">
        <f t="shared" si="68"/>
        <v>25395.885854917444</v>
      </c>
      <c r="S250" s="47" t="e">
        <f t="shared" si="74"/>
        <v>#N/A</v>
      </c>
      <c r="T250" s="52" t="e">
        <f>INDEX(DasaYears,MOD(V236-1,9)+1,1)</f>
        <v>#N/A</v>
      </c>
      <c r="U250" s="48"/>
      <c r="V250" s="48"/>
      <c r="W250" s="49" t="e">
        <f t="shared" si="69"/>
        <v>#N/A</v>
      </c>
      <c r="Y250" s="47" t="str">
        <f t="shared" si="75"/>
        <v>Venus</v>
      </c>
      <c r="Z250" s="52" t="str">
        <f>INDEX(DasaYears,MOD(AB236-1,9)+1,1)</f>
        <v>Ketu</v>
      </c>
      <c r="AA250" s="48"/>
      <c r="AB250" s="48"/>
      <c r="AC250" s="49">
        <f t="shared" si="70"/>
        <v>31161.504027436982</v>
      </c>
    </row>
    <row r="251" spans="1:29" s="58" customFormat="1" ht="12.75" x14ac:dyDescent="0.15">
      <c r="A251" s="53" t="str">
        <f>INDEX(DasaYears,MOD(D236+1,9)+1,1)</f>
        <v>Mars</v>
      </c>
      <c r="B251" s="54"/>
      <c r="C251" s="55"/>
      <c r="D251" s="55"/>
      <c r="E251" s="56">
        <f>B239+(B237*DaysInYear)</f>
        <v>26220.330022170619</v>
      </c>
      <c r="F251" s="57"/>
      <c r="G251" s="53" t="str">
        <f>INDEX(DasaYears,MOD(J236+1,9)+1,1)</f>
        <v>Mercury</v>
      </c>
      <c r="H251" s="54"/>
      <c r="I251" s="55"/>
      <c r="J251" s="55"/>
      <c r="K251" s="56">
        <f>H239+(H237*DaysInYear)</f>
        <v>26298.581312957507</v>
      </c>
      <c r="M251" s="53" t="str">
        <f>INDEX(DasaYears,MOD(P236+1,9)+1,1)</f>
        <v>Saturn</v>
      </c>
      <c r="N251" s="54"/>
      <c r="O251" s="55"/>
      <c r="P251" s="55"/>
      <c r="Q251" s="56">
        <f>N239+(N237*DaysInYear)</f>
        <v>26272.49754936188</v>
      </c>
      <c r="S251" s="53" t="e">
        <f>INDEX(DasaYears,MOD(V236+1,9)+1,1)</f>
        <v>#N/A</v>
      </c>
      <c r="T251" s="54"/>
      <c r="U251" s="55"/>
      <c r="V251" s="55"/>
      <c r="W251" s="56" t="e">
        <f>T239+(T237*DaysInYear)</f>
        <v>#N/A</v>
      </c>
      <c r="Y251" s="53" t="str">
        <f>INDEX(DasaYears,MOD(AB236+1,9)+1,1)</f>
        <v>Sun</v>
      </c>
      <c r="Z251" s="54"/>
      <c r="AA251" s="55"/>
      <c r="AB251" s="55"/>
      <c r="AC251" s="56">
        <f>Z239+(Z237*DaysInYear)</f>
        <v>31587.634712236362</v>
      </c>
    </row>
    <row r="252" spans="1:29" s="58" customFormat="1" ht="12.75" x14ac:dyDescent="0.15">
      <c r="A252" s="53" t="str">
        <f t="shared" ref="A252:A259" si="76">A251</f>
        <v>Mars</v>
      </c>
      <c r="B252" s="55" t="str">
        <f>INDEX(DasaYears,MOD(D236-7,9)+1,1)</f>
        <v>Rahu</v>
      </c>
      <c r="C252" s="55"/>
      <c r="D252" s="55"/>
      <c r="E252" s="56">
        <f t="shared" ref="E252:E259" si="77">E253-(VLOOKUP(A252,DasaYears,2,FALSE)*VLOOKUP(B252,DasaYears,2,FALSE)/VimTotal)*DaysInYear</f>
        <v>26369.475761850405</v>
      </c>
      <c r="F252" s="57"/>
      <c r="G252" s="53" t="str">
        <f t="shared" ref="G252:G259" si="78">G251</f>
        <v>Mercury</v>
      </c>
      <c r="H252" s="55" t="str">
        <f>INDEX(DasaYears,MOD(J236-7,9)+1,1)</f>
        <v>Ketu</v>
      </c>
      <c r="I252" s="55"/>
      <c r="J252" s="55"/>
      <c r="K252" s="56">
        <f t="shared" ref="K252:K259" si="79">K253-(VLOOKUP(G252,DasaYears,2,FALSE)*VLOOKUP(H252,DasaYears,2,FALSE)/VimTotal)*DaysInYear</f>
        <v>27178.236798007652</v>
      </c>
      <c r="M252" s="53" t="str">
        <f t="shared" ref="M252:M259" si="80">M251</f>
        <v>Saturn</v>
      </c>
      <c r="N252" s="55" t="str">
        <f>INDEX(DasaYears,MOD(P236-7,9)+1,1)</f>
        <v>Mercury</v>
      </c>
      <c r="O252" s="55"/>
      <c r="P252" s="55"/>
      <c r="Q252" s="56">
        <f t="shared" ref="Q252:Q259" si="81">Q253-(VLOOKUP(M252,DasaYears,2,FALSE)*VLOOKUP(N252,DasaYears,2,FALSE)/VimTotal)*DaysInYear</f>
        <v>27371.305958023142</v>
      </c>
      <c r="S252" s="53" t="e">
        <f t="shared" ref="S252:S259" si="82">S251</f>
        <v>#N/A</v>
      </c>
      <c r="T252" s="55" t="e">
        <f>INDEX(DasaYears,MOD(V236-7,9)+1,1)</f>
        <v>#N/A</v>
      </c>
      <c r="U252" s="55"/>
      <c r="V252" s="55"/>
      <c r="W252" s="56" t="e">
        <f t="shared" ref="W252:W259" si="83">W253-(VLOOKUP(S252,DasaYears,2,FALSE)*VLOOKUP(T252,DasaYears,2,FALSE)/VimTotal)*DaysInYear</f>
        <v>#N/A</v>
      </c>
      <c r="Y252" s="53" t="str">
        <f t="shared" ref="Y252:Y259" si="84">Y251</f>
        <v>Sun</v>
      </c>
      <c r="Z252" s="55" t="str">
        <f>INDEX(DasaYears,MOD(AB236-7,9)+1,1)</f>
        <v>Moon</v>
      </c>
      <c r="AA252" s="55"/>
      <c r="AB252" s="55"/>
      <c r="AC252" s="56">
        <f t="shared" ref="AC252:AC259" si="85">AC253-(VLOOKUP(Y252,DasaYears,2,FALSE)*VLOOKUP(Z252,DasaYears,2,FALSE)/VimTotal)*DaysInYear</f>
        <v>31697.21117404192</v>
      </c>
    </row>
    <row r="253" spans="1:29" s="58" customFormat="1" ht="12.75" x14ac:dyDescent="0.15">
      <c r="A253" s="53" t="str">
        <f t="shared" si="76"/>
        <v>Mars</v>
      </c>
      <c r="B253" s="55" t="str">
        <f>INDEX(DasaYears,MOD(D236-6,9)+1,1)</f>
        <v>Jupiter</v>
      </c>
      <c r="C253" s="55"/>
      <c r="D253" s="55"/>
      <c r="E253" s="56">
        <f t="shared" si="77"/>
        <v>26752.993378169846</v>
      </c>
      <c r="F253" s="57"/>
      <c r="G253" s="53" t="str">
        <f t="shared" si="78"/>
        <v>Mercury</v>
      </c>
      <c r="H253" s="55" t="str">
        <f>INDEX(DasaYears,MOD(J236-6,9)+1,1)</f>
        <v>Venus</v>
      </c>
      <c r="I253" s="55"/>
      <c r="J253" s="55"/>
      <c r="K253" s="56">
        <f t="shared" si="79"/>
        <v>27540.447880087126</v>
      </c>
      <c r="M253" s="53" t="str">
        <f t="shared" si="80"/>
        <v>Saturn</v>
      </c>
      <c r="N253" s="55" t="str">
        <f>INDEX(DasaYears,MOD(P236-6,9)+1,1)</f>
        <v>Ketu</v>
      </c>
      <c r="O253" s="55"/>
      <c r="P253" s="55"/>
      <c r="Q253" s="56">
        <f t="shared" si="81"/>
        <v>28354.450323667425</v>
      </c>
      <c r="S253" s="53" t="e">
        <f t="shared" si="82"/>
        <v>#N/A</v>
      </c>
      <c r="T253" s="55" t="e">
        <f>INDEX(DasaYears,MOD(V236-6,9)+1,1)</f>
        <v>#N/A</v>
      </c>
      <c r="U253" s="55"/>
      <c r="V253" s="55"/>
      <c r="W253" s="56" t="e">
        <f t="shared" si="83"/>
        <v>#N/A</v>
      </c>
      <c r="Y253" s="53" t="str">
        <f t="shared" si="84"/>
        <v>Sun</v>
      </c>
      <c r="Z253" s="55" t="str">
        <f>INDEX(DasaYears,MOD(AB236-6,9)+1,1)</f>
        <v>Mars</v>
      </c>
      <c r="AA253" s="55"/>
      <c r="AB253" s="55"/>
      <c r="AC253" s="56">
        <f t="shared" si="85"/>
        <v>31879.838610384511</v>
      </c>
    </row>
    <row r="254" spans="1:29" s="58" customFormat="1" ht="12.75" x14ac:dyDescent="0.15">
      <c r="A254" s="53" t="str">
        <f t="shared" si="76"/>
        <v>Mars</v>
      </c>
      <c r="B254" s="55" t="str">
        <f>INDEX(DasaYears,MOD(D236-5,9)+1,1)</f>
        <v>Saturn</v>
      </c>
      <c r="C254" s="55"/>
      <c r="D254" s="55"/>
      <c r="E254" s="56">
        <f t="shared" si="77"/>
        <v>27093.897926009347</v>
      </c>
      <c r="F254" s="57"/>
      <c r="G254" s="53" t="str">
        <f t="shared" si="78"/>
        <v>Mercury</v>
      </c>
      <c r="H254" s="55" t="str">
        <f>INDEX(DasaYears,MOD(J236-5,9)+1,1)</f>
        <v>Sun</v>
      </c>
      <c r="I254" s="55"/>
      <c r="J254" s="55"/>
      <c r="K254" s="56">
        <f t="shared" si="79"/>
        <v>28575.336686028473</v>
      </c>
      <c r="M254" s="53" t="str">
        <f t="shared" si="80"/>
        <v>Saturn</v>
      </c>
      <c r="N254" s="55" t="str">
        <f>INDEX(DasaYears,MOD(P236-5,9)+1,1)</f>
        <v>Venus</v>
      </c>
      <c r="O254" s="55"/>
      <c r="P254" s="55"/>
      <c r="Q254" s="56">
        <f t="shared" si="81"/>
        <v>28759.274474226833</v>
      </c>
      <c r="S254" s="53" t="e">
        <f t="shared" si="82"/>
        <v>#N/A</v>
      </c>
      <c r="T254" s="55" t="e">
        <f>INDEX(DasaYears,MOD(V236-5,9)+1,1)</f>
        <v>#N/A</v>
      </c>
      <c r="U254" s="55"/>
      <c r="V254" s="55"/>
      <c r="W254" s="56" t="e">
        <f t="shared" si="83"/>
        <v>#N/A</v>
      </c>
      <c r="Y254" s="53" t="str">
        <f t="shared" si="84"/>
        <v>Sun</v>
      </c>
      <c r="Z254" s="55" t="str">
        <f>INDEX(DasaYears,MOD(AB236-5,9)+1,1)</f>
        <v>Rahu</v>
      </c>
      <c r="AA254" s="55"/>
      <c r="AB254" s="55"/>
      <c r="AC254" s="56">
        <f t="shared" si="85"/>
        <v>32007.677815824325</v>
      </c>
    </row>
    <row r="255" spans="1:29" s="58" customFormat="1" ht="12.75" x14ac:dyDescent="0.15">
      <c r="A255" s="53" t="str">
        <f t="shared" si="76"/>
        <v>Mars</v>
      </c>
      <c r="B255" s="55" t="str">
        <f>INDEX(DasaYears,MOD(D236-4,9)+1,1)</f>
        <v>Mercury</v>
      </c>
      <c r="C255" s="55"/>
      <c r="D255" s="55"/>
      <c r="E255" s="56">
        <f t="shared" si="77"/>
        <v>27498.722076568756</v>
      </c>
      <c r="F255" s="57"/>
      <c r="G255" s="53" t="str">
        <f t="shared" si="78"/>
        <v>Mercury</v>
      </c>
      <c r="H255" s="55" t="str">
        <f>INDEX(DasaYears,MOD(J236-4,9)+1,1)</f>
        <v>Moon</v>
      </c>
      <c r="I255" s="55"/>
      <c r="J255" s="55"/>
      <c r="K255" s="56">
        <f t="shared" si="79"/>
        <v>28885.803327810878</v>
      </c>
      <c r="M255" s="53" t="str">
        <f t="shared" si="80"/>
        <v>Saturn</v>
      </c>
      <c r="N255" s="55" t="str">
        <f>INDEX(DasaYears,MOD(P236-4,9)+1,1)</f>
        <v>Sun</v>
      </c>
      <c r="O255" s="55"/>
      <c r="P255" s="55"/>
      <c r="Q255" s="56">
        <f t="shared" si="81"/>
        <v>29915.914904396577</v>
      </c>
      <c r="S255" s="53" t="e">
        <f t="shared" si="82"/>
        <v>#N/A</v>
      </c>
      <c r="T255" s="55" t="e">
        <f>INDEX(DasaYears,MOD(V236-4,9)+1,1)</f>
        <v>#N/A</v>
      </c>
      <c r="U255" s="55"/>
      <c r="V255" s="55"/>
      <c r="W255" s="56" t="e">
        <f t="shared" si="83"/>
        <v>#N/A</v>
      </c>
      <c r="Y255" s="53" t="str">
        <f t="shared" si="84"/>
        <v>Sun</v>
      </c>
      <c r="Z255" s="55" t="str">
        <f>INDEX(DasaYears,MOD(AB236-4,9)+1,1)</f>
        <v>Jupiter</v>
      </c>
      <c r="AA255" s="55"/>
      <c r="AB255" s="55"/>
      <c r="AC255" s="56">
        <f t="shared" si="85"/>
        <v>32336.407201240989</v>
      </c>
    </row>
    <row r="256" spans="1:29" s="58" customFormat="1" ht="12.75" x14ac:dyDescent="0.15">
      <c r="A256" s="53" t="str">
        <f t="shared" si="76"/>
        <v>Mars</v>
      </c>
      <c r="B256" s="55" t="str">
        <f>INDEX(DasaYears,MOD(D236-3,9)+1,1)</f>
        <v>Ketu</v>
      </c>
      <c r="C256" s="55"/>
      <c r="D256" s="55"/>
      <c r="E256" s="56">
        <f t="shared" si="77"/>
        <v>27860.933158648229</v>
      </c>
      <c r="F256" s="57"/>
      <c r="G256" s="53" t="str">
        <f t="shared" si="78"/>
        <v>Mercury</v>
      </c>
      <c r="H256" s="55" t="str">
        <f>INDEX(DasaYears,MOD(J236-3,9)+1,1)</f>
        <v>Mars</v>
      </c>
      <c r="I256" s="55"/>
      <c r="J256" s="55"/>
      <c r="K256" s="56">
        <f t="shared" si="79"/>
        <v>29403.247730781553</v>
      </c>
      <c r="M256" s="53" t="str">
        <f t="shared" si="80"/>
        <v>Saturn</v>
      </c>
      <c r="N256" s="55" t="str">
        <f>INDEX(DasaYears,MOD(P236-3,9)+1,1)</f>
        <v>Moon</v>
      </c>
      <c r="O256" s="55"/>
      <c r="P256" s="55"/>
      <c r="Q256" s="56">
        <f t="shared" si="81"/>
        <v>30262.9070334475</v>
      </c>
      <c r="S256" s="53" t="e">
        <f t="shared" si="82"/>
        <v>#N/A</v>
      </c>
      <c r="T256" s="55" t="e">
        <f>INDEX(DasaYears,MOD(V236-3,9)+1,1)</f>
        <v>#N/A</v>
      </c>
      <c r="U256" s="55"/>
      <c r="V256" s="55"/>
      <c r="W256" s="56" t="e">
        <f t="shared" si="83"/>
        <v>#N/A</v>
      </c>
      <c r="Y256" s="53" t="str">
        <f t="shared" si="84"/>
        <v>Sun</v>
      </c>
      <c r="Z256" s="55" t="str">
        <f>INDEX(DasaYears,MOD(AB236-3,9)+1,1)</f>
        <v>Saturn</v>
      </c>
      <c r="AA256" s="55"/>
      <c r="AB256" s="55"/>
      <c r="AC256" s="56">
        <f t="shared" si="85"/>
        <v>32628.611099389134</v>
      </c>
    </row>
    <row r="257" spans="1:29" s="58" customFormat="1" ht="12.75" x14ac:dyDescent="0.15">
      <c r="A257" s="53" t="str">
        <f t="shared" si="76"/>
        <v>Mars</v>
      </c>
      <c r="B257" s="55" t="str">
        <f>INDEX(DasaYears,MOD(D236-2,9)+1,1)</f>
        <v>Venus</v>
      </c>
      <c r="C257" s="55"/>
      <c r="D257" s="55"/>
      <c r="E257" s="56">
        <f t="shared" si="77"/>
        <v>28010.078898328011</v>
      </c>
      <c r="F257" s="57"/>
      <c r="G257" s="53" t="str">
        <f t="shared" si="78"/>
        <v>Mercury</v>
      </c>
      <c r="H257" s="55" t="str">
        <f>INDEX(DasaYears,MOD(J236-2,9)+1,1)</f>
        <v>Rahu</v>
      </c>
      <c r="I257" s="55"/>
      <c r="J257" s="55"/>
      <c r="K257" s="56">
        <f t="shared" si="79"/>
        <v>29765.458812861027</v>
      </c>
      <c r="M257" s="53" t="str">
        <f t="shared" si="80"/>
        <v>Saturn</v>
      </c>
      <c r="N257" s="55" t="str">
        <f>INDEX(DasaYears,MOD(P236-2,9)+1,1)</f>
        <v>Mars</v>
      </c>
      <c r="O257" s="55"/>
      <c r="P257" s="55"/>
      <c r="Q257" s="56">
        <f t="shared" si="81"/>
        <v>30841.22724853237</v>
      </c>
      <c r="S257" s="53" t="e">
        <f t="shared" si="82"/>
        <v>#N/A</v>
      </c>
      <c r="T257" s="55" t="e">
        <f>INDEX(DasaYears,MOD(V236-2,9)+1,1)</f>
        <v>#N/A</v>
      </c>
      <c r="U257" s="55"/>
      <c r="V257" s="55"/>
      <c r="W257" s="56" t="e">
        <f t="shared" si="83"/>
        <v>#N/A</v>
      </c>
      <c r="Y257" s="53" t="str">
        <f t="shared" si="84"/>
        <v>Sun</v>
      </c>
      <c r="Z257" s="55" t="str">
        <f>INDEX(DasaYears,MOD(AB236-2,9)+1,1)</f>
        <v>Mercury</v>
      </c>
      <c r="AA257" s="55"/>
      <c r="AB257" s="55"/>
      <c r="AC257" s="56">
        <f t="shared" si="85"/>
        <v>32975.603228440057</v>
      </c>
    </row>
    <row r="258" spans="1:29" s="58" customFormat="1" ht="12.75" x14ac:dyDescent="0.15">
      <c r="A258" s="53" t="str">
        <f t="shared" si="76"/>
        <v>Mars</v>
      </c>
      <c r="B258" s="59" t="str">
        <f>INDEX(DasaYears,MOD(D236-1,9)+1,1)</f>
        <v>Sun</v>
      </c>
      <c r="C258" s="55"/>
      <c r="D258" s="55"/>
      <c r="E258" s="56">
        <f t="shared" si="77"/>
        <v>28436.209583127391</v>
      </c>
      <c r="F258" s="57"/>
      <c r="G258" s="53" t="str">
        <f t="shared" si="78"/>
        <v>Mercury</v>
      </c>
      <c r="H258" s="59" t="str">
        <f>INDEX(DasaYears,MOD(J236-1,9)+1,1)</f>
        <v>Jupiter</v>
      </c>
      <c r="I258" s="55"/>
      <c r="J258" s="55"/>
      <c r="K258" s="56">
        <f t="shared" si="79"/>
        <v>30696.858738208241</v>
      </c>
      <c r="M258" s="53" t="str">
        <f t="shared" si="80"/>
        <v>Saturn</v>
      </c>
      <c r="N258" s="59" t="str">
        <f>INDEX(DasaYears,MOD(P236-1,9)+1,1)</f>
        <v>Rahu</v>
      </c>
      <c r="O258" s="55"/>
      <c r="P258" s="55"/>
      <c r="Q258" s="56">
        <f t="shared" si="81"/>
        <v>31246.051399091779</v>
      </c>
      <c r="S258" s="53" t="e">
        <f t="shared" si="82"/>
        <v>#N/A</v>
      </c>
      <c r="T258" s="59" t="e">
        <f>INDEX(DasaYears,MOD(V236-1,9)+1,1)</f>
        <v>#N/A</v>
      </c>
      <c r="U258" s="55"/>
      <c r="V258" s="55"/>
      <c r="W258" s="56" t="e">
        <f t="shared" si="83"/>
        <v>#N/A</v>
      </c>
      <c r="Y258" s="53" t="str">
        <f t="shared" si="84"/>
        <v>Sun</v>
      </c>
      <c r="Z258" s="59" t="str">
        <f>INDEX(DasaYears,MOD(AB236-1,9)+1,1)</f>
        <v>Ketu</v>
      </c>
      <c r="AA258" s="55"/>
      <c r="AB258" s="55"/>
      <c r="AC258" s="56">
        <f t="shared" si="85"/>
        <v>33286.069870222462</v>
      </c>
    </row>
    <row r="259" spans="1:29" s="58" customFormat="1" ht="12.75" x14ac:dyDescent="0.15">
      <c r="A259" s="53" t="str">
        <f t="shared" si="76"/>
        <v>Mars</v>
      </c>
      <c r="B259" s="55" t="str">
        <f>INDEX(DasaYears,MOD(D236,9)+1,1)</f>
        <v>Moon</v>
      </c>
      <c r="C259" s="55"/>
      <c r="D259" s="55"/>
      <c r="E259" s="56">
        <f t="shared" si="77"/>
        <v>28564.048788567205</v>
      </c>
      <c r="F259" s="57"/>
      <c r="G259" s="53" t="str">
        <f t="shared" si="78"/>
        <v>Mercury</v>
      </c>
      <c r="H259" s="55" t="str">
        <f>INDEX(DasaYears,MOD(J236,9)+1,1)</f>
        <v>Saturn</v>
      </c>
      <c r="I259" s="55"/>
      <c r="J259" s="55"/>
      <c r="K259" s="56">
        <f t="shared" si="79"/>
        <v>31524.769782961321</v>
      </c>
      <c r="M259" s="53" t="str">
        <f t="shared" si="80"/>
        <v>Saturn</v>
      </c>
      <c r="N259" s="55" t="str">
        <f>INDEX(DasaYears,MOD(P236,9)+1,1)</f>
        <v>Jupiter</v>
      </c>
      <c r="O259" s="55"/>
      <c r="P259" s="55"/>
      <c r="Q259" s="56">
        <f t="shared" si="81"/>
        <v>32287.027786244547</v>
      </c>
      <c r="S259" s="53" t="e">
        <f t="shared" si="82"/>
        <v>#N/A</v>
      </c>
      <c r="T259" s="55" t="e">
        <f>INDEX(DasaYears,MOD(V236,9)+1,1)</f>
        <v>#N/A</v>
      </c>
      <c r="U259" s="55"/>
      <c r="V259" s="55"/>
      <c r="W259" s="56" t="e">
        <f t="shared" si="83"/>
        <v>#N/A</v>
      </c>
      <c r="Y259" s="53" t="str">
        <f t="shared" si="84"/>
        <v>Sun</v>
      </c>
      <c r="Z259" s="55" t="str">
        <f>INDEX(DasaYears,MOD(AB236,9)+1,1)</f>
        <v>Venus</v>
      </c>
      <c r="AA259" s="55"/>
      <c r="AB259" s="55"/>
      <c r="AC259" s="56">
        <f t="shared" si="85"/>
        <v>33413.909075662275</v>
      </c>
    </row>
    <row r="260" spans="1:29" s="51" customFormat="1" ht="12.75" x14ac:dyDescent="0.15">
      <c r="A260" s="47" t="str">
        <f>INDEX(DasaYears,MOD(D236+2,9)+1,1)</f>
        <v>Rahu</v>
      </c>
      <c r="B260" s="60"/>
      <c r="C260" s="48"/>
      <c r="D260" s="48"/>
      <c r="E260" s="49">
        <f>E251+DaysInYear*VLOOKUP(A251,DasaYears,2,FALSE)</f>
        <v>28777.114130966893</v>
      </c>
      <c r="F260" s="50"/>
      <c r="G260" s="47" t="str">
        <f>INDEX(DasaYears,MOD(J236+2,9)+1,1)</f>
        <v>Ketu</v>
      </c>
      <c r="H260" s="60"/>
      <c r="I260" s="48"/>
      <c r="J260" s="48"/>
      <c r="K260" s="49">
        <f>K251+DaysInYear*VLOOKUP(G251,DasaYears,2,FALSE)</f>
        <v>32507.914148605603</v>
      </c>
      <c r="M260" s="47" t="str">
        <f>INDEX(DasaYears,MOD(P236+2,9)+1,1)</f>
        <v>Mercury</v>
      </c>
      <c r="N260" s="60"/>
      <c r="O260" s="48"/>
      <c r="P260" s="48"/>
      <c r="Q260" s="49">
        <f>Q251+DaysInYear*VLOOKUP(M251,DasaYears,2,FALSE)</f>
        <v>33212.34013038034</v>
      </c>
      <c r="S260" s="47" t="e">
        <f>INDEX(DasaYears,MOD(V236+2,9)+1,1)</f>
        <v>#N/A</v>
      </c>
      <c r="T260" s="60"/>
      <c r="U260" s="48"/>
      <c r="V260" s="48"/>
      <c r="W260" s="49" t="e">
        <f>W251+DaysInYear*VLOOKUP(S251,DasaYears,2,FALSE)</f>
        <v>#N/A</v>
      </c>
      <c r="Y260" s="47" t="str">
        <f>INDEX(DasaYears,MOD(AB236+2,9)+1,1)</f>
        <v>Moon</v>
      </c>
      <c r="Z260" s="60"/>
      <c r="AA260" s="48"/>
      <c r="AB260" s="48"/>
      <c r="AC260" s="49">
        <f>AC251+DaysInYear*VLOOKUP(Y251,DasaYears,2,FALSE)</f>
        <v>33779.163948347457</v>
      </c>
    </row>
    <row r="261" spans="1:29" s="51" customFormat="1" ht="12.75" x14ac:dyDescent="0.15">
      <c r="A261" s="47" t="str">
        <f t="shared" ref="A261:A268" si="86">A260</f>
        <v>Rahu</v>
      </c>
      <c r="B261" s="48" t="str">
        <f>INDEX(DasaYears,MOD(D236-6,9)+1,1)</f>
        <v>Jupiter</v>
      </c>
      <c r="C261" s="48"/>
      <c r="D261" s="48"/>
      <c r="E261" s="49">
        <f t="shared" ref="E261:E268" si="87">E262-(VLOOKUP(A261,DasaYears,2,FALSE)*VLOOKUP(B261,DasaYears,2,FALSE)/VimTotal)*DaysInYear</f>
        <v>29763.302287216888</v>
      </c>
      <c r="F261" s="50"/>
      <c r="G261" s="47" t="str">
        <f t="shared" ref="G261:G268" si="88">G260</f>
        <v>Ketu</v>
      </c>
      <c r="H261" s="48" t="str">
        <f>INDEX(DasaYears,MOD(J236-6,9)+1,1)</f>
        <v>Venus</v>
      </c>
      <c r="I261" s="48"/>
      <c r="J261" s="48"/>
      <c r="K261" s="49">
        <f t="shared" ref="K261:K268" si="89">K262-(VLOOKUP(G261,DasaYears,2,FALSE)*VLOOKUP(H261,DasaYears,2,FALSE)/VimTotal)*DaysInYear</f>
        <v>32657.059888285377</v>
      </c>
      <c r="M261" s="47" t="str">
        <f t="shared" ref="M261:M268" si="90">M260</f>
        <v>Mercury</v>
      </c>
      <c r="N261" s="48" t="str">
        <f>INDEX(DasaYears,MOD(P236-6,9)+1,1)</f>
        <v>Ketu</v>
      </c>
      <c r="O261" s="48"/>
      <c r="P261" s="48"/>
      <c r="Q261" s="49">
        <f t="shared" ref="Q261:Q268" si="91">Q262-(VLOOKUP(M261,DasaYears,2,FALSE)*VLOOKUP(N261,DasaYears,2,FALSE)/VimTotal)*DaysInYear</f>
        <v>34091.995615430496</v>
      </c>
      <c r="S261" s="47" t="e">
        <f t="shared" ref="S261:S268" si="92">S260</f>
        <v>#N/A</v>
      </c>
      <c r="T261" s="48" t="e">
        <f>INDEX(DasaYears,MOD(V236-6,9)+1,1)</f>
        <v>#N/A</v>
      </c>
      <c r="U261" s="48"/>
      <c r="V261" s="48"/>
      <c r="W261" s="49" t="e">
        <f t="shared" ref="W261:W268" si="93">W262-(VLOOKUP(S261,DasaYears,2,FALSE)*VLOOKUP(T261,DasaYears,2,FALSE)/VimTotal)*DaysInYear</f>
        <v>#N/A</v>
      </c>
      <c r="Y261" s="47" t="str">
        <f t="shared" ref="Y261:Y268" si="94">Y260</f>
        <v>Moon</v>
      </c>
      <c r="Z261" s="48" t="str">
        <f>INDEX(DasaYears,MOD(AB236-6,9)+1,1)</f>
        <v>Mars</v>
      </c>
      <c r="AA261" s="48"/>
      <c r="AB261" s="48"/>
      <c r="AC261" s="49">
        <f t="shared" ref="AC261:AC268" si="95">AC262-(VLOOKUP(Y261,DasaYears,2,FALSE)*VLOOKUP(Z261,DasaYears,2,FALSE)/VimTotal)*DaysInYear</f>
        <v>34083.543008918437</v>
      </c>
    </row>
    <row r="262" spans="1:29" s="51" customFormat="1" ht="12.75" x14ac:dyDescent="0.15">
      <c r="A262" s="47" t="str">
        <f t="shared" si="86"/>
        <v>Rahu</v>
      </c>
      <c r="B262" s="48" t="str">
        <f>INDEX(DasaYears,MOD(D236-5,9)+1,1)</f>
        <v>Saturn</v>
      </c>
      <c r="C262" s="48"/>
      <c r="D262" s="48"/>
      <c r="E262" s="49">
        <f t="shared" si="87"/>
        <v>30639.913981661324</v>
      </c>
      <c r="F262" s="50"/>
      <c r="G262" s="47" t="str">
        <f t="shared" si="88"/>
        <v>Ketu</v>
      </c>
      <c r="H262" s="48" t="str">
        <f>INDEX(DasaYears,MOD(J236-5,9)+1,1)</f>
        <v>Sun</v>
      </c>
      <c r="I262" s="48"/>
      <c r="J262" s="48"/>
      <c r="K262" s="49">
        <f t="shared" si="89"/>
        <v>33083.190573084757</v>
      </c>
      <c r="M262" s="47" t="str">
        <f t="shared" si="90"/>
        <v>Mercury</v>
      </c>
      <c r="N262" s="48" t="str">
        <f>INDEX(DasaYears,MOD(P236-5,9)+1,1)</f>
        <v>Venus</v>
      </c>
      <c r="O262" s="48"/>
      <c r="P262" s="48"/>
      <c r="Q262" s="49">
        <f t="shared" si="91"/>
        <v>34454.206697509966</v>
      </c>
      <c r="S262" s="47" t="e">
        <f t="shared" si="92"/>
        <v>#N/A</v>
      </c>
      <c r="T262" s="48" t="e">
        <f>INDEX(DasaYears,MOD(V236-5,9)+1,1)</f>
        <v>#N/A</v>
      </c>
      <c r="U262" s="48"/>
      <c r="V262" s="48"/>
      <c r="W262" s="49" t="e">
        <f t="shared" si="93"/>
        <v>#N/A</v>
      </c>
      <c r="Y262" s="47" t="str">
        <f t="shared" si="94"/>
        <v>Moon</v>
      </c>
      <c r="Z262" s="48" t="str">
        <f>INDEX(DasaYears,MOD(AB236-5,9)+1,1)</f>
        <v>Rahu</v>
      </c>
      <c r="AA262" s="48"/>
      <c r="AB262" s="48"/>
      <c r="AC262" s="49">
        <f t="shared" si="95"/>
        <v>34296.608351318129</v>
      </c>
    </row>
    <row r="263" spans="1:29" s="51" customFormat="1" ht="12.75" x14ac:dyDescent="0.15">
      <c r="A263" s="47" t="str">
        <f t="shared" si="86"/>
        <v>Rahu</v>
      </c>
      <c r="B263" s="48" t="str">
        <f>INDEX(DasaYears,MOD(D236-4,9)+1,1)</f>
        <v>Mercury</v>
      </c>
      <c r="C263" s="48"/>
      <c r="D263" s="48"/>
      <c r="E263" s="49">
        <f t="shared" si="87"/>
        <v>31680.890368814093</v>
      </c>
      <c r="F263" s="50"/>
      <c r="G263" s="47" t="str">
        <f t="shared" si="88"/>
        <v>Ketu</v>
      </c>
      <c r="H263" s="48" t="str">
        <f>INDEX(DasaYears,MOD(J236-4,9)+1,1)</f>
        <v>Moon</v>
      </c>
      <c r="I263" s="48"/>
      <c r="J263" s="48"/>
      <c r="K263" s="49">
        <f t="shared" si="89"/>
        <v>33211.029778524571</v>
      </c>
      <c r="M263" s="47" t="str">
        <f t="shared" si="90"/>
        <v>Mercury</v>
      </c>
      <c r="N263" s="48" t="str">
        <f>INDEX(DasaYears,MOD(P236-4,9)+1,1)</f>
        <v>Sun</v>
      </c>
      <c r="O263" s="48"/>
      <c r="P263" s="48"/>
      <c r="Q263" s="49">
        <f t="shared" si="91"/>
        <v>35489.095503451317</v>
      </c>
      <c r="S263" s="47" t="e">
        <f t="shared" si="92"/>
        <v>#N/A</v>
      </c>
      <c r="T263" s="48" t="e">
        <f>INDEX(DasaYears,MOD(V236-4,9)+1,1)</f>
        <v>#N/A</v>
      </c>
      <c r="U263" s="48"/>
      <c r="V263" s="48"/>
      <c r="W263" s="49" t="e">
        <f t="shared" si="93"/>
        <v>#N/A</v>
      </c>
      <c r="Y263" s="47" t="str">
        <f t="shared" si="94"/>
        <v>Moon</v>
      </c>
      <c r="Z263" s="48" t="str">
        <f>INDEX(DasaYears,MOD(AB236-4,9)+1,1)</f>
        <v>Jupiter</v>
      </c>
      <c r="AA263" s="48"/>
      <c r="AB263" s="48"/>
      <c r="AC263" s="49">
        <f t="shared" si="95"/>
        <v>34844.490660345902</v>
      </c>
    </row>
    <row r="264" spans="1:29" s="51" customFormat="1" ht="12.75" x14ac:dyDescent="0.15">
      <c r="A264" s="47" t="str">
        <f t="shared" si="86"/>
        <v>Rahu</v>
      </c>
      <c r="B264" s="48" t="str">
        <f>INDEX(DasaYears,MOD(D236-3,9)+1,1)</f>
        <v>Ketu</v>
      </c>
      <c r="C264" s="48"/>
      <c r="D264" s="48"/>
      <c r="E264" s="49">
        <f t="shared" si="87"/>
        <v>32612.290294161307</v>
      </c>
      <c r="F264" s="50"/>
      <c r="G264" s="47" t="str">
        <f t="shared" si="88"/>
        <v>Ketu</v>
      </c>
      <c r="H264" s="48" t="str">
        <f>INDEX(DasaYears,MOD(J236-3,9)+1,1)</f>
        <v>Mars</v>
      </c>
      <c r="I264" s="48"/>
      <c r="J264" s="48"/>
      <c r="K264" s="49">
        <f t="shared" si="89"/>
        <v>33424.095120924263</v>
      </c>
      <c r="M264" s="47" t="str">
        <f t="shared" si="90"/>
        <v>Mercury</v>
      </c>
      <c r="N264" s="48" t="str">
        <f>INDEX(DasaYears,MOD(P236-3,9)+1,1)</f>
        <v>Moon</v>
      </c>
      <c r="O264" s="48"/>
      <c r="P264" s="48"/>
      <c r="Q264" s="49">
        <f t="shared" si="91"/>
        <v>35799.562145233722</v>
      </c>
      <c r="S264" s="47" t="e">
        <f t="shared" si="92"/>
        <v>#N/A</v>
      </c>
      <c r="T264" s="48" t="e">
        <f>INDEX(DasaYears,MOD(V236-3,9)+1,1)</f>
        <v>#N/A</v>
      </c>
      <c r="U264" s="48"/>
      <c r="V264" s="48"/>
      <c r="W264" s="49" t="e">
        <f t="shared" si="93"/>
        <v>#N/A</v>
      </c>
      <c r="Y264" s="47" t="str">
        <f t="shared" si="94"/>
        <v>Moon</v>
      </c>
      <c r="Z264" s="48" t="str">
        <f>INDEX(DasaYears,MOD(AB236-3,9)+1,1)</f>
        <v>Saturn</v>
      </c>
      <c r="AA264" s="48"/>
      <c r="AB264" s="48"/>
      <c r="AC264" s="49">
        <f t="shared" si="95"/>
        <v>35331.49715725948</v>
      </c>
    </row>
    <row r="265" spans="1:29" s="51" customFormat="1" ht="12.75" x14ac:dyDescent="0.15">
      <c r="A265" s="47" t="str">
        <f t="shared" si="86"/>
        <v>Rahu</v>
      </c>
      <c r="B265" s="48" t="str">
        <f>INDEX(DasaYears,MOD(D236-2,9)+1,1)</f>
        <v>Venus</v>
      </c>
      <c r="C265" s="48"/>
      <c r="D265" s="48"/>
      <c r="E265" s="49">
        <f t="shared" si="87"/>
        <v>32995.807910480748</v>
      </c>
      <c r="F265" s="50"/>
      <c r="G265" s="47" t="str">
        <f t="shared" si="88"/>
        <v>Ketu</v>
      </c>
      <c r="H265" s="48" t="str">
        <f>INDEX(DasaYears,MOD(J236-2,9)+1,1)</f>
        <v>Rahu</v>
      </c>
      <c r="I265" s="48"/>
      <c r="J265" s="48"/>
      <c r="K265" s="49">
        <f t="shared" si="89"/>
        <v>33573.240860604048</v>
      </c>
      <c r="M265" s="47" t="str">
        <f t="shared" si="90"/>
        <v>Mercury</v>
      </c>
      <c r="N265" s="48" t="str">
        <f>INDEX(DasaYears,MOD(P236-2,9)+1,1)</f>
        <v>Mars</v>
      </c>
      <c r="O265" s="48"/>
      <c r="P265" s="48"/>
      <c r="Q265" s="49">
        <f t="shared" si="91"/>
        <v>36317.006548204394</v>
      </c>
      <c r="S265" s="47" t="e">
        <f t="shared" si="92"/>
        <v>#N/A</v>
      </c>
      <c r="T265" s="48" t="e">
        <f>INDEX(DasaYears,MOD(V236-2,9)+1,1)</f>
        <v>#N/A</v>
      </c>
      <c r="U265" s="48"/>
      <c r="V265" s="48"/>
      <c r="W265" s="49" t="e">
        <f t="shared" si="93"/>
        <v>#N/A</v>
      </c>
      <c r="Y265" s="47" t="str">
        <f t="shared" si="94"/>
        <v>Moon</v>
      </c>
      <c r="Z265" s="48" t="str">
        <f>INDEX(DasaYears,MOD(AB236-2,9)+1,1)</f>
        <v>Mercury</v>
      </c>
      <c r="AA265" s="48"/>
      <c r="AB265" s="48"/>
      <c r="AC265" s="49">
        <f t="shared" si="95"/>
        <v>35909.817372344354</v>
      </c>
    </row>
    <row r="266" spans="1:29" s="51" customFormat="1" ht="12.75" x14ac:dyDescent="0.15">
      <c r="A266" s="47" t="str">
        <f t="shared" si="86"/>
        <v>Rahu</v>
      </c>
      <c r="B266" s="52" t="str">
        <f>INDEX(DasaYears,MOD(D236-1,9)+1,1)</f>
        <v>Sun</v>
      </c>
      <c r="C266" s="48"/>
      <c r="D266" s="48"/>
      <c r="E266" s="49">
        <f t="shared" si="87"/>
        <v>34091.572528536293</v>
      </c>
      <c r="F266" s="50"/>
      <c r="G266" s="47" t="str">
        <f t="shared" si="88"/>
        <v>Ketu</v>
      </c>
      <c r="H266" s="52" t="str">
        <f>INDEX(DasaYears,MOD(J236-1,9)+1,1)</f>
        <v>Jupiter</v>
      </c>
      <c r="I266" s="48"/>
      <c r="J266" s="48"/>
      <c r="K266" s="49">
        <f t="shared" si="89"/>
        <v>33956.758476923489</v>
      </c>
      <c r="M266" s="47" t="str">
        <f t="shared" si="90"/>
        <v>Mercury</v>
      </c>
      <c r="N266" s="52" t="str">
        <f>INDEX(DasaYears,MOD(P236-1,9)+1,1)</f>
        <v>Rahu</v>
      </c>
      <c r="O266" s="48"/>
      <c r="P266" s="48"/>
      <c r="Q266" s="49">
        <f t="shared" si="91"/>
        <v>36679.217630283863</v>
      </c>
      <c r="S266" s="47" t="e">
        <f t="shared" si="92"/>
        <v>#N/A</v>
      </c>
      <c r="T266" s="52" t="e">
        <f>INDEX(DasaYears,MOD(V236-1,9)+1,1)</f>
        <v>#N/A</v>
      </c>
      <c r="U266" s="48"/>
      <c r="V266" s="48"/>
      <c r="W266" s="49" t="e">
        <f t="shared" si="93"/>
        <v>#N/A</v>
      </c>
      <c r="Y266" s="47" t="str">
        <f t="shared" si="94"/>
        <v>Moon</v>
      </c>
      <c r="Z266" s="52" t="str">
        <f>INDEX(DasaYears,MOD(AB236-1,9)+1,1)</f>
        <v>Ketu</v>
      </c>
      <c r="AA266" s="48"/>
      <c r="AB266" s="48"/>
      <c r="AC266" s="49">
        <f t="shared" si="95"/>
        <v>36427.261775315026</v>
      </c>
    </row>
    <row r="267" spans="1:29" s="51" customFormat="1" ht="12.75" x14ac:dyDescent="0.15">
      <c r="A267" s="47" t="str">
        <f t="shared" si="86"/>
        <v>Rahu</v>
      </c>
      <c r="B267" s="48" t="str">
        <f>INDEX(DasaYears,MOD(D236,9)+1,1)</f>
        <v>Moon</v>
      </c>
      <c r="C267" s="48"/>
      <c r="D267" s="48"/>
      <c r="E267" s="49">
        <f t="shared" si="87"/>
        <v>34420.301913952957</v>
      </c>
      <c r="F267" s="50"/>
      <c r="G267" s="47" t="str">
        <f t="shared" si="88"/>
        <v>Ketu</v>
      </c>
      <c r="H267" s="48" t="str">
        <f>INDEX(DasaYears,MOD(J236,9)+1,1)</f>
        <v>Saturn</v>
      </c>
      <c r="I267" s="48"/>
      <c r="J267" s="48"/>
      <c r="K267" s="49">
        <f t="shared" si="89"/>
        <v>34297.663024762995</v>
      </c>
      <c r="M267" s="47" t="str">
        <f t="shared" si="90"/>
        <v>Mercury</v>
      </c>
      <c r="N267" s="48" t="str">
        <f>INDEX(DasaYears,MOD(P236,9)+1,1)</f>
        <v>Jupiter</v>
      </c>
      <c r="O267" s="48"/>
      <c r="P267" s="48"/>
      <c r="Q267" s="49">
        <f t="shared" si="91"/>
        <v>37610.617555631077</v>
      </c>
      <c r="S267" s="47" t="e">
        <f t="shared" si="92"/>
        <v>#N/A</v>
      </c>
      <c r="T267" s="48" t="e">
        <f>INDEX(DasaYears,MOD(V236,9)+1,1)</f>
        <v>#N/A</v>
      </c>
      <c r="U267" s="48"/>
      <c r="V267" s="48"/>
      <c r="W267" s="49" t="e">
        <f t="shared" si="93"/>
        <v>#N/A</v>
      </c>
      <c r="Y267" s="47" t="str">
        <f t="shared" si="94"/>
        <v>Moon</v>
      </c>
      <c r="Z267" s="48" t="str">
        <f>INDEX(DasaYears,MOD(AB236,9)+1,1)</f>
        <v>Venus</v>
      </c>
      <c r="AA267" s="48"/>
      <c r="AB267" s="48"/>
      <c r="AC267" s="49">
        <f t="shared" si="95"/>
        <v>36640.327117714718</v>
      </c>
    </row>
    <row r="268" spans="1:29" s="51" customFormat="1" ht="12.75" x14ac:dyDescent="0.15">
      <c r="A268" s="47" t="str">
        <f t="shared" si="86"/>
        <v>Rahu</v>
      </c>
      <c r="B268" s="48" t="str">
        <f>INDEX(DasaYears,MOD(D236-8,9)+1,1)</f>
        <v>Mars</v>
      </c>
      <c r="C268" s="48"/>
      <c r="D268" s="48"/>
      <c r="E268" s="49">
        <f t="shared" si="87"/>
        <v>34968.18422298073</v>
      </c>
      <c r="F268" s="50"/>
      <c r="G268" s="47" t="str">
        <f t="shared" si="88"/>
        <v>Ketu</v>
      </c>
      <c r="H268" s="48" t="str">
        <f>INDEX(DasaYears,MOD(J236-8,9)+1,1)</f>
        <v>Mercury</v>
      </c>
      <c r="I268" s="48"/>
      <c r="J268" s="48"/>
      <c r="K268" s="49">
        <f t="shared" si="89"/>
        <v>34702.487175322407</v>
      </c>
      <c r="M268" s="47" t="str">
        <f t="shared" si="90"/>
        <v>Mercury</v>
      </c>
      <c r="N268" s="48" t="str">
        <f>INDEX(DasaYears,MOD(P236-8,9)+1,1)</f>
        <v>Saturn</v>
      </c>
      <c r="O268" s="48"/>
      <c r="P268" s="48"/>
      <c r="Q268" s="49">
        <f t="shared" si="91"/>
        <v>38438.528600384154</v>
      </c>
      <c r="S268" s="47" t="e">
        <f t="shared" si="92"/>
        <v>#N/A</v>
      </c>
      <c r="T268" s="48" t="e">
        <f>INDEX(DasaYears,MOD(V236-8,9)+1,1)</f>
        <v>#N/A</v>
      </c>
      <c r="U268" s="48"/>
      <c r="V268" s="48"/>
      <c r="W268" s="49" t="e">
        <f t="shared" si="93"/>
        <v>#N/A</v>
      </c>
      <c r="Y268" s="47" t="str">
        <f t="shared" si="94"/>
        <v>Moon</v>
      </c>
      <c r="Z268" s="48" t="str">
        <f>INDEX(DasaYears,MOD(AB236-8,9)+1,1)</f>
        <v>Sun</v>
      </c>
      <c r="AA268" s="48"/>
      <c r="AB268" s="48"/>
      <c r="AC268" s="49">
        <f t="shared" si="95"/>
        <v>37249.085238856685</v>
      </c>
    </row>
    <row r="269" spans="1:29" s="58" customFormat="1" ht="12.75" x14ac:dyDescent="0.15">
      <c r="A269" s="53" t="str">
        <f>INDEX(DasaYears,MOD(D236+3,9)+1,1)</f>
        <v>Jupiter</v>
      </c>
      <c r="B269" s="54"/>
      <c r="C269" s="55"/>
      <c r="D269" s="55"/>
      <c r="E269" s="56">
        <f>E260+DaysInYear*VLOOKUP(A260,DasaYears,2,FALSE)</f>
        <v>35351.701839300171</v>
      </c>
      <c r="F269" s="57"/>
      <c r="G269" s="53" t="str">
        <f>INDEX(DasaYears,MOD(J236+3,9)+1,1)</f>
        <v>Venus</v>
      </c>
      <c r="H269" s="54"/>
      <c r="I269" s="55"/>
      <c r="J269" s="55"/>
      <c r="K269" s="56">
        <f>K260+DaysInYear*VLOOKUP(G260,DasaYears,2,FALSE)</f>
        <v>35064.698257401877</v>
      </c>
      <c r="M269" s="53" t="str">
        <f>INDEX(DasaYears,MOD(P236+3,9)+1,1)</f>
        <v>Ketu</v>
      </c>
      <c r="N269" s="54"/>
      <c r="O269" s="55"/>
      <c r="P269" s="55"/>
      <c r="Q269" s="56">
        <f>Q260+DaysInYear*VLOOKUP(M260,DasaYears,2,FALSE)</f>
        <v>39421.672966028433</v>
      </c>
      <c r="S269" s="53" t="e">
        <f>INDEX(DasaYears,MOD(V236+3,9)+1,1)</f>
        <v>#N/A</v>
      </c>
      <c r="T269" s="54"/>
      <c r="U269" s="55"/>
      <c r="V269" s="55"/>
      <c r="W269" s="56" t="e">
        <f>W260+DaysInYear*VLOOKUP(S260,DasaYears,2,FALSE)</f>
        <v>#N/A</v>
      </c>
      <c r="Y269" s="53" t="str">
        <f>INDEX(DasaYears,MOD(AB236+3,9)+1,1)</f>
        <v>Mars</v>
      </c>
      <c r="Z269" s="54"/>
      <c r="AA269" s="55"/>
      <c r="AB269" s="55"/>
      <c r="AC269" s="56">
        <f>AC260+DaysInYear*VLOOKUP(Y260,DasaYears,2,FALSE)</f>
        <v>37431.712675199276</v>
      </c>
    </row>
    <row r="270" spans="1:29" s="58" customFormat="1" ht="12.75" x14ac:dyDescent="0.15">
      <c r="A270" s="53" t="str">
        <f t="shared" ref="A270:A277" si="96">A269</f>
        <v>Jupiter</v>
      </c>
      <c r="B270" s="55" t="str">
        <f>INDEX(DasaYears,MOD(D236-5,9)+1,1)</f>
        <v>Saturn</v>
      </c>
      <c r="C270" s="55"/>
      <c r="D270" s="55"/>
      <c r="E270" s="56">
        <f t="shared" ref="E270:E277" si="97">E271-(VLOOKUP(A270,DasaYears,2,FALSE)*VLOOKUP(B270,DasaYears,2,FALSE)/VimTotal)*DaysInYear</f>
        <v>36130.912234361887</v>
      </c>
      <c r="F270" s="57"/>
      <c r="G270" s="53" t="str">
        <f t="shared" ref="G270:G277" si="98">G269</f>
        <v>Venus</v>
      </c>
      <c r="H270" s="55" t="str">
        <f>INDEX(DasaYears,MOD(J236-5,9)+1,1)</f>
        <v>Sun</v>
      </c>
      <c r="I270" s="55"/>
      <c r="J270" s="55"/>
      <c r="K270" s="56">
        <f t="shared" ref="K270:K277" si="99">K271-(VLOOKUP(G270,DasaYears,2,FALSE)*VLOOKUP(H270,DasaYears,2,FALSE)/VimTotal)*DaysInYear</f>
        <v>36282.214499685826</v>
      </c>
      <c r="M270" s="53" t="str">
        <f t="shared" ref="M270:M277" si="100">M269</f>
        <v>Ketu</v>
      </c>
      <c r="N270" s="55" t="str">
        <f>INDEX(DasaYears,MOD(P236-5,9)+1,1)</f>
        <v>Venus</v>
      </c>
      <c r="O270" s="55"/>
      <c r="P270" s="55"/>
      <c r="Q270" s="56">
        <f t="shared" ref="Q270:Q277" si="101">Q271-(VLOOKUP(M270,DasaYears,2,FALSE)*VLOOKUP(N270,DasaYears,2,FALSE)/VimTotal)*DaysInYear</f>
        <v>39570.81870570821</v>
      </c>
      <c r="S270" s="53" t="e">
        <f t="shared" ref="S270:S277" si="102">S269</f>
        <v>#N/A</v>
      </c>
      <c r="T270" s="55" t="e">
        <f>INDEX(DasaYears,MOD(V236-5,9)+1,1)</f>
        <v>#N/A</v>
      </c>
      <c r="U270" s="55"/>
      <c r="V270" s="55"/>
      <c r="W270" s="56" t="e">
        <f t="shared" ref="W270:W277" si="103">W271-(VLOOKUP(S270,DasaYears,2,FALSE)*VLOOKUP(T270,DasaYears,2,FALSE)/VimTotal)*DaysInYear</f>
        <v>#N/A</v>
      </c>
      <c r="Y270" s="53" t="str">
        <f t="shared" ref="Y270:Y277" si="104">Y269</f>
        <v>Mars</v>
      </c>
      <c r="Z270" s="55" t="str">
        <f>INDEX(DasaYears,MOD(AB236-5,9)+1,1)</f>
        <v>Rahu</v>
      </c>
      <c r="AA270" s="55"/>
      <c r="AB270" s="55"/>
      <c r="AC270" s="56">
        <f t="shared" ref="AC270:AC277" si="105">AC271-(VLOOKUP(Y270,DasaYears,2,FALSE)*VLOOKUP(Z270,DasaYears,2,FALSE)/VimTotal)*DaysInYear</f>
        <v>37580.858414879054</v>
      </c>
    </row>
    <row r="271" spans="1:29" s="58" customFormat="1" ht="12.75" x14ac:dyDescent="0.15">
      <c r="A271" s="53" t="str">
        <f t="shared" si="96"/>
        <v>Jupiter</v>
      </c>
      <c r="B271" s="55" t="str">
        <f>INDEX(DasaYears,MOD(D236-4,9)+1,1)</f>
        <v>Mercury</v>
      </c>
      <c r="C271" s="55"/>
      <c r="D271" s="55"/>
      <c r="E271" s="56">
        <f t="shared" si="97"/>
        <v>37056.224578497684</v>
      </c>
      <c r="F271" s="57"/>
      <c r="G271" s="53" t="str">
        <f t="shared" si="98"/>
        <v>Venus</v>
      </c>
      <c r="H271" s="55" t="str">
        <f>INDEX(DasaYears,MOD(J236-4,9)+1,1)</f>
        <v>Moon</v>
      </c>
      <c r="I271" s="55"/>
      <c r="J271" s="55"/>
      <c r="K271" s="56">
        <f t="shared" si="99"/>
        <v>36647.469372371008</v>
      </c>
      <c r="M271" s="53" t="str">
        <f t="shared" si="100"/>
        <v>Ketu</v>
      </c>
      <c r="N271" s="55" t="str">
        <f>INDEX(DasaYears,MOD(P236-4,9)+1,1)</f>
        <v>Sun</v>
      </c>
      <c r="O271" s="55"/>
      <c r="P271" s="55"/>
      <c r="Q271" s="56">
        <f t="shared" si="101"/>
        <v>39996.949390507587</v>
      </c>
      <c r="S271" s="53" t="e">
        <f t="shared" si="102"/>
        <v>#N/A</v>
      </c>
      <c r="T271" s="55" t="e">
        <f>INDEX(DasaYears,MOD(V236-4,9)+1,1)</f>
        <v>#N/A</v>
      </c>
      <c r="U271" s="55"/>
      <c r="V271" s="55"/>
      <c r="W271" s="56" t="e">
        <f t="shared" si="103"/>
        <v>#N/A</v>
      </c>
      <c r="Y271" s="53" t="str">
        <f t="shared" si="104"/>
        <v>Mars</v>
      </c>
      <c r="Z271" s="55" t="str">
        <f>INDEX(DasaYears,MOD(AB236-4,9)+1,1)</f>
        <v>Jupiter</v>
      </c>
      <c r="AA271" s="55"/>
      <c r="AB271" s="55"/>
      <c r="AC271" s="56">
        <f t="shared" si="105"/>
        <v>37964.376031198495</v>
      </c>
    </row>
    <row r="272" spans="1:29" s="58" customFormat="1" ht="12.75" x14ac:dyDescent="0.15">
      <c r="A272" s="53" t="str">
        <f t="shared" si="96"/>
        <v>Jupiter</v>
      </c>
      <c r="B272" s="55" t="str">
        <f>INDEX(DasaYears,MOD(D236-3,9)+1,1)</f>
        <v>Ketu</v>
      </c>
      <c r="C272" s="55"/>
      <c r="D272" s="55"/>
      <c r="E272" s="56">
        <f t="shared" si="97"/>
        <v>37884.135623250761</v>
      </c>
      <c r="F272" s="57"/>
      <c r="G272" s="53" t="str">
        <f t="shared" si="98"/>
        <v>Venus</v>
      </c>
      <c r="H272" s="55" t="str">
        <f>INDEX(DasaYears,MOD(J236-3,9)+1,1)</f>
        <v>Mars</v>
      </c>
      <c r="I272" s="55"/>
      <c r="J272" s="55"/>
      <c r="K272" s="56">
        <f t="shared" si="99"/>
        <v>37256.227493512975</v>
      </c>
      <c r="M272" s="53" t="str">
        <f t="shared" si="100"/>
        <v>Ketu</v>
      </c>
      <c r="N272" s="55" t="str">
        <f>INDEX(DasaYears,MOD(P236-3,9)+1,1)</f>
        <v>Moon</v>
      </c>
      <c r="O272" s="55"/>
      <c r="P272" s="55"/>
      <c r="Q272" s="56">
        <f t="shared" si="101"/>
        <v>40124.788595947401</v>
      </c>
      <c r="S272" s="53" t="e">
        <f t="shared" si="102"/>
        <v>#N/A</v>
      </c>
      <c r="T272" s="55" t="e">
        <f>INDEX(DasaYears,MOD(V236-3,9)+1,1)</f>
        <v>#N/A</v>
      </c>
      <c r="U272" s="55"/>
      <c r="V272" s="55"/>
      <c r="W272" s="56" t="e">
        <f t="shared" si="103"/>
        <v>#N/A</v>
      </c>
      <c r="Y272" s="53" t="str">
        <f t="shared" si="104"/>
        <v>Mars</v>
      </c>
      <c r="Z272" s="55" t="str">
        <f>INDEX(DasaYears,MOD(AB236-3,9)+1,1)</f>
        <v>Saturn</v>
      </c>
      <c r="AA272" s="55"/>
      <c r="AB272" s="55"/>
      <c r="AC272" s="56">
        <f t="shared" si="105"/>
        <v>38305.280579038001</v>
      </c>
    </row>
    <row r="273" spans="1:29" s="58" customFormat="1" ht="12.75" x14ac:dyDescent="0.15">
      <c r="A273" s="53" t="str">
        <f t="shared" si="96"/>
        <v>Jupiter</v>
      </c>
      <c r="B273" s="55" t="str">
        <f>INDEX(DasaYears,MOD(D236-2,9)+1,1)</f>
        <v>Venus</v>
      </c>
      <c r="C273" s="55"/>
      <c r="D273" s="55"/>
      <c r="E273" s="56">
        <f t="shared" si="97"/>
        <v>38225.040171090266</v>
      </c>
      <c r="F273" s="57"/>
      <c r="G273" s="53" t="str">
        <f t="shared" si="98"/>
        <v>Venus</v>
      </c>
      <c r="H273" s="55" t="str">
        <f>INDEX(DasaYears,MOD(J236-2,9)+1,1)</f>
        <v>Rahu</v>
      </c>
      <c r="I273" s="55"/>
      <c r="J273" s="55"/>
      <c r="K273" s="56">
        <f t="shared" si="99"/>
        <v>37682.358178312352</v>
      </c>
      <c r="M273" s="53" t="str">
        <f t="shared" si="100"/>
        <v>Ketu</v>
      </c>
      <c r="N273" s="55" t="str">
        <f>INDEX(DasaYears,MOD(P236-2,9)+1,1)</f>
        <v>Mars</v>
      </c>
      <c r="O273" s="55"/>
      <c r="P273" s="55"/>
      <c r="Q273" s="56">
        <f t="shared" si="101"/>
        <v>40337.853938347092</v>
      </c>
      <c r="S273" s="53" t="e">
        <f t="shared" si="102"/>
        <v>#N/A</v>
      </c>
      <c r="T273" s="55" t="e">
        <f>INDEX(DasaYears,MOD(V236-2,9)+1,1)</f>
        <v>#N/A</v>
      </c>
      <c r="U273" s="55"/>
      <c r="V273" s="55"/>
      <c r="W273" s="56" t="e">
        <f t="shared" si="103"/>
        <v>#N/A</v>
      </c>
      <c r="Y273" s="53" t="str">
        <f t="shared" si="104"/>
        <v>Mars</v>
      </c>
      <c r="Z273" s="55" t="str">
        <f>INDEX(DasaYears,MOD(AB236-2,9)+1,1)</f>
        <v>Mercury</v>
      </c>
      <c r="AA273" s="55"/>
      <c r="AB273" s="55"/>
      <c r="AC273" s="56">
        <f t="shared" si="105"/>
        <v>38710.104729597413</v>
      </c>
    </row>
    <row r="274" spans="1:29" s="58" customFormat="1" ht="12.75" x14ac:dyDescent="0.15">
      <c r="A274" s="53" t="str">
        <f t="shared" si="96"/>
        <v>Jupiter</v>
      </c>
      <c r="B274" s="59" t="str">
        <f>INDEX(DasaYears,MOD(D236-1,9)+1,1)</f>
        <v>Sun</v>
      </c>
      <c r="C274" s="55"/>
      <c r="D274" s="55"/>
      <c r="E274" s="56">
        <f t="shared" si="97"/>
        <v>39199.053164917415</v>
      </c>
      <c r="F274" s="57"/>
      <c r="G274" s="53" t="str">
        <f t="shared" si="98"/>
        <v>Venus</v>
      </c>
      <c r="H274" s="59" t="str">
        <f>INDEX(DasaYears,MOD(J236-1,9)+1,1)</f>
        <v>Jupiter</v>
      </c>
      <c r="I274" s="55"/>
      <c r="J274" s="55"/>
      <c r="K274" s="56">
        <f t="shared" si="99"/>
        <v>38778.122796367898</v>
      </c>
      <c r="M274" s="53" t="str">
        <f t="shared" si="100"/>
        <v>Ketu</v>
      </c>
      <c r="N274" s="59" t="str">
        <f>INDEX(DasaYears,MOD(P236-1,9)+1,1)</f>
        <v>Rahu</v>
      </c>
      <c r="O274" s="55"/>
      <c r="P274" s="55"/>
      <c r="Q274" s="56">
        <f t="shared" si="101"/>
        <v>40486.999678026878</v>
      </c>
      <c r="S274" s="53" t="e">
        <f t="shared" si="102"/>
        <v>#N/A</v>
      </c>
      <c r="T274" s="59" t="e">
        <f>INDEX(DasaYears,MOD(V236-1,9)+1,1)</f>
        <v>#N/A</v>
      </c>
      <c r="U274" s="55"/>
      <c r="V274" s="55"/>
      <c r="W274" s="56" t="e">
        <f t="shared" si="103"/>
        <v>#N/A</v>
      </c>
      <c r="Y274" s="53" t="str">
        <f t="shared" si="104"/>
        <v>Mars</v>
      </c>
      <c r="Z274" s="59" t="str">
        <f>INDEX(DasaYears,MOD(AB236-1,9)+1,1)</f>
        <v>Ketu</v>
      </c>
      <c r="AA274" s="55"/>
      <c r="AB274" s="55"/>
      <c r="AC274" s="56">
        <f t="shared" si="105"/>
        <v>39072.315811676883</v>
      </c>
    </row>
    <row r="275" spans="1:29" s="58" customFormat="1" ht="12.75" x14ac:dyDescent="0.15">
      <c r="A275" s="53" t="str">
        <f t="shared" si="96"/>
        <v>Jupiter</v>
      </c>
      <c r="B275" s="55" t="str">
        <f>INDEX(DasaYears,MOD(D236,9)+1,1)</f>
        <v>Moon</v>
      </c>
      <c r="C275" s="55"/>
      <c r="D275" s="55"/>
      <c r="E275" s="56">
        <f t="shared" si="97"/>
        <v>39491.257063065561</v>
      </c>
      <c r="F275" s="57"/>
      <c r="G275" s="53" t="str">
        <f t="shared" si="98"/>
        <v>Venus</v>
      </c>
      <c r="H275" s="55" t="str">
        <f>INDEX(DasaYears,MOD(J236,9)+1,1)</f>
        <v>Saturn</v>
      </c>
      <c r="I275" s="55"/>
      <c r="J275" s="55"/>
      <c r="K275" s="56">
        <f t="shared" si="99"/>
        <v>39752.135790195047</v>
      </c>
      <c r="M275" s="53" t="str">
        <f t="shared" si="100"/>
        <v>Ketu</v>
      </c>
      <c r="N275" s="55" t="str">
        <f>INDEX(DasaYears,MOD(P236,9)+1,1)</f>
        <v>Jupiter</v>
      </c>
      <c r="O275" s="55"/>
      <c r="P275" s="55"/>
      <c r="Q275" s="56">
        <f t="shared" si="101"/>
        <v>40870.517294346319</v>
      </c>
      <c r="S275" s="53" t="e">
        <f t="shared" si="102"/>
        <v>#N/A</v>
      </c>
      <c r="T275" s="55" t="e">
        <f>INDEX(DasaYears,MOD(V236,9)+1,1)</f>
        <v>#N/A</v>
      </c>
      <c r="U275" s="55"/>
      <c r="V275" s="55"/>
      <c r="W275" s="56" t="e">
        <f t="shared" si="103"/>
        <v>#N/A</v>
      </c>
      <c r="Y275" s="53" t="str">
        <f t="shared" si="104"/>
        <v>Mars</v>
      </c>
      <c r="Z275" s="55" t="str">
        <f>INDEX(DasaYears,MOD(AB236,9)+1,1)</f>
        <v>Venus</v>
      </c>
      <c r="AA275" s="55"/>
      <c r="AB275" s="55"/>
      <c r="AC275" s="56">
        <f t="shared" si="105"/>
        <v>39221.461551356668</v>
      </c>
    </row>
    <row r="276" spans="1:29" s="58" customFormat="1" ht="12.75" x14ac:dyDescent="0.15">
      <c r="A276" s="53" t="str">
        <f t="shared" si="96"/>
        <v>Jupiter</v>
      </c>
      <c r="B276" s="55" t="str">
        <f>INDEX(DasaYears,MOD(D236-8,9)+1,1)</f>
        <v>Mars</v>
      </c>
      <c r="C276" s="55"/>
      <c r="D276" s="55"/>
      <c r="E276" s="56">
        <f t="shared" si="97"/>
        <v>39978.263559979139</v>
      </c>
      <c r="F276" s="57"/>
      <c r="G276" s="53" t="str">
        <f t="shared" si="98"/>
        <v>Venus</v>
      </c>
      <c r="H276" s="55" t="str">
        <f>INDEX(DasaYears,MOD(J236-8,9)+1,1)</f>
        <v>Mercury</v>
      </c>
      <c r="I276" s="55"/>
      <c r="J276" s="55"/>
      <c r="K276" s="56">
        <f t="shared" si="99"/>
        <v>40908.776220364787</v>
      </c>
      <c r="M276" s="53" t="str">
        <f t="shared" si="100"/>
        <v>Ketu</v>
      </c>
      <c r="N276" s="55" t="str">
        <f>INDEX(DasaYears,MOD(P236-8,9)+1,1)</f>
        <v>Saturn</v>
      </c>
      <c r="O276" s="55"/>
      <c r="P276" s="55"/>
      <c r="Q276" s="56">
        <f t="shared" si="101"/>
        <v>41211.421842185824</v>
      </c>
      <c r="S276" s="53" t="e">
        <f t="shared" si="102"/>
        <v>#N/A</v>
      </c>
      <c r="T276" s="55" t="e">
        <f>INDEX(DasaYears,MOD(V236-8,9)+1,1)</f>
        <v>#N/A</v>
      </c>
      <c r="U276" s="55"/>
      <c r="V276" s="55"/>
      <c r="W276" s="56" t="e">
        <f t="shared" si="103"/>
        <v>#N/A</v>
      </c>
      <c r="Y276" s="53" t="str">
        <f t="shared" si="104"/>
        <v>Mars</v>
      </c>
      <c r="Z276" s="55" t="str">
        <f>INDEX(DasaYears,MOD(AB236-8,9)+1,1)</f>
        <v>Sun</v>
      </c>
      <c r="AA276" s="55"/>
      <c r="AB276" s="55"/>
      <c r="AC276" s="56">
        <f t="shared" si="105"/>
        <v>39647.592236156044</v>
      </c>
    </row>
    <row r="277" spans="1:29" s="58" customFormat="1" ht="12.75" x14ac:dyDescent="0.15">
      <c r="A277" s="53" t="str">
        <f t="shared" si="96"/>
        <v>Jupiter</v>
      </c>
      <c r="B277" s="55" t="str">
        <f>INDEX(DasaYears,MOD(D236-7,9)+1,1)</f>
        <v>Rahu</v>
      </c>
      <c r="C277" s="55"/>
      <c r="D277" s="55"/>
      <c r="E277" s="56">
        <f t="shared" si="97"/>
        <v>40319.168107818645</v>
      </c>
      <c r="F277" s="57"/>
      <c r="G277" s="53" t="str">
        <f t="shared" si="98"/>
        <v>Venus</v>
      </c>
      <c r="H277" s="55" t="str">
        <f>INDEX(DasaYears,MOD(J236-7,9)+1,1)</f>
        <v>Ketu</v>
      </c>
      <c r="I277" s="55"/>
      <c r="J277" s="55"/>
      <c r="K277" s="56">
        <f t="shared" si="99"/>
        <v>41943.665026306138</v>
      </c>
      <c r="M277" s="53" t="str">
        <f t="shared" si="100"/>
        <v>Ketu</v>
      </c>
      <c r="N277" s="55" t="str">
        <f>INDEX(DasaYears,MOD(P236-7,9)+1,1)</f>
        <v>Mercury</v>
      </c>
      <c r="O277" s="55"/>
      <c r="P277" s="55"/>
      <c r="Q277" s="56">
        <f t="shared" si="101"/>
        <v>41616.245992745236</v>
      </c>
      <c r="S277" s="53" t="e">
        <f t="shared" si="102"/>
        <v>#N/A</v>
      </c>
      <c r="T277" s="55" t="e">
        <f>INDEX(DasaYears,MOD(V236-7,9)+1,1)</f>
        <v>#N/A</v>
      </c>
      <c r="U277" s="55"/>
      <c r="V277" s="55"/>
      <c r="W277" s="56" t="e">
        <f t="shared" si="103"/>
        <v>#N/A</v>
      </c>
      <c r="Y277" s="53" t="str">
        <f t="shared" si="104"/>
        <v>Mars</v>
      </c>
      <c r="Z277" s="55" t="str">
        <f>INDEX(DasaYears,MOD(AB236-7,9)+1,1)</f>
        <v>Moon</v>
      </c>
      <c r="AA277" s="55"/>
      <c r="AB277" s="55"/>
      <c r="AC277" s="56">
        <f t="shared" si="105"/>
        <v>39775.431441595858</v>
      </c>
    </row>
    <row r="278" spans="1:29" s="51" customFormat="1" ht="12.75" x14ac:dyDescent="0.15">
      <c r="A278" s="47" t="str">
        <f>INDEX(DasaYears,MOD(D236+4,9)+1,1)</f>
        <v>Saturn</v>
      </c>
      <c r="B278" s="60"/>
      <c r="C278" s="48"/>
      <c r="D278" s="48"/>
      <c r="E278" s="49">
        <f>E269+DaysInYear*VLOOKUP(A269,DasaYears,2,FALSE)</f>
        <v>41195.779802263081</v>
      </c>
      <c r="F278" s="50"/>
      <c r="G278" s="47" t="str">
        <f>INDEX(DasaYears,MOD(J236+4,9)+1,1)</f>
        <v>Sun</v>
      </c>
      <c r="H278" s="60"/>
      <c r="I278" s="48"/>
      <c r="J278" s="48"/>
      <c r="K278" s="49">
        <f>K269+DaysInYear*VLOOKUP(G269,DasaYears,2,FALSE)</f>
        <v>42369.795711105515</v>
      </c>
      <c r="M278" s="47" t="str">
        <f>INDEX(DasaYears,MOD(P236+4,9)+1,1)</f>
        <v>Venus</v>
      </c>
      <c r="N278" s="60"/>
      <c r="O278" s="48"/>
      <c r="P278" s="48"/>
      <c r="Q278" s="49">
        <f>Q269+DaysInYear*VLOOKUP(M269,DasaYears,2,FALSE)</f>
        <v>41978.457074824706</v>
      </c>
      <c r="S278" s="47" t="e">
        <f>INDEX(DasaYears,MOD(V236+4,9)+1,1)</f>
        <v>#N/A</v>
      </c>
      <c r="T278" s="60"/>
      <c r="U278" s="48"/>
      <c r="V278" s="48"/>
      <c r="W278" s="49" t="e">
        <f>W269+DaysInYear*VLOOKUP(S269,DasaYears,2,FALSE)</f>
        <v>#N/A</v>
      </c>
      <c r="Y278" s="47" t="str">
        <f>INDEX(DasaYears,MOD(AB236+4,9)+1,1)</f>
        <v>Rahu</v>
      </c>
      <c r="Z278" s="60"/>
      <c r="AA278" s="48"/>
      <c r="AB278" s="48"/>
      <c r="AC278" s="49">
        <f>AC269+DaysInYear*VLOOKUP(Y269,DasaYears,2,FALSE)</f>
        <v>39988.49678399555</v>
      </c>
    </row>
    <row r="279" spans="1:29" s="51" customFormat="1" ht="12.75" x14ac:dyDescent="0.15">
      <c r="A279" s="47" t="str">
        <f t="shared" ref="A279:A286" si="106">A278</f>
        <v>Saturn</v>
      </c>
      <c r="B279" s="48" t="str">
        <f>INDEX(DasaYears,MOD(D236-4,9)+1,1)</f>
        <v>Mercury</v>
      </c>
      <c r="C279" s="48"/>
      <c r="D279" s="48"/>
      <c r="E279" s="49">
        <f t="shared" ref="E279:E286" si="107">E280-(VLOOKUP(A279,DasaYears,2,FALSE)*VLOOKUP(B279,DasaYears,2,FALSE)/VimTotal)*DaysInYear</f>
        <v>42294.588210924332</v>
      </c>
      <c r="F279" s="50"/>
      <c r="G279" s="47" t="str">
        <f t="shared" ref="G279:G286" si="108">G278</f>
        <v>Sun</v>
      </c>
      <c r="H279" s="48" t="str">
        <f>INDEX(DasaYears,MOD(J236-4,9)+1,1)</f>
        <v>Moon</v>
      </c>
      <c r="I279" s="48"/>
      <c r="J279" s="48"/>
      <c r="K279" s="49">
        <f t="shared" ref="K279:K286" si="109">K280-(VLOOKUP(G279,DasaYears,2,FALSE)*VLOOKUP(H279,DasaYears,2,FALSE)/VimTotal)*DaysInYear</f>
        <v>42479.372172911069</v>
      </c>
      <c r="M279" s="47" t="str">
        <f t="shared" ref="M279:M286" si="110">M278</f>
        <v>Venus</v>
      </c>
      <c r="N279" s="48" t="str">
        <f>INDEX(DasaYears,MOD(P236-4,9)+1,1)</f>
        <v>Sun</v>
      </c>
      <c r="O279" s="48"/>
      <c r="P279" s="48"/>
      <c r="Q279" s="49">
        <f t="shared" ref="Q279:Q286" si="111">Q280-(VLOOKUP(M279,DasaYears,2,FALSE)*VLOOKUP(N279,DasaYears,2,FALSE)/VimTotal)*DaysInYear</f>
        <v>43195.973317108655</v>
      </c>
      <c r="S279" s="47" t="e">
        <f t="shared" ref="S279:S286" si="112">S278</f>
        <v>#N/A</v>
      </c>
      <c r="T279" s="48" t="e">
        <f>INDEX(DasaYears,MOD(V236-4,9)+1,1)</f>
        <v>#N/A</v>
      </c>
      <c r="U279" s="48"/>
      <c r="V279" s="48"/>
      <c r="W279" s="49" t="e">
        <f t="shared" ref="W279:W286" si="113">W280-(VLOOKUP(S279,DasaYears,2,FALSE)*VLOOKUP(T279,DasaYears,2,FALSE)/VimTotal)*DaysInYear</f>
        <v>#N/A</v>
      </c>
      <c r="Y279" s="47" t="str">
        <f t="shared" ref="Y279:Y286" si="114">Y278</f>
        <v>Rahu</v>
      </c>
      <c r="Z279" s="48" t="str">
        <f>INDEX(DasaYears,MOD(AB236-4,9)+1,1)</f>
        <v>Jupiter</v>
      </c>
      <c r="AA279" s="48"/>
      <c r="AB279" s="48"/>
      <c r="AC279" s="49">
        <f t="shared" ref="AC279:AC286" si="115">AC280-(VLOOKUP(Y279,DasaYears,2,FALSE)*VLOOKUP(Z279,DasaYears,2,FALSE)/VimTotal)*DaysInYear</f>
        <v>40974.684940245541</v>
      </c>
    </row>
    <row r="280" spans="1:29" s="51" customFormat="1" ht="12.75" x14ac:dyDescent="0.15">
      <c r="A280" s="47" t="str">
        <f t="shared" si="106"/>
        <v>Saturn</v>
      </c>
      <c r="B280" s="48" t="str">
        <f>INDEX(DasaYears,MOD(D236-3,9)+1,1)</f>
        <v>Ketu</v>
      </c>
      <c r="C280" s="48"/>
      <c r="D280" s="48"/>
      <c r="E280" s="49">
        <f t="shared" si="107"/>
        <v>43277.732576568611</v>
      </c>
      <c r="F280" s="50"/>
      <c r="G280" s="47" t="str">
        <f t="shared" si="108"/>
        <v>Sun</v>
      </c>
      <c r="H280" s="48" t="str">
        <f>INDEX(DasaYears,MOD(J236-3,9)+1,1)</f>
        <v>Mars</v>
      </c>
      <c r="I280" s="48"/>
      <c r="J280" s="48"/>
      <c r="K280" s="49">
        <f t="shared" si="109"/>
        <v>42661.99960925366</v>
      </c>
      <c r="M280" s="47" t="str">
        <f t="shared" si="110"/>
        <v>Venus</v>
      </c>
      <c r="N280" s="48" t="str">
        <f>INDEX(DasaYears,MOD(P236-3,9)+1,1)</f>
        <v>Moon</v>
      </c>
      <c r="O280" s="48"/>
      <c r="P280" s="48"/>
      <c r="Q280" s="49">
        <f t="shared" si="111"/>
        <v>43561.228189793837</v>
      </c>
      <c r="S280" s="47" t="e">
        <f t="shared" si="112"/>
        <v>#N/A</v>
      </c>
      <c r="T280" s="48" t="e">
        <f>INDEX(DasaYears,MOD(V236-3,9)+1,1)</f>
        <v>#N/A</v>
      </c>
      <c r="U280" s="48"/>
      <c r="V280" s="48"/>
      <c r="W280" s="49" t="e">
        <f t="shared" si="113"/>
        <v>#N/A</v>
      </c>
      <c r="Y280" s="47" t="str">
        <f t="shared" si="114"/>
        <v>Rahu</v>
      </c>
      <c r="Z280" s="48" t="str">
        <f>INDEX(DasaYears,MOD(AB236-3,9)+1,1)</f>
        <v>Saturn</v>
      </c>
      <c r="AA280" s="48"/>
      <c r="AB280" s="48"/>
      <c r="AC280" s="49">
        <f t="shared" si="115"/>
        <v>41851.296634689978</v>
      </c>
    </row>
    <row r="281" spans="1:29" s="51" customFormat="1" ht="12.75" x14ac:dyDescent="0.15">
      <c r="A281" s="47" t="str">
        <f t="shared" si="106"/>
        <v>Saturn</v>
      </c>
      <c r="B281" s="48" t="str">
        <f>INDEX(DasaYears,MOD(D236-2,9)+1,1)</f>
        <v>Venus</v>
      </c>
      <c r="C281" s="48"/>
      <c r="D281" s="48"/>
      <c r="E281" s="49">
        <f t="shared" si="107"/>
        <v>43682.556727128023</v>
      </c>
      <c r="F281" s="50"/>
      <c r="G281" s="47" t="str">
        <f t="shared" si="108"/>
        <v>Sun</v>
      </c>
      <c r="H281" s="48" t="str">
        <f>INDEX(DasaYears,MOD(J236-2,9)+1,1)</f>
        <v>Rahu</v>
      </c>
      <c r="I281" s="48"/>
      <c r="J281" s="48"/>
      <c r="K281" s="49">
        <f t="shared" si="109"/>
        <v>42789.838814693474</v>
      </c>
      <c r="M281" s="47" t="str">
        <f t="shared" si="110"/>
        <v>Venus</v>
      </c>
      <c r="N281" s="48" t="str">
        <f>INDEX(DasaYears,MOD(P236-2,9)+1,1)</f>
        <v>Mars</v>
      </c>
      <c r="O281" s="48"/>
      <c r="P281" s="48"/>
      <c r="Q281" s="49">
        <f t="shared" si="111"/>
        <v>44169.986310935805</v>
      </c>
      <c r="S281" s="47" t="e">
        <f t="shared" si="112"/>
        <v>#N/A</v>
      </c>
      <c r="T281" s="48" t="e">
        <f>INDEX(DasaYears,MOD(V236-2,9)+1,1)</f>
        <v>#N/A</v>
      </c>
      <c r="U281" s="48"/>
      <c r="V281" s="48"/>
      <c r="W281" s="49" t="e">
        <f t="shared" si="113"/>
        <v>#N/A</v>
      </c>
      <c r="Y281" s="47" t="str">
        <f t="shared" si="114"/>
        <v>Rahu</v>
      </c>
      <c r="Z281" s="48" t="str">
        <f>INDEX(DasaYears,MOD(AB236-2,9)+1,1)</f>
        <v>Mercury</v>
      </c>
      <c r="AA281" s="48"/>
      <c r="AB281" s="48"/>
      <c r="AC281" s="49">
        <f t="shared" si="115"/>
        <v>42892.273021842746</v>
      </c>
    </row>
    <row r="282" spans="1:29" s="51" customFormat="1" ht="12.75" x14ac:dyDescent="0.15">
      <c r="A282" s="47" t="str">
        <f t="shared" si="106"/>
        <v>Saturn</v>
      </c>
      <c r="B282" s="52" t="str">
        <f>INDEX(DasaYears,MOD(D236-1,9)+1,1)</f>
        <v>Sun</v>
      </c>
      <c r="C282" s="48"/>
      <c r="D282" s="48"/>
      <c r="E282" s="49">
        <f t="shared" si="107"/>
        <v>44839.197157297764</v>
      </c>
      <c r="F282" s="50"/>
      <c r="G282" s="47" t="str">
        <f t="shared" si="108"/>
        <v>Sun</v>
      </c>
      <c r="H282" s="52" t="str">
        <f>INDEX(DasaYears,MOD(J236-1,9)+1,1)</f>
        <v>Jupiter</v>
      </c>
      <c r="I282" s="48"/>
      <c r="J282" s="48"/>
      <c r="K282" s="49">
        <f t="shared" si="109"/>
        <v>43118.568200110138</v>
      </c>
      <c r="M282" s="47" t="str">
        <f t="shared" si="110"/>
        <v>Venus</v>
      </c>
      <c r="N282" s="52" t="str">
        <f>INDEX(DasaYears,MOD(P236-1,9)+1,1)</f>
        <v>Rahu</v>
      </c>
      <c r="O282" s="48"/>
      <c r="P282" s="48"/>
      <c r="Q282" s="49">
        <f t="shared" si="111"/>
        <v>44596.116995735181</v>
      </c>
      <c r="S282" s="47" t="e">
        <f t="shared" si="112"/>
        <v>#N/A</v>
      </c>
      <c r="T282" s="52" t="e">
        <f>INDEX(DasaYears,MOD(V236-1,9)+1,1)</f>
        <v>#N/A</v>
      </c>
      <c r="U282" s="48"/>
      <c r="V282" s="48"/>
      <c r="W282" s="49" t="e">
        <f t="shared" si="113"/>
        <v>#N/A</v>
      </c>
      <c r="Y282" s="47" t="str">
        <f t="shared" si="114"/>
        <v>Rahu</v>
      </c>
      <c r="Z282" s="52" t="str">
        <f>INDEX(DasaYears,MOD(AB236-1,9)+1,1)</f>
        <v>Ketu</v>
      </c>
      <c r="AA282" s="48"/>
      <c r="AB282" s="48"/>
      <c r="AC282" s="49">
        <f t="shared" si="115"/>
        <v>43823.67294718996</v>
      </c>
    </row>
    <row r="283" spans="1:29" s="51" customFormat="1" ht="12.75" x14ac:dyDescent="0.15">
      <c r="A283" s="47" t="str">
        <f t="shared" si="106"/>
        <v>Saturn</v>
      </c>
      <c r="B283" s="48" t="str">
        <f>INDEX(DasaYears,MOD(D236,9)+1,1)</f>
        <v>Moon</v>
      </c>
      <c r="C283" s="48"/>
      <c r="D283" s="48"/>
      <c r="E283" s="49">
        <f t="shared" si="107"/>
        <v>45186.189286348686</v>
      </c>
      <c r="F283" s="50"/>
      <c r="G283" s="47" t="str">
        <f t="shared" si="108"/>
        <v>Sun</v>
      </c>
      <c r="H283" s="48" t="str">
        <f>INDEX(DasaYears,MOD(J236,9)+1,1)</f>
        <v>Saturn</v>
      </c>
      <c r="I283" s="48"/>
      <c r="J283" s="48"/>
      <c r="K283" s="49">
        <f t="shared" si="109"/>
        <v>43410.772098258283</v>
      </c>
      <c r="M283" s="47" t="str">
        <f t="shared" si="110"/>
        <v>Venus</v>
      </c>
      <c r="N283" s="48" t="str">
        <f>INDEX(DasaYears,MOD(P236,9)+1,1)</f>
        <v>Jupiter</v>
      </c>
      <c r="O283" s="48"/>
      <c r="P283" s="48"/>
      <c r="Q283" s="49">
        <f t="shared" si="111"/>
        <v>45691.881613790727</v>
      </c>
      <c r="S283" s="47" t="e">
        <f t="shared" si="112"/>
        <v>#N/A</v>
      </c>
      <c r="T283" s="48" t="e">
        <f>INDEX(DasaYears,MOD(V236,9)+1,1)</f>
        <v>#N/A</v>
      </c>
      <c r="U283" s="48"/>
      <c r="V283" s="48"/>
      <c r="W283" s="49" t="e">
        <f t="shared" si="113"/>
        <v>#N/A</v>
      </c>
      <c r="Y283" s="47" t="str">
        <f t="shared" si="114"/>
        <v>Rahu</v>
      </c>
      <c r="Z283" s="48" t="str">
        <f>INDEX(DasaYears,MOD(AB236,9)+1,1)</f>
        <v>Venus</v>
      </c>
      <c r="AA283" s="48"/>
      <c r="AB283" s="48"/>
      <c r="AC283" s="49">
        <f t="shared" si="115"/>
        <v>44207.190563509401</v>
      </c>
    </row>
    <row r="284" spans="1:29" s="51" customFormat="1" ht="12.75" x14ac:dyDescent="0.15">
      <c r="A284" s="47" t="str">
        <f t="shared" si="106"/>
        <v>Saturn</v>
      </c>
      <c r="B284" s="48" t="str">
        <f>INDEX(DasaYears,MOD(D236-8,9)+1,1)</f>
        <v>Mars</v>
      </c>
      <c r="C284" s="48"/>
      <c r="D284" s="48"/>
      <c r="E284" s="49">
        <f t="shared" si="107"/>
        <v>45764.50950143356</v>
      </c>
      <c r="F284" s="50"/>
      <c r="G284" s="47" t="str">
        <f t="shared" si="108"/>
        <v>Sun</v>
      </c>
      <c r="H284" s="48" t="str">
        <f>INDEX(DasaYears,MOD(J236-8,9)+1,1)</f>
        <v>Mercury</v>
      </c>
      <c r="I284" s="48"/>
      <c r="J284" s="48"/>
      <c r="K284" s="49">
        <f t="shared" si="109"/>
        <v>43757.764227309206</v>
      </c>
      <c r="M284" s="47" t="str">
        <f t="shared" si="110"/>
        <v>Venus</v>
      </c>
      <c r="N284" s="48" t="str">
        <f>INDEX(DasaYears,MOD(P236-8,9)+1,1)</f>
        <v>Saturn</v>
      </c>
      <c r="O284" s="48"/>
      <c r="P284" s="48"/>
      <c r="Q284" s="49">
        <f t="shared" si="111"/>
        <v>46665.894607617876</v>
      </c>
      <c r="S284" s="47" t="e">
        <f t="shared" si="112"/>
        <v>#N/A</v>
      </c>
      <c r="T284" s="48" t="e">
        <f>INDEX(DasaYears,MOD(V236-8,9)+1,1)</f>
        <v>#N/A</v>
      </c>
      <c r="U284" s="48"/>
      <c r="V284" s="48"/>
      <c r="W284" s="49" t="e">
        <f t="shared" si="113"/>
        <v>#N/A</v>
      </c>
      <c r="Y284" s="47" t="str">
        <f t="shared" si="114"/>
        <v>Rahu</v>
      </c>
      <c r="Z284" s="48" t="str">
        <f>INDEX(DasaYears,MOD(AB236-8,9)+1,1)</f>
        <v>Sun</v>
      </c>
      <c r="AA284" s="48"/>
      <c r="AB284" s="48"/>
      <c r="AC284" s="49">
        <f t="shared" si="115"/>
        <v>45302.955181564947</v>
      </c>
    </row>
    <row r="285" spans="1:29" s="51" customFormat="1" ht="12.75" x14ac:dyDescent="0.15">
      <c r="A285" s="47" t="str">
        <f t="shared" si="106"/>
        <v>Saturn</v>
      </c>
      <c r="B285" s="48" t="str">
        <f>INDEX(DasaYears,MOD(D236-7,9)+1,1)</f>
        <v>Rahu</v>
      </c>
      <c r="C285" s="48"/>
      <c r="D285" s="48"/>
      <c r="E285" s="49">
        <f t="shared" si="107"/>
        <v>46169.333651992973</v>
      </c>
      <c r="F285" s="50"/>
      <c r="G285" s="47" t="str">
        <f t="shared" si="108"/>
        <v>Sun</v>
      </c>
      <c r="H285" s="48" t="str">
        <f>INDEX(DasaYears,MOD(J236-7,9)+1,1)</f>
        <v>Ketu</v>
      </c>
      <c r="I285" s="48"/>
      <c r="J285" s="48"/>
      <c r="K285" s="49">
        <f t="shared" si="109"/>
        <v>44068.230869091611</v>
      </c>
      <c r="M285" s="47" t="str">
        <f t="shared" si="110"/>
        <v>Venus</v>
      </c>
      <c r="N285" s="48" t="str">
        <f>INDEX(DasaYears,MOD(P236-7,9)+1,1)</f>
        <v>Mercury</v>
      </c>
      <c r="O285" s="48"/>
      <c r="P285" s="48"/>
      <c r="Q285" s="49">
        <f t="shared" si="111"/>
        <v>47822.535037787617</v>
      </c>
      <c r="S285" s="47" t="e">
        <f t="shared" si="112"/>
        <v>#N/A</v>
      </c>
      <c r="T285" s="48" t="e">
        <f>INDEX(DasaYears,MOD(V236-7,9)+1,1)</f>
        <v>#N/A</v>
      </c>
      <c r="U285" s="48"/>
      <c r="V285" s="48"/>
      <c r="W285" s="49" t="e">
        <f t="shared" si="113"/>
        <v>#N/A</v>
      </c>
      <c r="Y285" s="47" t="str">
        <f t="shared" si="114"/>
        <v>Rahu</v>
      </c>
      <c r="Z285" s="48" t="str">
        <f>INDEX(DasaYears,MOD(AB236-7,9)+1,1)</f>
        <v>Moon</v>
      </c>
      <c r="AA285" s="48"/>
      <c r="AB285" s="48"/>
      <c r="AC285" s="49">
        <f t="shared" si="115"/>
        <v>45631.68456698161</v>
      </c>
    </row>
    <row r="286" spans="1:29" s="51" customFormat="1" ht="12.75" x14ac:dyDescent="0.15">
      <c r="A286" s="47" t="str">
        <f t="shared" si="106"/>
        <v>Saturn</v>
      </c>
      <c r="B286" s="48" t="str">
        <f>INDEX(DasaYears,MOD(D236-6,9)+1,1)</f>
        <v>Jupiter</v>
      </c>
      <c r="C286" s="48"/>
      <c r="D286" s="48"/>
      <c r="E286" s="49">
        <f t="shared" si="107"/>
        <v>47210.310039145741</v>
      </c>
      <c r="F286" s="50"/>
      <c r="G286" s="47" t="str">
        <f t="shared" si="108"/>
        <v>Sun</v>
      </c>
      <c r="H286" s="48" t="str">
        <f>INDEX(DasaYears,MOD(J236-6,9)+1,1)</f>
        <v>Venus</v>
      </c>
      <c r="I286" s="48"/>
      <c r="J286" s="48"/>
      <c r="K286" s="49">
        <f t="shared" si="109"/>
        <v>44196.070074531424</v>
      </c>
      <c r="M286" s="47" t="str">
        <f t="shared" si="110"/>
        <v>Venus</v>
      </c>
      <c r="N286" s="48" t="str">
        <f>INDEX(DasaYears,MOD(P236-6,9)+1,1)</f>
        <v>Ketu</v>
      </c>
      <c r="O286" s="48"/>
      <c r="P286" s="48"/>
      <c r="Q286" s="49">
        <f t="shared" si="111"/>
        <v>48857.423843728968</v>
      </c>
      <c r="S286" s="47" t="e">
        <f t="shared" si="112"/>
        <v>#N/A</v>
      </c>
      <c r="T286" s="48" t="e">
        <f>INDEX(DasaYears,MOD(V236-6,9)+1,1)</f>
        <v>#N/A</v>
      </c>
      <c r="U286" s="48"/>
      <c r="V286" s="48"/>
      <c r="W286" s="49" t="e">
        <f t="shared" si="113"/>
        <v>#N/A</v>
      </c>
      <c r="Y286" s="47" t="str">
        <f t="shared" si="114"/>
        <v>Rahu</v>
      </c>
      <c r="Z286" s="48" t="str">
        <f>INDEX(DasaYears,MOD(AB236-6,9)+1,1)</f>
        <v>Mars</v>
      </c>
      <c r="AA286" s="48"/>
      <c r="AB286" s="48"/>
      <c r="AC286" s="49">
        <f t="shared" si="115"/>
        <v>46179.566876009383</v>
      </c>
    </row>
    <row r="287" spans="1:29" s="63" customFormat="1" ht="12.75" x14ac:dyDescent="0.15">
      <c r="A287" s="61" t="str">
        <f>INDEX(DasaYears,MOD(D236+5,9)+1,1)</f>
        <v>Mercury</v>
      </c>
      <c r="B287" s="62"/>
      <c r="C287" s="55"/>
      <c r="D287" s="55"/>
      <c r="E287" s="56">
        <f>E278+DaysInYear*VLOOKUP(A278,DasaYears,2,FALSE)</f>
        <v>48135.622383281538</v>
      </c>
      <c r="F287" s="57"/>
      <c r="G287" s="61" t="str">
        <f>INDEX(DasaYears,MOD(J236+5,9)+1,1)</f>
        <v>Moon</v>
      </c>
      <c r="H287" s="62"/>
      <c r="I287" s="55"/>
      <c r="J287" s="55"/>
      <c r="K287" s="56">
        <f>K278+DaysInYear*VLOOKUP(G278,DasaYears,2,FALSE)</f>
        <v>44561.324947216606</v>
      </c>
      <c r="M287" s="61" t="str">
        <f>INDEX(DasaYears,MOD(P236+5,9)+1,1)</f>
        <v>Sun</v>
      </c>
      <c r="N287" s="62"/>
      <c r="O287" s="55"/>
      <c r="P287" s="55"/>
      <c r="Q287" s="56">
        <f>Q278+DaysInYear*VLOOKUP(M278,DasaYears,2,FALSE)</f>
        <v>49283.554528528344</v>
      </c>
      <c r="S287" s="61" t="e">
        <f>INDEX(DasaYears,MOD(V236+5,9)+1,1)</f>
        <v>#N/A</v>
      </c>
      <c r="T287" s="62"/>
      <c r="U287" s="55"/>
      <c r="V287" s="55"/>
      <c r="W287" s="56" t="e">
        <f>W278+DaysInYear*VLOOKUP(S278,DasaYears,2,FALSE)</f>
        <v>#N/A</v>
      </c>
      <c r="Y287" s="61" t="str">
        <f>INDEX(DasaYears,MOD(AB236+5,9)+1,1)</f>
        <v>Jupiter</v>
      </c>
      <c r="Z287" s="62"/>
      <c r="AA287" s="55"/>
      <c r="AB287" s="55"/>
      <c r="AC287" s="56">
        <f>AC278+DaysInYear*VLOOKUP(Y278,DasaYears,2,FALSE)</f>
        <v>46563.084492328824</v>
      </c>
    </row>
    <row r="288" spans="1:29" s="63" customFormat="1" ht="12.75" x14ac:dyDescent="0.15">
      <c r="A288" s="61" t="str">
        <f t="shared" ref="A288:A295" si="116">A287</f>
        <v>Mercury</v>
      </c>
      <c r="B288" s="55" t="str">
        <f>INDEX(DasaYears,MOD(D236-3,9)+1,1)</f>
        <v>Ketu</v>
      </c>
      <c r="C288" s="55"/>
      <c r="D288" s="55"/>
      <c r="E288" s="56">
        <f t="shared" ref="E288:E295" si="117">E289-(VLOOKUP(A288,DasaYears,2,FALSE)*VLOOKUP(B288,DasaYears,2,FALSE)/VimTotal)*DaysInYear</f>
        <v>49015.277868331694</v>
      </c>
      <c r="F288" s="57"/>
      <c r="G288" s="61" t="str">
        <f t="shared" ref="G288:G295" si="118">G287</f>
        <v>Moon</v>
      </c>
      <c r="H288" s="55" t="str">
        <f>INDEX(DasaYears,MOD(J236-3,9)+1,1)</f>
        <v>Mars</v>
      </c>
      <c r="I288" s="55"/>
      <c r="J288" s="55"/>
      <c r="K288" s="56">
        <f t="shared" ref="K288:K295" si="119">K289-(VLOOKUP(G288,DasaYears,2,FALSE)*VLOOKUP(H288,DasaYears,2,FALSE)/VimTotal)*DaysInYear</f>
        <v>44865.704007787586</v>
      </c>
      <c r="M288" s="61" t="str">
        <f t="shared" ref="M288:M295" si="120">M287</f>
        <v>Sun</v>
      </c>
      <c r="N288" s="55" t="str">
        <f>INDEX(DasaYears,MOD(P236-3,9)+1,1)</f>
        <v>Moon</v>
      </c>
      <c r="O288" s="55"/>
      <c r="P288" s="55"/>
      <c r="Q288" s="56">
        <f t="shared" ref="Q288:Q295" si="121">Q289-(VLOOKUP(M288,DasaYears,2,FALSE)*VLOOKUP(N288,DasaYears,2,FALSE)/VimTotal)*DaysInYear</f>
        <v>49393.130990333899</v>
      </c>
      <c r="S288" s="61" t="e">
        <f t="shared" ref="S288:S295" si="122">S287</f>
        <v>#N/A</v>
      </c>
      <c r="T288" s="55" t="e">
        <f>INDEX(DasaYears,MOD(V236-3,9)+1,1)</f>
        <v>#N/A</v>
      </c>
      <c r="U288" s="55"/>
      <c r="V288" s="55"/>
      <c r="W288" s="56" t="e">
        <f t="shared" ref="W288:W295" si="123">W289-(VLOOKUP(S288,DasaYears,2,FALSE)*VLOOKUP(T288,DasaYears,2,FALSE)/VimTotal)*DaysInYear</f>
        <v>#N/A</v>
      </c>
      <c r="Y288" s="61" t="str">
        <f t="shared" ref="Y288:Y295" si="124">Y287</f>
        <v>Jupiter</v>
      </c>
      <c r="Z288" s="55" t="str">
        <f>INDEX(DasaYears,MOD(AB236-3,9)+1,1)</f>
        <v>Saturn</v>
      </c>
      <c r="AA288" s="55"/>
      <c r="AB288" s="55"/>
      <c r="AC288" s="56">
        <f t="shared" ref="AC288:AC295" si="125">AC289-(VLOOKUP(Y288,DasaYears,2,FALSE)*VLOOKUP(Z288,DasaYears,2,FALSE)/VimTotal)*DaysInYear</f>
        <v>47342.294887390541</v>
      </c>
    </row>
    <row r="289" spans="1:29" s="63" customFormat="1" ht="12.75" x14ac:dyDescent="0.15">
      <c r="A289" s="61" t="str">
        <f t="shared" si="116"/>
        <v>Mercury</v>
      </c>
      <c r="B289" s="55" t="str">
        <f>INDEX(DasaYears,MOD(D236-2,9)+1,1)</f>
        <v>Venus</v>
      </c>
      <c r="C289" s="55"/>
      <c r="D289" s="55"/>
      <c r="E289" s="56">
        <f t="shared" si="117"/>
        <v>49377.488950411163</v>
      </c>
      <c r="F289" s="57"/>
      <c r="G289" s="61" t="str">
        <f t="shared" si="118"/>
        <v>Moon</v>
      </c>
      <c r="H289" s="55" t="str">
        <f>INDEX(DasaYears,MOD(J236-2,9)+1,1)</f>
        <v>Rahu</v>
      </c>
      <c r="I289" s="55"/>
      <c r="J289" s="55"/>
      <c r="K289" s="56">
        <f t="shared" si="119"/>
        <v>45078.769350187278</v>
      </c>
      <c r="M289" s="61" t="str">
        <f t="shared" si="120"/>
        <v>Sun</v>
      </c>
      <c r="N289" s="55" t="str">
        <f>INDEX(DasaYears,MOD(P236-2,9)+1,1)</f>
        <v>Mars</v>
      </c>
      <c r="O289" s="55"/>
      <c r="P289" s="55"/>
      <c r="Q289" s="56">
        <f t="shared" si="121"/>
        <v>49575.75842667649</v>
      </c>
      <c r="S289" s="61" t="e">
        <f t="shared" si="122"/>
        <v>#N/A</v>
      </c>
      <c r="T289" s="55" t="e">
        <f>INDEX(DasaYears,MOD(V236-2,9)+1,1)</f>
        <v>#N/A</v>
      </c>
      <c r="U289" s="55"/>
      <c r="V289" s="55"/>
      <c r="W289" s="56" t="e">
        <f t="shared" si="123"/>
        <v>#N/A</v>
      </c>
      <c r="Y289" s="61" t="str">
        <f t="shared" si="124"/>
        <v>Jupiter</v>
      </c>
      <c r="Z289" s="55" t="str">
        <f>INDEX(DasaYears,MOD(AB236-2,9)+1,1)</f>
        <v>Mercury</v>
      </c>
      <c r="AA289" s="55"/>
      <c r="AB289" s="55"/>
      <c r="AC289" s="56">
        <f t="shared" si="125"/>
        <v>48267.607231526337</v>
      </c>
    </row>
    <row r="290" spans="1:29" s="63" customFormat="1" ht="12.75" x14ac:dyDescent="0.15">
      <c r="A290" s="61" t="str">
        <f t="shared" si="116"/>
        <v>Mercury</v>
      </c>
      <c r="B290" s="59" t="str">
        <f>INDEX(DasaYears,MOD(D236-1,9)+1,1)</f>
        <v>Sun</v>
      </c>
      <c r="C290" s="55"/>
      <c r="D290" s="55"/>
      <c r="E290" s="56">
        <f t="shared" si="117"/>
        <v>50412.377756352515</v>
      </c>
      <c r="F290" s="57"/>
      <c r="G290" s="61" t="str">
        <f t="shared" si="118"/>
        <v>Moon</v>
      </c>
      <c r="H290" s="59" t="str">
        <f>INDEX(DasaYears,MOD(J236-1,9)+1,1)</f>
        <v>Jupiter</v>
      </c>
      <c r="I290" s="55"/>
      <c r="J290" s="55"/>
      <c r="K290" s="56">
        <f t="shared" si="119"/>
        <v>45626.651659215051</v>
      </c>
      <c r="M290" s="61" t="str">
        <f t="shared" si="120"/>
        <v>Sun</v>
      </c>
      <c r="N290" s="59" t="str">
        <f>INDEX(DasaYears,MOD(P236-1,9)+1,1)</f>
        <v>Rahu</v>
      </c>
      <c r="O290" s="55"/>
      <c r="P290" s="55"/>
      <c r="Q290" s="56">
        <f t="shared" si="121"/>
        <v>49703.597632116303</v>
      </c>
      <c r="S290" s="61" t="e">
        <f t="shared" si="122"/>
        <v>#N/A</v>
      </c>
      <c r="T290" s="59" t="e">
        <f>INDEX(DasaYears,MOD(V236-1,9)+1,1)</f>
        <v>#N/A</v>
      </c>
      <c r="U290" s="55"/>
      <c r="V290" s="55"/>
      <c r="W290" s="56" t="e">
        <f t="shared" si="123"/>
        <v>#N/A</v>
      </c>
      <c r="Y290" s="61" t="str">
        <f t="shared" si="124"/>
        <v>Jupiter</v>
      </c>
      <c r="Z290" s="59" t="str">
        <f>INDEX(DasaYears,MOD(AB236-1,9)+1,1)</f>
        <v>Ketu</v>
      </c>
      <c r="AA290" s="55"/>
      <c r="AB290" s="55"/>
      <c r="AC290" s="56">
        <f t="shared" si="125"/>
        <v>49095.518276279414</v>
      </c>
    </row>
    <row r="291" spans="1:29" s="63" customFormat="1" ht="12.75" x14ac:dyDescent="0.15">
      <c r="A291" s="61" t="str">
        <f t="shared" si="116"/>
        <v>Mercury</v>
      </c>
      <c r="B291" s="55" t="str">
        <f>INDEX(DasaYears,MOD(D236,9)+1,1)</f>
        <v>Moon</v>
      </c>
      <c r="C291" s="55"/>
      <c r="D291" s="55"/>
      <c r="E291" s="56">
        <f t="shared" si="117"/>
        <v>50722.844398134919</v>
      </c>
      <c r="F291" s="57"/>
      <c r="G291" s="61" t="str">
        <f t="shared" si="118"/>
        <v>Moon</v>
      </c>
      <c r="H291" s="55" t="str">
        <f>INDEX(DasaYears,MOD(J236,9)+1,1)</f>
        <v>Saturn</v>
      </c>
      <c r="I291" s="55"/>
      <c r="J291" s="55"/>
      <c r="K291" s="56">
        <f t="shared" si="119"/>
        <v>46113.658156128629</v>
      </c>
      <c r="M291" s="61" t="str">
        <f t="shared" si="120"/>
        <v>Sun</v>
      </c>
      <c r="N291" s="55" t="str">
        <f>INDEX(DasaYears,MOD(P236,9)+1,1)</f>
        <v>Jupiter</v>
      </c>
      <c r="O291" s="55"/>
      <c r="P291" s="55"/>
      <c r="Q291" s="56">
        <f t="shared" si="121"/>
        <v>50032.327017532967</v>
      </c>
      <c r="S291" s="61" t="e">
        <f t="shared" si="122"/>
        <v>#N/A</v>
      </c>
      <c r="T291" s="55" t="e">
        <f>INDEX(DasaYears,MOD(V236,9)+1,1)</f>
        <v>#N/A</v>
      </c>
      <c r="U291" s="55"/>
      <c r="V291" s="55"/>
      <c r="W291" s="56" t="e">
        <f t="shared" si="123"/>
        <v>#N/A</v>
      </c>
      <c r="Y291" s="61" t="str">
        <f t="shared" si="124"/>
        <v>Jupiter</v>
      </c>
      <c r="Z291" s="55" t="str">
        <f>INDEX(DasaYears,MOD(AB236,9)+1,1)</f>
        <v>Venus</v>
      </c>
      <c r="AA291" s="55"/>
      <c r="AB291" s="55"/>
      <c r="AC291" s="56">
        <f t="shared" si="125"/>
        <v>49436.422824118919</v>
      </c>
    </row>
    <row r="292" spans="1:29" s="63" customFormat="1" ht="12.75" x14ac:dyDescent="0.15">
      <c r="A292" s="61" t="str">
        <f t="shared" si="116"/>
        <v>Mercury</v>
      </c>
      <c r="B292" s="55" t="str">
        <f>INDEX(DasaYears,MOD(D236-8,9)+1,1)</f>
        <v>Mars</v>
      </c>
      <c r="C292" s="55"/>
      <c r="D292" s="55"/>
      <c r="E292" s="56">
        <f t="shared" si="117"/>
        <v>51240.288801105591</v>
      </c>
      <c r="F292" s="57"/>
      <c r="G292" s="61" t="str">
        <f t="shared" si="118"/>
        <v>Moon</v>
      </c>
      <c r="H292" s="55" t="str">
        <f>INDEX(DasaYears,MOD(J236-8,9)+1,1)</f>
        <v>Mercury</v>
      </c>
      <c r="I292" s="55"/>
      <c r="J292" s="55"/>
      <c r="K292" s="56">
        <f t="shared" si="119"/>
        <v>46691.978371213503</v>
      </c>
      <c r="M292" s="61" t="str">
        <f t="shared" si="120"/>
        <v>Sun</v>
      </c>
      <c r="N292" s="55" t="str">
        <f>INDEX(DasaYears,MOD(P236-8,9)+1,1)</f>
        <v>Saturn</v>
      </c>
      <c r="O292" s="55"/>
      <c r="P292" s="55"/>
      <c r="Q292" s="56">
        <f t="shared" si="121"/>
        <v>50324.530915681113</v>
      </c>
      <c r="S292" s="61" t="e">
        <f t="shared" si="122"/>
        <v>#N/A</v>
      </c>
      <c r="T292" s="55" t="e">
        <f>INDEX(DasaYears,MOD(V236-8,9)+1,1)</f>
        <v>#N/A</v>
      </c>
      <c r="U292" s="55"/>
      <c r="V292" s="55"/>
      <c r="W292" s="56" t="e">
        <f t="shared" si="123"/>
        <v>#N/A</v>
      </c>
      <c r="Y292" s="61" t="str">
        <f t="shared" si="124"/>
        <v>Jupiter</v>
      </c>
      <c r="Z292" s="55" t="str">
        <f>INDEX(DasaYears,MOD(AB236-8,9)+1,1)</f>
        <v>Sun</v>
      </c>
      <c r="AA292" s="55"/>
      <c r="AB292" s="55"/>
      <c r="AC292" s="56">
        <f t="shared" si="125"/>
        <v>50410.435817946069</v>
      </c>
    </row>
    <row r="293" spans="1:29" s="63" customFormat="1" ht="12.75" x14ac:dyDescent="0.15">
      <c r="A293" s="61" t="str">
        <f t="shared" si="116"/>
        <v>Mercury</v>
      </c>
      <c r="B293" s="55" t="str">
        <f>INDEX(DasaYears,MOD(D236-7,9)+1,1)</f>
        <v>Rahu</v>
      </c>
      <c r="C293" s="55"/>
      <c r="D293" s="55"/>
      <c r="E293" s="56">
        <f t="shared" si="117"/>
        <v>51602.499883185061</v>
      </c>
      <c r="F293" s="57"/>
      <c r="G293" s="61" t="str">
        <f t="shared" si="118"/>
        <v>Moon</v>
      </c>
      <c r="H293" s="55" t="str">
        <f>INDEX(DasaYears,MOD(J236-7,9)+1,1)</f>
        <v>Ketu</v>
      </c>
      <c r="I293" s="55"/>
      <c r="J293" s="55"/>
      <c r="K293" s="56">
        <f t="shared" si="119"/>
        <v>47209.422774184175</v>
      </c>
      <c r="M293" s="61" t="str">
        <f t="shared" si="120"/>
        <v>Sun</v>
      </c>
      <c r="N293" s="55" t="str">
        <f>INDEX(DasaYears,MOD(P236-7,9)+1,1)</f>
        <v>Mercury</v>
      </c>
      <c r="O293" s="55"/>
      <c r="P293" s="55"/>
      <c r="Q293" s="56">
        <f t="shared" si="121"/>
        <v>50671.523044732035</v>
      </c>
      <c r="S293" s="61" t="e">
        <f t="shared" si="122"/>
        <v>#N/A</v>
      </c>
      <c r="T293" s="55" t="e">
        <f>INDEX(DasaYears,MOD(V236-7,9)+1,1)</f>
        <v>#N/A</v>
      </c>
      <c r="U293" s="55"/>
      <c r="V293" s="55"/>
      <c r="W293" s="56" t="e">
        <f t="shared" si="123"/>
        <v>#N/A</v>
      </c>
      <c r="Y293" s="61" t="str">
        <f t="shared" si="124"/>
        <v>Jupiter</v>
      </c>
      <c r="Z293" s="55" t="str">
        <f>INDEX(DasaYears,MOD(AB236-7,9)+1,1)</f>
        <v>Moon</v>
      </c>
      <c r="AA293" s="55"/>
      <c r="AB293" s="55"/>
      <c r="AC293" s="56">
        <f t="shared" si="125"/>
        <v>50702.639716094214</v>
      </c>
    </row>
    <row r="294" spans="1:29" s="63" customFormat="1" ht="12.75" x14ac:dyDescent="0.15">
      <c r="A294" s="61" t="str">
        <f t="shared" si="116"/>
        <v>Mercury</v>
      </c>
      <c r="B294" s="55" t="str">
        <f>INDEX(DasaYears,MOD(D236-6,9)+1,1)</f>
        <v>Jupiter</v>
      </c>
      <c r="C294" s="55"/>
      <c r="D294" s="55"/>
      <c r="E294" s="56">
        <f t="shared" si="117"/>
        <v>52533.899808532275</v>
      </c>
      <c r="F294" s="57"/>
      <c r="G294" s="61" t="str">
        <f t="shared" si="118"/>
        <v>Moon</v>
      </c>
      <c r="H294" s="55" t="str">
        <f>INDEX(DasaYears,MOD(J236-6,9)+1,1)</f>
        <v>Venus</v>
      </c>
      <c r="I294" s="55"/>
      <c r="J294" s="55"/>
      <c r="K294" s="56">
        <f t="shared" si="119"/>
        <v>47422.488116583867</v>
      </c>
      <c r="M294" s="61" t="str">
        <f t="shared" si="120"/>
        <v>Sun</v>
      </c>
      <c r="N294" s="55" t="str">
        <f>INDEX(DasaYears,MOD(P236-6,9)+1,1)</f>
        <v>Ketu</v>
      </c>
      <c r="O294" s="55"/>
      <c r="P294" s="55"/>
      <c r="Q294" s="56">
        <f t="shared" si="121"/>
        <v>50981.98968651444</v>
      </c>
      <c r="S294" s="61" t="e">
        <f t="shared" si="122"/>
        <v>#N/A</v>
      </c>
      <c r="T294" s="55" t="e">
        <f>INDEX(DasaYears,MOD(V236-6,9)+1,1)</f>
        <v>#N/A</v>
      </c>
      <c r="U294" s="55"/>
      <c r="V294" s="55"/>
      <c r="W294" s="56" t="e">
        <f t="shared" si="123"/>
        <v>#N/A</v>
      </c>
      <c r="Y294" s="61" t="str">
        <f t="shared" si="124"/>
        <v>Jupiter</v>
      </c>
      <c r="Z294" s="55" t="str">
        <f>INDEX(DasaYears,MOD(AB236-6,9)+1,1)</f>
        <v>Mars</v>
      </c>
      <c r="AA294" s="55"/>
      <c r="AB294" s="55"/>
      <c r="AC294" s="56">
        <f t="shared" si="125"/>
        <v>51189.646213007793</v>
      </c>
    </row>
    <row r="295" spans="1:29" s="63" customFormat="1" ht="12.75" x14ac:dyDescent="0.15">
      <c r="A295" s="61" t="str">
        <f t="shared" si="116"/>
        <v>Mercury</v>
      </c>
      <c r="B295" s="55" t="str">
        <f>INDEX(DasaYears,MOD(D236-5,9)+1,1)</f>
        <v>Saturn</v>
      </c>
      <c r="C295" s="55"/>
      <c r="D295" s="55"/>
      <c r="E295" s="56">
        <f t="shared" si="117"/>
        <v>53361.810853285351</v>
      </c>
      <c r="F295" s="57"/>
      <c r="G295" s="61" t="str">
        <f t="shared" si="118"/>
        <v>Moon</v>
      </c>
      <c r="H295" s="55" t="str">
        <f>INDEX(DasaYears,MOD(J236-5,9)+1,1)</f>
        <v>Sun</v>
      </c>
      <c r="I295" s="55"/>
      <c r="J295" s="55"/>
      <c r="K295" s="56">
        <f t="shared" si="119"/>
        <v>48031.246237725834</v>
      </c>
      <c r="M295" s="61" t="str">
        <f t="shared" si="120"/>
        <v>Sun</v>
      </c>
      <c r="N295" s="55" t="str">
        <f>INDEX(DasaYears,MOD(P236-5,9)+1,1)</f>
        <v>Venus</v>
      </c>
      <c r="O295" s="55"/>
      <c r="P295" s="55"/>
      <c r="Q295" s="56">
        <f t="shared" si="121"/>
        <v>51109.828891954254</v>
      </c>
      <c r="S295" s="61" t="e">
        <f t="shared" si="122"/>
        <v>#N/A</v>
      </c>
      <c r="T295" s="55" t="e">
        <f>INDEX(DasaYears,MOD(V236-5,9)+1,1)</f>
        <v>#N/A</v>
      </c>
      <c r="U295" s="55"/>
      <c r="V295" s="55"/>
      <c r="W295" s="56" t="e">
        <f t="shared" si="123"/>
        <v>#N/A</v>
      </c>
      <c r="Y295" s="61" t="str">
        <f t="shared" si="124"/>
        <v>Jupiter</v>
      </c>
      <c r="Z295" s="55" t="str">
        <f>INDEX(DasaYears,MOD(AB236-5,9)+1,1)</f>
        <v>Rahu</v>
      </c>
      <c r="AA295" s="55"/>
      <c r="AB295" s="55"/>
      <c r="AC295" s="56">
        <f t="shared" si="125"/>
        <v>51530.550760847298</v>
      </c>
    </row>
    <row r="296" spans="1:29" s="66" customFormat="1" ht="12.75" x14ac:dyDescent="0.15">
      <c r="A296" s="64" t="str">
        <f>INDEX(DasaYears,MOD(D236+6,9)+1,1)</f>
        <v>Ketu</v>
      </c>
      <c r="B296" s="65"/>
      <c r="C296" s="48"/>
      <c r="D296" s="48"/>
      <c r="E296" s="49">
        <f>E287+DaysInYear*VLOOKUP(A287,DasaYears,2,FALSE)</f>
        <v>54344.95521892963</v>
      </c>
      <c r="F296" s="50"/>
      <c r="G296" s="64" t="str">
        <f>INDEX(DasaYears,MOD(J236+6,9)+1,1)</f>
        <v>Mars</v>
      </c>
      <c r="H296" s="65"/>
      <c r="I296" s="48"/>
      <c r="J296" s="48"/>
      <c r="K296" s="49">
        <f>K287+DaysInYear*VLOOKUP(G287,DasaYears,2,FALSE)</f>
        <v>48213.873674068425</v>
      </c>
      <c r="M296" s="64" t="str">
        <f>INDEX(DasaYears,MOD(P236+6,9)+1,1)</f>
        <v>Moon</v>
      </c>
      <c r="N296" s="65"/>
      <c r="O296" s="48"/>
      <c r="P296" s="48"/>
      <c r="Q296" s="49">
        <f>Q287+DaysInYear*VLOOKUP(M287,DasaYears,2,FALSE)</f>
        <v>51475.083764639436</v>
      </c>
      <c r="S296" s="64" t="e">
        <f>INDEX(DasaYears,MOD(V236+6,9)+1,1)</f>
        <v>#N/A</v>
      </c>
      <c r="T296" s="65"/>
      <c r="U296" s="48"/>
      <c r="V296" s="48"/>
      <c r="W296" s="49" t="e">
        <f>W287+DaysInYear*VLOOKUP(S287,DasaYears,2,FALSE)</f>
        <v>#N/A</v>
      </c>
      <c r="Y296" s="64" t="str">
        <f>INDEX(DasaYears,MOD(AB236+6,9)+1,1)</f>
        <v>Saturn</v>
      </c>
      <c r="Z296" s="65"/>
      <c r="AA296" s="48"/>
      <c r="AB296" s="48"/>
      <c r="AC296" s="49">
        <f>AC287+DaysInYear*VLOOKUP(Y287,DasaYears,2,FALSE)</f>
        <v>52407.162455291735</v>
      </c>
    </row>
    <row r="297" spans="1:29" s="66" customFormat="1" ht="12.75" x14ac:dyDescent="0.15">
      <c r="A297" s="64" t="str">
        <f t="shared" ref="A297:A304" si="126">A296</f>
        <v>Ketu</v>
      </c>
      <c r="B297" s="48" t="str">
        <f>INDEX(DasaYears,MOD(D236-2,9)+1,1)</f>
        <v>Venus</v>
      </c>
      <c r="C297" s="48"/>
      <c r="D297" s="48"/>
      <c r="E297" s="49">
        <f t="shared" ref="E297:E304" si="127">E298-(VLOOKUP(A297,DasaYears,2,FALSE)*VLOOKUP(B297,DasaYears,2,FALSE)/VimTotal)*DaysInYear</f>
        <v>54494.100958609408</v>
      </c>
      <c r="F297" s="50"/>
      <c r="G297" s="64" t="str">
        <f t="shared" ref="G297:G304" si="128">G296</f>
        <v>Mars</v>
      </c>
      <c r="H297" s="48" t="str">
        <f>INDEX(DasaYears,MOD(J236-2,9)+1,1)</f>
        <v>Rahu</v>
      </c>
      <c r="I297" s="48"/>
      <c r="J297" s="48"/>
      <c r="K297" s="49">
        <f t="shared" ref="K297:K304" si="129">K298-(VLOOKUP(G297,DasaYears,2,FALSE)*VLOOKUP(H297,DasaYears,2,FALSE)/VimTotal)*DaysInYear</f>
        <v>48363.019413748203</v>
      </c>
      <c r="M297" s="64" t="str">
        <f t="shared" ref="M297:M304" si="130">M296</f>
        <v>Moon</v>
      </c>
      <c r="N297" s="48" t="str">
        <f>INDEX(DasaYears,MOD(P236-2,9)+1,1)</f>
        <v>Mars</v>
      </c>
      <c r="O297" s="48"/>
      <c r="P297" s="48"/>
      <c r="Q297" s="49">
        <f t="shared" ref="Q297:Q304" si="131">Q298-(VLOOKUP(M297,DasaYears,2,FALSE)*VLOOKUP(N297,DasaYears,2,FALSE)/VimTotal)*DaysInYear</f>
        <v>51779.462825210416</v>
      </c>
      <c r="S297" s="64" t="e">
        <f t="shared" ref="S297:S304" si="132">S296</f>
        <v>#N/A</v>
      </c>
      <c r="T297" s="48" t="e">
        <f>INDEX(DasaYears,MOD(V236-2,9)+1,1)</f>
        <v>#N/A</v>
      </c>
      <c r="U297" s="48"/>
      <c r="V297" s="48"/>
      <c r="W297" s="49" t="e">
        <f t="shared" ref="W297:W304" si="133">W298-(VLOOKUP(S297,DasaYears,2,FALSE)*VLOOKUP(T297,DasaYears,2,FALSE)/VimTotal)*DaysInYear</f>
        <v>#N/A</v>
      </c>
      <c r="Y297" s="64" t="str">
        <f t="shared" ref="Y297:Y304" si="134">Y296</f>
        <v>Saturn</v>
      </c>
      <c r="Z297" s="48" t="str">
        <f>INDEX(DasaYears,MOD(AB236-2,9)+1,1)</f>
        <v>Mercury</v>
      </c>
      <c r="AA297" s="48"/>
      <c r="AB297" s="48"/>
      <c r="AC297" s="49">
        <f t="shared" ref="AC297:AC304" si="135">AC298-(VLOOKUP(Y297,DasaYears,2,FALSE)*VLOOKUP(Z297,DasaYears,2,FALSE)/VimTotal)*DaysInYear</f>
        <v>53505.970863952985</v>
      </c>
    </row>
    <row r="298" spans="1:29" s="66" customFormat="1" ht="12.75" x14ac:dyDescent="0.15">
      <c r="A298" s="64" t="str">
        <f t="shared" si="126"/>
        <v>Ketu</v>
      </c>
      <c r="B298" s="52" t="str">
        <f>INDEX(DasaYears,MOD(D236-1,9)+1,1)</f>
        <v>Sun</v>
      </c>
      <c r="C298" s="48"/>
      <c r="D298" s="48"/>
      <c r="E298" s="49">
        <f t="shared" si="127"/>
        <v>54920.231643408784</v>
      </c>
      <c r="F298" s="50"/>
      <c r="G298" s="64" t="str">
        <f t="shared" si="128"/>
        <v>Mars</v>
      </c>
      <c r="H298" s="52" t="str">
        <f>INDEX(DasaYears,MOD(J236-1,9)+1,1)</f>
        <v>Jupiter</v>
      </c>
      <c r="I298" s="48"/>
      <c r="J298" s="48"/>
      <c r="K298" s="49">
        <f t="shared" si="129"/>
        <v>48746.537030067644</v>
      </c>
      <c r="M298" s="64" t="str">
        <f t="shared" si="130"/>
        <v>Moon</v>
      </c>
      <c r="N298" s="52" t="str">
        <f>INDEX(DasaYears,MOD(P236-1,9)+1,1)</f>
        <v>Rahu</v>
      </c>
      <c r="O298" s="48"/>
      <c r="P298" s="48"/>
      <c r="Q298" s="49">
        <f t="shared" si="131"/>
        <v>51992.528167610108</v>
      </c>
      <c r="S298" s="64" t="e">
        <f t="shared" si="132"/>
        <v>#N/A</v>
      </c>
      <c r="T298" s="52" t="e">
        <f>INDEX(DasaYears,MOD(V236-1,9)+1,1)</f>
        <v>#N/A</v>
      </c>
      <c r="U298" s="48"/>
      <c r="V298" s="48"/>
      <c r="W298" s="49" t="e">
        <f t="shared" si="133"/>
        <v>#N/A</v>
      </c>
      <c r="Y298" s="64" t="str">
        <f t="shared" si="134"/>
        <v>Saturn</v>
      </c>
      <c r="Z298" s="52" t="str">
        <f>INDEX(DasaYears,MOD(AB236-1,9)+1,1)</f>
        <v>Ketu</v>
      </c>
      <c r="AA298" s="48"/>
      <c r="AB298" s="48"/>
      <c r="AC298" s="49">
        <f t="shared" si="135"/>
        <v>54489.115229597264</v>
      </c>
    </row>
    <row r="299" spans="1:29" s="66" customFormat="1" ht="12.75" x14ac:dyDescent="0.15">
      <c r="A299" s="64" t="str">
        <f t="shared" si="126"/>
        <v>Ketu</v>
      </c>
      <c r="B299" s="48" t="str">
        <f>INDEX(DasaYears,MOD(D236,9)+1,1)</f>
        <v>Moon</v>
      </c>
      <c r="C299" s="48"/>
      <c r="D299" s="48"/>
      <c r="E299" s="49">
        <f t="shared" si="127"/>
        <v>55048.070848848598</v>
      </c>
      <c r="F299" s="50"/>
      <c r="G299" s="64" t="str">
        <f t="shared" si="128"/>
        <v>Mars</v>
      </c>
      <c r="H299" s="48" t="str">
        <f>INDEX(DasaYears,MOD(J236,9)+1,1)</f>
        <v>Saturn</v>
      </c>
      <c r="I299" s="48"/>
      <c r="J299" s="48"/>
      <c r="K299" s="49">
        <f t="shared" si="129"/>
        <v>49087.44157790715</v>
      </c>
      <c r="M299" s="64" t="str">
        <f t="shared" si="130"/>
        <v>Moon</v>
      </c>
      <c r="N299" s="48" t="str">
        <f>INDEX(DasaYears,MOD(P236,9)+1,1)</f>
        <v>Jupiter</v>
      </c>
      <c r="O299" s="48"/>
      <c r="P299" s="48"/>
      <c r="Q299" s="49">
        <f t="shared" si="131"/>
        <v>52540.41047663788</v>
      </c>
      <c r="S299" s="64" t="e">
        <f t="shared" si="132"/>
        <v>#N/A</v>
      </c>
      <c r="T299" s="48" t="e">
        <f>INDEX(DasaYears,MOD(V236,9)+1,1)</f>
        <v>#N/A</v>
      </c>
      <c r="U299" s="48"/>
      <c r="V299" s="48"/>
      <c r="W299" s="49" t="e">
        <f t="shared" si="133"/>
        <v>#N/A</v>
      </c>
      <c r="Y299" s="64" t="str">
        <f t="shared" si="134"/>
        <v>Saturn</v>
      </c>
      <c r="Z299" s="48" t="str">
        <f>INDEX(DasaYears,MOD(AB236,9)+1,1)</f>
        <v>Venus</v>
      </c>
      <c r="AA299" s="48"/>
      <c r="AB299" s="48"/>
      <c r="AC299" s="49">
        <f t="shared" si="135"/>
        <v>54893.939380156677</v>
      </c>
    </row>
    <row r="300" spans="1:29" s="66" customFormat="1" ht="12.75" x14ac:dyDescent="0.15">
      <c r="A300" s="64" t="str">
        <f t="shared" si="126"/>
        <v>Ketu</v>
      </c>
      <c r="B300" s="48" t="str">
        <f>INDEX(DasaYears,MOD(D236-8,9)+1,1)</f>
        <v>Mars</v>
      </c>
      <c r="C300" s="48"/>
      <c r="D300" s="48"/>
      <c r="E300" s="49">
        <f t="shared" si="127"/>
        <v>55261.13619124829</v>
      </c>
      <c r="F300" s="50"/>
      <c r="G300" s="64" t="str">
        <f t="shared" si="128"/>
        <v>Mars</v>
      </c>
      <c r="H300" s="48" t="str">
        <f>INDEX(DasaYears,MOD(J236-8,9)+1,1)</f>
        <v>Mercury</v>
      </c>
      <c r="I300" s="48"/>
      <c r="J300" s="48"/>
      <c r="K300" s="49">
        <f t="shared" si="129"/>
        <v>49492.265728466562</v>
      </c>
      <c r="M300" s="64" t="str">
        <f t="shared" si="130"/>
        <v>Moon</v>
      </c>
      <c r="N300" s="48" t="str">
        <f>INDEX(DasaYears,MOD(P236-8,9)+1,1)</f>
        <v>Saturn</v>
      </c>
      <c r="O300" s="48"/>
      <c r="P300" s="48"/>
      <c r="Q300" s="49">
        <f t="shared" si="131"/>
        <v>53027.416973551459</v>
      </c>
      <c r="S300" s="64" t="e">
        <f t="shared" si="132"/>
        <v>#N/A</v>
      </c>
      <c r="T300" s="48" t="e">
        <f>INDEX(DasaYears,MOD(V236-8,9)+1,1)</f>
        <v>#N/A</v>
      </c>
      <c r="U300" s="48"/>
      <c r="V300" s="48"/>
      <c r="W300" s="49" t="e">
        <f t="shared" si="133"/>
        <v>#N/A</v>
      </c>
      <c r="Y300" s="64" t="str">
        <f t="shared" si="134"/>
        <v>Saturn</v>
      </c>
      <c r="Z300" s="48" t="str">
        <f>INDEX(DasaYears,MOD(AB236-8,9)+1,1)</f>
        <v>Sun</v>
      </c>
      <c r="AA300" s="48"/>
      <c r="AB300" s="48"/>
      <c r="AC300" s="49">
        <f t="shared" si="135"/>
        <v>56050.579810326417</v>
      </c>
    </row>
    <row r="301" spans="1:29" s="66" customFormat="1" ht="12.75" x14ac:dyDescent="0.15">
      <c r="A301" s="64" t="str">
        <f t="shared" si="126"/>
        <v>Ketu</v>
      </c>
      <c r="B301" s="48" t="str">
        <f>INDEX(DasaYears,MOD(D236-7,9)+1,1)</f>
        <v>Rahu</v>
      </c>
      <c r="C301" s="48"/>
      <c r="D301" s="48"/>
      <c r="E301" s="49">
        <f t="shared" si="127"/>
        <v>55410.281930928075</v>
      </c>
      <c r="F301" s="50"/>
      <c r="G301" s="64" t="str">
        <f t="shared" si="128"/>
        <v>Mars</v>
      </c>
      <c r="H301" s="48" t="str">
        <f>INDEX(DasaYears,MOD(J236-7,9)+1,1)</f>
        <v>Ketu</v>
      </c>
      <c r="I301" s="48"/>
      <c r="J301" s="48"/>
      <c r="K301" s="49">
        <f t="shared" si="129"/>
        <v>49854.476810546032</v>
      </c>
      <c r="M301" s="64" t="str">
        <f t="shared" si="130"/>
        <v>Moon</v>
      </c>
      <c r="N301" s="48" t="str">
        <f>INDEX(DasaYears,MOD(P236-7,9)+1,1)</f>
        <v>Mercury</v>
      </c>
      <c r="O301" s="48"/>
      <c r="P301" s="48"/>
      <c r="Q301" s="49">
        <f t="shared" si="131"/>
        <v>53605.737188636333</v>
      </c>
      <c r="S301" s="64" t="e">
        <f t="shared" si="132"/>
        <v>#N/A</v>
      </c>
      <c r="T301" s="48" t="e">
        <f>INDEX(DasaYears,MOD(V236-7,9)+1,1)</f>
        <v>#N/A</v>
      </c>
      <c r="U301" s="48"/>
      <c r="V301" s="48"/>
      <c r="W301" s="49" t="e">
        <f t="shared" si="133"/>
        <v>#N/A</v>
      </c>
      <c r="Y301" s="64" t="str">
        <f t="shared" si="134"/>
        <v>Saturn</v>
      </c>
      <c r="Z301" s="48" t="str">
        <f>INDEX(DasaYears,MOD(AB236-7,9)+1,1)</f>
        <v>Moon</v>
      </c>
      <c r="AA301" s="48"/>
      <c r="AB301" s="48"/>
      <c r="AC301" s="49">
        <f t="shared" si="135"/>
        <v>56397.57193937734</v>
      </c>
    </row>
    <row r="302" spans="1:29" s="66" customFormat="1" ht="12.75" x14ac:dyDescent="0.15">
      <c r="A302" s="64" t="str">
        <f t="shared" si="126"/>
        <v>Ketu</v>
      </c>
      <c r="B302" s="48" t="str">
        <f>INDEX(DasaYears,MOD(D236-6,9)+1,1)</f>
        <v>Jupiter</v>
      </c>
      <c r="C302" s="48"/>
      <c r="D302" s="48"/>
      <c r="E302" s="49">
        <f t="shared" si="127"/>
        <v>55793.799547247516</v>
      </c>
      <c r="F302" s="50"/>
      <c r="G302" s="64" t="str">
        <f t="shared" si="128"/>
        <v>Mars</v>
      </c>
      <c r="H302" s="48" t="str">
        <f>INDEX(DasaYears,MOD(J236-6,9)+1,1)</f>
        <v>Venus</v>
      </c>
      <c r="I302" s="48"/>
      <c r="J302" s="48"/>
      <c r="K302" s="49">
        <f t="shared" si="129"/>
        <v>50003.622550225817</v>
      </c>
      <c r="M302" s="64" t="str">
        <f t="shared" si="130"/>
        <v>Moon</v>
      </c>
      <c r="N302" s="48" t="str">
        <f>INDEX(DasaYears,MOD(P236-6,9)+1,1)</f>
        <v>Ketu</v>
      </c>
      <c r="O302" s="48"/>
      <c r="P302" s="48"/>
      <c r="Q302" s="49">
        <f t="shared" si="131"/>
        <v>54123.181591607005</v>
      </c>
      <c r="S302" s="64" t="e">
        <f t="shared" si="132"/>
        <v>#N/A</v>
      </c>
      <c r="T302" s="48" t="e">
        <f>INDEX(DasaYears,MOD(V236-6,9)+1,1)</f>
        <v>#N/A</v>
      </c>
      <c r="U302" s="48"/>
      <c r="V302" s="48"/>
      <c r="W302" s="49" t="e">
        <f t="shared" si="133"/>
        <v>#N/A</v>
      </c>
      <c r="Y302" s="64" t="str">
        <f t="shared" si="134"/>
        <v>Saturn</v>
      </c>
      <c r="Z302" s="48" t="str">
        <f>INDEX(DasaYears,MOD(AB236-6,9)+1,1)</f>
        <v>Mars</v>
      </c>
      <c r="AA302" s="48"/>
      <c r="AB302" s="48"/>
      <c r="AC302" s="49">
        <f t="shared" si="135"/>
        <v>56975.892154462214</v>
      </c>
    </row>
    <row r="303" spans="1:29" s="66" customFormat="1" ht="12.75" x14ac:dyDescent="0.15">
      <c r="A303" s="64" t="str">
        <f t="shared" si="126"/>
        <v>Ketu</v>
      </c>
      <c r="B303" s="48" t="str">
        <f>INDEX(DasaYears,MOD(D236-5,9)+1,1)</f>
        <v>Saturn</v>
      </c>
      <c r="C303" s="48"/>
      <c r="D303" s="48"/>
      <c r="E303" s="49">
        <f t="shared" si="127"/>
        <v>56134.704095087021</v>
      </c>
      <c r="F303" s="50"/>
      <c r="G303" s="64" t="str">
        <f t="shared" si="128"/>
        <v>Mars</v>
      </c>
      <c r="H303" s="48" t="str">
        <f>INDEX(DasaYears,MOD(J236-5,9)+1,1)</f>
        <v>Sun</v>
      </c>
      <c r="I303" s="48"/>
      <c r="J303" s="48"/>
      <c r="K303" s="49">
        <f t="shared" si="129"/>
        <v>50429.753235025193</v>
      </c>
      <c r="M303" s="64" t="str">
        <f t="shared" si="130"/>
        <v>Moon</v>
      </c>
      <c r="N303" s="48" t="str">
        <f>INDEX(DasaYears,MOD(P236-5,9)+1,1)</f>
        <v>Venus</v>
      </c>
      <c r="O303" s="48"/>
      <c r="P303" s="48"/>
      <c r="Q303" s="49">
        <f t="shared" si="131"/>
        <v>54336.246934006696</v>
      </c>
      <c r="S303" s="64" t="e">
        <f t="shared" si="132"/>
        <v>#N/A</v>
      </c>
      <c r="T303" s="48" t="e">
        <f>INDEX(DasaYears,MOD(V236-5,9)+1,1)</f>
        <v>#N/A</v>
      </c>
      <c r="U303" s="48"/>
      <c r="V303" s="48"/>
      <c r="W303" s="49" t="e">
        <f t="shared" si="133"/>
        <v>#N/A</v>
      </c>
      <c r="Y303" s="64" t="str">
        <f t="shared" si="134"/>
        <v>Saturn</v>
      </c>
      <c r="Z303" s="48" t="str">
        <f>INDEX(DasaYears,MOD(AB236-5,9)+1,1)</f>
        <v>Rahu</v>
      </c>
      <c r="AA303" s="48"/>
      <c r="AB303" s="48"/>
      <c r="AC303" s="49">
        <f t="shared" si="135"/>
        <v>57380.716305021626</v>
      </c>
    </row>
    <row r="304" spans="1:29" s="66" customFormat="1" ht="12.75" x14ac:dyDescent="0.15">
      <c r="A304" s="64" t="str">
        <f t="shared" si="126"/>
        <v>Ketu</v>
      </c>
      <c r="B304" s="48" t="str">
        <f>INDEX(DasaYears,MOD(D236-4,9)+1,1)</f>
        <v>Mercury</v>
      </c>
      <c r="C304" s="48"/>
      <c r="D304" s="48"/>
      <c r="E304" s="49">
        <f t="shared" si="127"/>
        <v>56539.528245646434</v>
      </c>
      <c r="F304" s="50"/>
      <c r="G304" s="64" t="str">
        <f t="shared" si="128"/>
        <v>Mars</v>
      </c>
      <c r="H304" s="48" t="str">
        <f>INDEX(DasaYears,MOD(J236-4,9)+1,1)</f>
        <v>Moon</v>
      </c>
      <c r="I304" s="48"/>
      <c r="J304" s="48"/>
      <c r="K304" s="49">
        <f t="shared" si="129"/>
        <v>50557.592440465007</v>
      </c>
      <c r="M304" s="64" t="str">
        <f t="shared" si="130"/>
        <v>Moon</v>
      </c>
      <c r="N304" s="48" t="str">
        <f>INDEX(DasaYears,MOD(P236-4,9)+1,1)</f>
        <v>Sun</v>
      </c>
      <c r="O304" s="48"/>
      <c r="P304" s="48"/>
      <c r="Q304" s="49">
        <f t="shared" si="131"/>
        <v>54945.005055148664</v>
      </c>
      <c r="S304" s="64" t="e">
        <f t="shared" si="132"/>
        <v>#N/A</v>
      </c>
      <c r="T304" s="48" t="e">
        <f>INDEX(DasaYears,MOD(V236-4,9)+1,1)</f>
        <v>#N/A</v>
      </c>
      <c r="U304" s="48"/>
      <c r="V304" s="48"/>
      <c r="W304" s="49" t="e">
        <f t="shared" si="133"/>
        <v>#N/A</v>
      </c>
      <c r="Y304" s="64" t="str">
        <f t="shared" si="134"/>
        <v>Saturn</v>
      </c>
      <c r="Z304" s="48" t="str">
        <f>INDEX(DasaYears,MOD(AB236-4,9)+1,1)</f>
        <v>Jupiter</v>
      </c>
      <c r="AA304" s="48"/>
      <c r="AB304" s="48"/>
      <c r="AC304" s="49">
        <f t="shared" si="135"/>
        <v>58421.692692174394</v>
      </c>
    </row>
    <row r="305" spans="1:29" s="63" customFormat="1" ht="12.75" x14ac:dyDescent="0.15">
      <c r="A305" s="61" t="str">
        <f>INDEX(DasaYears,MOD(D236+7,9)+1,1)</f>
        <v>Venus</v>
      </c>
      <c r="B305" s="62"/>
      <c r="C305" s="55"/>
      <c r="D305" s="55"/>
      <c r="E305" s="56">
        <f>E296+DaysInYear*VLOOKUP(A296,DasaYears,2,FALSE)</f>
        <v>56901.739327725903</v>
      </c>
      <c r="F305" s="57"/>
      <c r="G305" s="61" t="str">
        <f>INDEX(DasaYears,MOD(J236+7,9)+1,1)</f>
        <v>Rahu</v>
      </c>
      <c r="H305" s="62"/>
      <c r="I305" s="55"/>
      <c r="J305" s="55"/>
      <c r="K305" s="56">
        <f>K296+DaysInYear*VLOOKUP(G296,DasaYears,2,FALSE)</f>
        <v>50770.657782864699</v>
      </c>
      <c r="M305" s="61" t="str">
        <f>INDEX(DasaYears,MOD(P236+7,9)+1,1)</f>
        <v>Mars</v>
      </c>
      <c r="N305" s="62"/>
      <c r="O305" s="55"/>
      <c r="P305" s="55"/>
      <c r="Q305" s="56">
        <f>Q296+DaysInYear*VLOOKUP(M296,DasaYears,2,FALSE)</f>
        <v>55127.632491491255</v>
      </c>
      <c r="S305" s="61" t="e">
        <f>INDEX(DasaYears,MOD(V236+7,9)+1,1)</f>
        <v>#N/A</v>
      </c>
      <c r="T305" s="62"/>
      <c r="U305" s="55"/>
      <c r="V305" s="55"/>
      <c r="W305" s="56" t="e">
        <f>W296+DaysInYear*VLOOKUP(S296,DasaYears,2,FALSE)</f>
        <v>#N/A</v>
      </c>
      <c r="Y305" s="61" t="str">
        <f>INDEX(DasaYears,MOD(AB236+7,9)+1,1)</f>
        <v>Mercury</v>
      </c>
      <c r="Z305" s="62"/>
      <c r="AA305" s="55"/>
      <c r="AB305" s="55"/>
      <c r="AC305" s="56">
        <f>AC296+DaysInYear*VLOOKUP(Y296,DasaYears,2,FALSE)</f>
        <v>59347.005036310191</v>
      </c>
    </row>
    <row r="306" spans="1:29" s="63" customFormat="1" ht="12.75" x14ac:dyDescent="0.15">
      <c r="A306" s="61" t="str">
        <f t="shared" ref="A306:A313" si="136">A305</f>
        <v>Venus</v>
      </c>
      <c r="B306" s="59" t="str">
        <f>INDEX(DasaYears,MOD(D236-1,9)+1,1)</f>
        <v>Sun</v>
      </c>
      <c r="C306" s="55"/>
      <c r="D306" s="55"/>
      <c r="E306" s="56">
        <f t="shared" ref="E306:E313" si="137">E307-(VLOOKUP(A306,DasaYears,2,FALSE)*VLOOKUP(B306,DasaYears,2,FALSE)/VimTotal)*DaysInYear</f>
        <v>58119.255570009853</v>
      </c>
      <c r="F306" s="57"/>
      <c r="G306" s="61" t="str">
        <f t="shared" ref="G306:G313" si="138">G305</f>
        <v>Rahu</v>
      </c>
      <c r="H306" s="59" t="str">
        <f>INDEX(DasaYears,MOD(J236-1,9)+1,1)</f>
        <v>Jupiter</v>
      </c>
      <c r="I306" s="55"/>
      <c r="J306" s="55"/>
      <c r="K306" s="56">
        <f t="shared" ref="K306:K313" si="139">K307-(VLOOKUP(G306,DasaYears,2,FALSE)*VLOOKUP(H306,DasaYears,2,FALSE)/VimTotal)*DaysInYear</f>
        <v>51756.84593911469</v>
      </c>
      <c r="M306" s="61" t="str">
        <f t="shared" ref="M306:M313" si="140">M305</f>
        <v>Mars</v>
      </c>
      <c r="N306" s="59" t="str">
        <f>INDEX(DasaYears,MOD(P236-1,9)+1,1)</f>
        <v>Rahu</v>
      </c>
      <c r="O306" s="55"/>
      <c r="P306" s="55"/>
      <c r="Q306" s="56">
        <f t="shared" ref="Q306:Q313" si="141">Q307-(VLOOKUP(M306,DasaYears,2,FALSE)*VLOOKUP(N306,DasaYears,2,FALSE)/VimTotal)*DaysInYear</f>
        <v>55276.778231171033</v>
      </c>
      <c r="S306" s="61" t="e">
        <f t="shared" ref="S306:S313" si="142">S305</f>
        <v>#N/A</v>
      </c>
      <c r="T306" s="59" t="e">
        <f>INDEX(DasaYears,MOD(V236-1,9)+1,1)</f>
        <v>#N/A</v>
      </c>
      <c r="U306" s="55"/>
      <c r="V306" s="55"/>
      <c r="W306" s="56" t="e">
        <f t="shared" ref="W306:W313" si="143">W307-(VLOOKUP(S306,DasaYears,2,FALSE)*VLOOKUP(T306,DasaYears,2,FALSE)/VimTotal)*DaysInYear</f>
        <v>#N/A</v>
      </c>
      <c r="Y306" s="61" t="str">
        <f t="shared" ref="Y306:Y313" si="144">Y305</f>
        <v>Mercury</v>
      </c>
      <c r="Z306" s="59" t="str">
        <f>INDEX(DasaYears,MOD(AB236-1,9)+1,1)</f>
        <v>Ketu</v>
      </c>
      <c r="AA306" s="55"/>
      <c r="AB306" s="55"/>
      <c r="AC306" s="56">
        <f t="shared" ref="AC306:AC313" si="145">AC307-(VLOOKUP(Y306,DasaYears,2,FALSE)*VLOOKUP(Z306,DasaYears,2,FALSE)/VimTotal)*DaysInYear</f>
        <v>60226.660521360347</v>
      </c>
    </row>
    <row r="307" spans="1:29" s="63" customFormat="1" ht="12.75" x14ac:dyDescent="0.15">
      <c r="A307" s="61" t="str">
        <f t="shared" si="136"/>
        <v>Venus</v>
      </c>
      <c r="B307" s="55" t="str">
        <f>INDEX(DasaYears,MOD(D236,9)+1,1)</f>
        <v>Moon</v>
      </c>
      <c r="C307" s="55"/>
      <c r="D307" s="55"/>
      <c r="E307" s="56">
        <f t="shared" si="137"/>
        <v>58484.510442695035</v>
      </c>
      <c r="F307" s="57"/>
      <c r="G307" s="61" t="str">
        <f t="shared" si="138"/>
        <v>Rahu</v>
      </c>
      <c r="H307" s="55" t="str">
        <f>INDEX(DasaYears,MOD(J236,9)+1,1)</f>
        <v>Saturn</v>
      </c>
      <c r="I307" s="55"/>
      <c r="J307" s="55"/>
      <c r="K307" s="56">
        <f t="shared" si="139"/>
        <v>52633.457633559126</v>
      </c>
      <c r="M307" s="61" t="str">
        <f t="shared" si="140"/>
        <v>Mars</v>
      </c>
      <c r="N307" s="55" t="str">
        <f>INDEX(DasaYears,MOD(P236,9)+1,1)</f>
        <v>Jupiter</v>
      </c>
      <c r="O307" s="55"/>
      <c r="P307" s="55"/>
      <c r="Q307" s="56">
        <f t="shared" si="141"/>
        <v>55660.295847490474</v>
      </c>
      <c r="S307" s="61" t="e">
        <f t="shared" si="142"/>
        <v>#N/A</v>
      </c>
      <c r="T307" s="55" t="e">
        <f>INDEX(DasaYears,MOD(V236,9)+1,1)</f>
        <v>#N/A</v>
      </c>
      <c r="U307" s="55"/>
      <c r="V307" s="55"/>
      <c r="W307" s="56" t="e">
        <f t="shared" si="143"/>
        <v>#N/A</v>
      </c>
      <c r="Y307" s="61" t="str">
        <f t="shared" si="144"/>
        <v>Mercury</v>
      </c>
      <c r="Z307" s="55" t="str">
        <f>INDEX(DasaYears,MOD(AB236,9)+1,1)</f>
        <v>Venus</v>
      </c>
      <c r="AA307" s="55"/>
      <c r="AB307" s="55"/>
      <c r="AC307" s="56">
        <f t="shared" si="145"/>
        <v>60588.871603439817</v>
      </c>
    </row>
    <row r="308" spans="1:29" s="63" customFormat="1" ht="12.75" x14ac:dyDescent="0.15">
      <c r="A308" s="61" t="str">
        <f t="shared" si="136"/>
        <v>Venus</v>
      </c>
      <c r="B308" s="55" t="str">
        <f>INDEX(DasaYears,MOD(D236-8,9)+1,1)</f>
        <v>Mars</v>
      </c>
      <c r="C308" s="55"/>
      <c r="D308" s="55"/>
      <c r="E308" s="56">
        <f t="shared" si="137"/>
        <v>59093.268563837002</v>
      </c>
      <c r="F308" s="57"/>
      <c r="G308" s="61" t="str">
        <f t="shared" si="138"/>
        <v>Rahu</v>
      </c>
      <c r="H308" s="55" t="str">
        <f>INDEX(DasaYears,MOD(J236-8,9)+1,1)</f>
        <v>Mercury</v>
      </c>
      <c r="I308" s="55"/>
      <c r="J308" s="55"/>
      <c r="K308" s="56">
        <f t="shared" si="139"/>
        <v>53674.434020711895</v>
      </c>
      <c r="M308" s="61" t="str">
        <f t="shared" si="140"/>
        <v>Mars</v>
      </c>
      <c r="N308" s="55" t="str">
        <f>INDEX(DasaYears,MOD(P236-8,9)+1,1)</f>
        <v>Saturn</v>
      </c>
      <c r="O308" s="55"/>
      <c r="P308" s="55"/>
      <c r="Q308" s="56">
        <f t="shared" si="141"/>
        <v>56001.200395329979</v>
      </c>
      <c r="S308" s="61" t="e">
        <f t="shared" si="142"/>
        <v>#N/A</v>
      </c>
      <c r="T308" s="55" t="e">
        <f>INDEX(DasaYears,MOD(V236-8,9)+1,1)</f>
        <v>#N/A</v>
      </c>
      <c r="U308" s="55"/>
      <c r="V308" s="55"/>
      <c r="W308" s="56" t="e">
        <f t="shared" si="143"/>
        <v>#N/A</v>
      </c>
      <c r="Y308" s="61" t="str">
        <f t="shared" si="144"/>
        <v>Mercury</v>
      </c>
      <c r="Z308" s="55" t="str">
        <f>INDEX(DasaYears,MOD(AB236-8,9)+1,1)</f>
        <v>Sun</v>
      </c>
      <c r="AA308" s="55"/>
      <c r="AB308" s="55"/>
      <c r="AC308" s="56">
        <f t="shared" si="145"/>
        <v>61623.760409381168</v>
      </c>
    </row>
    <row r="309" spans="1:29" s="63" customFormat="1" ht="12.75" x14ac:dyDescent="0.15">
      <c r="A309" s="61" t="str">
        <f t="shared" si="136"/>
        <v>Venus</v>
      </c>
      <c r="B309" s="55" t="str">
        <f>INDEX(DasaYears,MOD(D236-7,9)+1,1)</f>
        <v>Rahu</v>
      </c>
      <c r="C309" s="55"/>
      <c r="D309" s="55"/>
      <c r="E309" s="56">
        <f t="shared" si="137"/>
        <v>59519.399248636379</v>
      </c>
      <c r="F309" s="57"/>
      <c r="G309" s="61" t="str">
        <f t="shared" si="138"/>
        <v>Rahu</v>
      </c>
      <c r="H309" s="55" t="str">
        <f>INDEX(DasaYears,MOD(J236-7,9)+1,1)</f>
        <v>Ketu</v>
      </c>
      <c r="I309" s="55"/>
      <c r="J309" s="55"/>
      <c r="K309" s="56">
        <f t="shared" si="139"/>
        <v>54605.833946059109</v>
      </c>
      <c r="M309" s="61" t="str">
        <f t="shared" si="140"/>
        <v>Mars</v>
      </c>
      <c r="N309" s="55" t="str">
        <f>INDEX(DasaYears,MOD(P236-7,9)+1,1)</f>
        <v>Mercury</v>
      </c>
      <c r="O309" s="55"/>
      <c r="P309" s="55"/>
      <c r="Q309" s="56">
        <f t="shared" si="141"/>
        <v>56406.024545889391</v>
      </c>
      <c r="S309" s="61" t="e">
        <f t="shared" si="142"/>
        <v>#N/A</v>
      </c>
      <c r="T309" s="55" t="e">
        <f>INDEX(DasaYears,MOD(V236-7,9)+1,1)</f>
        <v>#N/A</v>
      </c>
      <c r="U309" s="55"/>
      <c r="V309" s="55"/>
      <c r="W309" s="56" t="e">
        <f t="shared" si="143"/>
        <v>#N/A</v>
      </c>
      <c r="Y309" s="61" t="str">
        <f t="shared" si="144"/>
        <v>Mercury</v>
      </c>
      <c r="Z309" s="55" t="str">
        <f>INDEX(DasaYears,MOD(AB236-7,9)+1,1)</f>
        <v>Moon</v>
      </c>
      <c r="AA309" s="55"/>
      <c r="AB309" s="55"/>
      <c r="AC309" s="56">
        <f t="shared" si="145"/>
        <v>61934.227051163572</v>
      </c>
    </row>
    <row r="310" spans="1:29" s="63" customFormat="1" ht="12.75" x14ac:dyDescent="0.15">
      <c r="A310" s="61" t="str">
        <f t="shared" si="136"/>
        <v>Venus</v>
      </c>
      <c r="B310" s="55" t="str">
        <f>INDEX(DasaYears,MOD(D236-6,9)+1,1)</f>
        <v>Jupiter</v>
      </c>
      <c r="C310" s="55"/>
      <c r="D310" s="55"/>
      <c r="E310" s="56">
        <f t="shared" si="137"/>
        <v>60615.163866691924</v>
      </c>
      <c r="F310" s="57"/>
      <c r="G310" s="61" t="str">
        <f t="shared" si="138"/>
        <v>Rahu</v>
      </c>
      <c r="H310" s="55" t="str">
        <f>INDEX(DasaYears,MOD(J236-6,9)+1,1)</f>
        <v>Venus</v>
      </c>
      <c r="I310" s="55"/>
      <c r="J310" s="55"/>
      <c r="K310" s="56">
        <f t="shared" si="139"/>
        <v>54989.35156237855</v>
      </c>
      <c r="M310" s="61" t="str">
        <f t="shared" si="140"/>
        <v>Mars</v>
      </c>
      <c r="N310" s="55" t="str">
        <f>INDEX(DasaYears,MOD(P236-6,9)+1,1)</f>
        <v>Ketu</v>
      </c>
      <c r="O310" s="55"/>
      <c r="P310" s="55"/>
      <c r="Q310" s="56">
        <f t="shared" si="141"/>
        <v>56768.235627968861</v>
      </c>
      <c r="S310" s="61" t="e">
        <f t="shared" si="142"/>
        <v>#N/A</v>
      </c>
      <c r="T310" s="55" t="e">
        <f>INDEX(DasaYears,MOD(V236-6,9)+1,1)</f>
        <v>#N/A</v>
      </c>
      <c r="U310" s="55"/>
      <c r="V310" s="55"/>
      <c r="W310" s="56" t="e">
        <f t="shared" si="143"/>
        <v>#N/A</v>
      </c>
      <c r="Y310" s="61" t="str">
        <f t="shared" si="144"/>
        <v>Mercury</v>
      </c>
      <c r="Z310" s="55" t="str">
        <f>INDEX(DasaYears,MOD(AB236-6,9)+1,1)</f>
        <v>Mars</v>
      </c>
      <c r="AA310" s="55"/>
      <c r="AB310" s="55"/>
      <c r="AC310" s="56">
        <f t="shared" si="145"/>
        <v>62451.671454134244</v>
      </c>
    </row>
    <row r="311" spans="1:29" s="63" customFormat="1" ht="12.75" x14ac:dyDescent="0.15">
      <c r="A311" s="61" t="str">
        <f t="shared" si="136"/>
        <v>Venus</v>
      </c>
      <c r="B311" s="55" t="str">
        <f>INDEX(DasaYears,MOD(D236-5,9)+1,1)</f>
        <v>Saturn</v>
      </c>
      <c r="C311" s="55"/>
      <c r="D311" s="55"/>
      <c r="E311" s="56">
        <f t="shared" si="137"/>
        <v>61589.176860519074</v>
      </c>
      <c r="F311" s="57"/>
      <c r="G311" s="61" t="str">
        <f t="shared" si="138"/>
        <v>Rahu</v>
      </c>
      <c r="H311" s="55" t="str">
        <f>INDEX(DasaYears,MOD(J236-5,9)+1,1)</f>
        <v>Sun</v>
      </c>
      <c r="I311" s="55"/>
      <c r="J311" s="55"/>
      <c r="K311" s="56">
        <f t="shared" si="139"/>
        <v>56085.116180434095</v>
      </c>
      <c r="M311" s="61" t="str">
        <f t="shared" si="140"/>
        <v>Mars</v>
      </c>
      <c r="N311" s="55" t="str">
        <f>INDEX(DasaYears,MOD(P236-5,9)+1,1)</f>
        <v>Venus</v>
      </c>
      <c r="O311" s="55"/>
      <c r="P311" s="55"/>
      <c r="Q311" s="56">
        <f t="shared" si="141"/>
        <v>56917.381367648646</v>
      </c>
      <c r="S311" s="61" t="e">
        <f t="shared" si="142"/>
        <v>#N/A</v>
      </c>
      <c r="T311" s="55" t="e">
        <f>INDEX(DasaYears,MOD(V236-5,9)+1,1)</f>
        <v>#N/A</v>
      </c>
      <c r="U311" s="55"/>
      <c r="V311" s="55"/>
      <c r="W311" s="56" t="e">
        <f t="shared" si="143"/>
        <v>#N/A</v>
      </c>
      <c r="Y311" s="61" t="str">
        <f t="shared" si="144"/>
        <v>Mercury</v>
      </c>
      <c r="Z311" s="55" t="str">
        <f>INDEX(DasaYears,MOD(AB236-5,9)+1,1)</f>
        <v>Rahu</v>
      </c>
      <c r="AA311" s="55"/>
      <c r="AB311" s="55"/>
      <c r="AC311" s="56">
        <f t="shared" si="145"/>
        <v>62813.882536213714</v>
      </c>
    </row>
    <row r="312" spans="1:29" s="63" customFormat="1" ht="12.75" x14ac:dyDescent="0.15">
      <c r="A312" s="61" t="str">
        <f t="shared" si="136"/>
        <v>Venus</v>
      </c>
      <c r="B312" s="55" t="str">
        <f>INDEX(DasaYears,MOD(D236-4,9)+1,1)</f>
        <v>Mercury</v>
      </c>
      <c r="C312" s="55"/>
      <c r="D312" s="55"/>
      <c r="E312" s="56">
        <f t="shared" si="137"/>
        <v>62745.817290688814</v>
      </c>
      <c r="F312" s="57"/>
      <c r="G312" s="61" t="str">
        <f t="shared" si="138"/>
        <v>Rahu</v>
      </c>
      <c r="H312" s="55" t="str">
        <f>INDEX(DasaYears,MOD(J236-4,9)+1,1)</f>
        <v>Moon</v>
      </c>
      <c r="I312" s="55"/>
      <c r="J312" s="55"/>
      <c r="K312" s="56">
        <f t="shared" si="139"/>
        <v>56413.845565850759</v>
      </c>
      <c r="M312" s="61" t="str">
        <f t="shared" si="140"/>
        <v>Mars</v>
      </c>
      <c r="N312" s="55" t="str">
        <f>INDEX(DasaYears,MOD(P236-4,9)+1,1)</f>
        <v>Sun</v>
      </c>
      <c r="O312" s="55"/>
      <c r="P312" s="55"/>
      <c r="Q312" s="56">
        <f t="shared" si="141"/>
        <v>57343.512052448023</v>
      </c>
      <c r="S312" s="61" t="e">
        <f t="shared" si="142"/>
        <v>#N/A</v>
      </c>
      <c r="T312" s="55" t="e">
        <f>INDEX(DasaYears,MOD(V236-4,9)+1,1)</f>
        <v>#N/A</v>
      </c>
      <c r="U312" s="55"/>
      <c r="V312" s="55"/>
      <c r="W312" s="56" t="e">
        <f t="shared" si="143"/>
        <v>#N/A</v>
      </c>
      <c r="Y312" s="61" t="str">
        <f t="shared" si="144"/>
        <v>Mercury</v>
      </c>
      <c r="Z312" s="55" t="str">
        <f>INDEX(DasaYears,MOD(AB236-4,9)+1,1)</f>
        <v>Jupiter</v>
      </c>
      <c r="AA312" s="55"/>
      <c r="AB312" s="55"/>
      <c r="AC312" s="56">
        <f t="shared" si="145"/>
        <v>63745.282461560928</v>
      </c>
    </row>
    <row r="313" spans="1:29" s="63" customFormat="1" ht="12.75" x14ac:dyDescent="0.15">
      <c r="A313" s="61" t="str">
        <f t="shared" si="136"/>
        <v>Venus</v>
      </c>
      <c r="B313" s="55" t="str">
        <f>INDEX(DasaYears,MOD(D236-3,9)+1,1)</f>
        <v>Ketu</v>
      </c>
      <c r="C313" s="55"/>
      <c r="D313" s="55"/>
      <c r="E313" s="56">
        <f t="shared" si="137"/>
        <v>63780.706096630165</v>
      </c>
      <c r="F313" s="57"/>
      <c r="G313" s="61" t="str">
        <f t="shared" si="138"/>
        <v>Rahu</v>
      </c>
      <c r="H313" s="55" t="str">
        <f>INDEX(DasaYears,MOD(J236-3,9)+1,1)</f>
        <v>Mars</v>
      </c>
      <c r="I313" s="55"/>
      <c r="J313" s="55"/>
      <c r="K313" s="56">
        <f t="shared" si="139"/>
        <v>56961.727874878532</v>
      </c>
      <c r="M313" s="61" t="str">
        <f t="shared" si="140"/>
        <v>Mars</v>
      </c>
      <c r="N313" s="55" t="str">
        <f>INDEX(DasaYears,MOD(P236-3,9)+1,1)</f>
        <v>Moon</v>
      </c>
      <c r="O313" s="55"/>
      <c r="P313" s="55"/>
      <c r="Q313" s="56">
        <f t="shared" si="141"/>
        <v>57471.351257887836</v>
      </c>
      <c r="S313" s="61" t="e">
        <f t="shared" si="142"/>
        <v>#N/A</v>
      </c>
      <c r="T313" s="55" t="e">
        <f>INDEX(DasaYears,MOD(V236-3,9)+1,1)</f>
        <v>#N/A</v>
      </c>
      <c r="U313" s="55"/>
      <c r="V313" s="55"/>
      <c r="W313" s="56" t="e">
        <f t="shared" si="143"/>
        <v>#N/A</v>
      </c>
      <c r="Y313" s="61" t="str">
        <f t="shared" si="144"/>
        <v>Mercury</v>
      </c>
      <c r="Z313" s="55" t="str">
        <f>INDEX(DasaYears,MOD(AB236-3,9)+1,1)</f>
        <v>Saturn</v>
      </c>
      <c r="AA313" s="55"/>
      <c r="AB313" s="55"/>
      <c r="AC313" s="56">
        <f t="shared" si="145"/>
        <v>64573.193506314004</v>
      </c>
    </row>
    <row r="314" spans="1:29" s="66" customFormat="1" ht="12.75" x14ac:dyDescent="0.15">
      <c r="A314" s="64" t="str">
        <f>INDEX(DasaYears,MOD(D236+8,9)+1,1)</f>
        <v>Sun</v>
      </c>
      <c r="B314" s="65"/>
      <c r="C314" s="48"/>
      <c r="D314" s="48"/>
      <c r="E314" s="49">
        <f>E305+DaysInYear*VLOOKUP(A305,DasaYears,2,FALSE)</f>
        <v>64206.836781429542</v>
      </c>
      <c r="F314" s="50"/>
      <c r="G314" s="64" t="str">
        <f>INDEX(DasaYears,MOD(J236+8,9)+1,1)</f>
        <v>Jupiter</v>
      </c>
      <c r="H314" s="65"/>
      <c r="I314" s="48"/>
      <c r="J314" s="48"/>
      <c r="K314" s="49">
        <f>K305+DaysInYear*VLOOKUP(G305,DasaYears,2,FALSE)</f>
        <v>57345.245491197973</v>
      </c>
      <c r="M314" s="64" t="str">
        <f>INDEX(DasaYears,MOD(P236+8,9)+1,1)</f>
        <v>Rahu</v>
      </c>
      <c r="N314" s="65"/>
      <c r="O314" s="48"/>
      <c r="P314" s="48"/>
      <c r="Q314" s="49">
        <f>Q305+DaysInYear*VLOOKUP(M305,DasaYears,2,FALSE)</f>
        <v>57684.416600287528</v>
      </c>
      <c r="S314" s="64" t="e">
        <f>INDEX(DasaYears,MOD(V236+8,9)+1,1)</f>
        <v>#N/A</v>
      </c>
      <c r="T314" s="65"/>
      <c r="U314" s="48"/>
      <c r="V314" s="48"/>
      <c r="W314" s="49" t="e">
        <f>W305+DaysInYear*VLOOKUP(S305,DasaYears,2,FALSE)</f>
        <v>#N/A</v>
      </c>
      <c r="Y314" s="64" t="str">
        <f>INDEX(DasaYears,MOD(AB236+8,9)+1,1)</f>
        <v>Ketu</v>
      </c>
      <c r="Z314" s="65"/>
      <c r="AA314" s="48"/>
      <c r="AB314" s="48"/>
      <c r="AC314" s="49">
        <f>AC305+DaysInYear*VLOOKUP(Y305,DasaYears,2,FALSE)</f>
        <v>65556.337871958283</v>
      </c>
    </row>
    <row r="315" spans="1:29" s="66" customFormat="1" ht="12.75" x14ac:dyDescent="0.15">
      <c r="A315" s="64" t="str">
        <f t="shared" ref="A315:A322" si="146">A314</f>
        <v>Sun</v>
      </c>
      <c r="B315" s="48" t="str">
        <f>INDEX(DasaYears,MOD(D236,9)+1,1)</f>
        <v>Moon</v>
      </c>
      <c r="C315" s="48"/>
      <c r="D315" s="48"/>
      <c r="E315" s="49">
        <f t="shared" ref="E315:E322" si="147">E316-(VLOOKUP(A315,DasaYears,2,FALSE)*VLOOKUP(B315,DasaYears,2,FALSE)/VimTotal)*DaysInYear</f>
        <v>64316.413243235103</v>
      </c>
      <c r="F315" s="50"/>
      <c r="G315" s="64" t="str">
        <f t="shared" ref="G315:G322" si="148">G314</f>
        <v>Jupiter</v>
      </c>
      <c r="H315" s="48" t="str">
        <f>INDEX(DasaYears,MOD(J236,9)+1,1)</f>
        <v>Saturn</v>
      </c>
      <c r="I315" s="48"/>
      <c r="J315" s="48"/>
      <c r="K315" s="49">
        <f t="shared" ref="K315:K322" si="149">K316-(VLOOKUP(G315,DasaYears,2,FALSE)*VLOOKUP(H315,DasaYears,2,FALSE)/VimTotal)*DaysInYear</f>
        <v>58124.45588625969</v>
      </c>
      <c r="M315" s="64" t="str">
        <f t="shared" ref="M315:M322" si="150">M314</f>
        <v>Rahu</v>
      </c>
      <c r="N315" s="48" t="str">
        <f>INDEX(DasaYears,MOD(P236,9)+1,1)</f>
        <v>Jupiter</v>
      </c>
      <c r="O315" s="48"/>
      <c r="P315" s="48"/>
      <c r="Q315" s="49">
        <f t="shared" ref="Q315:Q322" si="151">Q316-(VLOOKUP(M315,DasaYears,2,FALSE)*VLOOKUP(N315,DasaYears,2,FALSE)/VimTotal)*DaysInYear</f>
        <v>58670.604756537519</v>
      </c>
      <c r="S315" s="64" t="e">
        <f t="shared" ref="S315:S322" si="152">S314</f>
        <v>#N/A</v>
      </c>
      <c r="T315" s="48" t="e">
        <f>INDEX(DasaYears,MOD(V236,9)+1,1)</f>
        <v>#N/A</v>
      </c>
      <c r="U315" s="48"/>
      <c r="V315" s="48"/>
      <c r="W315" s="49" t="e">
        <f t="shared" ref="W315:W322" si="153">W316-(VLOOKUP(S315,DasaYears,2,FALSE)*VLOOKUP(T315,DasaYears,2,FALSE)/VimTotal)*DaysInYear</f>
        <v>#N/A</v>
      </c>
      <c r="Y315" s="64" t="str">
        <f t="shared" ref="Y315:Y322" si="154">Y314</f>
        <v>Ketu</v>
      </c>
      <c r="Z315" s="48" t="str">
        <f>INDEX(DasaYears,MOD(AB236,9)+1,1)</f>
        <v>Venus</v>
      </c>
      <c r="AA315" s="48"/>
      <c r="AB315" s="48"/>
      <c r="AC315" s="49">
        <f t="shared" ref="AC315:AC322" si="155">AC316-(VLOOKUP(Y315,DasaYears,2,FALSE)*VLOOKUP(Z315,DasaYears,2,FALSE)/VimTotal)*DaysInYear</f>
        <v>65705.483611638076</v>
      </c>
    </row>
    <row r="316" spans="1:29" s="66" customFormat="1" ht="12.75" x14ac:dyDescent="0.15">
      <c r="A316" s="64" t="str">
        <f t="shared" si="146"/>
        <v>Sun</v>
      </c>
      <c r="B316" s="48" t="str">
        <f>INDEX(DasaYears,MOD(D236-8,9)+1,1)</f>
        <v>Mars</v>
      </c>
      <c r="C316" s="48"/>
      <c r="D316" s="48"/>
      <c r="E316" s="49">
        <f t="shared" si="147"/>
        <v>64499.040679577694</v>
      </c>
      <c r="F316" s="50"/>
      <c r="G316" s="64" t="str">
        <f t="shared" si="148"/>
        <v>Jupiter</v>
      </c>
      <c r="H316" s="48" t="str">
        <f>INDEX(DasaYears,MOD(J236-8,9)+1,1)</f>
        <v>Mercury</v>
      </c>
      <c r="I316" s="48"/>
      <c r="J316" s="48"/>
      <c r="K316" s="49">
        <f t="shared" si="149"/>
        <v>59049.768230395486</v>
      </c>
      <c r="M316" s="64" t="str">
        <f t="shared" si="150"/>
        <v>Rahu</v>
      </c>
      <c r="N316" s="48" t="str">
        <f>INDEX(DasaYears,MOD(P236-8,9)+1,1)</f>
        <v>Saturn</v>
      </c>
      <c r="O316" s="48"/>
      <c r="P316" s="48"/>
      <c r="Q316" s="49">
        <f t="shared" si="151"/>
        <v>59547.216450981956</v>
      </c>
      <c r="S316" s="64" t="e">
        <f t="shared" si="152"/>
        <v>#N/A</v>
      </c>
      <c r="T316" s="48" t="e">
        <f>INDEX(DasaYears,MOD(V236-8,9)+1,1)</f>
        <v>#N/A</v>
      </c>
      <c r="U316" s="48"/>
      <c r="V316" s="48"/>
      <c r="W316" s="49" t="e">
        <f t="shared" si="153"/>
        <v>#N/A</v>
      </c>
      <c r="Y316" s="64" t="str">
        <f t="shared" si="154"/>
        <v>Ketu</v>
      </c>
      <c r="Z316" s="48" t="str">
        <f>INDEX(DasaYears,MOD(AB236-8,9)+1,1)</f>
        <v>Sun</v>
      </c>
      <c r="AA316" s="48"/>
      <c r="AB316" s="48"/>
      <c r="AC316" s="49">
        <f t="shared" si="155"/>
        <v>66131.614296437459</v>
      </c>
    </row>
    <row r="317" spans="1:29" s="66" customFormat="1" ht="12.75" x14ac:dyDescent="0.15">
      <c r="A317" s="64" t="str">
        <f t="shared" si="146"/>
        <v>Sun</v>
      </c>
      <c r="B317" s="48" t="str">
        <f>INDEX(DasaYears,MOD(D236-7,9)+1,1)</f>
        <v>Rahu</v>
      </c>
      <c r="C317" s="48"/>
      <c r="D317" s="48"/>
      <c r="E317" s="49">
        <f t="shared" si="147"/>
        <v>64626.879885017508</v>
      </c>
      <c r="F317" s="50"/>
      <c r="G317" s="64" t="str">
        <f t="shared" si="148"/>
        <v>Jupiter</v>
      </c>
      <c r="H317" s="48" t="str">
        <f>INDEX(DasaYears,MOD(J236-7,9)+1,1)</f>
        <v>Ketu</v>
      </c>
      <c r="I317" s="48"/>
      <c r="J317" s="48"/>
      <c r="K317" s="49">
        <f t="shared" si="149"/>
        <v>59877.679275148563</v>
      </c>
      <c r="M317" s="64" t="str">
        <f t="shared" si="150"/>
        <v>Rahu</v>
      </c>
      <c r="N317" s="48" t="str">
        <f>INDEX(DasaYears,MOD(P236-7,9)+1,1)</f>
        <v>Mercury</v>
      </c>
      <c r="O317" s="48"/>
      <c r="P317" s="48"/>
      <c r="Q317" s="49">
        <f t="shared" si="151"/>
        <v>60588.192838134724</v>
      </c>
      <c r="S317" s="64" t="e">
        <f t="shared" si="152"/>
        <v>#N/A</v>
      </c>
      <c r="T317" s="48" t="e">
        <f>INDEX(DasaYears,MOD(V236-7,9)+1,1)</f>
        <v>#N/A</v>
      </c>
      <c r="U317" s="48"/>
      <c r="V317" s="48"/>
      <c r="W317" s="49" t="e">
        <f t="shared" si="153"/>
        <v>#N/A</v>
      </c>
      <c r="Y317" s="64" t="str">
        <f t="shared" si="154"/>
        <v>Ketu</v>
      </c>
      <c r="Z317" s="48" t="str">
        <f>INDEX(DasaYears,MOD(AB236-7,9)+1,1)</f>
        <v>Moon</v>
      </c>
      <c r="AA317" s="48"/>
      <c r="AB317" s="48"/>
      <c r="AC317" s="49">
        <f t="shared" si="155"/>
        <v>66259.453501877273</v>
      </c>
    </row>
    <row r="318" spans="1:29" s="66" customFormat="1" ht="12.75" x14ac:dyDescent="0.15">
      <c r="A318" s="64" t="str">
        <f t="shared" si="146"/>
        <v>Sun</v>
      </c>
      <c r="B318" s="48" t="str">
        <f>INDEX(DasaYears,MOD(D236-6,9)+1,1)</f>
        <v>Jupiter</v>
      </c>
      <c r="C318" s="48"/>
      <c r="D318" s="48"/>
      <c r="E318" s="49">
        <f t="shared" si="147"/>
        <v>64955.609270434172</v>
      </c>
      <c r="F318" s="50"/>
      <c r="G318" s="64" t="str">
        <f t="shared" si="148"/>
        <v>Jupiter</v>
      </c>
      <c r="H318" s="48" t="str">
        <f>INDEX(DasaYears,MOD(J236-6,9)+1,1)</f>
        <v>Venus</v>
      </c>
      <c r="I318" s="48"/>
      <c r="J318" s="48"/>
      <c r="K318" s="49">
        <f t="shared" si="149"/>
        <v>60218.583822988068</v>
      </c>
      <c r="M318" s="64" t="str">
        <f t="shared" si="150"/>
        <v>Rahu</v>
      </c>
      <c r="N318" s="48" t="str">
        <f>INDEX(DasaYears,MOD(P236-6,9)+1,1)</f>
        <v>Ketu</v>
      </c>
      <c r="O318" s="48"/>
      <c r="P318" s="48"/>
      <c r="Q318" s="49">
        <f t="shared" si="151"/>
        <v>61519.592763481938</v>
      </c>
      <c r="S318" s="64" t="e">
        <f t="shared" si="152"/>
        <v>#N/A</v>
      </c>
      <c r="T318" s="48" t="e">
        <f>INDEX(DasaYears,MOD(V236-6,9)+1,1)</f>
        <v>#N/A</v>
      </c>
      <c r="U318" s="48"/>
      <c r="V318" s="48"/>
      <c r="W318" s="49" t="e">
        <f t="shared" si="153"/>
        <v>#N/A</v>
      </c>
      <c r="Y318" s="64" t="str">
        <f t="shared" si="154"/>
        <v>Ketu</v>
      </c>
      <c r="Z318" s="48" t="str">
        <f>INDEX(DasaYears,MOD(AB236-6,9)+1,1)</f>
        <v>Mars</v>
      </c>
      <c r="AA318" s="48"/>
      <c r="AB318" s="48"/>
      <c r="AC318" s="49">
        <f t="shared" si="155"/>
        <v>66472.518844276958</v>
      </c>
    </row>
    <row r="319" spans="1:29" s="66" customFormat="1" ht="12.75" x14ac:dyDescent="0.15">
      <c r="A319" s="64" t="str">
        <f t="shared" si="146"/>
        <v>Sun</v>
      </c>
      <c r="B319" s="48" t="str">
        <f>INDEX(DasaYears,MOD(D236-5,9)+1,1)</f>
        <v>Saturn</v>
      </c>
      <c r="C319" s="48"/>
      <c r="D319" s="48"/>
      <c r="E319" s="49">
        <f t="shared" si="147"/>
        <v>65247.813168582317</v>
      </c>
      <c r="F319" s="50"/>
      <c r="G319" s="64" t="str">
        <f t="shared" si="148"/>
        <v>Jupiter</v>
      </c>
      <c r="H319" s="48" t="str">
        <f>INDEX(DasaYears,MOD(J236-5,9)+1,1)</f>
        <v>Sun</v>
      </c>
      <c r="I319" s="48"/>
      <c r="J319" s="48"/>
      <c r="K319" s="49">
        <f t="shared" si="149"/>
        <v>61192.596816815218</v>
      </c>
      <c r="M319" s="64" t="str">
        <f t="shared" si="150"/>
        <v>Rahu</v>
      </c>
      <c r="N319" s="48" t="str">
        <f>INDEX(DasaYears,MOD(P236-5,9)+1,1)</f>
        <v>Venus</v>
      </c>
      <c r="O319" s="48"/>
      <c r="P319" s="48"/>
      <c r="Q319" s="49">
        <f t="shared" si="151"/>
        <v>61903.110379801379</v>
      </c>
      <c r="S319" s="64" t="e">
        <f t="shared" si="152"/>
        <v>#N/A</v>
      </c>
      <c r="T319" s="48" t="e">
        <f>INDEX(DasaYears,MOD(V236-5,9)+1,1)</f>
        <v>#N/A</v>
      </c>
      <c r="U319" s="48"/>
      <c r="V319" s="48"/>
      <c r="W319" s="49" t="e">
        <f t="shared" si="153"/>
        <v>#N/A</v>
      </c>
      <c r="Y319" s="64" t="str">
        <f t="shared" si="154"/>
        <v>Ketu</v>
      </c>
      <c r="Z319" s="48" t="str">
        <f>INDEX(DasaYears,MOD(AB236-5,9)+1,1)</f>
        <v>Rahu</v>
      </c>
      <c r="AA319" s="48"/>
      <c r="AB319" s="48"/>
      <c r="AC319" s="49">
        <f t="shared" si="155"/>
        <v>66621.664583956735</v>
      </c>
    </row>
    <row r="320" spans="1:29" s="66" customFormat="1" ht="12.75" x14ac:dyDescent="0.15">
      <c r="A320" s="64" t="str">
        <f t="shared" si="146"/>
        <v>Sun</v>
      </c>
      <c r="B320" s="48" t="str">
        <f>INDEX(DasaYears,MOD(D236-4,9)+1,1)</f>
        <v>Mercury</v>
      </c>
      <c r="C320" s="48"/>
      <c r="D320" s="48"/>
      <c r="E320" s="49">
        <f t="shared" si="147"/>
        <v>65594.80529763324</v>
      </c>
      <c r="F320" s="50"/>
      <c r="G320" s="64" t="str">
        <f t="shared" si="148"/>
        <v>Jupiter</v>
      </c>
      <c r="H320" s="48" t="str">
        <f>INDEX(DasaYears,MOD(J236-4,9)+1,1)</f>
        <v>Moon</v>
      </c>
      <c r="I320" s="48"/>
      <c r="J320" s="48"/>
      <c r="K320" s="49">
        <f t="shared" si="149"/>
        <v>61484.800714963363</v>
      </c>
      <c r="M320" s="64" t="str">
        <f t="shared" si="150"/>
        <v>Rahu</v>
      </c>
      <c r="N320" s="48" t="str">
        <f>INDEX(DasaYears,MOD(P236-4,9)+1,1)</f>
        <v>Sun</v>
      </c>
      <c r="O320" s="48"/>
      <c r="P320" s="48"/>
      <c r="Q320" s="49">
        <f t="shared" si="151"/>
        <v>62998.874997856925</v>
      </c>
      <c r="S320" s="64" t="e">
        <f t="shared" si="152"/>
        <v>#N/A</v>
      </c>
      <c r="T320" s="48" t="e">
        <f>INDEX(DasaYears,MOD(V236-4,9)+1,1)</f>
        <v>#N/A</v>
      </c>
      <c r="U320" s="48"/>
      <c r="V320" s="48"/>
      <c r="W320" s="49" t="e">
        <f t="shared" si="153"/>
        <v>#N/A</v>
      </c>
      <c r="Y320" s="64" t="str">
        <f t="shared" si="154"/>
        <v>Ketu</v>
      </c>
      <c r="Z320" s="48" t="str">
        <f>INDEX(DasaYears,MOD(AB236-4,9)+1,1)</f>
        <v>Jupiter</v>
      </c>
      <c r="AA320" s="48"/>
      <c r="AB320" s="48"/>
      <c r="AC320" s="49">
        <f t="shared" si="155"/>
        <v>67005.182200276176</v>
      </c>
    </row>
    <row r="321" spans="1:29" s="66" customFormat="1" ht="12.75" x14ac:dyDescent="0.15">
      <c r="A321" s="64" t="str">
        <f t="shared" si="146"/>
        <v>Sun</v>
      </c>
      <c r="B321" s="48" t="str">
        <f>INDEX(DasaYears,MOD(D236-3,9)+1,1)</f>
        <v>Ketu</v>
      </c>
      <c r="C321" s="48"/>
      <c r="D321" s="48"/>
      <c r="E321" s="49">
        <f t="shared" si="147"/>
        <v>65905.271939415645</v>
      </c>
      <c r="F321" s="50"/>
      <c r="G321" s="64" t="str">
        <f t="shared" si="148"/>
        <v>Jupiter</v>
      </c>
      <c r="H321" s="48" t="str">
        <f>INDEX(DasaYears,MOD(J236-3,9)+1,1)</f>
        <v>Mars</v>
      </c>
      <c r="I321" s="48"/>
      <c r="J321" s="48"/>
      <c r="K321" s="49">
        <f t="shared" si="149"/>
        <v>61971.807211876941</v>
      </c>
      <c r="M321" s="64" t="str">
        <f t="shared" si="150"/>
        <v>Rahu</v>
      </c>
      <c r="N321" s="48" t="str">
        <f>INDEX(DasaYears,MOD(P236-3,9)+1,1)</f>
        <v>Moon</v>
      </c>
      <c r="O321" s="48"/>
      <c r="P321" s="48"/>
      <c r="Q321" s="49">
        <f t="shared" si="151"/>
        <v>63327.604383273589</v>
      </c>
      <c r="S321" s="64" t="e">
        <f t="shared" si="152"/>
        <v>#N/A</v>
      </c>
      <c r="T321" s="48" t="e">
        <f>INDEX(DasaYears,MOD(V236-3,9)+1,1)</f>
        <v>#N/A</v>
      </c>
      <c r="U321" s="48"/>
      <c r="V321" s="48"/>
      <c r="W321" s="49" t="e">
        <f t="shared" si="153"/>
        <v>#N/A</v>
      </c>
      <c r="Y321" s="64" t="str">
        <f t="shared" si="154"/>
        <v>Ketu</v>
      </c>
      <c r="Z321" s="48" t="str">
        <f>INDEX(DasaYears,MOD(AB236-3,9)+1,1)</f>
        <v>Saturn</v>
      </c>
      <c r="AA321" s="48"/>
      <c r="AB321" s="48"/>
      <c r="AC321" s="49">
        <f t="shared" si="155"/>
        <v>67346.086748115675</v>
      </c>
    </row>
    <row r="322" spans="1:29" s="66" customFormat="1" ht="12.75" x14ac:dyDescent="0.15">
      <c r="A322" s="64" t="str">
        <f t="shared" si="146"/>
        <v>Sun</v>
      </c>
      <c r="B322" s="48" t="str">
        <f>INDEX(DasaYears,MOD(D236-2,9)+1,1)</f>
        <v>Venus</v>
      </c>
      <c r="C322" s="65"/>
      <c r="D322" s="65"/>
      <c r="E322" s="49">
        <f t="shared" si="147"/>
        <v>66033.111144855458</v>
      </c>
      <c r="G322" s="64" t="str">
        <f t="shared" si="148"/>
        <v>Jupiter</v>
      </c>
      <c r="H322" s="48" t="str">
        <f>INDEX(DasaYears,MOD(J236-2,9)+1,1)</f>
        <v>Rahu</v>
      </c>
      <c r="I322" s="65"/>
      <c r="J322" s="65"/>
      <c r="K322" s="49">
        <f t="shared" si="149"/>
        <v>62312.711759716447</v>
      </c>
      <c r="M322" s="64" t="str">
        <f t="shared" si="150"/>
        <v>Rahu</v>
      </c>
      <c r="N322" s="48" t="str">
        <f>INDEX(DasaYears,MOD(P236-2,9)+1,1)</f>
        <v>Mars</v>
      </c>
      <c r="O322" s="65"/>
      <c r="P322" s="65"/>
      <c r="Q322" s="49">
        <f t="shared" si="151"/>
        <v>63875.486692301361</v>
      </c>
      <c r="S322" s="64" t="e">
        <f t="shared" si="152"/>
        <v>#N/A</v>
      </c>
      <c r="T322" s="48" t="e">
        <f>INDEX(DasaYears,MOD(V236-2,9)+1,1)</f>
        <v>#N/A</v>
      </c>
      <c r="U322" s="65"/>
      <c r="V322" s="65"/>
      <c r="W322" s="49" t="e">
        <f t="shared" si="153"/>
        <v>#N/A</v>
      </c>
      <c r="Y322" s="64" t="str">
        <f t="shared" si="154"/>
        <v>Ketu</v>
      </c>
      <c r="Z322" s="48" t="str">
        <f>INDEX(DasaYears,MOD(AB236-2,9)+1,1)</f>
        <v>Mercury</v>
      </c>
      <c r="AA322" s="65"/>
      <c r="AB322" s="65"/>
      <c r="AC322" s="49">
        <f t="shared" si="155"/>
        <v>67750.91089867508</v>
      </c>
    </row>
    <row r="323" spans="1:29" s="63" customFormat="1" ht="12.75" x14ac:dyDescent="0.15">
      <c r="A323" s="67" t="str">
        <f>INDEX(DasaYears,MOD(D236+9,9)+1,1)</f>
        <v>Moon</v>
      </c>
      <c r="B323" s="68"/>
      <c r="C323" s="68"/>
      <c r="D323" s="68"/>
      <c r="E323" s="69">
        <f>E314+DaysInYear*VLOOKUP(A314,DasaYears,2,FALSE)</f>
        <v>66398.36601754064</v>
      </c>
      <c r="G323" s="67" t="str">
        <f>INDEX(DasaYears,MOD(J236+9,9)+1,1)</f>
        <v>Saturn</v>
      </c>
      <c r="H323" s="68"/>
      <c r="I323" s="68"/>
      <c r="J323" s="68"/>
      <c r="K323" s="69">
        <f>K314+DaysInYear*VLOOKUP(G314,DasaYears,2,FALSE)</f>
        <v>63189.323454160884</v>
      </c>
      <c r="M323" s="67" t="str">
        <f>INDEX(DasaYears,MOD(P236+9,9)+1,1)</f>
        <v>Jupiter</v>
      </c>
      <c r="N323" s="68"/>
      <c r="O323" s="68"/>
      <c r="P323" s="68"/>
      <c r="Q323" s="69">
        <f>Q314+DaysInYear*VLOOKUP(M314,DasaYears,2,FALSE)</f>
        <v>64259.004308620802</v>
      </c>
      <c r="S323" s="67" t="e">
        <f>INDEX(DasaYears,MOD(V236+9,9)+1,1)</f>
        <v>#N/A</v>
      </c>
      <c r="T323" s="68"/>
      <c r="U323" s="68"/>
      <c r="V323" s="68"/>
      <c r="W323" s="69" t="e">
        <f>W314+DaysInYear*VLOOKUP(S314,DasaYears,2,FALSE)</f>
        <v>#N/A</v>
      </c>
      <c r="Y323" s="67" t="str">
        <f>INDEX(DasaYears,MOD(AB236+9,9)+1,1)</f>
        <v>Venus</v>
      </c>
      <c r="Z323" s="68"/>
      <c r="AA323" s="68"/>
      <c r="AB323" s="68"/>
      <c r="AC323" s="69">
        <f>AC314+DaysInYear*VLOOKUP(Y314,DasaYears,2,FALSE)</f>
        <v>68113.121980754557</v>
      </c>
    </row>
    <row r="324" spans="1:29" s="1" customFormat="1" x14ac:dyDescent="0.2"/>
    <row r="325" spans="1:29" s="1" customFormat="1" x14ac:dyDescent="0.2"/>
  </sheetData>
  <sheetProtection selectLockedCells="1" selectUnlockedCells="1"/>
  <mergeCells count="20">
    <mergeCell ref="N237:Q237"/>
    <mergeCell ref="T235:V235"/>
    <mergeCell ref="Z237:AC237"/>
    <mergeCell ref="B14:D14"/>
    <mergeCell ref="B16:E16"/>
    <mergeCell ref="B18:E18"/>
    <mergeCell ref="T237:W237"/>
    <mergeCell ref="N235:P235"/>
    <mergeCell ref="B237:E237"/>
    <mergeCell ref="H237:K237"/>
    <mergeCell ref="Z235:AB235"/>
    <mergeCell ref="E231:F231"/>
    <mergeCell ref="G233:J233"/>
    <mergeCell ref="B235:D235"/>
    <mergeCell ref="H235:J235"/>
    <mergeCell ref="Z239:AC239"/>
    <mergeCell ref="B239:E239"/>
    <mergeCell ref="H239:K239"/>
    <mergeCell ref="N239:Q239"/>
    <mergeCell ref="T239:W239"/>
  </mergeCells>
  <phoneticPr fontId="107" type="noConversion"/>
  <pageMargins left="0.74791666666666667" right="0.74791666666666667" top="0.98402777777777772" bottom="0.98402777777777772" header="0.51180555555555551" footer="0.51180555555555551"/>
  <pageSetup paperSize="9" scale="86" firstPageNumber="0" orientation="portrait" horizontalDpi="300" verticalDpi="300" r:id="rId1"/>
  <headerFooter alignWithMargins="0"/>
  <rowBreaks count="2" manualBreakCount="2">
    <brk id="62" max="16383" man="1"/>
    <brk id="145" max="16383" man="1"/>
  </rowBreaks>
  <colBreaks count="1" manualBreakCount="1">
    <brk id="7" max="1048575" man="1"/>
  </col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filterMode="1"/>
  <dimension ref="A1:O330"/>
  <sheetViews>
    <sheetView topLeftCell="A3" zoomScale="90" zoomScaleNormal="90" zoomScaleSheetLayoutView="75" workbookViewId="0" xr3:uid="{9B253EF2-77E0-53E3-AE26-4D66ECD923F3}">
      <selection activeCell="E29" sqref="A1:O330"/>
    </sheetView>
  </sheetViews>
  <sheetFormatPr defaultRowHeight="15" x14ac:dyDescent="0.2"/>
  <cols>
    <col min="1" max="1" width="23.5390625" bestFit="1" customWidth="1"/>
    <col min="2" max="2" width="18.0234375" style="70" bestFit="1" customWidth="1"/>
    <col min="3" max="3" width="12.64453125" bestFit="1" customWidth="1"/>
    <col min="4" max="4" width="19.1015625" bestFit="1" customWidth="1"/>
    <col min="5" max="5" width="16.94921875" bestFit="1" customWidth="1"/>
    <col min="6" max="6" width="17.484375" bestFit="1" customWidth="1"/>
    <col min="7" max="7" width="22.05859375" bestFit="1" customWidth="1"/>
    <col min="8" max="8" width="13.046875" bestFit="1" customWidth="1"/>
    <col min="9" max="9" width="18.0234375" style="71" bestFit="1" customWidth="1"/>
    <col min="10" max="10" width="89.32421875" bestFit="1" customWidth="1"/>
    <col min="11" max="11" width="10.89453125" bestFit="1" customWidth="1"/>
  </cols>
  <sheetData>
    <row r="1" spans="1:15" x14ac:dyDescent="0.2">
      <c r="A1" s="54" t="s">
        <v>1138</v>
      </c>
      <c r="B1" s="72"/>
      <c r="C1" s="73"/>
      <c r="D1" s="32"/>
      <c r="E1" s="32"/>
      <c r="F1" s="32"/>
      <c r="N1" s="97" t="e">
        <f>JHora!#REF!</f>
        <v>#REF!</v>
      </c>
      <c r="O1" t="e">
        <f>JHora!#REF!</f>
        <v>#REF!</v>
      </c>
    </row>
    <row r="2" spans="1:15" x14ac:dyDescent="0.2">
      <c r="A2" s="74" t="str">
        <f>Basics!A9</f>
        <v>Moon</v>
      </c>
      <c r="E2" s="42"/>
      <c r="F2" s="32"/>
      <c r="N2" s="97" t="e">
        <f>JHora!#REF!</f>
        <v>#REF!</v>
      </c>
      <c r="O2" t="e">
        <f>JHora!#REF!</f>
        <v>#REF!</v>
      </c>
    </row>
    <row r="3" spans="1:15" x14ac:dyDescent="0.2">
      <c r="A3" s="75" t="s">
        <v>1134</v>
      </c>
      <c r="B3" s="1523">
        <f>VLOOKUP(A2,ChartInfo,7,FALSE)</f>
        <v>53.015944444444443</v>
      </c>
      <c r="C3" s="1523"/>
      <c r="D3" s="1523"/>
      <c r="E3" s="42"/>
      <c r="F3" s="32"/>
      <c r="N3" s="97">
        <f>JHora!B4</f>
        <v>37926</v>
      </c>
      <c r="O3" t="str">
        <f>JHora!C4</f>
        <v>Bought Car D16</v>
      </c>
    </row>
    <row r="4" spans="1:15" x14ac:dyDescent="0.2">
      <c r="A4" s="76" t="s">
        <v>1135</v>
      </c>
      <c r="B4" s="77" t="str">
        <f>INDEX(DasaYears,D4+1,1)</f>
        <v>Moon</v>
      </c>
      <c r="C4" s="44"/>
      <c r="D4" s="73">
        <f>MOD(FLOOR(B3/StarDeg,1),9)</f>
        <v>3</v>
      </c>
      <c r="E4" s="42">
        <f>INDEX(DasaYears,MOD(FLOOR(B3/StarDeg,1),9)+1,2)</f>
        <v>10</v>
      </c>
      <c r="F4" s="32"/>
      <c r="N4" s="97">
        <f>JHora!B5</f>
        <v>38779</v>
      </c>
      <c r="O4" t="str">
        <f>JHora!C5</f>
        <v>Marriage D9</v>
      </c>
    </row>
    <row r="5" spans="1:15" x14ac:dyDescent="0.2">
      <c r="A5" s="76" t="s">
        <v>1136</v>
      </c>
      <c r="B5" s="1524">
        <f>((StarDeg-MOD(B3,StarDeg))/StarDeg)*E4</f>
        <v>0.23804166666666934</v>
      </c>
      <c r="C5" s="1524"/>
      <c r="D5" s="1524"/>
      <c r="E5" s="1524"/>
      <c r="F5" s="32"/>
      <c r="I5" s="71" t="e">
        <f ca="1">MATCH(C16,ChartInfo,0)</f>
        <v>#N/A</v>
      </c>
      <c r="N5" s="97">
        <f>JHora!B6</f>
        <v>41694</v>
      </c>
      <c r="O5" t="str">
        <f>JHora!C6</f>
        <v>Bought Car D16</v>
      </c>
    </row>
    <row r="6" spans="1:15" x14ac:dyDescent="0.2">
      <c r="A6" s="76" t="s">
        <v>1137</v>
      </c>
      <c r="B6" s="78"/>
      <c r="C6" s="73"/>
      <c r="D6" s="73"/>
      <c r="E6" s="42">
        <f>((MOD(B3,StarDeg))/StarDeg)*E4-F6/DaysInYear</f>
        <v>9.7619583333333306</v>
      </c>
      <c r="F6" s="32">
        <v>0</v>
      </c>
      <c r="G6" s="32" t="str">
        <f>Vimshottari!H18</f>
        <v>&lt;-Corrections Days</v>
      </c>
      <c r="I6" s="71" t="b">
        <f ca="1">VLOOKUP(C16,ChartInfo,11,FALSE)</f>
        <v>0</v>
      </c>
      <c r="N6" s="97">
        <f>JHora!B7</f>
        <v>0</v>
      </c>
      <c r="O6">
        <f>JHora!C7</f>
        <v>0</v>
      </c>
    </row>
    <row r="7" spans="1:15" x14ac:dyDescent="0.2">
      <c r="A7" s="76" t="s">
        <v>1139</v>
      </c>
      <c r="B7" s="1525" t="b">
        <v>1</v>
      </c>
      <c r="C7" s="1525"/>
      <c r="D7" s="1525"/>
      <c r="E7" s="1525"/>
      <c r="I7" s="71">
        <f ca="1">IF(VLOOKUP(C16,ChartInfo,11,FALSE),1,0)*B17</f>
        <v>0</v>
      </c>
      <c r="N7" s="97">
        <f>JHora!B8</f>
        <v>0</v>
      </c>
      <c r="O7">
        <f>JHora!C8</f>
        <v>0</v>
      </c>
    </row>
    <row r="8" spans="1:15" x14ac:dyDescent="0.2">
      <c r="A8" s="32" t="s">
        <v>3270</v>
      </c>
      <c r="B8" s="79">
        <f>DaysInYear</f>
        <v>365.25487268518202</v>
      </c>
      <c r="C8" s="80"/>
      <c r="D8" s="32"/>
      <c r="E8" s="32"/>
      <c r="F8" s="32"/>
      <c r="N8" s="97">
        <f>JHora!B9</f>
        <v>0</v>
      </c>
      <c r="O8">
        <f>JHora!C9</f>
        <v>0</v>
      </c>
    </row>
    <row r="9" spans="1:15" x14ac:dyDescent="0.2">
      <c r="A9" s="32"/>
      <c r="B9" s="79"/>
      <c r="C9" s="80"/>
      <c r="D9" s="32"/>
      <c r="E9" s="32"/>
      <c r="H9" s="32"/>
      <c r="N9" s="97">
        <f>JHora!B10</f>
        <v>0</v>
      </c>
      <c r="O9">
        <f>JHora!C10</f>
        <v>0</v>
      </c>
    </row>
    <row r="10" spans="1:15" x14ac:dyDescent="0.2">
      <c r="A10" s="81"/>
      <c r="B10" s="82" t="s">
        <v>1140</v>
      </c>
      <c r="C10" s="83" t="s">
        <v>1141</v>
      </c>
      <c r="D10" s="84" t="s">
        <v>1142</v>
      </c>
      <c r="E10" s="83" t="s">
        <v>1143</v>
      </c>
      <c r="F10" s="83" t="s">
        <v>1144</v>
      </c>
      <c r="G10" s="83" t="s">
        <v>1145</v>
      </c>
      <c r="H10" s="83" t="s">
        <v>1146</v>
      </c>
      <c r="I10" s="85" t="s">
        <v>1147</v>
      </c>
      <c r="J10" s="86" t="s">
        <v>1148</v>
      </c>
      <c r="K10" s="86" t="s">
        <v>1149</v>
      </c>
      <c r="N10" s="97">
        <f>JHora!B11</f>
        <v>0</v>
      </c>
      <c r="O10">
        <f>JHora!C11</f>
        <v>0</v>
      </c>
    </row>
    <row r="11" spans="1:15" x14ac:dyDescent="0.2">
      <c r="A11" s="87" t="s">
        <v>1150</v>
      </c>
      <c r="B11" s="88">
        <f>DoB-$E$6*DaysInYear</f>
        <v>22567.7812953188</v>
      </c>
      <c r="C11" s="89">
        <f ca="1">B11+B13*INDEX(INDEX(VimFrac,,VLOOKUP(B16,PlanetData,3,FALSE)+1),MATCH(B14,INDEX(VimFrac,,VLOOKUP(B16,PlanetData,3,FALSE)+1),1))</f>
        <v>41195.779802263089</v>
      </c>
      <c r="D11" s="89">
        <f ca="1">C11+C13*INDEX(INDEX(VimFrac,0,9*C17+VLOOKUP(C16,PlanetData,3,FALSE)+1),IF(C17,1,0)+MATCH(C14,INDEX(VimFrac,0,9*C17+VLOOKUP(C16,PlanetData,3,FALSE)+1),IF(C17,-1,1)))</f>
        <v>43277.732576568618</v>
      </c>
      <c r="E11" s="89">
        <f ca="1">D11+D13*INDEX(INDEX(VimFrac,0,9*D17+VLOOKUP(D16,PlanetData,3,FALSE)+1),IF(D17,1,0)+MATCH(D14,INDEX(VimFrac,0,9*D17+VLOOKUP(D16,PlanetData,3,FALSE)+1),IF(D17,-1,1)))</f>
        <v>43422.794563852411</v>
      </c>
      <c r="F11" s="89">
        <f ca="1">E11+E13*INDEX(INDEX(VimFrac,0,9*E17+VLOOKUP(E16,PlanetData,3,FALSE)+1),IF(E17,1,0)+MATCH(E14,INDEX(VimFrac,0,9*E17+VLOOKUP(E16,PlanetData,3,FALSE)+1),IF(E17,-1,1)))</f>
        <v>43422.794563852411</v>
      </c>
      <c r="G11" s="89">
        <f ca="1">F11+F13*INDEX(INDEX(VimFrac,0,9*F17+VLOOKUP(F16,PlanetData,3,FALSE)+1),IF(F17,1,0)+MATCH(F14,INDEX(VimFrac,0,9*F17+VLOOKUP(F16,PlanetData,3,FALSE)+1),IF(F17,-1,1)))</f>
        <v>43423.630919302348</v>
      </c>
      <c r="H11" s="89">
        <f ca="1">G11+G13*INDEX(INDEX(VimFrac,0,9*G17+VLOOKUP(G16,PlanetData,3,FALSE)+1),IF(G17,1,0)+MATCH(G14,INDEX(VimFrac,0,9*G17+VLOOKUP(G16,PlanetData,3,FALSE)+1),IF(G17,-1,1)))</f>
        <v>43423.90095825155</v>
      </c>
      <c r="J11" t="str">
        <f>J12</f>
        <v>Now() The current dasa</v>
      </c>
      <c r="K11">
        <v>1</v>
      </c>
      <c r="N11" s="97">
        <f>JHora!B12</f>
        <v>0</v>
      </c>
      <c r="O11">
        <f>JHora!C12</f>
        <v>0</v>
      </c>
    </row>
    <row r="12" spans="1:15" x14ac:dyDescent="0.2">
      <c r="A12" s="87" t="s">
        <v>1151</v>
      </c>
      <c r="B12" s="88">
        <f>B11+B13</f>
        <v>66398.36601754064</v>
      </c>
      <c r="C12" s="89">
        <f ca="1">B11+B13*INDEX(INDEX(VimFrac,,VLOOKUP(B16,PlanetData,3,FALSE)+1),MATCH(B14,INDEX(VimFrac,,VLOOKUP(B16,PlanetData,3,FALSE)+1),1)+1)</f>
        <v>48135.62238328153</v>
      </c>
      <c r="D12" s="89">
        <f ca="1">C11+C13*INDEX(INDEX(VimFrac,0,9*C17+VLOOKUP(C16,PlanetData,3,FALSE)+1),IF(C17,0,1)+MATCH(C14,INDEX(VimFrac,0,9*C17+VLOOKUP(C16,PlanetData,3,FALSE)+1),IF(C17,-1,1)))</f>
        <v>43682.556727128031</v>
      </c>
      <c r="E12" s="89">
        <f ca="1">D11+D13*INDEX(INDEX(VimFrac,0,9*D17+VLOOKUP(D16,PlanetData,3,FALSE)+1),IF(D17,0,1)+MATCH(D14,INDEX(VimFrac,0,9*D17+VLOOKUP(D16,PlanetData,3,FALSE)+1),IF(D17,-1,1)))</f>
        <v>43446.409305968373</v>
      </c>
      <c r="F12" s="89">
        <f ca="1">E11+E13*INDEX(INDEX(VimFrac,0,9*E17+VLOOKUP(E16,PlanetData,3,FALSE)+1),IF(E17,0,1)+MATCH(E14,INDEX(VimFrac,0,9*E17+VLOOKUP(E16,PlanetData,3,FALSE)+1),IF(E17,-1,1)))</f>
        <v>43424.762459028738</v>
      </c>
      <c r="G12" s="89">
        <f ca="1">F11+F13*INDEX(INDEX(VimFrac,0,9*F17+VLOOKUP(F16,PlanetData,3,FALSE)+1),IF(F17,0,1)+MATCH(F14,INDEX(VimFrac,0,9*F17+VLOOKUP(F16,PlanetData,3,FALSE)+1),IF(F17,-1,1)))</f>
        <v>43423.942502705271</v>
      </c>
      <c r="H12" s="89">
        <f ca="1">G11+G13*INDEX(INDEX(VimFrac,0,9*G17+VLOOKUP(G16,PlanetData,3,FALSE)+1),IF(G17,0,1)+MATCH(G14,INDEX(VimFrac,0,9*G17+VLOOKUP(G16,PlanetData,3,FALSE)+1),IF(G17,-1,1)))</f>
        <v>43423.942502705271</v>
      </c>
      <c r="J12" t="str">
        <f>J16</f>
        <v>Now() The current dasa</v>
      </c>
      <c r="K12">
        <v>1</v>
      </c>
      <c r="N12" s="97">
        <f>JHora!B13</f>
        <v>0</v>
      </c>
      <c r="O12">
        <f>JHora!C13</f>
        <v>0</v>
      </c>
    </row>
    <row r="13" spans="1:15" x14ac:dyDescent="0.2">
      <c r="A13" s="90" t="s">
        <v>1152</v>
      </c>
      <c r="B13" s="91">
        <f>120*DaysInYear</f>
        <v>43830.584722221844</v>
      </c>
      <c r="C13" s="92">
        <f t="shared" ref="C13:H13" ca="1" si="0">C12-C11</f>
        <v>6939.8425810184417</v>
      </c>
      <c r="D13" s="92">
        <f t="shared" ca="1" si="0"/>
        <v>404.82415055941237</v>
      </c>
      <c r="E13" s="92">
        <f t="shared" ca="1" si="0"/>
        <v>23.614742115962144</v>
      </c>
      <c r="F13" s="92">
        <f t="shared" ca="1" si="0"/>
        <v>1.9678951763271471</v>
      </c>
      <c r="G13" s="92">
        <f t="shared" ca="1" si="0"/>
        <v>0.31158340292313369</v>
      </c>
      <c r="H13" s="92">
        <f t="shared" ca="1" si="0"/>
        <v>4.1544453721144237E-2</v>
      </c>
      <c r="I13"/>
      <c r="K13">
        <v>0</v>
      </c>
    </row>
    <row r="14" spans="1:15" x14ac:dyDescent="0.2">
      <c r="A14" s="90" t="s">
        <v>1153</v>
      </c>
      <c r="B14" s="93">
        <f ca="1">(I16-B11)/(B12-B11)</f>
        <v>0.4758352771984844</v>
      </c>
      <c r="C14" s="94">
        <f ca="1">(I16-C11)/(C12-C11)</f>
        <v>0.32106490862200665</v>
      </c>
      <c r="D14" s="94">
        <f ca="1">(I16-D11)/(D12-D11)</f>
        <v>0.36111271923440413</v>
      </c>
      <c r="E14" s="94">
        <f ca="1">(I16-E11)/(E12-E11)</f>
        <v>4.7646615446809211E-2</v>
      </c>
      <c r="F14" s="94">
        <f ca="1">(I16-F11)/(F12-F11)</f>
        <v>0.5717593853625913</v>
      </c>
      <c r="G14" s="94">
        <f ca="1">(I16-G11)/(G12-G11)</f>
        <v>0.9269013812287844</v>
      </c>
      <c r="H14" s="94">
        <f ca="1">(I16-H11)/(H12-H11)</f>
        <v>0.45176035919027885</v>
      </c>
      <c r="I14"/>
      <c r="K14">
        <v>0</v>
      </c>
    </row>
    <row r="15" spans="1:15" x14ac:dyDescent="0.2">
      <c r="A15" s="90" t="s">
        <v>1154</v>
      </c>
      <c r="B15" s="95"/>
      <c r="C15" s="96">
        <f ca="1">MOD(VLOOKUP(B16,PlanetData,3,FALSE)+MATCH(B14,INDEX(VimFrac,,VLOOKUP(B16,PlanetData,3,FALSE)+1),1)-1,9)</f>
        <v>8</v>
      </c>
      <c r="D15" s="96">
        <f ca="1">MOD(VLOOKUP(C16,PlanetData,3,FALSE)+MATCH(C14,INDEX(VimFrac,0,9*C17+VLOOKUP(C16,PlanetData,3,FALSE)+1),IF(C17,-1,1))-1,9)</f>
        <v>1</v>
      </c>
      <c r="E15" s="96">
        <f ca="1">MOD(VLOOKUP(D16,PlanetData,3,FALSE)+MATCH(D14,INDEX(VimFrac,0,9*D17+VLOOKUP(D16,PlanetData,3,FALSE)+1),IF(D17,-1,1))-1,9)</f>
        <v>5</v>
      </c>
      <c r="F15" s="96">
        <f ca="1">MOD(VLOOKUP(E16,PlanetData,3,FALSE)+MATCH(E14,INDEX(VimFrac,0,9*E17+VLOOKUP(E16,PlanetData,3,FALSE)+1),IF(E17,-1,1))-1,9)</f>
        <v>4</v>
      </c>
      <c r="G15" s="96">
        <f ca="1">MOD(VLOOKUP(F16,PlanetData,3,FALSE)+MATCH(F14,INDEX(VimFrac,0,9*F17+VLOOKUP(F16,PlanetData,3,FALSE)+1),IF(F17,-1,1))-1,9)</f>
        <v>8</v>
      </c>
      <c r="H15" s="96">
        <f ca="1">MOD(VLOOKUP(G16,PlanetData,3,FALSE)+MATCH(G14,INDEX(VimFrac,0,9*G17+VLOOKUP(G16,PlanetData,3,FALSE)+1),IF(G17,-1,1))-1,9)</f>
        <v>7</v>
      </c>
      <c r="I15" s="96">
        <f ca="1">StarDeg*(C15-1)+(D15-1)*POWER(StarDeg,2)/120+(E15-1)*POWER(StarDeg,3)/POWER(120,2)+(F15-1)*POWER(StarDeg,4)/POWER(120,3)+(G15-1)*POWER(StarDeg,5)/POWER(120,4)+(H15-1)*POWER(StarDeg,6)/POWER(120,5)</f>
        <v>94.062219512608166</v>
      </c>
      <c r="J15" s="96"/>
      <c r="K15">
        <v>0</v>
      </c>
    </row>
    <row r="16" spans="1:15" x14ac:dyDescent="0.2">
      <c r="A16" s="90" t="s">
        <v>1155</v>
      </c>
      <c r="B16" s="95" t="str">
        <f>$B$4</f>
        <v>Moon</v>
      </c>
      <c r="C16" s="96" t="str">
        <f t="shared" ref="C16:H16" ca="1" si="1">INDEX(DasaYears,IF(C15=0,9,C15),1)</f>
        <v>Saturn</v>
      </c>
      <c r="D16" s="96" t="str">
        <f ca="1">INDEX(DasaYears,IF(D15=0,9,D15),1)</f>
        <v>Ketu</v>
      </c>
      <c r="E16" s="96" t="str">
        <f t="shared" ca="1" si="1"/>
        <v>Mars</v>
      </c>
      <c r="F16" s="96" t="str">
        <f t="shared" ca="1" si="1"/>
        <v>Moon</v>
      </c>
      <c r="G16" s="96" t="str">
        <f t="shared" ca="1" si="1"/>
        <v>Saturn</v>
      </c>
      <c r="H16" s="96" t="str">
        <f t="shared" ca="1" si="1"/>
        <v>Jupiter</v>
      </c>
      <c r="I16" s="97">
        <f ca="1">NOW()</f>
        <v>43423.919726388885</v>
      </c>
      <c r="J16" s="97" t="s">
        <v>1342</v>
      </c>
      <c r="K16">
        <v>1</v>
      </c>
      <c r="N16" s="97">
        <f>JHora!B17</f>
        <v>0</v>
      </c>
      <c r="O16">
        <f>JHora!C17</f>
        <v>0</v>
      </c>
    </row>
    <row r="17" spans="1:15" x14ac:dyDescent="0.2">
      <c r="A17" s="90" t="s">
        <v>1139</v>
      </c>
      <c r="B17" s="91" t="b">
        <f>$B$7</f>
        <v>1</v>
      </c>
      <c r="C17" s="96">
        <f ca="1">IF(VLOOKUP(C16,ChartInfo,11,FALSE),1,0)*B17</f>
        <v>0</v>
      </c>
      <c r="D17" s="96">
        <f ca="1">IF(VLOOKUP(D16,ChartInfo,11,FALSE),1,0)*B17</f>
        <v>0</v>
      </c>
      <c r="E17" s="96">
        <f ca="1">IF(VLOOKUP(E16,ChartInfo,11,FALSE),1,0)*B17</f>
        <v>1</v>
      </c>
      <c r="F17" s="96">
        <f ca="1">IF(VLOOKUP(F16,ChartInfo,11,FALSE),1,0)*B17</f>
        <v>0</v>
      </c>
      <c r="G17" s="96">
        <f ca="1">IF(VLOOKUP(G16,ChartInfo,11,FALSE),1,0)*B17</f>
        <v>0</v>
      </c>
      <c r="H17" s="96">
        <f ca="1">IF(VLOOKUP(H16,ChartInfo,11,FALSE),1,0)*B17</f>
        <v>1</v>
      </c>
      <c r="I17"/>
      <c r="K17">
        <v>0</v>
      </c>
    </row>
    <row r="18" spans="1:15" x14ac:dyDescent="0.2">
      <c r="K18">
        <v>1</v>
      </c>
      <c r="N18" s="97">
        <f>JHora!B19</f>
        <v>0</v>
      </c>
      <c r="O18">
        <f>JHora!C19</f>
        <v>0</v>
      </c>
    </row>
    <row r="19" spans="1:15" hidden="1" x14ac:dyDescent="0.2">
      <c r="A19" s="87" t="s">
        <v>1150</v>
      </c>
      <c r="B19" s="88">
        <f>DoB-$E$6*DaysInYear</f>
        <v>22567.7812953188</v>
      </c>
      <c r="C19" s="89">
        <f ca="1">B19+B21*INDEX(INDEX(VimFrac,,VLOOKUP(B24,PlanetData,3,FALSE)+1),MATCH(B22,INDEX(VimFrac,,VLOOKUP(B24,PlanetData,3,FALSE)+1),1))</f>
        <v>22567.7812953188</v>
      </c>
      <c r="D19" s="89">
        <f ca="1">C19+C21*INDEX(INDEX(VimFrac,0,9*C25+VLOOKUP(C24,PlanetData,3,FALSE)+1),IF(C25,1,0)+MATCH(C22,INDEX(VimFrac,0,9*C25+VLOOKUP(C24,PlanetData,3,FALSE)+1),IF(C25,-1,1)))</f>
        <v>26037.702585828029</v>
      </c>
      <c r="E19" s="89">
        <f ca="1">D19+D21*INDEX(INDEX(VimFrac,0,9*D25+VLOOKUP(D24,PlanetData,3,FALSE)+1),IF(D25,1,0)+MATCH(D22,INDEX(VimFrac,0,9*D25+VLOOKUP(D24,PlanetData,3,FALSE)+1),IF(D25,-1,1)))</f>
        <v>26124.450618090759</v>
      </c>
      <c r="F19" s="89">
        <f ca="1">E19+E21*INDEX(INDEX(VimFrac,0,9*E25+VLOOKUP(E24,PlanetData,3,FALSE)+1),IF(E25,1,0)+MATCH(E22,INDEX(VimFrac,0,9*E25+VLOOKUP(E24,PlanetData,3,FALSE)+1),IF(E25,-1,1)))</f>
        <v>26129.02898646018</v>
      </c>
      <c r="G19" s="89">
        <f ca="1">F19+F21*INDEX(INDEX(VimFrac,0,9*F25+VLOOKUP(F24,PlanetData,3,FALSE)+1),IF(F25,1,0)+MATCH(F22,INDEX(VimFrac,0,9*F25+VLOOKUP(F24,PlanetData,3,FALSE)+1),IF(F25,-1,1)))</f>
        <v>26132.476819131363</v>
      </c>
      <c r="H19" s="89">
        <f ca="1">G19+G21*INDEX(INDEX(VimFrac,0,9*G25+VLOOKUP(G24,PlanetData,3,FALSE)+1),IF(G25,1,0)+MATCH(G22,INDEX(VimFrac,0,9*G25+VLOOKUP(G24,PlanetData,3,FALSE)+1),IF(G25,-1,1)))</f>
        <v>26132.941650697758</v>
      </c>
      <c r="J19" t="str">
        <f ca="1">J24</f>
        <v>Born in CIM Stores</v>
      </c>
      <c r="K19">
        <f>K11+1</f>
        <v>2</v>
      </c>
      <c r="N19" s="97">
        <f>JHora!B20</f>
        <v>0</v>
      </c>
      <c r="O19">
        <f>JHora!C20</f>
        <v>0</v>
      </c>
    </row>
    <row r="20" spans="1:15" hidden="1" x14ac:dyDescent="0.2">
      <c r="A20" s="87" t="s">
        <v>1151</v>
      </c>
      <c r="B20" s="88">
        <f>B19+B21</f>
        <v>66398.36601754064</v>
      </c>
      <c r="C20" s="89">
        <f ca="1">B19+B21*INDEX(INDEX(VimFrac,,VLOOKUP(B24,PlanetData,3,FALSE)+1),MATCH(B22,INDEX(VimFrac,,VLOOKUP(B24,PlanetData,3,FALSE)+1),1)+1)</f>
        <v>26220.330022170619</v>
      </c>
      <c r="D20" s="89">
        <f ca="1">C19+C21*INDEX(INDEX(VimFrac,0,9*C25+VLOOKUP(C24,PlanetData,3,FALSE)+1),IF(C25,0,1)+MATCH(C22,INDEX(VimFrac,0,9*C25+VLOOKUP(C24,PlanetData,3,FALSE)+1),IF(C25,-1,1)))</f>
        <v>26220.330022170619</v>
      </c>
      <c r="E20" s="89">
        <f ca="1">D19+D21*INDEX(INDEX(VimFrac,0,9*D25+VLOOKUP(D24,PlanetData,3,FALSE)+1),IF(D25,0,1)+MATCH(D22,INDEX(VimFrac,0,9*D25+VLOOKUP(D24,PlanetData,3,FALSE)+1),IF(D25,-1,1)))</f>
        <v>26153.366628845004</v>
      </c>
      <c r="F20" s="89">
        <f ca="1">E19+E21*INDEX(INDEX(VimFrac,0,9*E25+VLOOKUP(E24,PlanetData,3,FALSE)+1),IF(E25,0,1)+MATCH(E22,INDEX(VimFrac,0,9*E25+VLOOKUP(E24,PlanetData,3,FALSE)+1),IF(E25,-1,1)))</f>
        <v>26133.125421317032</v>
      </c>
      <c r="G20" s="89">
        <f ca="1">F19+F21*INDEX(INDEX(VimFrac,0,9*F25+VLOOKUP(F24,PlanetData,3,FALSE)+1),IF(F25,0,1)+MATCH(F22,INDEX(VimFrac,0,9*F25+VLOOKUP(F24,PlanetData,3,FALSE)+1),IF(F25,-1,1)))</f>
        <v>26133.125421317032</v>
      </c>
      <c r="H20" s="89">
        <f ca="1">G19+G21*INDEX(INDEX(VimFrac,0,9*G25+VLOOKUP(G24,PlanetData,3,FALSE)+1),IF(G25,0,1)+MATCH(G22,INDEX(VimFrac,0,9*G25+VLOOKUP(G24,PlanetData,3,FALSE)+1),IF(G25,-1,1)))</f>
        <v>26133.03894102561</v>
      </c>
      <c r="J20" t="str">
        <f ca="1">J24</f>
        <v>Born in CIM Stores</v>
      </c>
      <c r="K20">
        <f>K12+1</f>
        <v>2</v>
      </c>
      <c r="N20" s="97">
        <f>JHora!B21</f>
        <v>0</v>
      </c>
      <c r="O20">
        <f>JHora!C21</f>
        <v>0</v>
      </c>
    </row>
    <row r="21" spans="1:15" hidden="1" x14ac:dyDescent="0.2">
      <c r="A21" s="90" t="s">
        <v>1152</v>
      </c>
      <c r="B21" s="91">
        <f>120*DaysInYear</f>
        <v>43830.584722221844</v>
      </c>
      <c r="C21" s="92">
        <f t="shared" ref="C21:H21" ca="1" si="2">C20-C19</f>
        <v>3652.5487268518191</v>
      </c>
      <c r="D21" s="92">
        <f t="shared" ca="1" si="2"/>
        <v>182.62743634259095</v>
      </c>
      <c r="E21" s="92">
        <f t="shared" ca="1" si="2"/>
        <v>28.91601075424478</v>
      </c>
      <c r="F21" s="92">
        <f t="shared" ca="1" si="2"/>
        <v>4.0964348568522837</v>
      </c>
      <c r="G21" s="92">
        <f t="shared" ca="1" si="2"/>
        <v>0.64860218566900585</v>
      </c>
      <c r="H21" s="92">
        <f t="shared" ca="1" si="2"/>
        <v>9.7290327852533665E-2</v>
      </c>
      <c r="I21"/>
      <c r="K21">
        <f>K13</f>
        <v>0</v>
      </c>
    </row>
    <row r="22" spans="1:15" hidden="1" x14ac:dyDescent="0.2">
      <c r="A22" s="90" t="s">
        <v>1153</v>
      </c>
      <c r="B22" s="93">
        <f ca="1">(I24-B19)/(B20-B19)</f>
        <v>8.1340888497744707E-2</v>
      </c>
      <c r="C22" s="94">
        <f ca="1">(I24-C19)/(C20-C19)</f>
        <v>0.97609066197293681</v>
      </c>
      <c r="D22" s="94">
        <f ca="1">(I24-D19)/(D20-D19)</f>
        <v>0.52181323945873592</v>
      </c>
      <c r="E22" s="94">
        <f ca="1">(I24-E19)/(E20-E19)</f>
        <v>0.29566256500253035</v>
      </c>
      <c r="F22" s="94">
        <f ca="1">(I24-F19)/(F20-F19)</f>
        <v>0.96938281178266317</v>
      </c>
      <c r="G22" s="94">
        <f ca="1">(I24-G19)/(G20-G19)</f>
        <v>0.80662828494335292</v>
      </c>
      <c r="H22" s="94">
        <f ca="1">(I24-H19)/(H20-H19)</f>
        <v>0.59974412184856918</v>
      </c>
      <c r="I22"/>
      <c r="K22">
        <f>K14</f>
        <v>0</v>
      </c>
    </row>
    <row r="23" spans="1:15" hidden="1" x14ac:dyDescent="0.2">
      <c r="A23" s="90" t="s">
        <v>1154</v>
      </c>
      <c r="B23" s="95"/>
      <c r="C23" s="96">
        <f ca="1">MOD(VLOOKUP(B24,PlanetData,3,FALSE)+MATCH(B22,INDEX(VimFrac,,VLOOKUP(B24,PlanetData,3,FALSE)+1),1)-1,9)</f>
        <v>4</v>
      </c>
      <c r="D23" s="96">
        <f ca="1">MOD(VLOOKUP(C24,PlanetData,3,FALSE)+MATCH(C22,INDEX(VimFrac,0,9*C25+VLOOKUP(C24,PlanetData,3,FALSE)+1),IF(C25,-1,1))-1,9)</f>
        <v>3</v>
      </c>
      <c r="E23" s="96">
        <f ca="1">MOD(VLOOKUP(D24,PlanetData,3,FALSE)+MATCH(D22,INDEX(VimFrac,0,9*D25+VLOOKUP(D24,PlanetData,3,FALSE)+1),IF(D25,-1,1))-1,9)</f>
        <v>8</v>
      </c>
      <c r="F23" s="96">
        <f ca="1">MOD(VLOOKUP(E24,PlanetData,3,FALSE)+MATCH(E22,INDEX(VimFrac,0,9*E25+VLOOKUP(E24,PlanetData,3,FALSE)+1),IF(E25,-1,1))-1,9)</f>
        <v>0</v>
      </c>
      <c r="G23" s="96">
        <f ca="1">MOD(VLOOKUP(F24,PlanetData,3,FALSE)+MATCH(F22,INDEX(VimFrac,0,9*F25+VLOOKUP(F24,PlanetData,3,FALSE)+1),IF(F25,-1,1))-1,9)</f>
        <v>8</v>
      </c>
      <c r="H23" s="96">
        <f ca="1">MOD(VLOOKUP(G24,PlanetData,3,FALSE)+MATCH(G22,INDEX(VimFrac,0,9*G25+VLOOKUP(G24,PlanetData,3,FALSE)+1),IF(G25,-1,1))-1,9)</f>
        <v>6</v>
      </c>
      <c r="I23"/>
      <c r="K23">
        <f>K15</f>
        <v>0</v>
      </c>
    </row>
    <row r="24" spans="1:15" hidden="1" x14ac:dyDescent="0.2">
      <c r="A24" s="90" t="s">
        <v>1155</v>
      </c>
      <c r="B24" s="95" t="str">
        <f>$B$4</f>
        <v>Moon</v>
      </c>
      <c r="C24" s="96" t="str">
        <f t="shared" ref="C24:H24" ca="1" si="3">INDEX(DasaYears,IF(C23=0,9,C23),1)</f>
        <v>Moon</v>
      </c>
      <c r="D24" s="96" t="str">
        <f t="shared" ca="1" si="3"/>
        <v>Sun</v>
      </c>
      <c r="E24" s="96" t="str">
        <f t="shared" ca="1" si="3"/>
        <v>Saturn</v>
      </c>
      <c r="F24" s="96" t="str">
        <f t="shared" ca="1" si="3"/>
        <v>Mercury</v>
      </c>
      <c r="G24" s="96" t="str">
        <f t="shared" ca="1" si="3"/>
        <v>Saturn</v>
      </c>
      <c r="H24" s="96" t="str">
        <f t="shared" ca="1" si="3"/>
        <v>Rahu</v>
      </c>
      <c r="I24" s="97">
        <f ca="1">INDIRECT("'JHora'!$B$"&amp;($K24))</f>
        <v>26133</v>
      </c>
      <c r="J24" s="97" t="str">
        <f ca="1">INDIRECT("'JHora'!$C$"&amp;($K24))</f>
        <v>Born in CIM Stores</v>
      </c>
      <c r="K24">
        <f>K16+1</f>
        <v>2</v>
      </c>
      <c r="N24" s="97">
        <f>JHora!B25</f>
        <v>0</v>
      </c>
      <c r="O24">
        <f>JHora!C25</f>
        <v>0</v>
      </c>
    </row>
    <row r="25" spans="1:15" hidden="1" x14ac:dyDescent="0.2">
      <c r="A25" s="90" t="s">
        <v>1139</v>
      </c>
      <c r="B25" s="91" t="b">
        <f>$B$7</f>
        <v>1</v>
      </c>
      <c r="C25" s="96">
        <f ca="1">IF(VLOOKUP(C24,ChartInfo,11,FALSE),1,0)*B25</f>
        <v>0</v>
      </c>
      <c r="D25" s="96">
        <f ca="1">IF(VLOOKUP(D24,ChartInfo,11,FALSE),1,0)*B25</f>
        <v>0</v>
      </c>
      <c r="E25" s="96">
        <f ca="1">IF(VLOOKUP(E24,ChartInfo,11,FALSE),1,0)*B25</f>
        <v>0</v>
      </c>
      <c r="F25" s="96">
        <f ca="1">IF(VLOOKUP(F24,ChartInfo,11,FALSE),1,0)*B25</f>
        <v>0</v>
      </c>
      <c r="G25" s="96">
        <f ca="1">IF(VLOOKUP(G24,ChartInfo,11,FALSE),1,0)*B25</f>
        <v>0</v>
      </c>
      <c r="H25" s="96">
        <f ca="1">IF(VLOOKUP(H24,ChartInfo,11,FALSE),1,0)*B25</f>
        <v>0</v>
      </c>
      <c r="I25"/>
      <c r="K25">
        <f>K17</f>
        <v>0</v>
      </c>
    </row>
    <row r="26" spans="1:15" hidden="1" x14ac:dyDescent="0.2">
      <c r="K26">
        <f>K18+1</f>
        <v>2</v>
      </c>
      <c r="N26" s="97">
        <f>JHora!B27</f>
        <v>0</v>
      </c>
      <c r="O26">
        <f>JHora!C27</f>
        <v>0</v>
      </c>
    </row>
    <row r="27" spans="1:15" x14ac:dyDescent="0.2">
      <c r="A27" s="87" t="s">
        <v>1150</v>
      </c>
      <c r="B27" s="88">
        <f>DoB-$E$6*DaysInYear</f>
        <v>22567.7812953188</v>
      </c>
      <c r="C27" s="89">
        <f ca="1">B27+B29*INDEX(INDEX(VimFrac,,VLOOKUP(B32,PlanetData,3,FALSE)+1),MATCH(B30,INDEX(VimFrac,,VLOOKUP(B32,PlanetData,3,FALSE)+1),1))</f>
        <v>35351.701839300185</v>
      </c>
      <c r="D27" s="89">
        <f ca="1">C27+C29*INDEX(INDEX(VimFrac,0,9*C33+VLOOKUP(C32,PlanetData,3,FALSE)+1),IF(C33,1,0)+MATCH(C30,INDEX(VimFrac,0,9*C33+VLOOKUP(C32,PlanetData,3,FALSE)+1),IF(C33,-1,1)))</f>
        <v>36569.21808158412</v>
      </c>
      <c r="E27" s="89">
        <f ca="1">D27+D29*INDEX(INDEX(VimFrac,0,9*D33+VLOOKUP(D32,PlanetData,3,FALSE)+1),IF(D33,1,0)+MATCH(D30,INDEX(VimFrac,0,9*D33+VLOOKUP(D32,PlanetData,3,FALSE)+1),IF(D33,-1,1)))</f>
        <v>36711.261643183912</v>
      </c>
      <c r="F27" s="89">
        <f ca="1">E27+E29*INDEX(INDEX(VimFrac,0,9*E33+VLOOKUP(E32,PlanetData,3,FALSE)+1),IF(E33,1,0)+MATCH(E30,INDEX(VimFrac,0,9*E33+VLOOKUP(E32,PlanetData,3,FALSE)+1),IF(E33,-1,1)))</f>
        <v>36721.001773122181</v>
      </c>
      <c r="G27" s="89">
        <f ca="1">F27+F29*INDEX(INDEX(VimFrac,0,9*F33+VLOOKUP(F32,PlanetData,3,FALSE)+1),IF(F33,1,0)+MATCH(F30,INDEX(VimFrac,0,9*F33+VLOOKUP(F32,PlanetData,3,FALSE)+1),IF(F33,-1,1)))</f>
        <v>36722.895687276847</v>
      </c>
      <c r="H27" s="89">
        <f ca="1">G27+G29*INDEX(INDEX(VimFrac,0,9*G33+VLOOKUP(G32,PlanetData,3,FALSE)+1),IF(G33,1,0)+MATCH(G30,INDEX(VimFrac,0,9*G33+VLOOKUP(G32,PlanetData,3,FALSE)+1),IF(G33,-1,1)))</f>
        <v>36722.990646028215</v>
      </c>
      <c r="J27" t="str">
        <f ca="1">J32</f>
        <v>Joined SJC/SJVC</v>
      </c>
      <c r="K27">
        <f>K19+1</f>
        <v>3</v>
      </c>
      <c r="N27" s="97">
        <f>JHora!B28</f>
        <v>0</v>
      </c>
      <c r="O27">
        <f>JHora!C28</f>
        <v>0</v>
      </c>
    </row>
    <row r="28" spans="1:15" x14ac:dyDescent="0.2">
      <c r="A28" s="87" t="s">
        <v>1151</v>
      </c>
      <c r="B28" s="88">
        <f>B27+B29</f>
        <v>66398.36601754064</v>
      </c>
      <c r="C28" s="89">
        <f ca="1">B27+B29*INDEX(INDEX(VimFrac,,VLOOKUP(B32,PlanetData,3,FALSE)+1),MATCH(B30,INDEX(VimFrac,,VLOOKUP(B32,PlanetData,3,FALSE)+1),1)+1)</f>
        <v>41195.779802263089</v>
      </c>
      <c r="D28" s="89">
        <f ca="1">C27+C29*INDEX(INDEX(VimFrac,0,9*C33+VLOOKUP(C32,PlanetData,3,FALSE)+1),IF(C33,0,1)+MATCH(C30,INDEX(VimFrac,0,9*C33+VLOOKUP(C32,PlanetData,3,FALSE)+1),IF(C33,-1,1)))</f>
        <v>37056.224578497699</v>
      </c>
      <c r="E28" s="89">
        <f ca="1">D27+D29*INDEX(INDEX(VimFrac,0,9*D33+VLOOKUP(D32,PlanetData,3,FALSE)+1),IF(D33,0,1)+MATCH(D30,INDEX(VimFrac,0,9*D33+VLOOKUP(D32,PlanetData,3,FALSE)+1),IF(D33,-1,1)))</f>
        <v>36776.195842772388</v>
      </c>
      <c r="F28" s="89">
        <f ca="1">E27+E29*INDEX(INDEX(VimFrac,0,9*E33+VLOOKUP(E32,PlanetData,3,FALSE)+1),IF(E33,0,1)+MATCH(E30,INDEX(VimFrac,0,9*E33+VLOOKUP(E32,PlanetData,3,FALSE)+1),IF(E33,-1,1)))</f>
        <v>36724.789601431512</v>
      </c>
      <c r="G28" s="89">
        <f ca="1">F27+F29*INDEX(INDEX(VimFrac,0,9*F33+VLOOKUP(F32,PlanetData,3,FALSE)+1),IF(F33,0,1)+MATCH(F30,INDEX(VimFrac,0,9*F33+VLOOKUP(F32,PlanetData,3,FALSE)+1),IF(F33,-1,1)))</f>
        <v>36723.49542675916</v>
      </c>
      <c r="H28" s="89">
        <f ca="1">G27+G29*INDEX(INDEX(VimFrac,0,9*G33+VLOOKUP(G32,PlanetData,3,FALSE)+1),IF(G33,0,1)+MATCH(G30,INDEX(VimFrac,0,9*G33+VLOOKUP(G32,PlanetData,3,FALSE)+1),IF(G33,-1,1)))</f>
        <v>36723.075609121544</v>
      </c>
      <c r="J28" t="str">
        <f ca="1">J32</f>
        <v>Joined SJC/SJVC</v>
      </c>
      <c r="K28">
        <f>K20+1</f>
        <v>3</v>
      </c>
      <c r="N28" s="97">
        <f>JHora!B29</f>
        <v>0</v>
      </c>
      <c r="O28">
        <f>JHora!C29</f>
        <v>0</v>
      </c>
    </row>
    <row r="29" spans="1:15" x14ac:dyDescent="0.2">
      <c r="A29" s="90" t="s">
        <v>1152</v>
      </c>
      <c r="B29" s="91">
        <f>120*DaysInYear</f>
        <v>43830.584722221844</v>
      </c>
      <c r="C29" s="92">
        <f t="shared" ref="C29:H29" ca="1" si="4">C28-C27</f>
        <v>5844.0779629629033</v>
      </c>
      <c r="D29" s="92">
        <f t="shared" ca="1" si="4"/>
        <v>487.0064969135783</v>
      </c>
      <c r="E29" s="92">
        <f t="shared" ca="1" si="4"/>
        <v>64.934199588475167</v>
      </c>
      <c r="F29" s="92">
        <f t="shared" ca="1" si="4"/>
        <v>3.7878283093305072</v>
      </c>
      <c r="G29" s="92">
        <f t="shared" ca="1" si="4"/>
        <v>0.59973948231345275</v>
      </c>
      <c r="H29" s="92">
        <f t="shared" ca="1" si="4"/>
        <v>8.4963093329861294E-2</v>
      </c>
      <c r="I29"/>
      <c r="K29">
        <f>K21</f>
        <v>0</v>
      </c>
    </row>
    <row r="30" spans="1:15" x14ac:dyDescent="0.2">
      <c r="A30" s="90" t="s">
        <v>1153</v>
      </c>
      <c r="B30" s="93">
        <f ca="1">(I32-B27)/(B28-B27)</f>
        <v>0.3229529971911278</v>
      </c>
      <c r="C30" s="94">
        <f ca="1">(I32-C27)/(C28-C27)</f>
        <v>0.23464747893345639</v>
      </c>
      <c r="D30" s="94">
        <f ca="1">(I32-D27)/(D28-D27)</f>
        <v>0.31576974720148165</v>
      </c>
      <c r="E30" s="94">
        <f ca="1">(I32-E27)/(E28-E27)</f>
        <v>0.18077310401114111</v>
      </c>
      <c r="F30" s="94">
        <f ca="1">(I32-F27)/(F28-F27)</f>
        <v>0.5275389259054637</v>
      </c>
      <c r="G30" s="94">
        <f ca="1">(I32-G27)/(G28-G27)</f>
        <v>0.17393005834948835</v>
      </c>
      <c r="H30" s="94">
        <f ca="1">(I32-H27)/(H28-H27)</f>
        <v>0.11009452950520936</v>
      </c>
      <c r="I30"/>
      <c r="K30">
        <f>K22</f>
        <v>0</v>
      </c>
    </row>
    <row r="31" spans="1:15" x14ac:dyDescent="0.2">
      <c r="A31" s="90" t="s">
        <v>1154</v>
      </c>
      <c r="B31" s="95"/>
      <c r="C31" s="96">
        <f ca="1">MOD(VLOOKUP(B32,PlanetData,3,FALSE)+MATCH(B30,INDEX(VimFrac,,VLOOKUP(B32,PlanetData,3,FALSE)+1),1)-1,9)</f>
        <v>7</v>
      </c>
      <c r="D31" s="96">
        <f ca="1">MOD(VLOOKUP(C32,PlanetData,3,FALSE)+MATCH(C30,INDEX(VimFrac,0,9*C33+VLOOKUP(C32,PlanetData,3,FALSE)+1),IF(C33,-1,1))-1,9)</f>
        <v>4</v>
      </c>
      <c r="E31" s="96">
        <f ca="1">MOD(VLOOKUP(D32,PlanetData,3,FALSE)+MATCH(D30,INDEX(VimFrac,0,9*D33+VLOOKUP(D32,PlanetData,3,FALSE)+1),IF(D33,-1,1))-1,9)</f>
        <v>7</v>
      </c>
      <c r="F31" s="96">
        <f ca="1">MOD(VLOOKUP(E32,PlanetData,3,FALSE)+MATCH(E30,INDEX(VimFrac,0,9*E33+VLOOKUP(E32,PlanetData,3,FALSE)+1),IF(E33,-1,1))-1,9)</f>
        <v>5</v>
      </c>
      <c r="G31" s="96">
        <f ca="1">MOD(VLOOKUP(F32,PlanetData,3,FALSE)+MATCH(F30,INDEX(VimFrac,0,9*F33+VLOOKUP(F32,PlanetData,3,FALSE)+1),IF(F33,-1,1))-1,9)</f>
        <v>8</v>
      </c>
      <c r="H31" s="96">
        <f ca="1">MOD(VLOOKUP(G32,PlanetData,3,FALSE)+MATCH(G30,INDEX(VimFrac,0,9*G33+VLOOKUP(G32,PlanetData,3,FALSE)+1),IF(G33,-1,1))-1,9)</f>
        <v>0</v>
      </c>
      <c r="I31"/>
      <c r="K31">
        <f>K23</f>
        <v>0</v>
      </c>
    </row>
    <row r="32" spans="1:15" x14ac:dyDescent="0.2">
      <c r="A32" s="90" t="s">
        <v>1155</v>
      </c>
      <c r="B32" s="95" t="str">
        <f>$B$4</f>
        <v>Moon</v>
      </c>
      <c r="C32" s="96" t="str">
        <f t="shared" ref="C32:H32" ca="1" si="5">INDEX(DasaYears,IF(C31=0,9,C31),1)</f>
        <v>Jupiter</v>
      </c>
      <c r="D32" s="96" t="str">
        <f t="shared" ca="1" si="5"/>
        <v>Moon</v>
      </c>
      <c r="E32" s="96" t="str">
        <f t="shared" ca="1" si="5"/>
        <v>Jupiter</v>
      </c>
      <c r="F32" s="96" t="str">
        <f t="shared" ca="1" si="5"/>
        <v>Mars</v>
      </c>
      <c r="G32" s="96" t="str">
        <f t="shared" ca="1" si="5"/>
        <v>Saturn</v>
      </c>
      <c r="H32" s="96" t="str">
        <f t="shared" ca="1" si="5"/>
        <v>Mercury</v>
      </c>
      <c r="I32" s="97">
        <f ca="1">INDIRECT("'JHora'!$B$"&amp;($K32))</f>
        <v>36723</v>
      </c>
      <c r="J32" s="97" t="str">
        <f ca="1">INDIRECT("'JHora'!$C$"&amp;($K32))</f>
        <v>Joined SJC/SJVC</v>
      </c>
      <c r="K32">
        <f>K24+1</f>
        <v>3</v>
      </c>
      <c r="N32" s="97">
        <f>JHora!B33</f>
        <v>0</v>
      </c>
      <c r="O32">
        <f>JHora!C33</f>
        <v>0</v>
      </c>
    </row>
    <row r="33" spans="1:15" x14ac:dyDescent="0.2">
      <c r="A33" s="90" t="s">
        <v>1139</v>
      </c>
      <c r="B33" s="91" t="b">
        <f>$B$7</f>
        <v>1</v>
      </c>
      <c r="C33" s="96">
        <f ca="1">IF(VLOOKUP(C32,ChartInfo,11,FALSE),1,0)*B33</f>
        <v>1</v>
      </c>
      <c r="D33" s="96">
        <f ca="1">IF(VLOOKUP(D32,ChartInfo,11,FALSE),1,0)*B33</f>
        <v>0</v>
      </c>
      <c r="E33" s="96">
        <f ca="1">IF(VLOOKUP(E32,ChartInfo,11,FALSE),1,0)*B33</f>
        <v>1</v>
      </c>
      <c r="F33" s="96">
        <f ca="1">IF(VLOOKUP(F32,ChartInfo,11,FALSE),1,0)*B33</f>
        <v>1</v>
      </c>
      <c r="G33" s="96">
        <f ca="1">IF(VLOOKUP(G32,ChartInfo,11,FALSE),1,0)*B33</f>
        <v>0</v>
      </c>
      <c r="H33" s="96">
        <f ca="1">IF(VLOOKUP(H32,ChartInfo,11,FALSE),1,0)*B33</f>
        <v>0</v>
      </c>
      <c r="I33"/>
      <c r="K33">
        <f>K25</f>
        <v>0</v>
      </c>
    </row>
    <row r="34" spans="1:15" x14ac:dyDescent="0.2">
      <c r="K34">
        <f>K26+1</f>
        <v>3</v>
      </c>
      <c r="N34" s="97">
        <f>JHora!B35</f>
        <v>0</v>
      </c>
      <c r="O34">
        <f>JHora!C35</f>
        <v>0</v>
      </c>
    </row>
    <row r="35" spans="1:15" x14ac:dyDescent="0.2">
      <c r="A35" s="87" t="s">
        <v>1150</v>
      </c>
      <c r="B35" s="88">
        <f>DoB-$E$6*DaysInYear</f>
        <v>22567.7812953188</v>
      </c>
      <c r="C35" s="89">
        <f ca="1">B35+B37*INDEX(INDEX(VimFrac,,VLOOKUP(B40,PlanetData,3,FALSE)+1),MATCH(B38,INDEX(VimFrac,,VLOOKUP(B40,PlanetData,3,FALSE)+1),1))</f>
        <v>35351.701839300185</v>
      </c>
      <c r="D35" s="89">
        <f ca="1">C35+C37*INDEX(INDEX(VimFrac,0,9*C41+VLOOKUP(C40,PlanetData,3,FALSE)+1),IF(C41,1,0)+MATCH(C38,INDEX(VimFrac,0,9*C41+VLOOKUP(C40,PlanetData,3,FALSE)+1),IF(C41,-1,1)))</f>
        <v>37348.428476645844</v>
      </c>
      <c r="E35" s="89">
        <f ca="1">D35+D37*INDEX(INDEX(VimFrac,0,9*D41+VLOOKUP(D40,PlanetData,3,FALSE)+1),IF(D41,1,0)+MATCH(D38,INDEX(VimFrac,0,9*D41+VLOOKUP(D40,PlanetData,3,FALSE)+1),IF(D41,-1,1)))</f>
        <v>37843.551748507976</v>
      </c>
      <c r="F35" s="89">
        <f ca="1">E35+E37*INDEX(INDEX(VimFrac,0,9*E41+VLOOKUP(E40,PlanetData,3,FALSE)+1),IF(E41,1,0)+MATCH(E38,INDEX(VimFrac,0,9*E41+VLOOKUP(E40,PlanetData,3,FALSE)+1),IF(E41,-1,1)))</f>
        <v>37917.14384137492</v>
      </c>
      <c r="G35" s="89">
        <f ca="1">F35+F37*INDEX(INDEX(VimFrac,0,9*F41+VLOOKUP(F40,PlanetData,3,FALSE)+1),IF(F41,1,0)+MATCH(F38,INDEX(VimFrac,0,9*F41+VLOOKUP(F40,PlanetData,3,FALSE)+1),IF(F41,-1,1)))</f>
        <v>37924.809684381893</v>
      </c>
      <c r="H35" s="89">
        <f ca="1">G35+G37*INDEX(INDEX(VimFrac,0,9*G41+VLOOKUP(G40,PlanetData,3,FALSE)+1),IF(G41,1,0)+MATCH(G38,INDEX(VimFrac,0,9*G41+VLOOKUP(G40,PlanetData,3,FALSE)+1),IF(G41,-1,1)))</f>
        <v>37925.921231617904</v>
      </c>
      <c r="J35" t="str">
        <f ca="1">J40</f>
        <v>Bought Car D16</v>
      </c>
      <c r="K35">
        <f>K27+1</f>
        <v>4</v>
      </c>
      <c r="N35" s="97">
        <f>JHora!B36</f>
        <v>0</v>
      </c>
      <c r="O35">
        <f>JHora!C36</f>
        <v>0</v>
      </c>
    </row>
    <row r="36" spans="1:15" x14ac:dyDescent="0.2">
      <c r="A36" s="87" t="s">
        <v>1151</v>
      </c>
      <c r="B36" s="88">
        <f>B35+B37</f>
        <v>66398.36601754064</v>
      </c>
      <c r="C36" s="89">
        <f ca="1">B35+B37*INDEX(INDEX(VimFrac,,VLOOKUP(B40,PlanetData,3,FALSE)+1),MATCH(B38,INDEX(VimFrac,,VLOOKUP(B40,PlanetData,3,FALSE)+1),1)+1)</f>
        <v>41195.779802263089</v>
      </c>
      <c r="D36" s="89">
        <f ca="1">C35+C37*INDEX(INDEX(VimFrac,0,9*C41+VLOOKUP(C40,PlanetData,3,FALSE)+1),IF(C41,0,1)+MATCH(C38,INDEX(VimFrac,0,9*C41+VLOOKUP(C40,PlanetData,3,FALSE)+1),IF(C41,-1,1)))</f>
        <v>38322.441470472993</v>
      </c>
      <c r="E36" s="89">
        <f ca="1">D35+D37*INDEX(INDEX(VimFrac,0,9*D41+VLOOKUP(D40,PlanetData,3,FALSE)+1),IF(D41,0,1)+MATCH(D38,INDEX(VimFrac,0,9*D41+VLOOKUP(D40,PlanetData,3,FALSE)+1),IF(D41,-1,1)))</f>
        <v>37973.420147684934</v>
      </c>
      <c r="F36" s="89">
        <f ca="1">E35+E37*INDEX(INDEX(VimFrac,0,9*E41+VLOOKUP(E40,PlanetData,3,FALSE)+1),IF(E41,0,1)+MATCH(E38,INDEX(VimFrac,0,9*E41+VLOOKUP(E40,PlanetData,3,FALSE)+1),IF(E41,-1,1)))</f>
        <v>37935.541864591658</v>
      </c>
      <c r="G36" s="89">
        <f ca="1">F35+F37*INDEX(INDEX(VimFrac,0,9*F41+VLOOKUP(F40,PlanetData,3,FALSE)+1),IF(F41,0,1)+MATCH(F38,INDEX(VimFrac,0,9*F41+VLOOKUP(F40,PlanetData,3,FALSE)+1),IF(F41,-1,1)))</f>
        <v>37926.342852983289</v>
      </c>
      <c r="H36" s="89">
        <f ca="1">G35+G37*INDEX(INDEX(VimFrac,0,9*G41+VLOOKUP(G40,PlanetData,3,FALSE)+1),IF(G41,0,1)+MATCH(G38,INDEX(VimFrac,0,9*G41+VLOOKUP(G40,PlanetData,3,FALSE)+1),IF(G41,-1,1)))</f>
        <v>37926.010666452989</v>
      </c>
      <c r="J36" t="str">
        <f ca="1">J40</f>
        <v>Bought Car D16</v>
      </c>
      <c r="K36">
        <f>K28+1</f>
        <v>4</v>
      </c>
      <c r="N36" s="97">
        <f>JHora!B37</f>
        <v>0</v>
      </c>
      <c r="O36">
        <f>JHora!C37</f>
        <v>0</v>
      </c>
    </row>
    <row r="37" spans="1:15" x14ac:dyDescent="0.2">
      <c r="A37" s="90" t="s">
        <v>1152</v>
      </c>
      <c r="B37" s="91">
        <f>120*DaysInYear</f>
        <v>43830.584722221844</v>
      </c>
      <c r="C37" s="92">
        <f t="shared" ref="C37:H37" ca="1" si="6">C36-C35</f>
        <v>5844.0779629629033</v>
      </c>
      <c r="D37" s="92">
        <f t="shared" ca="1" si="6"/>
        <v>974.01299382714933</v>
      </c>
      <c r="E37" s="92">
        <f t="shared" ca="1" si="6"/>
        <v>129.86839917695761</v>
      </c>
      <c r="F37" s="92">
        <f t="shared" ca="1" si="6"/>
        <v>18.398023216737784</v>
      </c>
      <c r="G37" s="92">
        <f t="shared" ca="1" si="6"/>
        <v>1.533168601396028</v>
      </c>
      <c r="H37" s="92">
        <f t="shared" ca="1" si="6"/>
        <v>8.9434835084830411E-2</v>
      </c>
      <c r="I37"/>
      <c r="K37">
        <f>K29</f>
        <v>0</v>
      </c>
    </row>
    <row r="38" spans="1:15" x14ac:dyDescent="0.2">
      <c r="A38" s="90" t="s">
        <v>1153</v>
      </c>
      <c r="B38" s="93">
        <f ca="1">(I40-B35)/(B36-B35)</f>
        <v>0.35039958517584352</v>
      </c>
      <c r="C38" s="94">
        <f ca="1">(I40-C35)/(C36-C35)</f>
        <v>0.44049688881882487</v>
      </c>
      <c r="D38" s="94">
        <f ca="1">(I40-D35)/(D36-D35)</f>
        <v>0.59298133291294997</v>
      </c>
      <c r="E38" s="94">
        <f ca="1">(I40-E35)/(E36-E35)</f>
        <v>0.63485999684711902</v>
      </c>
      <c r="F38" s="94">
        <f ca="1">(I40-F35)/(F36-F35)</f>
        <v>0.48136468362660095</v>
      </c>
      <c r="G38" s="94">
        <f ca="1">(I40-G35)/(G36-G35)</f>
        <v>0.77637620351938863</v>
      </c>
      <c r="H38" s="94">
        <f ca="1">(I40-H35)/(H36-H35)</f>
        <v>0.8807349174580662</v>
      </c>
      <c r="I38"/>
      <c r="K38">
        <f>K30</f>
        <v>0</v>
      </c>
    </row>
    <row r="39" spans="1:15" x14ac:dyDescent="0.2">
      <c r="A39" s="90" t="s">
        <v>1154</v>
      </c>
      <c r="B39" s="95"/>
      <c r="C39" s="96">
        <f ca="1">MOD(VLOOKUP(B40,PlanetData,3,FALSE)+MATCH(B38,INDEX(VimFrac,,VLOOKUP(B40,PlanetData,3,FALSE)+1),1)-1,9)</f>
        <v>7</v>
      </c>
      <c r="D39" s="96">
        <f ca="1">MOD(VLOOKUP(C40,PlanetData,3,FALSE)+MATCH(C38,INDEX(VimFrac,0,9*C41+VLOOKUP(C40,PlanetData,3,FALSE)+1),IF(C41,-1,1))-1,9)</f>
        <v>2</v>
      </c>
      <c r="E39" s="96">
        <f ca="1">MOD(VLOOKUP(D40,PlanetData,3,FALSE)+MATCH(D38,INDEX(VimFrac,0,9*D41+VLOOKUP(D40,PlanetData,3,FALSE)+1),IF(D41,-1,1))-1,9)</f>
        <v>7</v>
      </c>
      <c r="F39" s="96">
        <f ca="1">MOD(VLOOKUP(E40,PlanetData,3,FALSE)+MATCH(E38,INDEX(VimFrac,0,9*E41+VLOOKUP(E40,PlanetData,3,FALSE)+1),IF(E41,-1,1))-1,9)</f>
        <v>0</v>
      </c>
      <c r="G39" s="96">
        <f ca="1">MOD(VLOOKUP(F40,PlanetData,3,FALSE)+MATCH(F38,INDEX(VimFrac,0,9*F41+VLOOKUP(F40,PlanetData,3,FALSE)+1),IF(F41,-1,1))-1,9)</f>
        <v>4</v>
      </c>
      <c r="H39" s="96">
        <f ca="1">MOD(VLOOKUP(G40,PlanetData,3,FALSE)+MATCH(G38,INDEX(VimFrac,0,9*G41+VLOOKUP(G40,PlanetData,3,FALSE)+1),IF(G41,-1,1))-1,9)</f>
        <v>1</v>
      </c>
      <c r="I39"/>
      <c r="K39">
        <f>K31</f>
        <v>0</v>
      </c>
    </row>
    <row r="40" spans="1:15" x14ac:dyDescent="0.2">
      <c r="A40" s="90" t="s">
        <v>1155</v>
      </c>
      <c r="B40" s="95" t="str">
        <f>$B$4</f>
        <v>Moon</v>
      </c>
      <c r="C40" s="96" t="str">
        <f t="shared" ref="C40:H40" ca="1" si="7">INDEX(DasaYears,IF(C39=0,9,C39),1)</f>
        <v>Jupiter</v>
      </c>
      <c r="D40" s="96" t="str">
        <f t="shared" ca="1" si="7"/>
        <v>Venus</v>
      </c>
      <c r="E40" s="96" t="str">
        <f t="shared" ca="1" si="7"/>
        <v>Jupiter</v>
      </c>
      <c r="F40" s="96" t="str">
        <f t="shared" ca="1" si="7"/>
        <v>Mercury</v>
      </c>
      <c r="G40" s="96" t="str">
        <f t="shared" ca="1" si="7"/>
        <v>Moon</v>
      </c>
      <c r="H40" s="96" t="str">
        <f t="shared" ca="1" si="7"/>
        <v>Ketu</v>
      </c>
      <c r="I40" s="97">
        <f ca="1">INDIRECT("'JHora'!$B$"&amp;($K40))</f>
        <v>37926</v>
      </c>
      <c r="J40" s="97" t="str">
        <f ca="1">INDIRECT("'JHora'!$C$"&amp;($K40))</f>
        <v>Bought Car D16</v>
      </c>
      <c r="K40">
        <f>K32+1</f>
        <v>4</v>
      </c>
      <c r="N40" s="97">
        <f>JHora!B41</f>
        <v>0</v>
      </c>
      <c r="O40">
        <f>JHora!C41</f>
        <v>0</v>
      </c>
    </row>
    <row r="41" spans="1:15" x14ac:dyDescent="0.2">
      <c r="A41" s="90" t="s">
        <v>1139</v>
      </c>
      <c r="B41" s="91" t="b">
        <f>$B$7</f>
        <v>1</v>
      </c>
      <c r="C41" s="96">
        <f ca="1">IF(VLOOKUP(C40,ChartInfo,11,FALSE),1,0)*B41</f>
        <v>1</v>
      </c>
      <c r="D41" s="96">
        <f ca="1">IF(VLOOKUP(D40,ChartInfo,11,FALSE),1,0)*B41</f>
        <v>0</v>
      </c>
      <c r="E41" s="96">
        <f ca="1">IF(VLOOKUP(E40,ChartInfo,11,FALSE),1,0)*B41</f>
        <v>1</v>
      </c>
      <c r="F41" s="96">
        <f ca="1">IF(VLOOKUP(F40,ChartInfo,11,FALSE),1,0)*B41</f>
        <v>0</v>
      </c>
      <c r="G41" s="96">
        <f ca="1">IF(VLOOKUP(G40,ChartInfo,11,FALSE),1,0)*B41</f>
        <v>0</v>
      </c>
      <c r="H41" s="96">
        <f ca="1">IF(VLOOKUP(H40,ChartInfo,11,FALSE),1,0)*B41</f>
        <v>0</v>
      </c>
      <c r="I41"/>
      <c r="K41">
        <f>K33</f>
        <v>0</v>
      </c>
    </row>
    <row r="42" spans="1:15" x14ac:dyDescent="0.2">
      <c r="K42">
        <f>K34+1</f>
        <v>4</v>
      </c>
      <c r="N42" s="97">
        <f>JHora!B43</f>
        <v>0</v>
      </c>
      <c r="O42">
        <f>JHora!C43</f>
        <v>0</v>
      </c>
    </row>
    <row r="43" spans="1:15" x14ac:dyDescent="0.2">
      <c r="A43" s="87" t="s">
        <v>1150</v>
      </c>
      <c r="B43" s="88">
        <f>DoB-$E$6*DaysInYear</f>
        <v>22567.7812953188</v>
      </c>
      <c r="C43" s="89">
        <f ca="1">B43+B45*INDEX(INDEX(VimFrac,,VLOOKUP(B48,PlanetData,3,FALSE)+1),MATCH(B46,INDEX(VimFrac,,VLOOKUP(B48,PlanetData,3,FALSE)+1),1))</f>
        <v>35351.701839300185</v>
      </c>
      <c r="D43" s="89">
        <f ca="1">C43+C45*INDEX(INDEX(VimFrac,0,9*C49+VLOOKUP(C48,PlanetData,3,FALSE)+1),IF(C49,1,0)+MATCH(C46,INDEX(VimFrac,0,9*C49+VLOOKUP(C48,PlanetData,3,FALSE)+1),IF(C49,-1,1)))</f>
        <v>38663.346018312499</v>
      </c>
      <c r="E43" s="89">
        <f ca="1">D43+D45*INDEX(INDEX(VimFrac,0,9*D49+VLOOKUP(D48,PlanetData,3,FALSE)+1),IF(D49,1,0)+MATCH(D46,INDEX(VimFrac,0,9*D49+VLOOKUP(D48,PlanetData,3,FALSE)+1),IF(D49,-1,1)))</f>
        <v>38663.346018312499</v>
      </c>
      <c r="F43" s="89">
        <f ca="1">E43+E45*INDEX(INDEX(VimFrac,0,9*E49+VLOOKUP(E48,PlanetData,3,FALSE)+1),IF(E49,1,0)+MATCH(E46,INDEX(VimFrac,0,9*E49+VLOOKUP(E48,PlanetData,3,FALSE)+1),IF(E49,-1,1)))</f>
        <v>38762.062911634792</v>
      </c>
      <c r="G43" s="89">
        <f ca="1">F43+F45*INDEX(INDEX(VimFrac,0,9*F49+VLOOKUP(F48,PlanetData,3,FALSE)+1),IF(F49,1,0)+MATCH(F46,INDEX(VimFrac,0,9*F49+VLOOKUP(F48,PlanetData,3,FALSE)+1),IF(F49,-1,1)))</f>
        <v>38778.157349027933</v>
      </c>
      <c r="H43" s="89">
        <f ca="1">G43+G45*INDEX(INDEX(VimFrac,0,9*G49+VLOOKUP(G48,PlanetData,3,FALSE)+1),IF(G49,1,0)+MATCH(G46,INDEX(VimFrac,0,9*G49+VLOOKUP(G48,PlanetData,3,FALSE)+1),IF(G49,-1,1)))</f>
        <v>38778.879535321219</v>
      </c>
      <c r="J43" t="str">
        <f ca="1">J48</f>
        <v>Marriage D9</v>
      </c>
      <c r="K43">
        <f>K35+1</f>
        <v>5</v>
      </c>
      <c r="N43" s="97">
        <f>JHora!B44</f>
        <v>0</v>
      </c>
      <c r="O43">
        <f>JHora!C44</f>
        <v>0</v>
      </c>
    </row>
    <row r="44" spans="1:15" x14ac:dyDescent="0.2">
      <c r="A44" s="87" t="s">
        <v>1151</v>
      </c>
      <c r="B44" s="88">
        <f>B43+B45</f>
        <v>66398.36601754064</v>
      </c>
      <c r="C44" s="89">
        <f ca="1">B43+B45*INDEX(INDEX(VimFrac,,VLOOKUP(B48,PlanetData,3,FALSE)+1),MATCH(B46,INDEX(VimFrac,,VLOOKUP(B48,PlanetData,3,FALSE)+1),1)+1)</f>
        <v>41195.779802263089</v>
      </c>
      <c r="D44" s="89">
        <f ca="1">C43+C45*INDEX(INDEX(VimFrac,0,9*C49+VLOOKUP(C48,PlanetData,3,FALSE)+1),IF(C49,0,1)+MATCH(C46,INDEX(VimFrac,0,9*C49+VLOOKUP(C48,PlanetData,3,FALSE)+1),IF(C49,-1,1)))</f>
        <v>39491.257063065575</v>
      </c>
      <c r="E44" s="89">
        <f ca="1">D43+D45*INDEX(INDEX(VimFrac,0,9*D49+VLOOKUP(D48,PlanetData,3,FALSE)+1),IF(D49,0,1)+MATCH(D46,INDEX(VimFrac,0,9*D49+VLOOKUP(D48,PlanetData,3,FALSE)+1),IF(D49,-1,1)))</f>
        <v>38780.633416319186</v>
      </c>
      <c r="F44" s="89">
        <f ca="1">E43+E45*INDEX(INDEX(VimFrac,0,9*E49+VLOOKUP(E48,PlanetData,3,FALSE)+1),IF(E49,0,1)+MATCH(E46,INDEX(VimFrac,0,9*E49+VLOOKUP(E48,PlanetData,3,FALSE)+1),IF(E49,-1,1)))</f>
        <v>38780.633416319186</v>
      </c>
      <c r="G44" s="89">
        <f ca="1">F43+F45*INDEX(INDEX(VimFrac,0,9*F49+VLOOKUP(F48,PlanetData,3,FALSE)+1),IF(F49,0,1)+MATCH(F46,INDEX(VimFrac,0,9*F49+VLOOKUP(F48,PlanetData,3,FALSE)+1),IF(F49,-1,1)))</f>
        <v>38780.633416319186</v>
      </c>
      <c r="H44" s="89">
        <f ca="1">G43+G45*INDEX(INDEX(VimFrac,0,9*G49+VLOOKUP(G48,PlanetData,3,FALSE)+1),IF(G49,0,1)+MATCH(G46,INDEX(VimFrac,0,9*G49+VLOOKUP(G48,PlanetData,3,FALSE)+1),IF(G49,-1,1)))</f>
        <v>38779.003338685776</v>
      </c>
      <c r="J44" t="str">
        <f ca="1">J48</f>
        <v>Marriage D9</v>
      </c>
      <c r="K44">
        <f>K36+1</f>
        <v>5</v>
      </c>
      <c r="N44" s="97">
        <f>JHora!B45</f>
        <v>0</v>
      </c>
      <c r="O44">
        <f>JHora!C45</f>
        <v>0</v>
      </c>
    </row>
    <row r="45" spans="1:15" x14ac:dyDescent="0.2">
      <c r="A45" s="90" t="s">
        <v>1152</v>
      </c>
      <c r="B45" s="91">
        <f>120*DaysInYear</f>
        <v>43830.584722221844</v>
      </c>
      <c r="C45" s="92">
        <f t="shared" ref="C45:H45" ca="1" si="8">C44-C43</f>
        <v>5844.0779629629033</v>
      </c>
      <c r="D45" s="92">
        <f t="shared" ca="1" si="8"/>
        <v>827.91104475307657</v>
      </c>
      <c r="E45" s="92">
        <f t="shared" ca="1" si="8"/>
        <v>117.287398006687</v>
      </c>
      <c r="F45" s="92">
        <f t="shared" ca="1" si="8"/>
        <v>18.570504684394109</v>
      </c>
      <c r="G45" s="92">
        <f t="shared" ca="1" si="8"/>
        <v>2.4760672912525479</v>
      </c>
      <c r="H45" s="92">
        <f t="shared" ca="1" si="8"/>
        <v>0.12380336455680663</v>
      </c>
      <c r="I45"/>
      <c r="K45">
        <f>K37</f>
        <v>0</v>
      </c>
    </row>
    <row r="46" spans="1:15" x14ac:dyDescent="0.2">
      <c r="A46" s="90" t="s">
        <v>1153</v>
      </c>
      <c r="B46" s="93">
        <f ca="1">(I48-B43)/(B44-B43)</f>
        <v>0.36986088156068359</v>
      </c>
      <c r="C46" s="94">
        <f ca="1">(I48-C43)/(C44-C43)</f>
        <v>0.5864566117051252</v>
      </c>
      <c r="D46" s="94">
        <f ca="1">(I48-D43)/(D44-D43)</f>
        <v>0.13969372968323515</v>
      </c>
      <c r="E46" s="94">
        <f ca="1">(I48-E43)/(E44-E43)</f>
        <v>0.98607338599929717</v>
      </c>
      <c r="F46" s="94">
        <f ca="1">(I48-F43)/(F44-F43)</f>
        <v>0.9120424378903077</v>
      </c>
      <c r="G46" s="94">
        <f ca="1">(I48-G43)/(G44-G43)</f>
        <v>0.34031828417730797</v>
      </c>
      <c r="H46" s="94">
        <f ca="1">(I48-H43)/(H44-H43)</f>
        <v>0.97303235022918921</v>
      </c>
      <c r="I46"/>
      <c r="K46">
        <f>K38</f>
        <v>0</v>
      </c>
    </row>
    <row r="47" spans="1:15" x14ac:dyDescent="0.2">
      <c r="A47" s="90" t="s">
        <v>1154</v>
      </c>
      <c r="B47" s="95"/>
      <c r="C47" s="96">
        <f ca="1">MOD(VLOOKUP(B48,PlanetData,3,FALSE)+MATCH(B46,INDEX(VimFrac,,VLOOKUP(B48,PlanetData,3,FALSE)+1),1)-1,9)</f>
        <v>7</v>
      </c>
      <c r="D47" s="96">
        <f ca="1">MOD(VLOOKUP(C48,PlanetData,3,FALSE)+MATCH(C46,INDEX(VimFrac,0,9*C49+VLOOKUP(C48,PlanetData,3,FALSE)+1),IF(C49,-1,1))-1,9)</f>
        <v>0</v>
      </c>
      <c r="E47" s="96">
        <f ca="1">MOD(VLOOKUP(D48,PlanetData,3,FALSE)+MATCH(D46,INDEX(VimFrac,0,9*D49+VLOOKUP(D48,PlanetData,3,FALSE)+1),IF(D49,-1,1))-1,9)</f>
        <v>0</v>
      </c>
      <c r="F47" s="96">
        <f ca="1">MOD(VLOOKUP(E48,PlanetData,3,FALSE)+MATCH(E46,INDEX(VimFrac,0,9*E49+VLOOKUP(E48,PlanetData,3,FALSE)+1),IF(E49,-1,1))-1,9)</f>
        <v>8</v>
      </c>
      <c r="G47" s="96">
        <f ca="1">MOD(VLOOKUP(F48,PlanetData,3,FALSE)+MATCH(F46,INDEX(VimFrac,0,9*F49+VLOOKUP(F48,PlanetData,3,FALSE)+1),IF(F49,-1,1))-1,9)</f>
        <v>7</v>
      </c>
      <c r="H47" s="96">
        <f ca="1">MOD(VLOOKUP(G48,PlanetData,3,FALSE)+MATCH(G46,INDEX(VimFrac,0,9*G49+VLOOKUP(G48,PlanetData,3,FALSE)+1),IF(G49,-1,1))-1,9)</f>
        <v>3</v>
      </c>
      <c r="I47"/>
      <c r="K47">
        <f>K39</f>
        <v>0</v>
      </c>
    </row>
    <row r="48" spans="1:15" x14ac:dyDescent="0.2">
      <c r="A48" s="90" t="s">
        <v>1155</v>
      </c>
      <c r="B48" s="95" t="str">
        <f>$B$4</f>
        <v>Moon</v>
      </c>
      <c r="C48" s="96" t="str">
        <f t="shared" ref="C48:H48" ca="1" si="9">INDEX(DasaYears,IF(C47=0,9,C47),1)</f>
        <v>Jupiter</v>
      </c>
      <c r="D48" s="96" t="str">
        <f t="shared" ca="1" si="9"/>
        <v>Mercury</v>
      </c>
      <c r="E48" s="96" t="str">
        <f t="shared" ca="1" si="9"/>
        <v>Mercury</v>
      </c>
      <c r="F48" s="96" t="str">
        <f t="shared" ca="1" si="9"/>
        <v>Saturn</v>
      </c>
      <c r="G48" s="96" t="str">
        <f t="shared" ca="1" si="9"/>
        <v>Jupiter</v>
      </c>
      <c r="H48" s="96" t="str">
        <f t="shared" ca="1" si="9"/>
        <v>Sun</v>
      </c>
      <c r="I48" s="97">
        <f ca="1">INDIRECT("'JHora'!$B$"&amp;($K48))</f>
        <v>38779</v>
      </c>
      <c r="J48" s="97" t="str">
        <f ca="1">INDIRECT("'JHora'!$C$"&amp;($K48))</f>
        <v>Marriage D9</v>
      </c>
      <c r="K48">
        <f>K40+1</f>
        <v>5</v>
      </c>
      <c r="N48" s="97">
        <f>JHora!B49</f>
        <v>0</v>
      </c>
      <c r="O48">
        <f>JHora!C49</f>
        <v>0</v>
      </c>
    </row>
    <row r="49" spans="1:15" x14ac:dyDescent="0.2">
      <c r="A49" s="90" t="s">
        <v>1139</v>
      </c>
      <c r="B49" s="91" t="b">
        <f>$B$7</f>
        <v>1</v>
      </c>
      <c r="C49" s="96">
        <f ca="1">IF(VLOOKUP(C48,ChartInfo,11,FALSE),1,0)*B49</f>
        <v>1</v>
      </c>
      <c r="D49" s="96">
        <f ca="1">IF(VLOOKUP(D48,ChartInfo,11,FALSE),1,0)*B49</f>
        <v>0</v>
      </c>
      <c r="E49" s="96">
        <f ca="1">IF(VLOOKUP(E48,ChartInfo,11,FALSE),1,0)*B49</f>
        <v>0</v>
      </c>
      <c r="F49" s="96">
        <f ca="1">IF(VLOOKUP(F48,ChartInfo,11,FALSE),1,0)*B49</f>
        <v>0</v>
      </c>
      <c r="G49" s="96">
        <f ca="1">IF(VLOOKUP(G48,ChartInfo,11,FALSE),1,0)*B49</f>
        <v>1</v>
      </c>
      <c r="H49" s="96">
        <f ca="1">IF(VLOOKUP(H48,ChartInfo,11,FALSE),1,0)*B49</f>
        <v>0</v>
      </c>
      <c r="I49"/>
      <c r="K49">
        <f>K41</f>
        <v>0</v>
      </c>
    </row>
    <row r="50" spans="1:15" x14ac:dyDescent="0.2">
      <c r="K50">
        <f>K42+1</f>
        <v>5</v>
      </c>
      <c r="N50" s="97">
        <f>JHora!B51</f>
        <v>0</v>
      </c>
      <c r="O50">
        <f>JHora!C51</f>
        <v>0</v>
      </c>
    </row>
    <row r="51" spans="1:15" x14ac:dyDescent="0.2">
      <c r="A51" s="87" t="s">
        <v>1150</v>
      </c>
      <c r="B51" s="88">
        <f>DoB-$E$6*DaysInYear</f>
        <v>22567.7812953188</v>
      </c>
      <c r="C51" s="89">
        <f ca="1">B51+B53*INDEX(INDEX(VimFrac,,VLOOKUP(B56,PlanetData,3,FALSE)+1),MATCH(B54,INDEX(VimFrac,,VLOOKUP(B56,PlanetData,3,FALSE)+1),1))</f>
        <v>41195.779802263089</v>
      </c>
      <c r="D51" s="89">
        <f ca="1">C51+C53*INDEX(INDEX(VimFrac,0,9*C57+VLOOKUP(C56,PlanetData,3,FALSE)+1),IF(C57,1,0)+MATCH(C54,INDEX(VimFrac,0,9*C57+VLOOKUP(C56,PlanetData,3,FALSE)+1),IF(C57,-1,1)))</f>
        <v>41195.779802263089</v>
      </c>
      <c r="E51" s="89">
        <f ca="1">D51+D53*INDEX(INDEX(VimFrac,0,9*D57+VLOOKUP(D56,PlanetData,3,FALSE)+1),IF(D57,1,0)+MATCH(D54,INDEX(VimFrac,0,9*D57+VLOOKUP(D56,PlanetData,3,FALSE)+1),IF(D57,-1,1)))</f>
        <v>41589.519482033371</v>
      </c>
      <c r="F51" s="89">
        <f ca="1">E51+E53*INDEX(INDEX(VimFrac,0,9*E57+VLOOKUP(E56,PlanetData,3,FALSE)+1),IF(E57,1,0)+MATCH(E54,INDEX(VimFrac,0,9*E57+VLOOKUP(E56,PlanetData,3,FALSE)+1),IF(E57,-1,1)))</f>
        <v>41682.612972211617</v>
      </c>
      <c r="G51" s="89">
        <f ca="1">F51+F53*INDEX(INDEX(VimFrac,0,9*F57+VLOOKUP(F56,PlanetData,3,FALSE)+1),IF(F57,1,0)+MATCH(F54,INDEX(VimFrac,0,9*F57+VLOOKUP(F56,PlanetData,3,FALSE)+1),IF(F57,-1,1)))</f>
        <v>41690.955776795898</v>
      </c>
      <c r="H51" s="89">
        <f ca="1">G51+G53*INDEX(INDEX(VimFrac,0,9*G57+VLOOKUP(G56,PlanetData,3,FALSE)+1),IF(G57,1,0)+MATCH(G54,INDEX(VimFrac,0,9*G57+VLOOKUP(G56,PlanetData,3,FALSE)+1),IF(G57,-1,1)))</f>
        <v>41693.567142458458</v>
      </c>
      <c r="J51" t="str">
        <f ca="1">J56</f>
        <v>Bought Car D16</v>
      </c>
      <c r="K51">
        <f>K43+1</f>
        <v>6</v>
      </c>
      <c r="N51" s="97">
        <f>JHora!B52</f>
        <v>0</v>
      </c>
      <c r="O51">
        <f>JHora!C52</f>
        <v>0</v>
      </c>
    </row>
    <row r="52" spans="1:15" x14ac:dyDescent="0.2">
      <c r="A52" s="87" t="s">
        <v>1151</v>
      </c>
      <c r="B52" s="88">
        <f>B51+B53</f>
        <v>66398.36601754064</v>
      </c>
      <c r="C52" s="89">
        <f ca="1">B51+B53*INDEX(INDEX(VimFrac,,VLOOKUP(B56,PlanetData,3,FALSE)+1),MATCH(B54,INDEX(VimFrac,,VLOOKUP(B56,PlanetData,3,FALSE)+1),1)+1)</f>
        <v>48135.62238328153</v>
      </c>
      <c r="D52" s="89">
        <f ca="1">C51+C53*INDEX(INDEX(VimFrac,0,9*C57+VLOOKUP(C56,PlanetData,3,FALSE)+1),IF(C57,0,1)+MATCH(C54,INDEX(VimFrac,0,9*C57+VLOOKUP(C56,PlanetData,3,FALSE)+1),IF(C57,-1,1)))</f>
        <v>42294.588210924339</v>
      </c>
      <c r="E52" s="89">
        <f ca="1">D51+D53*INDEX(INDEX(VimFrac,0,9*D57+VLOOKUP(D56,PlanetData,3,FALSE)+1),IF(D57,0,1)+MATCH(D54,INDEX(VimFrac,0,9*D57+VLOOKUP(D56,PlanetData,3,FALSE)+1),IF(D57,-1,1)))</f>
        <v>41772.654216810246</v>
      </c>
      <c r="F52" s="89">
        <f ca="1">E51+E53*INDEX(INDEX(VimFrac,0,9*E57+VLOOKUP(E56,PlanetData,3,FALSE)+1),IF(E57,0,1)+MATCH(E54,INDEX(VimFrac,0,9*E57+VLOOKUP(E56,PlanetData,3,FALSE)+1),IF(E57,-1,1)))</f>
        <v>41707.030936848532</v>
      </c>
      <c r="G52" s="89">
        <f ca="1">F51+F53*INDEX(INDEX(VimFrac,0,9*F57+VLOOKUP(F56,PlanetData,3,FALSE)+1),IF(F57,0,1)+MATCH(F54,INDEX(VimFrac,0,9*F57+VLOOKUP(F56,PlanetData,3,FALSE)+1),IF(F57,-1,1)))</f>
        <v>41695.025437568715</v>
      </c>
      <c r="H52" s="89">
        <f ca="1">G51+G53*INDEX(INDEX(VimFrac,0,9*G57+VLOOKUP(G56,PlanetData,3,FALSE)+1),IF(G57,0,1)+MATCH(G54,INDEX(VimFrac,0,9*G57+VLOOKUP(G56,PlanetData,3,FALSE)+1),IF(G57,-1,1)))</f>
        <v>41694.211505414154</v>
      </c>
      <c r="J52" t="str">
        <f ca="1">J56</f>
        <v>Bought Car D16</v>
      </c>
      <c r="K52">
        <f>K44+1</f>
        <v>6</v>
      </c>
      <c r="N52" s="97">
        <f>JHora!B53</f>
        <v>0</v>
      </c>
      <c r="O52">
        <f>JHora!C53</f>
        <v>0</v>
      </c>
    </row>
    <row r="53" spans="1:15" x14ac:dyDescent="0.2">
      <c r="A53" s="90" t="s">
        <v>1152</v>
      </c>
      <c r="B53" s="91">
        <f>120*DaysInYear</f>
        <v>43830.584722221844</v>
      </c>
      <c r="C53" s="92">
        <f t="shared" ref="C53:H53" ca="1" si="10">C52-C51</f>
        <v>6939.8425810184417</v>
      </c>
      <c r="D53" s="92">
        <f t="shared" ca="1" si="10"/>
        <v>1098.8084086612507</v>
      </c>
      <c r="E53" s="92">
        <f t="shared" ca="1" si="10"/>
        <v>183.13473477687512</v>
      </c>
      <c r="F53" s="92">
        <f t="shared" ca="1" si="10"/>
        <v>24.417964636915713</v>
      </c>
      <c r="G53" s="92">
        <f t="shared" ca="1" si="10"/>
        <v>4.0696607728168601</v>
      </c>
      <c r="H53" s="92">
        <f t="shared" ca="1" si="10"/>
        <v>0.64436295569612412</v>
      </c>
      <c r="I53"/>
      <c r="K53">
        <f>K45</f>
        <v>0</v>
      </c>
    </row>
    <row r="54" spans="1:15" x14ac:dyDescent="0.2">
      <c r="A54" s="90" t="s">
        <v>1153</v>
      </c>
      <c r="B54" s="93">
        <f ca="1">(I56-B51)/(B52-B51)</f>
        <v>0.43636695302822009</v>
      </c>
      <c r="C54" s="94">
        <f ca="1">(I56-C51)/(C52-C51)</f>
        <v>7.1791282283494698E-2</v>
      </c>
      <c r="D54" s="94">
        <f ca="1">(I56-D51)/(D52-D51)</f>
        <v>0.45341862494838858</v>
      </c>
      <c r="E54" s="94">
        <f ca="1">(I56-E51)/(E52-E51)</f>
        <v>0.5705117496903277</v>
      </c>
      <c r="F54" s="94">
        <f ca="1">(I56-F51)/(F52-F51)</f>
        <v>0.46633812267744118</v>
      </c>
      <c r="G54" s="94">
        <f ca="1">(I56-G51)/(G52-G51)</f>
        <v>0.74802873606470566</v>
      </c>
      <c r="H54" s="94">
        <f ca="1">(I56-H51)/(H52-H51)</f>
        <v>0.67176043829894905</v>
      </c>
      <c r="I54"/>
      <c r="K54">
        <f>K46</f>
        <v>0</v>
      </c>
    </row>
    <row r="55" spans="1:15" x14ac:dyDescent="0.2">
      <c r="A55" s="90" t="s">
        <v>1154</v>
      </c>
      <c r="B55" s="95"/>
      <c r="C55" s="96">
        <f ca="1">MOD(VLOOKUP(B56,PlanetData,3,FALSE)+MATCH(B54,INDEX(VimFrac,,VLOOKUP(B56,PlanetData,3,FALSE)+1),1)-1,9)</f>
        <v>8</v>
      </c>
      <c r="D55" s="96">
        <f ca="1">MOD(VLOOKUP(C56,PlanetData,3,FALSE)+MATCH(C54,INDEX(VimFrac,0,9*C57+VLOOKUP(C56,PlanetData,3,FALSE)+1),IF(C57,-1,1))-1,9)</f>
        <v>8</v>
      </c>
      <c r="E55" s="96">
        <f ca="1">MOD(VLOOKUP(D56,PlanetData,3,FALSE)+MATCH(D54,INDEX(VimFrac,0,9*D57+VLOOKUP(D56,PlanetData,3,FALSE)+1),IF(D57,-1,1))-1,9)</f>
        <v>2</v>
      </c>
      <c r="F55" s="96">
        <f ca="1">MOD(VLOOKUP(E56,PlanetData,3,FALSE)+MATCH(E54,INDEX(VimFrac,0,9*E57+VLOOKUP(E56,PlanetData,3,FALSE)+1),IF(E57,-1,1))-1,9)</f>
        <v>7</v>
      </c>
      <c r="G55" s="96">
        <f ca="1">MOD(VLOOKUP(F56,PlanetData,3,FALSE)+MATCH(F54,INDEX(VimFrac,0,9*F57+VLOOKUP(F56,PlanetData,3,FALSE)+1),IF(F57,-1,1))-1,9)</f>
        <v>2</v>
      </c>
      <c r="H55" s="96">
        <f ca="1">MOD(VLOOKUP(G56,PlanetData,3,FALSE)+MATCH(G54,INDEX(VimFrac,0,9*G57+VLOOKUP(G56,PlanetData,3,FALSE)+1),IF(G57,-1,1))-1,9)</f>
        <v>8</v>
      </c>
      <c r="I55"/>
      <c r="K55">
        <f>K47</f>
        <v>0</v>
      </c>
    </row>
    <row r="56" spans="1:15" x14ac:dyDescent="0.2">
      <c r="A56" s="90" t="s">
        <v>1155</v>
      </c>
      <c r="B56" s="95" t="str">
        <f>$B$4</f>
        <v>Moon</v>
      </c>
      <c r="C56" s="96" t="str">
        <f t="shared" ref="C56:H56" ca="1" si="11">INDEX(DasaYears,IF(C55=0,9,C55),1)</f>
        <v>Saturn</v>
      </c>
      <c r="D56" s="96" t="str">
        <f t="shared" ca="1" si="11"/>
        <v>Saturn</v>
      </c>
      <c r="E56" s="96" t="str">
        <f t="shared" ca="1" si="11"/>
        <v>Venus</v>
      </c>
      <c r="F56" s="96" t="str">
        <f t="shared" ca="1" si="11"/>
        <v>Jupiter</v>
      </c>
      <c r="G56" s="96" t="str">
        <f t="shared" ca="1" si="11"/>
        <v>Venus</v>
      </c>
      <c r="H56" s="96" t="str">
        <f t="shared" ca="1" si="11"/>
        <v>Saturn</v>
      </c>
      <c r="I56" s="97">
        <f ca="1">INDIRECT("'JHora'!$B$"&amp;($K56))</f>
        <v>41694</v>
      </c>
      <c r="J56" s="97" t="str">
        <f ca="1">INDIRECT("'JHora'!$C$"&amp;($K56))</f>
        <v>Bought Car D16</v>
      </c>
      <c r="K56">
        <f>K48+1</f>
        <v>6</v>
      </c>
      <c r="N56" s="97">
        <f>JHora!B57</f>
        <v>0</v>
      </c>
      <c r="O56">
        <f>JHora!C57</f>
        <v>0</v>
      </c>
    </row>
    <row r="57" spans="1:15" x14ac:dyDescent="0.2">
      <c r="A57" s="90" t="s">
        <v>1139</v>
      </c>
      <c r="B57" s="91" t="b">
        <f>$B$7</f>
        <v>1</v>
      </c>
      <c r="C57" s="96">
        <f ca="1">IF(VLOOKUP(C56,ChartInfo,11,FALSE),1,0)*B57</f>
        <v>0</v>
      </c>
      <c r="D57" s="96">
        <f ca="1">IF(VLOOKUP(D56,ChartInfo,11,FALSE),1,0)*B57</f>
        <v>0</v>
      </c>
      <c r="E57" s="96">
        <f ca="1">IF(VLOOKUP(E56,ChartInfo,11,FALSE),1,0)*B57</f>
        <v>0</v>
      </c>
      <c r="F57" s="96">
        <f ca="1">IF(VLOOKUP(F56,ChartInfo,11,FALSE),1,0)*B57</f>
        <v>1</v>
      </c>
      <c r="G57" s="96">
        <f ca="1">IF(VLOOKUP(G56,ChartInfo,11,FALSE),1,0)*B57</f>
        <v>0</v>
      </c>
      <c r="H57" s="96">
        <f ca="1">IF(VLOOKUP(H56,ChartInfo,11,FALSE),1,0)*B57</f>
        <v>0</v>
      </c>
      <c r="I57"/>
      <c r="K57">
        <f>K49</f>
        <v>0</v>
      </c>
    </row>
    <row r="58" spans="1:15" x14ac:dyDescent="0.2">
      <c r="K58">
        <f>K50+1</f>
        <v>6</v>
      </c>
      <c r="N58" s="97">
        <f>JHora!B59</f>
        <v>0</v>
      </c>
      <c r="O58">
        <f>JHora!C59</f>
        <v>0</v>
      </c>
    </row>
    <row r="59" spans="1:15" x14ac:dyDescent="0.2">
      <c r="A59" s="87" t="s">
        <v>1150</v>
      </c>
      <c r="B59" s="88">
        <f>DoB-$E$6*DaysInYear</f>
        <v>22567.7812953188</v>
      </c>
      <c r="C59" s="89" t="e">
        <f ca="1">B59+B61*INDEX(INDEX(VimFrac,,VLOOKUP(B64,PlanetData,3,FALSE)+1),MATCH(B62,INDEX(VimFrac,,VLOOKUP(B64,PlanetData,3,FALSE)+1),1))</f>
        <v>#N/A</v>
      </c>
      <c r="D59" s="89" t="e">
        <f ca="1">C59+C61*INDEX(INDEX(VimFrac,0,9*C65+VLOOKUP(C64,PlanetData,3,FALSE)+1),IF(C65,1,0)+MATCH(C62,INDEX(VimFrac,0,9*C65+VLOOKUP(C64,PlanetData,3,FALSE)+1),IF(C65,-1,1)))</f>
        <v>#N/A</v>
      </c>
      <c r="E59" s="89" t="e">
        <f ca="1">D59+D61*INDEX(INDEX(VimFrac,0,9*D65+VLOOKUP(D64,PlanetData,3,FALSE)+1),IF(D65,1,0)+MATCH(D62,INDEX(VimFrac,0,9*D65+VLOOKUP(D64,PlanetData,3,FALSE)+1),IF(D65,-1,1)))</f>
        <v>#N/A</v>
      </c>
      <c r="F59" s="89" t="e">
        <f ca="1">E59+E61*INDEX(INDEX(VimFrac,0,9*E65+VLOOKUP(E64,PlanetData,3,FALSE)+1),IF(E65,1,0)+MATCH(E62,INDEX(VimFrac,0,9*E65+VLOOKUP(E64,PlanetData,3,FALSE)+1),IF(E65,-1,1)))</f>
        <v>#N/A</v>
      </c>
      <c r="G59" s="89" t="e">
        <f ca="1">F59+F61*INDEX(INDEX(VimFrac,0,9*F65+VLOOKUP(F64,PlanetData,3,FALSE)+1),IF(F65,1,0)+MATCH(F62,INDEX(VimFrac,0,9*F65+VLOOKUP(F64,PlanetData,3,FALSE)+1),IF(F65,-1,1)))</f>
        <v>#N/A</v>
      </c>
      <c r="H59" s="89" t="e">
        <f ca="1">G59+G61*INDEX(INDEX(VimFrac,0,9*G65+VLOOKUP(G64,PlanetData,3,FALSE)+1),IF(G65,1,0)+MATCH(G62,INDEX(VimFrac,0,9*G65+VLOOKUP(G64,PlanetData,3,FALSE)+1),IF(G65,-1,1)))</f>
        <v>#N/A</v>
      </c>
      <c r="J59">
        <f ca="1">J64</f>
        <v>0</v>
      </c>
      <c r="K59">
        <f>K51+1</f>
        <v>7</v>
      </c>
      <c r="N59" s="97">
        <f>JHora!B60</f>
        <v>0</v>
      </c>
      <c r="O59">
        <f>JHora!C60</f>
        <v>0</v>
      </c>
    </row>
    <row r="60" spans="1:15" x14ac:dyDescent="0.2">
      <c r="A60" s="87" t="s">
        <v>1151</v>
      </c>
      <c r="B60" s="88">
        <f>B59+B61</f>
        <v>66398.36601754064</v>
      </c>
      <c r="C60" s="89" t="e">
        <f ca="1">B59+B61*INDEX(INDEX(VimFrac,,VLOOKUP(B64,PlanetData,3,FALSE)+1),MATCH(B62,INDEX(VimFrac,,VLOOKUP(B64,PlanetData,3,FALSE)+1),1)+1)</f>
        <v>#N/A</v>
      </c>
      <c r="D60" s="89" t="e">
        <f ca="1">C59+C61*INDEX(INDEX(VimFrac,0,9*C65+VLOOKUP(C64,PlanetData,3,FALSE)+1),IF(C65,0,1)+MATCH(C62,INDEX(VimFrac,0,9*C65+VLOOKUP(C64,PlanetData,3,FALSE)+1),IF(C65,-1,1)))</f>
        <v>#N/A</v>
      </c>
      <c r="E60" s="89" t="e">
        <f ca="1">D59+D61*INDEX(INDEX(VimFrac,0,9*D65+VLOOKUP(D64,PlanetData,3,FALSE)+1),IF(D65,0,1)+MATCH(D62,INDEX(VimFrac,0,9*D65+VLOOKUP(D64,PlanetData,3,FALSE)+1),IF(D65,-1,1)))</f>
        <v>#N/A</v>
      </c>
      <c r="F60" s="89" t="e">
        <f ca="1">E59+E61*INDEX(INDEX(VimFrac,0,9*E65+VLOOKUP(E64,PlanetData,3,FALSE)+1),IF(E65,0,1)+MATCH(E62,INDEX(VimFrac,0,9*E65+VLOOKUP(E64,PlanetData,3,FALSE)+1),IF(E65,-1,1)))</f>
        <v>#N/A</v>
      </c>
      <c r="G60" s="89" t="e">
        <f ca="1">F59+F61*INDEX(INDEX(VimFrac,0,9*F65+VLOOKUP(F64,PlanetData,3,FALSE)+1),IF(F65,0,1)+MATCH(F62,INDEX(VimFrac,0,9*F65+VLOOKUP(F64,PlanetData,3,FALSE)+1),IF(F65,-1,1)))</f>
        <v>#N/A</v>
      </c>
      <c r="H60" s="89" t="e">
        <f ca="1">G59+G61*INDEX(INDEX(VimFrac,0,9*G65+VLOOKUP(G64,PlanetData,3,FALSE)+1),IF(G65,0,1)+MATCH(G62,INDEX(VimFrac,0,9*G65+VLOOKUP(G64,PlanetData,3,FALSE)+1),IF(G65,-1,1)))</f>
        <v>#N/A</v>
      </c>
      <c r="J60">
        <f ca="1">J64</f>
        <v>0</v>
      </c>
      <c r="K60">
        <f>K52+1</f>
        <v>7</v>
      </c>
      <c r="N60" s="97">
        <f>JHora!B61</f>
        <v>0</v>
      </c>
      <c r="O60">
        <f>JHora!C61</f>
        <v>0</v>
      </c>
    </row>
    <row r="61" spans="1:15" x14ac:dyDescent="0.2">
      <c r="A61" s="90" t="s">
        <v>1152</v>
      </c>
      <c r="B61" s="91">
        <f>120*DaysInYear</f>
        <v>43830.584722221844</v>
      </c>
      <c r="C61" s="92" t="e">
        <f t="shared" ref="C61:H61" ca="1" si="12">C60-C59</f>
        <v>#N/A</v>
      </c>
      <c r="D61" s="92" t="e">
        <f t="shared" ca="1" si="12"/>
        <v>#N/A</v>
      </c>
      <c r="E61" s="92" t="e">
        <f t="shared" ca="1" si="12"/>
        <v>#N/A</v>
      </c>
      <c r="F61" s="92" t="e">
        <f t="shared" ca="1" si="12"/>
        <v>#N/A</v>
      </c>
      <c r="G61" s="92" t="e">
        <f t="shared" ca="1" si="12"/>
        <v>#N/A</v>
      </c>
      <c r="H61" s="92" t="e">
        <f t="shared" ca="1" si="12"/>
        <v>#N/A</v>
      </c>
      <c r="I61"/>
      <c r="K61">
        <f>K53</f>
        <v>0</v>
      </c>
    </row>
    <row r="62" spans="1:15" x14ac:dyDescent="0.2">
      <c r="A62" s="90" t="s">
        <v>1153</v>
      </c>
      <c r="B62" s="93">
        <f ca="1">(I64-B59)/(B60-B59)</f>
        <v>-0.51488661258669155</v>
      </c>
      <c r="C62" s="94" t="e">
        <f ca="1">(I64-C59)/(C60-C59)</f>
        <v>#N/A</v>
      </c>
      <c r="D62" s="94" t="e">
        <f ca="1">(I64-D59)/(D60-D59)</f>
        <v>#N/A</v>
      </c>
      <c r="E62" s="94" t="e">
        <f ca="1">(I64-E59)/(E60-E59)</f>
        <v>#N/A</v>
      </c>
      <c r="F62" s="94" t="e">
        <f ca="1">(I64-F59)/(F60-F59)</f>
        <v>#N/A</v>
      </c>
      <c r="G62" s="94" t="e">
        <f ca="1">(I64-G59)/(G60-G59)</f>
        <v>#N/A</v>
      </c>
      <c r="H62" s="94" t="e">
        <f ca="1">(I64-H59)/(H60-H59)</f>
        <v>#N/A</v>
      </c>
      <c r="I62"/>
      <c r="K62">
        <f>K54</f>
        <v>0</v>
      </c>
    </row>
    <row r="63" spans="1:15" x14ac:dyDescent="0.2">
      <c r="A63" s="90" t="s">
        <v>1154</v>
      </c>
      <c r="B63" s="95"/>
      <c r="C63" s="96" t="e">
        <f ca="1">MOD(VLOOKUP(B64,PlanetData,3,FALSE)+MATCH(B62,INDEX(VimFrac,,VLOOKUP(B64,PlanetData,3,FALSE)+1),1)-1,9)</f>
        <v>#N/A</v>
      </c>
      <c r="D63" s="96" t="e">
        <f ca="1">MOD(VLOOKUP(C64,PlanetData,3,FALSE)+MATCH(C62,INDEX(VimFrac,0,9*C65+VLOOKUP(C64,PlanetData,3,FALSE)+1),IF(C65,-1,1))-1,9)</f>
        <v>#N/A</v>
      </c>
      <c r="E63" s="96" t="e">
        <f ca="1">MOD(VLOOKUP(D64,PlanetData,3,FALSE)+MATCH(D62,INDEX(VimFrac,0,9*D65+VLOOKUP(D64,PlanetData,3,FALSE)+1),IF(D65,-1,1))-1,9)</f>
        <v>#N/A</v>
      </c>
      <c r="F63" s="96" t="e">
        <f ca="1">MOD(VLOOKUP(E64,PlanetData,3,FALSE)+MATCH(E62,INDEX(VimFrac,0,9*E65+VLOOKUP(E64,PlanetData,3,FALSE)+1),IF(E65,-1,1))-1,9)</f>
        <v>#N/A</v>
      </c>
      <c r="G63" s="96" t="e">
        <f ca="1">MOD(VLOOKUP(F64,PlanetData,3,FALSE)+MATCH(F62,INDEX(VimFrac,0,9*F65+VLOOKUP(F64,PlanetData,3,FALSE)+1),IF(F65,-1,1))-1,9)</f>
        <v>#N/A</v>
      </c>
      <c r="H63" s="96" t="e">
        <f ca="1">MOD(VLOOKUP(G64,PlanetData,3,FALSE)+MATCH(G62,INDEX(VimFrac,0,9*G65+VLOOKUP(G64,PlanetData,3,FALSE)+1),IF(G65,-1,1))-1,9)</f>
        <v>#N/A</v>
      </c>
      <c r="I63"/>
      <c r="K63">
        <f>K55</f>
        <v>0</v>
      </c>
    </row>
    <row r="64" spans="1:15" x14ac:dyDescent="0.2">
      <c r="A64" s="90" t="s">
        <v>1155</v>
      </c>
      <c r="B64" s="95" t="str">
        <f>$B$4</f>
        <v>Moon</v>
      </c>
      <c r="C64" s="96" t="e">
        <f t="shared" ref="C64:H64" ca="1" si="13">INDEX(DasaYears,IF(C63=0,9,C63),1)</f>
        <v>#N/A</v>
      </c>
      <c r="D64" s="96" t="e">
        <f t="shared" ca="1" si="13"/>
        <v>#N/A</v>
      </c>
      <c r="E64" s="96" t="e">
        <f t="shared" ca="1" si="13"/>
        <v>#N/A</v>
      </c>
      <c r="F64" s="96" t="e">
        <f t="shared" ca="1" si="13"/>
        <v>#N/A</v>
      </c>
      <c r="G64" s="96" t="e">
        <f t="shared" ca="1" si="13"/>
        <v>#N/A</v>
      </c>
      <c r="H64" s="96" t="e">
        <f t="shared" ca="1" si="13"/>
        <v>#N/A</v>
      </c>
      <c r="I64" s="97">
        <f ca="1">INDIRECT("'JHora'!$B$"&amp;($K64))</f>
        <v>0</v>
      </c>
      <c r="J64" s="97">
        <f ca="1">INDIRECT("'JHora'!$C$"&amp;($K64))</f>
        <v>0</v>
      </c>
      <c r="K64">
        <f>K56+1</f>
        <v>7</v>
      </c>
      <c r="N64" s="97">
        <f>JHora!B65</f>
        <v>0</v>
      </c>
      <c r="O64">
        <f>JHora!C65</f>
        <v>0</v>
      </c>
    </row>
    <row r="65" spans="1:15" x14ac:dyDescent="0.2">
      <c r="A65" s="90" t="s">
        <v>1139</v>
      </c>
      <c r="B65" s="91" t="b">
        <f>$B$7</f>
        <v>1</v>
      </c>
      <c r="C65" s="96" t="e">
        <f ca="1">IF(VLOOKUP(C64,ChartInfo,11,FALSE),1,0)*B65</f>
        <v>#N/A</v>
      </c>
      <c r="D65" s="96" t="e">
        <f ca="1">IF(VLOOKUP(D64,ChartInfo,11,FALSE),1,0)*B65</f>
        <v>#N/A</v>
      </c>
      <c r="E65" s="96" t="e">
        <f ca="1">IF(VLOOKUP(E64,ChartInfo,11,FALSE),1,0)*B65</f>
        <v>#N/A</v>
      </c>
      <c r="F65" s="96" t="e">
        <f ca="1">IF(VLOOKUP(F64,ChartInfo,11,FALSE),1,0)*B65</f>
        <v>#N/A</v>
      </c>
      <c r="G65" s="96" t="e">
        <f ca="1">IF(VLOOKUP(G64,ChartInfo,11,FALSE),1,0)*B65</f>
        <v>#N/A</v>
      </c>
      <c r="H65" s="96" t="e">
        <f ca="1">IF(VLOOKUP(H64,ChartInfo,11,FALSE),1,0)*B65</f>
        <v>#N/A</v>
      </c>
      <c r="I65"/>
      <c r="K65">
        <f>K57</f>
        <v>0</v>
      </c>
    </row>
    <row r="66" spans="1:15" x14ac:dyDescent="0.2">
      <c r="K66">
        <f>K58+1</f>
        <v>7</v>
      </c>
      <c r="N66" s="97">
        <f>JHora!B67</f>
        <v>0</v>
      </c>
      <c r="O66">
        <f>JHora!C67</f>
        <v>0</v>
      </c>
    </row>
    <row r="67" spans="1:15" x14ac:dyDescent="0.2">
      <c r="A67" s="87" t="s">
        <v>1150</v>
      </c>
      <c r="B67" s="88">
        <f>DoB-$E$6*DaysInYear</f>
        <v>22567.7812953188</v>
      </c>
      <c r="C67" s="89" t="e">
        <f ca="1">B67+B69*INDEX(INDEX(VimFrac,,VLOOKUP(B72,PlanetData,3,FALSE)+1),MATCH(B70,INDEX(VimFrac,,VLOOKUP(B72,PlanetData,3,FALSE)+1),1))</f>
        <v>#N/A</v>
      </c>
      <c r="D67" s="89" t="e">
        <f ca="1">C67+C69*INDEX(INDEX(VimFrac,0,9*C73+VLOOKUP(C72,PlanetData,3,FALSE)+1),IF(C73,1,0)+MATCH(C70,INDEX(VimFrac,0,9*C73+VLOOKUP(C72,PlanetData,3,FALSE)+1),IF(C73,-1,1)))</f>
        <v>#N/A</v>
      </c>
      <c r="E67" s="89" t="e">
        <f ca="1">D67+D69*INDEX(INDEX(VimFrac,0,9*D73+VLOOKUP(D72,PlanetData,3,FALSE)+1),IF(D73,1,0)+MATCH(D70,INDEX(VimFrac,0,9*D73+VLOOKUP(D72,PlanetData,3,FALSE)+1),IF(D73,-1,1)))</f>
        <v>#N/A</v>
      </c>
      <c r="F67" s="89" t="e">
        <f ca="1">E67+E69*INDEX(INDEX(VimFrac,0,9*E73+VLOOKUP(E72,PlanetData,3,FALSE)+1),IF(E73,1,0)+MATCH(E70,INDEX(VimFrac,0,9*E73+VLOOKUP(E72,PlanetData,3,FALSE)+1),IF(E73,-1,1)))</f>
        <v>#N/A</v>
      </c>
      <c r="G67" s="89" t="e">
        <f ca="1">F67+F69*INDEX(INDEX(VimFrac,0,9*F73+VLOOKUP(F72,PlanetData,3,FALSE)+1),IF(F73,1,0)+MATCH(F70,INDEX(VimFrac,0,9*F73+VLOOKUP(F72,PlanetData,3,FALSE)+1),IF(F73,-1,1)))</f>
        <v>#N/A</v>
      </c>
      <c r="H67" s="89" t="e">
        <f ca="1">G67+G69*INDEX(INDEX(VimFrac,0,9*G73+VLOOKUP(G72,PlanetData,3,FALSE)+1),IF(G73,1,0)+MATCH(G70,INDEX(VimFrac,0,9*G73+VLOOKUP(G72,PlanetData,3,FALSE)+1),IF(G73,-1,1)))</f>
        <v>#N/A</v>
      </c>
      <c r="J67">
        <f ca="1">J72</f>
        <v>0</v>
      </c>
      <c r="K67">
        <f>K59+1</f>
        <v>8</v>
      </c>
      <c r="N67" s="97">
        <f>JHora!B68</f>
        <v>0</v>
      </c>
      <c r="O67">
        <f>JHora!C68</f>
        <v>0</v>
      </c>
    </row>
    <row r="68" spans="1:15" x14ac:dyDescent="0.2">
      <c r="A68" s="87" t="s">
        <v>1151</v>
      </c>
      <c r="B68" s="88">
        <f>B67+B69</f>
        <v>66398.36601754064</v>
      </c>
      <c r="C68" s="89" t="e">
        <f ca="1">B67+B69*INDEX(INDEX(VimFrac,,VLOOKUP(B72,PlanetData,3,FALSE)+1),MATCH(B70,INDEX(VimFrac,,VLOOKUP(B72,PlanetData,3,FALSE)+1),1)+1)</f>
        <v>#N/A</v>
      </c>
      <c r="D68" s="89" t="e">
        <f ca="1">C67+C69*INDEX(INDEX(VimFrac,0,9*C73+VLOOKUP(C72,PlanetData,3,FALSE)+1),IF(C73,0,1)+MATCH(C70,INDEX(VimFrac,0,9*C73+VLOOKUP(C72,PlanetData,3,FALSE)+1),IF(C73,-1,1)))</f>
        <v>#N/A</v>
      </c>
      <c r="E68" s="89" t="e">
        <f ca="1">D67+D69*INDEX(INDEX(VimFrac,0,9*D73+VLOOKUP(D72,PlanetData,3,FALSE)+1),IF(D73,0,1)+MATCH(D70,INDEX(VimFrac,0,9*D73+VLOOKUP(D72,PlanetData,3,FALSE)+1),IF(D73,-1,1)))</f>
        <v>#N/A</v>
      </c>
      <c r="F68" s="89" t="e">
        <f ca="1">E67+E69*INDEX(INDEX(VimFrac,0,9*E73+VLOOKUP(E72,PlanetData,3,FALSE)+1),IF(E73,0,1)+MATCH(E70,INDEX(VimFrac,0,9*E73+VLOOKUP(E72,PlanetData,3,FALSE)+1),IF(E73,-1,1)))</f>
        <v>#N/A</v>
      </c>
      <c r="G68" s="89" t="e">
        <f ca="1">F67+F69*INDEX(INDEX(VimFrac,0,9*F73+VLOOKUP(F72,PlanetData,3,FALSE)+1),IF(F73,0,1)+MATCH(F70,INDEX(VimFrac,0,9*F73+VLOOKUP(F72,PlanetData,3,FALSE)+1),IF(F73,-1,1)))</f>
        <v>#N/A</v>
      </c>
      <c r="H68" s="89" t="e">
        <f ca="1">G67+G69*INDEX(INDEX(VimFrac,0,9*G73+VLOOKUP(G72,PlanetData,3,FALSE)+1),IF(G73,0,1)+MATCH(G70,INDEX(VimFrac,0,9*G73+VLOOKUP(G72,PlanetData,3,FALSE)+1),IF(G73,-1,1)))</f>
        <v>#N/A</v>
      </c>
      <c r="J68">
        <f ca="1">J72</f>
        <v>0</v>
      </c>
      <c r="K68">
        <f>K60+1</f>
        <v>8</v>
      </c>
      <c r="N68" s="97">
        <f>JHora!B69</f>
        <v>0</v>
      </c>
      <c r="O68">
        <f>JHora!C69</f>
        <v>0</v>
      </c>
    </row>
    <row r="69" spans="1:15" x14ac:dyDescent="0.2">
      <c r="A69" s="90" t="s">
        <v>1152</v>
      </c>
      <c r="B69" s="91">
        <f>120*DaysInYear</f>
        <v>43830.584722221844</v>
      </c>
      <c r="C69" s="92" t="e">
        <f t="shared" ref="C69:H69" ca="1" si="14">C68-C67</f>
        <v>#N/A</v>
      </c>
      <c r="D69" s="92" t="e">
        <f t="shared" ca="1" si="14"/>
        <v>#N/A</v>
      </c>
      <c r="E69" s="92" t="e">
        <f t="shared" ca="1" si="14"/>
        <v>#N/A</v>
      </c>
      <c r="F69" s="92" t="e">
        <f t="shared" ca="1" si="14"/>
        <v>#N/A</v>
      </c>
      <c r="G69" s="92" t="e">
        <f t="shared" ca="1" si="14"/>
        <v>#N/A</v>
      </c>
      <c r="H69" s="92" t="e">
        <f t="shared" ca="1" si="14"/>
        <v>#N/A</v>
      </c>
      <c r="I69"/>
      <c r="K69">
        <f>K61</f>
        <v>0</v>
      </c>
    </row>
    <row r="70" spans="1:15" x14ac:dyDescent="0.2">
      <c r="A70" s="90" t="s">
        <v>1153</v>
      </c>
      <c r="B70" s="93">
        <f ca="1">(I72-B67)/(B68-B67)</f>
        <v>-0.51488661258669155</v>
      </c>
      <c r="C70" s="94" t="e">
        <f ca="1">(I72-C67)/(C68-C67)</f>
        <v>#N/A</v>
      </c>
      <c r="D70" s="94" t="e">
        <f ca="1">(I72-D67)/(D68-D67)</f>
        <v>#N/A</v>
      </c>
      <c r="E70" s="94" t="e">
        <f ca="1">(I72-E67)/(E68-E67)</f>
        <v>#N/A</v>
      </c>
      <c r="F70" s="94" t="e">
        <f ca="1">(I72-F67)/(F68-F67)</f>
        <v>#N/A</v>
      </c>
      <c r="G70" s="94" t="e">
        <f ca="1">(I72-G67)/(G68-G67)</f>
        <v>#N/A</v>
      </c>
      <c r="H70" s="94" t="e">
        <f ca="1">(I72-H67)/(H68-H67)</f>
        <v>#N/A</v>
      </c>
      <c r="I70"/>
      <c r="K70">
        <f>K62</f>
        <v>0</v>
      </c>
    </row>
    <row r="71" spans="1:15" x14ac:dyDescent="0.2">
      <c r="A71" s="90" t="s">
        <v>1154</v>
      </c>
      <c r="B71" s="95"/>
      <c r="C71" s="96" t="e">
        <f ca="1">MOD(VLOOKUP(B72,PlanetData,3,FALSE)+MATCH(B70,INDEX(VimFrac,,VLOOKUP(B72,PlanetData,3,FALSE)+1),1)-1,9)</f>
        <v>#N/A</v>
      </c>
      <c r="D71" s="96" t="e">
        <f ca="1">MOD(VLOOKUP(C72,PlanetData,3,FALSE)+MATCH(C70,INDEX(VimFrac,0,9*C73+VLOOKUP(C72,PlanetData,3,FALSE)+1),IF(C73,-1,1))-1,9)</f>
        <v>#N/A</v>
      </c>
      <c r="E71" s="96" t="e">
        <f ca="1">MOD(VLOOKUP(D72,PlanetData,3,FALSE)+MATCH(D70,INDEX(VimFrac,0,9*D73+VLOOKUP(D72,PlanetData,3,FALSE)+1),IF(D73,-1,1))-1,9)</f>
        <v>#N/A</v>
      </c>
      <c r="F71" s="96" t="e">
        <f ca="1">MOD(VLOOKUP(E72,PlanetData,3,FALSE)+MATCH(E70,INDEX(VimFrac,0,9*E73+VLOOKUP(E72,PlanetData,3,FALSE)+1),IF(E73,-1,1))-1,9)</f>
        <v>#N/A</v>
      </c>
      <c r="G71" s="96" t="e">
        <f ca="1">MOD(VLOOKUP(F72,PlanetData,3,FALSE)+MATCH(F70,INDEX(VimFrac,0,9*F73+VLOOKUP(F72,PlanetData,3,FALSE)+1),IF(F73,-1,1))-1,9)</f>
        <v>#N/A</v>
      </c>
      <c r="H71" s="96" t="e">
        <f ca="1">MOD(VLOOKUP(G72,PlanetData,3,FALSE)+MATCH(G70,INDEX(VimFrac,0,9*G73+VLOOKUP(G72,PlanetData,3,FALSE)+1),IF(G73,-1,1))-1,9)</f>
        <v>#N/A</v>
      </c>
      <c r="I71"/>
      <c r="K71">
        <f>K63</f>
        <v>0</v>
      </c>
    </row>
    <row r="72" spans="1:15" x14ac:dyDescent="0.2">
      <c r="A72" s="90" t="s">
        <v>1155</v>
      </c>
      <c r="B72" s="95" t="str">
        <f>$B$4</f>
        <v>Moon</v>
      </c>
      <c r="C72" s="96" t="e">
        <f t="shared" ref="C72:H72" ca="1" si="15">INDEX(DasaYears,IF(C71=0,9,C71),1)</f>
        <v>#N/A</v>
      </c>
      <c r="D72" s="96" t="e">
        <f t="shared" ca="1" si="15"/>
        <v>#N/A</v>
      </c>
      <c r="E72" s="96" t="e">
        <f t="shared" ca="1" si="15"/>
        <v>#N/A</v>
      </c>
      <c r="F72" s="96" t="e">
        <f t="shared" ca="1" si="15"/>
        <v>#N/A</v>
      </c>
      <c r="G72" s="96" t="e">
        <f t="shared" ca="1" si="15"/>
        <v>#N/A</v>
      </c>
      <c r="H72" s="96" t="e">
        <f t="shared" ca="1" si="15"/>
        <v>#N/A</v>
      </c>
      <c r="I72" s="97">
        <f ca="1">INDIRECT("'JHora'!$B$"&amp;($K72))</f>
        <v>0</v>
      </c>
      <c r="J72" s="97">
        <f ca="1">INDIRECT("'JHora'!$C$"&amp;($K72))</f>
        <v>0</v>
      </c>
      <c r="K72">
        <f>K64+1</f>
        <v>8</v>
      </c>
      <c r="N72" s="97">
        <f>JHora!B73</f>
        <v>0</v>
      </c>
      <c r="O72">
        <f>JHora!C73</f>
        <v>0</v>
      </c>
    </row>
    <row r="73" spans="1:15" x14ac:dyDescent="0.2">
      <c r="A73" s="90" t="s">
        <v>1139</v>
      </c>
      <c r="B73" s="91" t="b">
        <f>$B$7</f>
        <v>1</v>
      </c>
      <c r="C73" s="96" t="e">
        <f ca="1">IF(VLOOKUP(C72,ChartInfo,11,FALSE),1,0)*B73</f>
        <v>#N/A</v>
      </c>
      <c r="D73" s="96" t="e">
        <f ca="1">IF(VLOOKUP(D72,ChartInfo,11,FALSE),1,0)*B73</f>
        <v>#N/A</v>
      </c>
      <c r="E73" s="96" t="e">
        <f ca="1">IF(VLOOKUP(E72,ChartInfo,11,FALSE),1,0)*B73</f>
        <v>#N/A</v>
      </c>
      <c r="F73" s="96" t="e">
        <f ca="1">IF(VLOOKUP(F72,ChartInfo,11,FALSE),1,0)*B73</f>
        <v>#N/A</v>
      </c>
      <c r="G73" s="96" t="e">
        <f ca="1">IF(VLOOKUP(G72,ChartInfo,11,FALSE),1,0)*B73</f>
        <v>#N/A</v>
      </c>
      <c r="H73" s="96" t="e">
        <f ca="1">IF(VLOOKUP(H72,ChartInfo,11,FALSE),1,0)*B73</f>
        <v>#N/A</v>
      </c>
      <c r="I73"/>
      <c r="K73">
        <f>K65</f>
        <v>0</v>
      </c>
    </row>
    <row r="74" spans="1:15" x14ac:dyDescent="0.2">
      <c r="K74">
        <f>K66+1</f>
        <v>8</v>
      </c>
      <c r="N74" s="97">
        <f>JHora!B75</f>
        <v>0</v>
      </c>
      <c r="O74">
        <f>JHora!C75</f>
        <v>0</v>
      </c>
    </row>
    <row r="75" spans="1:15" x14ac:dyDescent="0.2">
      <c r="A75" s="87" t="s">
        <v>1150</v>
      </c>
      <c r="B75" s="88">
        <f>DoB-$E$6*DaysInYear</f>
        <v>22567.7812953188</v>
      </c>
      <c r="C75" s="89" t="e">
        <f ca="1">B75+B77*INDEX(INDEX(VimFrac,,VLOOKUP(B80,PlanetData,3,FALSE)+1),MATCH(B78,INDEX(VimFrac,,VLOOKUP(B80,PlanetData,3,FALSE)+1),1))</f>
        <v>#N/A</v>
      </c>
      <c r="D75" s="89" t="e">
        <f ca="1">C75+C77*INDEX(INDEX(VimFrac,0,9*C81+VLOOKUP(C80,PlanetData,3,FALSE)+1),IF(C81,1,0)+MATCH(C78,INDEX(VimFrac,0,9*C81+VLOOKUP(C80,PlanetData,3,FALSE)+1),IF(C81,-1,1)))</f>
        <v>#N/A</v>
      </c>
      <c r="E75" s="89" t="e">
        <f ca="1">D75+D77*INDEX(INDEX(VimFrac,0,9*D81+VLOOKUP(D80,PlanetData,3,FALSE)+1),IF(D81,1,0)+MATCH(D78,INDEX(VimFrac,0,9*D81+VLOOKUP(D80,PlanetData,3,FALSE)+1),IF(D81,-1,1)))</f>
        <v>#N/A</v>
      </c>
      <c r="F75" s="89" t="e">
        <f ca="1">E75+E77*INDEX(INDEX(VimFrac,0,9*E81+VLOOKUP(E80,PlanetData,3,FALSE)+1),IF(E81,1,0)+MATCH(E78,INDEX(VimFrac,0,9*E81+VLOOKUP(E80,PlanetData,3,FALSE)+1),IF(E81,-1,1)))</f>
        <v>#N/A</v>
      </c>
      <c r="G75" s="89" t="e">
        <f ca="1">F75+F77*INDEX(INDEX(VimFrac,0,9*F81+VLOOKUP(F80,PlanetData,3,FALSE)+1),IF(F81,1,0)+MATCH(F78,INDEX(VimFrac,0,9*F81+VLOOKUP(F80,PlanetData,3,FALSE)+1),IF(F81,-1,1)))</f>
        <v>#N/A</v>
      </c>
      <c r="H75" s="89" t="e">
        <f ca="1">G75+G77*INDEX(INDEX(VimFrac,0,9*G81+VLOOKUP(G80,PlanetData,3,FALSE)+1),IF(G81,1,0)+MATCH(G78,INDEX(VimFrac,0,9*G81+VLOOKUP(G80,PlanetData,3,FALSE)+1),IF(G81,-1,1)))</f>
        <v>#N/A</v>
      </c>
      <c r="J75" s="98">
        <f ca="1">J80</f>
        <v>0</v>
      </c>
      <c r="K75">
        <f>K67+1</f>
        <v>9</v>
      </c>
      <c r="N75" s="97">
        <f>JHora!B76</f>
        <v>0</v>
      </c>
      <c r="O75">
        <f>JHora!C76</f>
        <v>0</v>
      </c>
    </row>
    <row r="76" spans="1:15" x14ac:dyDescent="0.2">
      <c r="A76" s="87" t="s">
        <v>1151</v>
      </c>
      <c r="B76" s="88">
        <f>B75+B77</f>
        <v>66398.36601754064</v>
      </c>
      <c r="C76" s="89" t="e">
        <f ca="1">B75+B77*INDEX(INDEX(VimFrac,,VLOOKUP(B80,PlanetData,3,FALSE)+1),MATCH(B78,INDEX(VimFrac,,VLOOKUP(B80,PlanetData,3,FALSE)+1),1)+1)</f>
        <v>#N/A</v>
      </c>
      <c r="D76" s="89" t="e">
        <f ca="1">C75+C77*INDEX(INDEX(VimFrac,0,9*C81+VLOOKUP(C80,PlanetData,3,FALSE)+1),IF(C81,0,1)+MATCH(C78,INDEX(VimFrac,0,9*C81+VLOOKUP(C80,PlanetData,3,FALSE)+1),IF(C81,-1,1)))</f>
        <v>#N/A</v>
      </c>
      <c r="E76" s="89" t="e">
        <f ca="1">D75+D77*INDEX(INDEX(VimFrac,0,9*D81+VLOOKUP(D80,PlanetData,3,FALSE)+1),IF(D81,0,1)+MATCH(D78,INDEX(VimFrac,0,9*D81+VLOOKUP(D80,PlanetData,3,FALSE)+1),IF(D81,-1,1)))</f>
        <v>#N/A</v>
      </c>
      <c r="F76" s="89" t="e">
        <f ca="1">E75+E77*INDEX(INDEX(VimFrac,0,9*E81+VLOOKUP(E80,PlanetData,3,FALSE)+1),IF(E81,0,1)+MATCH(E78,INDEX(VimFrac,0,9*E81+VLOOKUP(E80,PlanetData,3,FALSE)+1),IF(E81,-1,1)))</f>
        <v>#N/A</v>
      </c>
      <c r="G76" s="89" t="e">
        <f ca="1">F75+F77*INDEX(INDEX(VimFrac,0,9*F81+VLOOKUP(F80,PlanetData,3,FALSE)+1),IF(F81,0,1)+MATCH(F78,INDEX(VimFrac,0,9*F81+VLOOKUP(F80,PlanetData,3,FALSE)+1),IF(F81,-1,1)))</f>
        <v>#N/A</v>
      </c>
      <c r="H76" s="89" t="e">
        <f ca="1">G75+G77*INDEX(INDEX(VimFrac,0,9*G81+VLOOKUP(G80,PlanetData,3,FALSE)+1),IF(G81,0,1)+MATCH(G78,INDEX(VimFrac,0,9*G81+VLOOKUP(G80,PlanetData,3,FALSE)+1),IF(G81,-1,1)))</f>
        <v>#N/A</v>
      </c>
      <c r="J76" s="98">
        <f ca="1">J80</f>
        <v>0</v>
      </c>
      <c r="K76">
        <f>K68+1</f>
        <v>9</v>
      </c>
      <c r="N76" s="97">
        <f>JHora!B77</f>
        <v>0</v>
      </c>
      <c r="O76">
        <f>JHora!C77</f>
        <v>0</v>
      </c>
    </row>
    <row r="77" spans="1:15" x14ac:dyDescent="0.2">
      <c r="A77" s="90" t="s">
        <v>1152</v>
      </c>
      <c r="B77" s="91">
        <f>120*DaysInYear</f>
        <v>43830.584722221844</v>
      </c>
      <c r="C77" s="92" t="e">
        <f t="shared" ref="C77:H77" ca="1" si="16">C76-C75</f>
        <v>#N/A</v>
      </c>
      <c r="D77" s="92" t="e">
        <f t="shared" ca="1" si="16"/>
        <v>#N/A</v>
      </c>
      <c r="E77" s="92" t="e">
        <f t="shared" ca="1" si="16"/>
        <v>#N/A</v>
      </c>
      <c r="F77" s="92" t="e">
        <f t="shared" ca="1" si="16"/>
        <v>#N/A</v>
      </c>
      <c r="G77" s="92" t="e">
        <f t="shared" ca="1" si="16"/>
        <v>#N/A</v>
      </c>
      <c r="H77" s="92" t="e">
        <f t="shared" ca="1" si="16"/>
        <v>#N/A</v>
      </c>
      <c r="I77"/>
      <c r="K77">
        <f>K69</f>
        <v>0</v>
      </c>
    </row>
    <row r="78" spans="1:15" x14ac:dyDescent="0.2">
      <c r="A78" s="90" t="s">
        <v>1153</v>
      </c>
      <c r="B78" s="93">
        <f ca="1">(I80-B75)/(B76-B75)</f>
        <v>-0.51488661258669155</v>
      </c>
      <c r="C78" s="94" t="e">
        <f ca="1">(I80-C75)/(C76-C75)</f>
        <v>#N/A</v>
      </c>
      <c r="D78" s="94" t="e">
        <f ca="1">(I80-D75)/(D76-D75)</f>
        <v>#N/A</v>
      </c>
      <c r="E78" s="94" t="e">
        <f ca="1">(I80-E75)/(E76-E75)</f>
        <v>#N/A</v>
      </c>
      <c r="F78" s="94" t="e">
        <f ca="1">(I80-F75)/(F76-F75)</f>
        <v>#N/A</v>
      </c>
      <c r="G78" s="94" t="e">
        <f ca="1">(I80-G75)/(G76-G75)</f>
        <v>#N/A</v>
      </c>
      <c r="H78" s="94" t="e">
        <f ca="1">(I80-H75)/(H76-H75)</f>
        <v>#N/A</v>
      </c>
      <c r="I78"/>
      <c r="K78">
        <f>K70</f>
        <v>0</v>
      </c>
    </row>
    <row r="79" spans="1:15" x14ac:dyDescent="0.2">
      <c r="A79" s="90" t="s">
        <v>1154</v>
      </c>
      <c r="B79" s="95"/>
      <c r="C79" s="96" t="e">
        <f ca="1">MOD(VLOOKUP(B80,PlanetData,3,FALSE)+MATCH(B78,INDEX(VimFrac,,VLOOKUP(B80,PlanetData,3,FALSE)+1),1)-1,9)</f>
        <v>#N/A</v>
      </c>
      <c r="D79" s="96" t="e">
        <f ca="1">MOD(VLOOKUP(C80,PlanetData,3,FALSE)+MATCH(C78,INDEX(VimFrac,0,9*C81+VLOOKUP(C80,PlanetData,3,FALSE)+1),IF(C81,-1,1))-1,9)</f>
        <v>#N/A</v>
      </c>
      <c r="E79" s="96" t="e">
        <f ca="1">MOD(VLOOKUP(D80,PlanetData,3,FALSE)+MATCH(D78,INDEX(VimFrac,0,9*D81+VLOOKUP(D80,PlanetData,3,FALSE)+1),IF(D81,-1,1))-1,9)</f>
        <v>#N/A</v>
      </c>
      <c r="F79" s="96" t="e">
        <f ca="1">MOD(VLOOKUP(E80,PlanetData,3,FALSE)+MATCH(E78,INDEX(VimFrac,0,9*E81+VLOOKUP(E80,PlanetData,3,FALSE)+1),IF(E81,-1,1))-1,9)</f>
        <v>#N/A</v>
      </c>
      <c r="G79" s="96" t="e">
        <f ca="1">MOD(VLOOKUP(F80,PlanetData,3,FALSE)+MATCH(F78,INDEX(VimFrac,0,9*F81+VLOOKUP(F80,PlanetData,3,FALSE)+1),IF(F81,-1,1))-1,9)</f>
        <v>#N/A</v>
      </c>
      <c r="H79" s="96" t="e">
        <f ca="1">MOD(VLOOKUP(G80,PlanetData,3,FALSE)+MATCH(G78,INDEX(VimFrac,0,9*G81+VLOOKUP(G80,PlanetData,3,FALSE)+1),IF(G81,-1,1))-1,9)</f>
        <v>#N/A</v>
      </c>
      <c r="I79"/>
      <c r="K79">
        <f>K71</f>
        <v>0</v>
      </c>
    </row>
    <row r="80" spans="1:15" x14ac:dyDescent="0.2">
      <c r="A80" s="90" t="s">
        <v>1155</v>
      </c>
      <c r="B80" s="95" t="str">
        <f>$B$4</f>
        <v>Moon</v>
      </c>
      <c r="C80" s="96" t="e">
        <f t="shared" ref="C80:H80" ca="1" si="17">INDEX(DasaYears,IF(C79=0,9,C79),1)</f>
        <v>#N/A</v>
      </c>
      <c r="D80" s="96" t="e">
        <f t="shared" ca="1" si="17"/>
        <v>#N/A</v>
      </c>
      <c r="E80" s="96" t="e">
        <f t="shared" ca="1" si="17"/>
        <v>#N/A</v>
      </c>
      <c r="F80" s="96" t="e">
        <f t="shared" ca="1" si="17"/>
        <v>#N/A</v>
      </c>
      <c r="G80" s="96" t="e">
        <f t="shared" ca="1" si="17"/>
        <v>#N/A</v>
      </c>
      <c r="H80" s="96" t="e">
        <f t="shared" ca="1" si="17"/>
        <v>#N/A</v>
      </c>
      <c r="I80" s="97">
        <f ca="1">INDIRECT("'JHora'!$B$"&amp;($K80))</f>
        <v>0</v>
      </c>
      <c r="J80" s="97">
        <f ca="1">INDIRECT("'JHora'!$C$"&amp;($K80))</f>
        <v>0</v>
      </c>
      <c r="K80">
        <f>K72+1</f>
        <v>9</v>
      </c>
      <c r="N80" s="97">
        <f>JHora!B81</f>
        <v>0</v>
      </c>
      <c r="O80">
        <f>JHora!C81</f>
        <v>0</v>
      </c>
    </row>
    <row r="81" spans="1:15" x14ac:dyDescent="0.2">
      <c r="A81" s="90" t="s">
        <v>1139</v>
      </c>
      <c r="B81" s="91" t="b">
        <f>$B$7</f>
        <v>1</v>
      </c>
      <c r="C81" s="96" t="e">
        <f ca="1">IF(VLOOKUP(C80,ChartInfo,11,FALSE),1,0)*B81</f>
        <v>#N/A</v>
      </c>
      <c r="D81" s="96" t="e">
        <f ca="1">IF(VLOOKUP(D80,ChartInfo,11,FALSE),1,0)*B81</f>
        <v>#N/A</v>
      </c>
      <c r="E81" s="96" t="e">
        <f ca="1">IF(VLOOKUP(E80,ChartInfo,11,FALSE),1,0)*B81</f>
        <v>#N/A</v>
      </c>
      <c r="F81" s="96" t="e">
        <f ca="1">IF(VLOOKUP(F80,ChartInfo,11,FALSE),1,0)*B81</f>
        <v>#N/A</v>
      </c>
      <c r="G81" s="96" t="e">
        <f ca="1">IF(VLOOKUP(G80,ChartInfo,11,FALSE),1,0)*B81</f>
        <v>#N/A</v>
      </c>
      <c r="H81" s="96" t="e">
        <f ca="1">IF(VLOOKUP(H80,ChartInfo,11,FALSE),1,0)*B81</f>
        <v>#N/A</v>
      </c>
      <c r="I81"/>
      <c r="K81">
        <f>K73</f>
        <v>0</v>
      </c>
    </row>
    <row r="82" spans="1:15" x14ac:dyDescent="0.2">
      <c r="K82">
        <f>K74+1</f>
        <v>9</v>
      </c>
      <c r="N82" s="97">
        <f>JHora!B83</f>
        <v>0</v>
      </c>
      <c r="O82">
        <f>JHora!C83</f>
        <v>0</v>
      </c>
    </row>
    <row r="83" spans="1:15" x14ac:dyDescent="0.2">
      <c r="A83" s="87" t="s">
        <v>1150</v>
      </c>
      <c r="B83" s="88">
        <f>DoB-$E$6*DaysInYear</f>
        <v>22567.7812953188</v>
      </c>
      <c r="C83" s="89" t="e">
        <f ca="1">B83+B85*INDEX(INDEX(VimFrac,,VLOOKUP(B88,PlanetData,3,FALSE)+1),MATCH(B86,INDEX(VimFrac,,VLOOKUP(B88,PlanetData,3,FALSE)+1),1))</f>
        <v>#N/A</v>
      </c>
      <c r="D83" s="89" t="e">
        <f ca="1">C83+C85*INDEX(INDEX(VimFrac,0,9*C89+VLOOKUP(C88,PlanetData,3,FALSE)+1),IF(C89,1,0)+MATCH(C86,INDEX(VimFrac,0,9*C89+VLOOKUP(C88,PlanetData,3,FALSE)+1),IF(C89,-1,1)))</f>
        <v>#N/A</v>
      </c>
      <c r="E83" s="89" t="e">
        <f ca="1">D83+D85*INDEX(INDEX(VimFrac,0,9*D89+VLOOKUP(D88,PlanetData,3,FALSE)+1),IF(D89,1,0)+MATCH(D86,INDEX(VimFrac,0,9*D89+VLOOKUP(D88,PlanetData,3,FALSE)+1),IF(D89,-1,1)))</f>
        <v>#N/A</v>
      </c>
      <c r="F83" s="89" t="e">
        <f ca="1">E83+E85*INDEX(INDEX(VimFrac,0,9*E89+VLOOKUP(E88,PlanetData,3,FALSE)+1),IF(E89,1,0)+MATCH(E86,INDEX(VimFrac,0,9*E89+VLOOKUP(E88,PlanetData,3,FALSE)+1),IF(E89,-1,1)))</f>
        <v>#N/A</v>
      </c>
      <c r="G83" s="89" t="e">
        <f ca="1">F83+F85*INDEX(INDEX(VimFrac,0,9*F89+VLOOKUP(F88,PlanetData,3,FALSE)+1),IF(F89,1,0)+MATCH(F86,INDEX(VimFrac,0,9*F89+VLOOKUP(F88,PlanetData,3,FALSE)+1),IF(F89,-1,1)))</f>
        <v>#N/A</v>
      </c>
      <c r="H83" s="89" t="e">
        <f ca="1">G83+G85*INDEX(INDEX(VimFrac,0,9*G89+VLOOKUP(G88,PlanetData,3,FALSE)+1),IF(G89,1,0)+MATCH(G86,INDEX(VimFrac,0,9*G89+VLOOKUP(G88,PlanetData,3,FALSE)+1),IF(G89,-1,1)))</f>
        <v>#N/A</v>
      </c>
      <c r="J83">
        <f ca="1">J88</f>
        <v>0</v>
      </c>
      <c r="K83">
        <f>K75+1</f>
        <v>10</v>
      </c>
      <c r="N83" s="97">
        <f>JHora!B84</f>
        <v>0</v>
      </c>
      <c r="O83">
        <f>JHora!C84</f>
        <v>0</v>
      </c>
    </row>
    <row r="84" spans="1:15" x14ac:dyDescent="0.2">
      <c r="A84" s="87" t="s">
        <v>1151</v>
      </c>
      <c r="B84" s="88">
        <f>B83+B85</f>
        <v>66398.36601754064</v>
      </c>
      <c r="C84" s="89" t="e">
        <f ca="1">B83+B85*INDEX(INDEX(VimFrac,,VLOOKUP(B88,PlanetData,3,FALSE)+1),MATCH(B86,INDEX(VimFrac,,VLOOKUP(B88,PlanetData,3,FALSE)+1),1)+1)</f>
        <v>#N/A</v>
      </c>
      <c r="D84" s="89" t="e">
        <f ca="1">C83+C85*INDEX(INDEX(VimFrac,0,9*C89+VLOOKUP(C88,PlanetData,3,FALSE)+1),IF(C89,0,1)+MATCH(C86,INDEX(VimFrac,0,9*C89+VLOOKUP(C88,PlanetData,3,FALSE)+1),IF(C89,-1,1)))</f>
        <v>#N/A</v>
      </c>
      <c r="E84" s="89" t="e">
        <f ca="1">D83+D85*INDEX(INDEX(VimFrac,0,9*D89+VLOOKUP(D88,PlanetData,3,FALSE)+1),IF(D89,0,1)+MATCH(D86,INDEX(VimFrac,0,9*D89+VLOOKUP(D88,PlanetData,3,FALSE)+1),IF(D89,-1,1)))</f>
        <v>#N/A</v>
      </c>
      <c r="F84" s="89" t="e">
        <f ca="1">E83+E85*INDEX(INDEX(VimFrac,0,9*E89+VLOOKUP(E88,PlanetData,3,FALSE)+1),IF(E89,0,1)+MATCH(E86,INDEX(VimFrac,0,9*E89+VLOOKUP(E88,PlanetData,3,FALSE)+1),IF(E89,-1,1)))</f>
        <v>#N/A</v>
      </c>
      <c r="G84" s="89" t="e">
        <f ca="1">F83+F85*INDEX(INDEX(VimFrac,0,9*F89+VLOOKUP(F88,PlanetData,3,FALSE)+1),IF(F89,0,1)+MATCH(F86,INDEX(VimFrac,0,9*F89+VLOOKUP(F88,PlanetData,3,FALSE)+1),IF(F89,-1,1)))</f>
        <v>#N/A</v>
      </c>
      <c r="H84" s="89" t="e">
        <f ca="1">G83+G85*INDEX(INDEX(VimFrac,0,9*G89+VLOOKUP(G88,PlanetData,3,FALSE)+1),IF(G89,0,1)+MATCH(G86,INDEX(VimFrac,0,9*G89+VLOOKUP(G88,PlanetData,3,FALSE)+1),IF(G89,-1,1)))</f>
        <v>#N/A</v>
      </c>
      <c r="J84">
        <f ca="1">J88</f>
        <v>0</v>
      </c>
      <c r="K84">
        <f>K76+1</f>
        <v>10</v>
      </c>
      <c r="N84" s="97">
        <f>JHora!B85</f>
        <v>0</v>
      </c>
      <c r="O84">
        <f>JHora!C85</f>
        <v>0</v>
      </c>
    </row>
    <row r="85" spans="1:15" x14ac:dyDescent="0.2">
      <c r="A85" s="90" t="s">
        <v>1152</v>
      </c>
      <c r="B85" s="91">
        <f>120*DaysInYear</f>
        <v>43830.584722221844</v>
      </c>
      <c r="C85" s="92" t="e">
        <f t="shared" ref="C85:H85" ca="1" si="18">C84-C83</f>
        <v>#N/A</v>
      </c>
      <c r="D85" s="92" t="e">
        <f t="shared" ca="1" si="18"/>
        <v>#N/A</v>
      </c>
      <c r="E85" s="92" t="e">
        <f t="shared" ca="1" si="18"/>
        <v>#N/A</v>
      </c>
      <c r="F85" s="92" t="e">
        <f t="shared" ca="1" si="18"/>
        <v>#N/A</v>
      </c>
      <c r="G85" s="92" t="e">
        <f t="shared" ca="1" si="18"/>
        <v>#N/A</v>
      </c>
      <c r="H85" s="92" t="e">
        <f t="shared" ca="1" si="18"/>
        <v>#N/A</v>
      </c>
      <c r="I85"/>
      <c r="K85">
        <f>K77</f>
        <v>0</v>
      </c>
    </row>
    <row r="86" spans="1:15" x14ac:dyDescent="0.2">
      <c r="A86" s="90" t="s">
        <v>1153</v>
      </c>
      <c r="B86" s="93">
        <f ca="1">(I88-B83)/(B84-B83)</f>
        <v>-0.51488661258669155</v>
      </c>
      <c r="C86" s="94" t="e">
        <f ca="1">(I88-C83)/(C84-C83)</f>
        <v>#N/A</v>
      </c>
      <c r="D86" s="94" t="e">
        <f ca="1">(I88-D83)/(D84-D83)</f>
        <v>#N/A</v>
      </c>
      <c r="E86" s="94" t="e">
        <f ca="1">(I88-E83)/(E84-E83)</f>
        <v>#N/A</v>
      </c>
      <c r="F86" s="94" t="e">
        <f ca="1">(I88-F83)/(F84-F83)</f>
        <v>#N/A</v>
      </c>
      <c r="G86" s="94" t="e">
        <f ca="1">(I88-G83)/(G84-G83)</f>
        <v>#N/A</v>
      </c>
      <c r="H86" s="94" t="e">
        <f ca="1">(I88-H83)/(H84-H83)</f>
        <v>#N/A</v>
      </c>
      <c r="I86"/>
      <c r="K86">
        <f>K78</f>
        <v>0</v>
      </c>
    </row>
    <row r="87" spans="1:15" x14ac:dyDescent="0.2">
      <c r="A87" s="90" t="s">
        <v>1154</v>
      </c>
      <c r="B87" s="95"/>
      <c r="C87" s="96" t="e">
        <f ca="1">MOD(VLOOKUP(B88,PlanetData,3,FALSE)+MATCH(B86,INDEX(VimFrac,,VLOOKUP(B88,PlanetData,3,FALSE)+1),1)-1,9)</f>
        <v>#N/A</v>
      </c>
      <c r="D87" s="96" t="e">
        <f ca="1">MOD(VLOOKUP(C88,PlanetData,3,FALSE)+MATCH(C86,INDEX(VimFrac,0,9*C89+VLOOKUP(C88,PlanetData,3,FALSE)+1),IF(C89,-1,1))-1,9)</f>
        <v>#N/A</v>
      </c>
      <c r="E87" s="96" t="e">
        <f ca="1">MOD(VLOOKUP(D88,PlanetData,3,FALSE)+MATCH(D86,INDEX(VimFrac,0,9*D89+VLOOKUP(D88,PlanetData,3,FALSE)+1),IF(D89,-1,1))-1,9)</f>
        <v>#N/A</v>
      </c>
      <c r="F87" s="96" t="e">
        <f ca="1">MOD(VLOOKUP(E88,PlanetData,3,FALSE)+MATCH(E86,INDEX(VimFrac,0,9*E89+VLOOKUP(E88,PlanetData,3,FALSE)+1),IF(E89,-1,1))-1,9)</f>
        <v>#N/A</v>
      </c>
      <c r="G87" s="96" t="e">
        <f ca="1">MOD(VLOOKUP(F88,PlanetData,3,FALSE)+MATCH(F86,INDEX(VimFrac,0,9*F89+VLOOKUP(F88,PlanetData,3,FALSE)+1),IF(F89,-1,1))-1,9)</f>
        <v>#N/A</v>
      </c>
      <c r="H87" s="96" t="e">
        <f ca="1">MOD(VLOOKUP(G88,PlanetData,3,FALSE)+MATCH(G86,INDEX(VimFrac,0,9*G89+VLOOKUP(G88,PlanetData,3,FALSE)+1),IF(G89,-1,1))-1,9)</f>
        <v>#N/A</v>
      </c>
      <c r="I87"/>
      <c r="K87">
        <f>K79</f>
        <v>0</v>
      </c>
    </row>
    <row r="88" spans="1:15" x14ac:dyDescent="0.2">
      <c r="A88" s="90" t="s">
        <v>1155</v>
      </c>
      <c r="B88" s="95" t="str">
        <f>$B$4</f>
        <v>Moon</v>
      </c>
      <c r="C88" s="96" t="e">
        <f t="shared" ref="C88:H88" ca="1" si="19">INDEX(DasaYears,IF(C87=0,9,C87),1)</f>
        <v>#N/A</v>
      </c>
      <c r="D88" s="96" t="e">
        <f t="shared" ca="1" si="19"/>
        <v>#N/A</v>
      </c>
      <c r="E88" s="96" t="e">
        <f t="shared" ca="1" si="19"/>
        <v>#N/A</v>
      </c>
      <c r="F88" s="96" t="e">
        <f t="shared" ca="1" si="19"/>
        <v>#N/A</v>
      </c>
      <c r="G88" s="96" t="e">
        <f t="shared" ca="1" si="19"/>
        <v>#N/A</v>
      </c>
      <c r="H88" s="96" t="e">
        <f t="shared" ca="1" si="19"/>
        <v>#N/A</v>
      </c>
      <c r="I88" s="97">
        <f ca="1">INDIRECT("'JHora'!$B$"&amp;($K88))</f>
        <v>0</v>
      </c>
      <c r="J88" s="97">
        <f ca="1">INDIRECT("'JHora'!$C$"&amp;($K88))</f>
        <v>0</v>
      </c>
      <c r="K88">
        <f>K80+1</f>
        <v>10</v>
      </c>
      <c r="N88" s="97">
        <f>JHora!B89</f>
        <v>0</v>
      </c>
      <c r="O88">
        <f>JHora!C89</f>
        <v>0</v>
      </c>
    </row>
    <row r="89" spans="1:15" x14ac:dyDescent="0.2">
      <c r="A89" s="90" t="s">
        <v>1139</v>
      </c>
      <c r="B89" s="91" t="b">
        <f>$B$7</f>
        <v>1</v>
      </c>
      <c r="C89" s="96" t="e">
        <f ca="1">IF(VLOOKUP(C88,ChartInfo,11,FALSE),1,0)*B89</f>
        <v>#N/A</v>
      </c>
      <c r="D89" s="96" t="e">
        <f ca="1">IF(VLOOKUP(D88,ChartInfo,11,FALSE),1,0)*B89</f>
        <v>#N/A</v>
      </c>
      <c r="E89" s="96" t="e">
        <f ca="1">IF(VLOOKUP(E88,ChartInfo,11,FALSE),1,0)*B89</f>
        <v>#N/A</v>
      </c>
      <c r="F89" s="96" t="e">
        <f ca="1">IF(VLOOKUP(F88,ChartInfo,11,FALSE),1,0)*B89</f>
        <v>#N/A</v>
      </c>
      <c r="G89" s="96" t="e">
        <f ca="1">IF(VLOOKUP(G88,ChartInfo,11,FALSE),1,0)*B89</f>
        <v>#N/A</v>
      </c>
      <c r="H89" s="96" t="e">
        <f ca="1">IF(VLOOKUP(H88,ChartInfo,11,FALSE),1,0)*B89</f>
        <v>#N/A</v>
      </c>
      <c r="I89"/>
      <c r="K89">
        <f>K81</f>
        <v>0</v>
      </c>
    </row>
    <row r="90" spans="1:15" x14ac:dyDescent="0.2">
      <c r="K90">
        <f>K82+1</f>
        <v>10</v>
      </c>
      <c r="N90" s="97">
        <f>JHora!B91</f>
        <v>0</v>
      </c>
      <c r="O90">
        <f>JHora!C91</f>
        <v>0</v>
      </c>
    </row>
    <row r="91" spans="1:15" x14ac:dyDescent="0.2">
      <c r="A91" s="87" t="s">
        <v>1150</v>
      </c>
      <c r="B91" s="88">
        <f>DoB-$E$6*DaysInYear</f>
        <v>22567.7812953188</v>
      </c>
      <c r="C91" s="89" t="e">
        <f ca="1">B91+B93*INDEX(INDEX(VimFrac,,VLOOKUP(B96,PlanetData,3,FALSE)+1),MATCH(B94,INDEX(VimFrac,,VLOOKUP(B96,PlanetData,3,FALSE)+1),1))</f>
        <v>#N/A</v>
      </c>
      <c r="D91" s="89" t="e">
        <f ca="1">C91+C93*INDEX(INDEX(VimFrac,0,9*C97+VLOOKUP(C96,PlanetData,3,FALSE)+1),IF(C97,1,0)+MATCH(C94,INDEX(VimFrac,0,9*C97+VLOOKUP(C96,PlanetData,3,FALSE)+1),IF(C97,-1,1)))</f>
        <v>#N/A</v>
      </c>
      <c r="E91" s="89" t="e">
        <f ca="1">D91+D93*INDEX(INDEX(VimFrac,0,9*D97+VLOOKUP(D96,PlanetData,3,FALSE)+1),IF(D97,1,0)+MATCH(D94,INDEX(VimFrac,0,9*D97+VLOOKUP(D96,PlanetData,3,FALSE)+1),IF(D97,-1,1)))</f>
        <v>#N/A</v>
      </c>
      <c r="F91" s="89" t="e">
        <f ca="1">E91+E93*INDEX(INDEX(VimFrac,0,9*E97+VLOOKUP(E96,PlanetData,3,FALSE)+1),IF(E97,1,0)+MATCH(E94,INDEX(VimFrac,0,9*E97+VLOOKUP(E96,PlanetData,3,FALSE)+1),IF(E97,-1,1)))</f>
        <v>#N/A</v>
      </c>
      <c r="G91" s="89" t="e">
        <f ca="1">F91+F93*INDEX(INDEX(VimFrac,0,9*F97+VLOOKUP(F96,PlanetData,3,FALSE)+1),IF(F97,1,0)+MATCH(F94,INDEX(VimFrac,0,9*F97+VLOOKUP(F96,PlanetData,3,FALSE)+1),IF(F97,-1,1)))</f>
        <v>#N/A</v>
      </c>
      <c r="H91" s="89" t="e">
        <f ca="1">G91+G93*INDEX(INDEX(VimFrac,0,9*G97+VLOOKUP(G96,PlanetData,3,FALSE)+1),IF(G97,1,0)+MATCH(G94,INDEX(VimFrac,0,9*G97+VLOOKUP(G96,PlanetData,3,FALSE)+1),IF(G97,-1,1)))</f>
        <v>#N/A</v>
      </c>
      <c r="J91">
        <f ca="1">J96</f>
        <v>0</v>
      </c>
      <c r="K91">
        <f>K83+1</f>
        <v>11</v>
      </c>
      <c r="N91" s="97">
        <f>JHora!B92</f>
        <v>0</v>
      </c>
      <c r="O91">
        <f>JHora!C92</f>
        <v>0</v>
      </c>
    </row>
    <row r="92" spans="1:15" x14ac:dyDescent="0.2">
      <c r="A92" s="87" t="s">
        <v>1151</v>
      </c>
      <c r="B92" s="88">
        <f>B91+B93</f>
        <v>66398.36601754064</v>
      </c>
      <c r="C92" s="89" t="e">
        <f ca="1">B91+B93*INDEX(INDEX(VimFrac,,VLOOKUP(B96,PlanetData,3,FALSE)+1),MATCH(B94,INDEX(VimFrac,,VLOOKUP(B96,PlanetData,3,FALSE)+1),1)+1)</f>
        <v>#N/A</v>
      </c>
      <c r="D92" s="89" t="e">
        <f ca="1">C91+C93*INDEX(INDEX(VimFrac,0,9*C97+VLOOKUP(C96,PlanetData,3,FALSE)+1),IF(C97,0,1)+MATCH(C94,INDEX(VimFrac,0,9*C97+VLOOKUP(C96,PlanetData,3,FALSE)+1),IF(C97,-1,1)))</f>
        <v>#N/A</v>
      </c>
      <c r="E92" s="89" t="e">
        <f ca="1">D91+D93*INDEX(INDEX(VimFrac,0,9*D97+VLOOKUP(D96,PlanetData,3,FALSE)+1),IF(D97,0,1)+MATCH(D94,INDEX(VimFrac,0,9*D97+VLOOKUP(D96,PlanetData,3,FALSE)+1),IF(D97,-1,1)))</f>
        <v>#N/A</v>
      </c>
      <c r="F92" s="89" t="e">
        <f ca="1">E91+E93*INDEX(INDEX(VimFrac,0,9*E97+VLOOKUP(E96,PlanetData,3,FALSE)+1),IF(E97,0,1)+MATCH(E94,INDEX(VimFrac,0,9*E97+VLOOKUP(E96,PlanetData,3,FALSE)+1),IF(E97,-1,1)))</f>
        <v>#N/A</v>
      </c>
      <c r="G92" s="89" t="e">
        <f ca="1">F91+F93*INDEX(INDEX(VimFrac,0,9*F97+VLOOKUP(F96,PlanetData,3,FALSE)+1),IF(F97,0,1)+MATCH(F94,INDEX(VimFrac,0,9*F97+VLOOKUP(F96,PlanetData,3,FALSE)+1),IF(F97,-1,1)))</f>
        <v>#N/A</v>
      </c>
      <c r="H92" s="89" t="e">
        <f ca="1">G91+G93*INDEX(INDEX(VimFrac,0,9*G97+VLOOKUP(G96,PlanetData,3,FALSE)+1),IF(G97,0,1)+MATCH(G94,INDEX(VimFrac,0,9*G97+VLOOKUP(G96,PlanetData,3,FALSE)+1),IF(G97,-1,1)))</f>
        <v>#N/A</v>
      </c>
      <c r="J92">
        <f ca="1">J96</f>
        <v>0</v>
      </c>
      <c r="K92">
        <f>K84+1</f>
        <v>11</v>
      </c>
      <c r="N92" s="97">
        <f>JHora!B93</f>
        <v>0</v>
      </c>
      <c r="O92">
        <f>JHora!C93</f>
        <v>0</v>
      </c>
    </row>
    <row r="93" spans="1:15" x14ac:dyDescent="0.2">
      <c r="A93" s="90" t="s">
        <v>1152</v>
      </c>
      <c r="B93" s="91">
        <f>120*DaysInYear</f>
        <v>43830.584722221844</v>
      </c>
      <c r="C93" s="92" t="e">
        <f t="shared" ref="C93:H93" ca="1" si="20">C92-C91</f>
        <v>#N/A</v>
      </c>
      <c r="D93" s="92" t="e">
        <f t="shared" ca="1" si="20"/>
        <v>#N/A</v>
      </c>
      <c r="E93" s="92" t="e">
        <f t="shared" ca="1" si="20"/>
        <v>#N/A</v>
      </c>
      <c r="F93" s="92" t="e">
        <f t="shared" ca="1" si="20"/>
        <v>#N/A</v>
      </c>
      <c r="G93" s="92" t="e">
        <f t="shared" ca="1" si="20"/>
        <v>#N/A</v>
      </c>
      <c r="H93" s="92" t="e">
        <f t="shared" ca="1" si="20"/>
        <v>#N/A</v>
      </c>
      <c r="I93"/>
      <c r="K93">
        <f>K85</f>
        <v>0</v>
      </c>
    </row>
    <row r="94" spans="1:15" x14ac:dyDescent="0.2">
      <c r="A94" s="90" t="s">
        <v>1153</v>
      </c>
      <c r="B94" s="93">
        <f ca="1">(I96-B91)/(B92-B91)</f>
        <v>-0.51488661258669155</v>
      </c>
      <c r="C94" s="94" t="e">
        <f ca="1">(I96-C91)/(C92-C91)</f>
        <v>#N/A</v>
      </c>
      <c r="D94" s="94" t="e">
        <f ca="1">(I96-D91)/(D92-D91)</f>
        <v>#N/A</v>
      </c>
      <c r="E94" s="94" t="e">
        <f ca="1">(I96-E91)/(E92-E91)</f>
        <v>#N/A</v>
      </c>
      <c r="F94" s="94" t="e">
        <f ca="1">(I96-F91)/(F92-F91)</f>
        <v>#N/A</v>
      </c>
      <c r="G94" s="94" t="e">
        <f ca="1">(I96-G91)/(G92-G91)</f>
        <v>#N/A</v>
      </c>
      <c r="H94" s="94" t="e">
        <f ca="1">(I96-H91)/(H92-H91)</f>
        <v>#N/A</v>
      </c>
      <c r="I94"/>
      <c r="K94">
        <f>K86</f>
        <v>0</v>
      </c>
    </row>
    <row r="95" spans="1:15" x14ac:dyDescent="0.2">
      <c r="A95" s="90" t="s">
        <v>1154</v>
      </c>
      <c r="B95" s="95"/>
      <c r="C95" s="96" t="e">
        <f ca="1">MOD(VLOOKUP(B96,PlanetData,3,FALSE)+MATCH(B94,INDEX(VimFrac,,VLOOKUP(B96,PlanetData,3,FALSE)+1),1)-1,9)</f>
        <v>#N/A</v>
      </c>
      <c r="D95" s="96" t="e">
        <f ca="1">MOD(VLOOKUP(C96,PlanetData,3,FALSE)+MATCH(C94,INDEX(VimFrac,0,9*C97+VLOOKUP(C96,PlanetData,3,FALSE)+1),IF(C97,-1,1))-1,9)</f>
        <v>#N/A</v>
      </c>
      <c r="E95" s="96" t="e">
        <f ca="1">MOD(VLOOKUP(D96,PlanetData,3,FALSE)+MATCH(D94,INDEX(VimFrac,0,9*D97+VLOOKUP(D96,PlanetData,3,FALSE)+1),IF(D97,-1,1))-1,9)</f>
        <v>#N/A</v>
      </c>
      <c r="F95" s="96" t="e">
        <f ca="1">MOD(VLOOKUP(E96,PlanetData,3,FALSE)+MATCH(E94,INDEX(VimFrac,0,9*E97+VLOOKUP(E96,PlanetData,3,FALSE)+1),IF(E97,-1,1))-1,9)</f>
        <v>#N/A</v>
      </c>
      <c r="G95" s="96" t="e">
        <f ca="1">MOD(VLOOKUP(F96,PlanetData,3,FALSE)+MATCH(F94,INDEX(VimFrac,0,9*F97+VLOOKUP(F96,PlanetData,3,FALSE)+1),IF(F97,-1,1))-1,9)</f>
        <v>#N/A</v>
      </c>
      <c r="H95" s="96" t="e">
        <f ca="1">MOD(VLOOKUP(G96,PlanetData,3,FALSE)+MATCH(G94,INDEX(VimFrac,0,9*G97+VLOOKUP(G96,PlanetData,3,FALSE)+1),IF(G97,-1,1))-1,9)</f>
        <v>#N/A</v>
      </c>
      <c r="I95"/>
      <c r="K95">
        <f>K87</f>
        <v>0</v>
      </c>
    </row>
    <row r="96" spans="1:15" x14ac:dyDescent="0.2">
      <c r="A96" s="90" t="s">
        <v>1155</v>
      </c>
      <c r="B96" s="95" t="str">
        <f>$B$4</f>
        <v>Moon</v>
      </c>
      <c r="C96" s="96" t="e">
        <f t="shared" ref="C96:H96" ca="1" si="21">INDEX(DasaYears,IF(C95=0,9,C95),1)</f>
        <v>#N/A</v>
      </c>
      <c r="D96" s="96" t="e">
        <f t="shared" ca="1" si="21"/>
        <v>#N/A</v>
      </c>
      <c r="E96" s="96" t="e">
        <f t="shared" ca="1" si="21"/>
        <v>#N/A</v>
      </c>
      <c r="F96" s="96" t="e">
        <f t="shared" ca="1" si="21"/>
        <v>#N/A</v>
      </c>
      <c r="G96" s="96" t="e">
        <f t="shared" ca="1" si="21"/>
        <v>#N/A</v>
      </c>
      <c r="H96" s="96" t="e">
        <f t="shared" ca="1" si="21"/>
        <v>#N/A</v>
      </c>
      <c r="I96" s="97">
        <f ca="1">INDIRECT("'JHora'!$B$"&amp;($K96))</f>
        <v>0</v>
      </c>
      <c r="J96" s="97">
        <f ca="1">INDIRECT("'JHora'!$C$"&amp;($K96))</f>
        <v>0</v>
      </c>
      <c r="K96">
        <f>K88+1</f>
        <v>11</v>
      </c>
      <c r="N96" s="97">
        <f>JHora!B97</f>
        <v>0</v>
      </c>
      <c r="O96">
        <f>JHora!C97</f>
        <v>0</v>
      </c>
    </row>
    <row r="97" spans="1:15" x14ac:dyDescent="0.2">
      <c r="A97" s="90" t="s">
        <v>1139</v>
      </c>
      <c r="B97" s="91" t="b">
        <f>$B$7</f>
        <v>1</v>
      </c>
      <c r="C97" s="96" t="e">
        <f ca="1">IF(VLOOKUP(C96,ChartInfo,11,FALSE),1,0)*B97</f>
        <v>#N/A</v>
      </c>
      <c r="D97" s="96" t="e">
        <f ca="1">IF(VLOOKUP(D96,ChartInfo,11,FALSE),1,0)*B97</f>
        <v>#N/A</v>
      </c>
      <c r="E97" s="96" t="e">
        <f ca="1">IF(VLOOKUP(E96,ChartInfo,11,FALSE),1,0)*B97</f>
        <v>#N/A</v>
      </c>
      <c r="F97" s="96" t="e">
        <f ca="1">IF(VLOOKUP(F96,ChartInfo,11,FALSE),1,0)*B97</f>
        <v>#N/A</v>
      </c>
      <c r="G97" s="96" t="e">
        <f ca="1">IF(VLOOKUP(G96,ChartInfo,11,FALSE),1,0)*B97</f>
        <v>#N/A</v>
      </c>
      <c r="H97" s="96" t="e">
        <f ca="1">IF(VLOOKUP(H96,ChartInfo,11,FALSE),1,0)*B97</f>
        <v>#N/A</v>
      </c>
      <c r="I97"/>
      <c r="K97">
        <f>K89</f>
        <v>0</v>
      </c>
    </row>
    <row r="98" spans="1:15" x14ac:dyDescent="0.2">
      <c r="K98">
        <f>K90+1</f>
        <v>11</v>
      </c>
      <c r="N98" s="97">
        <f>JHora!B99</f>
        <v>0</v>
      </c>
      <c r="O98">
        <f>JHora!C99</f>
        <v>0</v>
      </c>
    </row>
    <row r="99" spans="1:15" x14ac:dyDescent="0.2">
      <c r="A99" s="87" t="s">
        <v>1150</v>
      </c>
      <c r="B99" s="88">
        <f>DoB-$E$6*DaysInYear</f>
        <v>22567.7812953188</v>
      </c>
      <c r="C99" s="89" t="e">
        <f ca="1">B99+B101*INDEX(INDEX(VimFrac,,VLOOKUP(B104,PlanetData,3,FALSE)+1),MATCH(B102,INDEX(VimFrac,,VLOOKUP(B104,PlanetData,3,FALSE)+1),1))</f>
        <v>#N/A</v>
      </c>
      <c r="D99" s="89" t="e">
        <f ca="1">C99+C101*INDEX(INDEX(VimFrac,0,9*C105+VLOOKUP(C104,PlanetData,3,FALSE)+1),IF(C105,1,0)+MATCH(C102,INDEX(VimFrac,0,9*C105+VLOOKUP(C104,PlanetData,3,FALSE)+1),IF(C105,-1,1)))</f>
        <v>#N/A</v>
      </c>
      <c r="E99" s="89" t="e">
        <f ca="1">D99+D101*INDEX(INDEX(VimFrac,0,9*D105+VLOOKUP(D104,PlanetData,3,FALSE)+1),IF(D105,1,0)+MATCH(D102,INDEX(VimFrac,0,9*D105+VLOOKUP(D104,PlanetData,3,FALSE)+1),IF(D105,-1,1)))</f>
        <v>#N/A</v>
      </c>
      <c r="F99" s="89" t="e">
        <f ca="1">E99+E101*INDEX(INDEX(VimFrac,0,9*E105+VLOOKUP(E104,PlanetData,3,FALSE)+1),IF(E105,1,0)+MATCH(E102,INDEX(VimFrac,0,9*E105+VLOOKUP(E104,PlanetData,3,FALSE)+1),IF(E105,-1,1)))</f>
        <v>#N/A</v>
      </c>
      <c r="G99" s="89" t="e">
        <f ca="1">F99+F101*INDEX(INDEX(VimFrac,0,9*F105+VLOOKUP(F104,PlanetData,3,FALSE)+1),IF(F105,1,0)+MATCH(F102,INDEX(VimFrac,0,9*F105+VLOOKUP(F104,PlanetData,3,FALSE)+1),IF(F105,-1,1)))</f>
        <v>#N/A</v>
      </c>
      <c r="H99" s="89" t="e">
        <f ca="1">G99+G101*INDEX(INDEX(VimFrac,0,9*G105+VLOOKUP(G104,PlanetData,3,FALSE)+1),IF(G105,1,0)+MATCH(G102,INDEX(VimFrac,0,9*G105+VLOOKUP(G104,PlanetData,3,FALSE)+1),IF(G105,-1,1)))</f>
        <v>#N/A</v>
      </c>
      <c r="J99">
        <f ca="1">J104</f>
        <v>0</v>
      </c>
      <c r="K99">
        <f>K91+1</f>
        <v>12</v>
      </c>
      <c r="N99" s="97">
        <f>JHora!B100</f>
        <v>0</v>
      </c>
      <c r="O99">
        <f>JHora!C100</f>
        <v>0</v>
      </c>
    </row>
    <row r="100" spans="1:15" x14ac:dyDescent="0.2">
      <c r="A100" s="87" t="s">
        <v>1151</v>
      </c>
      <c r="B100" s="88">
        <f>B99+B101</f>
        <v>66398.36601754064</v>
      </c>
      <c r="C100" s="89" t="e">
        <f ca="1">B99+B101*INDEX(INDEX(VimFrac,,VLOOKUP(B104,PlanetData,3,FALSE)+1),MATCH(B102,INDEX(VimFrac,,VLOOKUP(B104,PlanetData,3,FALSE)+1),1)+1)</f>
        <v>#N/A</v>
      </c>
      <c r="D100" s="89" t="e">
        <f ca="1">C99+C101*INDEX(INDEX(VimFrac,0,9*C105+VLOOKUP(C104,PlanetData,3,FALSE)+1),IF(C105,0,1)+MATCH(C102,INDEX(VimFrac,0,9*C105+VLOOKUP(C104,PlanetData,3,FALSE)+1),IF(C105,-1,1)))</f>
        <v>#N/A</v>
      </c>
      <c r="E100" s="89" t="e">
        <f ca="1">D99+D101*INDEX(INDEX(VimFrac,0,9*D105+VLOOKUP(D104,PlanetData,3,FALSE)+1),IF(D105,0,1)+MATCH(D102,INDEX(VimFrac,0,9*D105+VLOOKUP(D104,PlanetData,3,FALSE)+1),IF(D105,-1,1)))</f>
        <v>#N/A</v>
      </c>
      <c r="F100" s="89" t="e">
        <f ca="1">E99+E101*INDEX(INDEX(VimFrac,0,9*E105+VLOOKUP(E104,PlanetData,3,FALSE)+1),IF(E105,0,1)+MATCH(E102,INDEX(VimFrac,0,9*E105+VLOOKUP(E104,PlanetData,3,FALSE)+1),IF(E105,-1,1)))</f>
        <v>#N/A</v>
      </c>
      <c r="G100" s="89" t="e">
        <f ca="1">F99+F101*INDEX(INDEX(VimFrac,0,9*F105+VLOOKUP(F104,PlanetData,3,FALSE)+1),IF(F105,0,1)+MATCH(F102,INDEX(VimFrac,0,9*F105+VLOOKUP(F104,PlanetData,3,FALSE)+1),IF(F105,-1,1)))</f>
        <v>#N/A</v>
      </c>
      <c r="H100" s="89" t="e">
        <f ca="1">G99+G101*INDEX(INDEX(VimFrac,0,9*G105+VLOOKUP(G104,PlanetData,3,FALSE)+1),IF(G105,0,1)+MATCH(G102,INDEX(VimFrac,0,9*G105+VLOOKUP(G104,PlanetData,3,FALSE)+1),IF(G105,-1,1)))</f>
        <v>#N/A</v>
      </c>
      <c r="J100">
        <f ca="1">J104</f>
        <v>0</v>
      </c>
      <c r="K100">
        <f>K92+1</f>
        <v>12</v>
      </c>
      <c r="N100" s="97">
        <f>JHora!B101</f>
        <v>0</v>
      </c>
      <c r="O100">
        <f>JHora!C101</f>
        <v>0</v>
      </c>
    </row>
    <row r="101" spans="1:15" x14ac:dyDescent="0.2">
      <c r="A101" s="90" t="s">
        <v>1152</v>
      </c>
      <c r="B101" s="91">
        <f>120*DaysInYear</f>
        <v>43830.584722221844</v>
      </c>
      <c r="C101" s="92" t="e">
        <f t="shared" ref="C101:H101" ca="1" si="22">C100-C99</f>
        <v>#N/A</v>
      </c>
      <c r="D101" s="92" t="e">
        <f t="shared" ca="1" si="22"/>
        <v>#N/A</v>
      </c>
      <c r="E101" s="92" t="e">
        <f t="shared" ca="1" si="22"/>
        <v>#N/A</v>
      </c>
      <c r="F101" s="92" t="e">
        <f t="shared" ca="1" si="22"/>
        <v>#N/A</v>
      </c>
      <c r="G101" s="92" t="e">
        <f t="shared" ca="1" si="22"/>
        <v>#N/A</v>
      </c>
      <c r="H101" s="92" t="e">
        <f t="shared" ca="1" si="22"/>
        <v>#N/A</v>
      </c>
      <c r="I101"/>
      <c r="K101">
        <f>K93</f>
        <v>0</v>
      </c>
    </row>
    <row r="102" spans="1:15" x14ac:dyDescent="0.2">
      <c r="A102" s="90" t="s">
        <v>1153</v>
      </c>
      <c r="B102" s="93">
        <f ca="1">(I104-B99)/(B100-B99)</f>
        <v>-0.51488661258669155</v>
      </c>
      <c r="C102" s="94" t="e">
        <f ca="1">(I104-C99)/(C100-C99)</f>
        <v>#N/A</v>
      </c>
      <c r="D102" s="94" t="e">
        <f ca="1">(I104-D99)/(D100-D99)</f>
        <v>#N/A</v>
      </c>
      <c r="E102" s="94" t="e">
        <f ca="1">(I104-E99)/(E100-E99)</f>
        <v>#N/A</v>
      </c>
      <c r="F102" s="94" t="e">
        <f ca="1">(I104-F99)/(F100-F99)</f>
        <v>#N/A</v>
      </c>
      <c r="G102" s="94" t="e">
        <f ca="1">(I104-G99)/(G100-G99)</f>
        <v>#N/A</v>
      </c>
      <c r="H102" s="94" t="e">
        <f ca="1">(I104-H99)/(H100-H99)</f>
        <v>#N/A</v>
      </c>
      <c r="I102"/>
      <c r="K102">
        <f>K94</f>
        <v>0</v>
      </c>
    </row>
    <row r="103" spans="1:15" x14ac:dyDescent="0.2">
      <c r="A103" s="90" t="s">
        <v>1154</v>
      </c>
      <c r="B103" s="95"/>
      <c r="C103" s="96" t="e">
        <f ca="1">MOD(VLOOKUP(B104,PlanetData,3,FALSE)+MATCH(B102,INDEX(VimFrac,,VLOOKUP(B104,PlanetData,3,FALSE)+1),1)-1,9)</f>
        <v>#N/A</v>
      </c>
      <c r="D103" s="96" t="e">
        <f ca="1">MOD(VLOOKUP(C104,PlanetData,3,FALSE)+MATCH(C102,INDEX(VimFrac,0,9*C105+VLOOKUP(C104,PlanetData,3,FALSE)+1),IF(C105,-1,1))-1,9)</f>
        <v>#N/A</v>
      </c>
      <c r="E103" s="96" t="e">
        <f ca="1">MOD(VLOOKUP(D104,PlanetData,3,FALSE)+MATCH(D102,INDEX(VimFrac,0,9*D105+VLOOKUP(D104,PlanetData,3,FALSE)+1),IF(D105,-1,1))-1,9)</f>
        <v>#N/A</v>
      </c>
      <c r="F103" s="96" t="e">
        <f ca="1">MOD(VLOOKUP(E104,PlanetData,3,FALSE)+MATCH(E102,INDEX(VimFrac,0,9*E105+VLOOKUP(E104,PlanetData,3,FALSE)+1),IF(E105,-1,1))-1,9)</f>
        <v>#N/A</v>
      </c>
      <c r="G103" s="96" t="e">
        <f ca="1">MOD(VLOOKUP(F104,PlanetData,3,FALSE)+MATCH(F102,INDEX(VimFrac,0,9*F105+VLOOKUP(F104,PlanetData,3,FALSE)+1),IF(F105,-1,1))-1,9)</f>
        <v>#N/A</v>
      </c>
      <c r="H103" s="96" t="e">
        <f ca="1">MOD(VLOOKUP(G104,PlanetData,3,FALSE)+MATCH(G102,INDEX(VimFrac,0,9*G105+VLOOKUP(G104,PlanetData,3,FALSE)+1),IF(G105,-1,1))-1,9)</f>
        <v>#N/A</v>
      </c>
      <c r="I103"/>
      <c r="K103">
        <f>K95</f>
        <v>0</v>
      </c>
    </row>
    <row r="104" spans="1:15" x14ac:dyDescent="0.2">
      <c r="A104" s="90" t="s">
        <v>1155</v>
      </c>
      <c r="B104" s="95" t="str">
        <f>$B$4</f>
        <v>Moon</v>
      </c>
      <c r="C104" s="96" t="e">
        <f t="shared" ref="C104:H104" ca="1" si="23">INDEX(DasaYears,IF(C103=0,9,C103),1)</f>
        <v>#N/A</v>
      </c>
      <c r="D104" s="96" t="e">
        <f t="shared" ca="1" si="23"/>
        <v>#N/A</v>
      </c>
      <c r="E104" s="96" t="e">
        <f t="shared" ca="1" si="23"/>
        <v>#N/A</v>
      </c>
      <c r="F104" s="96" t="e">
        <f t="shared" ca="1" si="23"/>
        <v>#N/A</v>
      </c>
      <c r="G104" s="96" t="e">
        <f t="shared" ca="1" si="23"/>
        <v>#N/A</v>
      </c>
      <c r="H104" s="96" t="e">
        <f t="shared" ca="1" si="23"/>
        <v>#N/A</v>
      </c>
      <c r="I104" s="97">
        <f ca="1">INDIRECT("'JHora'!$B$"&amp;($K104))</f>
        <v>0</v>
      </c>
      <c r="J104" s="97">
        <f ca="1">INDIRECT("'JHora'!$C$"&amp;($K104))</f>
        <v>0</v>
      </c>
      <c r="K104">
        <f>K96+1</f>
        <v>12</v>
      </c>
      <c r="N104" s="97">
        <f>JHora!B105</f>
        <v>0</v>
      </c>
      <c r="O104">
        <f>JHora!C105</f>
        <v>0</v>
      </c>
    </row>
    <row r="105" spans="1:15" x14ac:dyDescent="0.2">
      <c r="A105" s="90" t="s">
        <v>1139</v>
      </c>
      <c r="B105" s="91" t="b">
        <f>$B$7</f>
        <v>1</v>
      </c>
      <c r="C105" s="96" t="e">
        <f ca="1">IF(VLOOKUP(C104,ChartInfo,11,FALSE),1,0)*B105</f>
        <v>#N/A</v>
      </c>
      <c r="D105" s="96" t="e">
        <f ca="1">IF(VLOOKUP(D104,ChartInfo,11,FALSE),1,0)*B105</f>
        <v>#N/A</v>
      </c>
      <c r="E105" s="96" t="e">
        <f ca="1">IF(VLOOKUP(E104,ChartInfo,11,FALSE),1,0)*B105</f>
        <v>#N/A</v>
      </c>
      <c r="F105" s="96" t="e">
        <f ca="1">IF(VLOOKUP(F104,ChartInfo,11,FALSE),1,0)*B105</f>
        <v>#N/A</v>
      </c>
      <c r="G105" s="96" t="e">
        <f ca="1">IF(VLOOKUP(G104,ChartInfo,11,FALSE),1,0)*B105</f>
        <v>#N/A</v>
      </c>
      <c r="H105" s="96" t="e">
        <f ca="1">IF(VLOOKUP(H104,ChartInfo,11,FALSE),1,0)*B105</f>
        <v>#N/A</v>
      </c>
      <c r="I105"/>
      <c r="K105">
        <f>K97</f>
        <v>0</v>
      </c>
    </row>
    <row r="106" spans="1:15" x14ac:dyDescent="0.2">
      <c r="K106">
        <f>K98+1</f>
        <v>12</v>
      </c>
      <c r="N106" s="97">
        <f>JHora!B107</f>
        <v>0</v>
      </c>
      <c r="O106">
        <f>JHora!C107</f>
        <v>0</v>
      </c>
    </row>
    <row r="107" spans="1:15" x14ac:dyDescent="0.2">
      <c r="A107" s="87" t="s">
        <v>1150</v>
      </c>
      <c r="B107" s="88">
        <f>DoB-$E$6*DaysInYear</f>
        <v>22567.7812953188</v>
      </c>
      <c r="C107" s="89" t="e">
        <f ca="1">B107+B109*INDEX(INDEX(VimFrac,,VLOOKUP(B112,PlanetData,3,FALSE)+1),MATCH(B110,INDEX(VimFrac,,VLOOKUP(B112,PlanetData,3,FALSE)+1),1))</f>
        <v>#N/A</v>
      </c>
      <c r="D107" s="89" t="e">
        <f ca="1">C107+C109*INDEX(INDEX(VimFrac,0,9*C113+VLOOKUP(C112,PlanetData,3,FALSE)+1),IF(C113,1,0)+MATCH(C110,INDEX(VimFrac,0,9*C113+VLOOKUP(C112,PlanetData,3,FALSE)+1),IF(C113,-1,1)))</f>
        <v>#N/A</v>
      </c>
      <c r="E107" s="89" t="e">
        <f ca="1">D107+D109*INDEX(INDEX(VimFrac,0,9*D113+VLOOKUP(D112,PlanetData,3,FALSE)+1),IF(D113,1,0)+MATCH(D110,INDEX(VimFrac,0,9*D113+VLOOKUP(D112,PlanetData,3,FALSE)+1),IF(D113,-1,1)))</f>
        <v>#N/A</v>
      </c>
      <c r="F107" s="89" t="e">
        <f ca="1">E107+E109*INDEX(INDEX(VimFrac,0,9*E113+VLOOKUP(E112,PlanetData,3,FALSE)+1),IF(E113,1,0)+MATCH(E110,INDEX(VimFrac,0,9*E113+VLOOKUP(E112,PlanetData,3,FALSE)+1),IF(E113,-1,1)))</f>
        <v>#N/A</v>
      </c>
      <c r="G107" s="89" t="e">
        <f ca="1">F107+F109*INDEX(INDEX(VimFrac,0,9*F113+VLOOKUP(F112,PlanetData,3,FALSE)+1),IF(F113,1,0)+MATCH(F110,INDEX(VimFrac,0,9*F113+VLOOKUP(F112,PlanetData,3,FALSE)+1),IF(F113,-1,1)))</f>
        <v>#N/A</v>
      </c>
      <c r="H107" s="89" t="e">
        <f ca="1">G107+G109*INDEX(INDEX(VimFrac,0,9*G113+VLOOKUP(G112,PlanetData,3,FALSE)+1),IF(G113,1,0)+MATCH(G110,INDEX(VimFrac,0,9*G113+VLOOKUP(G112,PlanetData,3,FALSE)+1),IF(G113,-1,1)))</f>
        <v>#N/A</v>
      </c>
      <c r="J107">
        <f ca="1">J112</f>
        <v>0</v>
      </c>
      <c r="K107">
        <f>K99+1</f>
        <v>13</v>
      </c>
      <c r="N107" s="97">
        <f>JHora!B108</f>
        <v>0</v>
      </c>
      <c r="O107">
        <f>JHora!C108</f>
        <v>0</v>
      </c>
    </row>
    <row r="108" spans="1:15" x14ac:dyDescent="0.2">
      <c r="A108" s="87" t="s">
        <v>1151</v>
      </c>
      <c r="B108" s="88">
        <f>B107+B109</f>
        <v>66398.36601754064</v>
      </c>
      <c r="C108" s="89" t="e">
        <f ca="1">B107+B109*INDEX(INDEX(VimFrac,,VLOOKUP(B112,PlanetData,3,FALSE)+1),MATCH(B110,INDEX(VimFrac,,VLOOKUP(B112,PlanetData,3,FALSE)+1),1)+1)</f>
        <v>#N/A</v>
      </c>
      <c r="D108" s="89" t="e">
        <f ca="1">C107+C109*INDEX(INDEX(VimFrac,0,9*C113+VLOOKUP(C112,PlanetData,3,FALSE)+1),IF(C113,0,1)+MATCH(C110,INDEX(VimFrac,0,9*C113+VLOOKUP(C112,PlanetData,3,FALSE)+1),IF(C113,-1,1)))</f>
        <v>#N/A</v>
      </c>
      <c r="E108" s="89" t="e">
        <f ca="1">D107+D109*INDEX(INDEX(VimFrac,0,9*D113+VLOOKUP(D112,PlanetData,3,FALSE)+1),IF(D113,0,1)+MATCH(D110,INDEX(VimFrac,0,9*D113+VLOOKUP(D112,PlanetData,3,FALSE)+1),IF(D113,-1,1)))</f>
        <v>#N/A</v>
      </c>
      <c r="F108" s="89" t="e">
        <f ca="1">E107+E109*INDEX(INDEX(VimFrac,0,9*E113+VLOOKUP(E112,PlanetData,3,FALSE)+1),IF(E113,0,1)+MATCH(E110,INDEX(VimFrac,0,9*E113+VLOOKUP(E112,PlanetData,3,FALSE)+1),IF(E113,-1,1)))</f>
        <v>#N/A</v>
      </c>
      <c r="G108" s="89" t="e">
        <f ca="1">F107+F109*INDEX(INDEX(VimFrac,0,9*F113+VLOOKUP(F112,PlanetData,3,FALSE)+1),IF(F113,0,1)+MATCH(F110,INDEX(VimFrac,0,9*F113+VLOOKUP(F112,PlanetData,3,FALSE)+1),IF(F113,-1,1)))</f>
        <v>#N/A</v>
      </c>
      <c r="H108" s="89" t="e">
        <f ca="1">G107+G109*INDEX(INDEX(VimFrac,0,9*G113+VLOOKUP(G112,PlanetData,3,FALSE)+1),IF(G113,0,1)+MATCH(G110,INDEX(VimFrac,0,9*G113+VLOOKUP(G112,PlanetData,3,FALSE)+1),IF(G113,-1,1)))</f>
        <v>#N/A</v>
      </c>
      <c r="J108">
        <f ca="1">J112</f>
        <v>0</v>
      </c>
      <c r="K108">
        <f>K100+1</f>
        <v>13</v>
      </c>
      <c r="N108" s="97">
        <f>JHora!B109</f>
        <v>0</v>
      </c>
      <c r="O108">
        <f>JHora!C109</f>
        <v>0</v>
      </c>
    </row>
    <row r="109" spans="1:15" x14ac:dyDescent="0.2">
      <c r="A109" s="90" t="s">
        <v>1152</v>
      </c>
      <c r="B109" s="91">
        <f>120*DaysInYear</f>
        <v>43830.584722221844</v>
      </c>
      <c r="C109" s="92" t="e">
        <f t="shared" ref="C109:H109" ca="1" si="24">C108-C107</f>
        <v>#N/A</v>
      </c>
      <c r="D109" s="92" t="e">
        <f t="shared" ca="1" si="24"/>
        <v>#N/A</v>
      </c>
      <c r="E109" s="92" t="e">
        <f t="shared" ca="1" si="24"/>
        <v>#N/A</v>
      </c>
      <c r="F109" s="92" t="e">
        <f t="shared" ca="1" si="24"/>
        <v>#N/A</v>
      </c>
      <c r="G109" s="92" t="e">
        <f t="shared" ca="1" si="24"/>
        <v>#N/A</v>
      </c>
      <c r="H109" s="92" t="e">
        <f t="shared" ca="1" si="24"/>
        <v>#N/A</v>
      </c>
      <c r="I109"/>
      <c r="K109">
        <f>K101</f>
        <v>0</v>
      </c>
    </row>
    <row r="110" spans="1:15" x14ac:dyDescent="0.2">
      <c r="A110" s="90" t="s">
        <v>1153</v>
      </c>
      <c r="B110" s="93">
        <f ca="1">(I112-B107)/(B108-B107)</f>
        <v>-0.51488661258669155</v>
      </c>
      <c r="C110" s="94" t="e">
        <f ca="1">(I112-C107)/(C108-C107)</f>
        <v>#N/A</v>
      </c>
      <c r="D110" s="94" t="e">
        <f ca="1">(I112-D107)/(D108-D107)</f>
        <v>#N/A</v>
      </c>
      <c r="E110" s="94" t="e">
        <f ca="1">(I112-E107)/(E108-E107)</f>
        <v>#N/A</v>
      </c>
      <c r="F110" s="94" t="e">
        <f ca="1">(I112-F107)/(F108-F107)</f>
        <v>#N/A</v>
      </c>
      <c r="G110" s="94" t="e">
        <f ca="1">(I112-G107)/(G108-G107)</f>
        <v>#N/A</v>
      </c>
      <c r="H110" s="94" t="e">
        <f ca="1">(I112-H107)/(H108-H107)</f>
        <v>#N/A</v>
      </c>
      <c r="I110"/>
      <c r="K110">
        <f>K102</f>
        <v>0</v>
      </c>
    </row>
    <row r="111" spans="1:15" x14ac:dyDescent="0.2">
      <c r="A111" s="90" t="s">
        <v>1154</v>
      </c>
      <c r="B111" s="95"/>
      <c r="C111" s="96" t="e">
        <f ca="1">MOD(VLOOKUP(B112,PlanetData,3,FALSE)+MATCH(B110,INDEX(VimFrac,,VLOOKUP(B112,PlanetData,3,FALSE)+1),1)-1,9)</f>
        <v>#N/A</v>
      </c>
      <c r="D111" s="96" t="e">
        <f ca="1">MOD(VLOOKUP(C112,PlanetData,3,FALSE)+MATCH(C110,INDEX(VimFrac,0,9*C113+VLOOKUP(C112,PlanetData,3,FALSE)+1),IF(C113,-1,1))-1,9)</f>
        <v>#N/A</v>
      </c>
      <c r="E111" s="96" t="e">
        <f ca="1">MOD(VLOOKUP(D112,PlanetData,3,FALSE)+MATCH(D110,INDEX(VimFrac,0,9*D113+VLOOKUP(D112,PlanetData,3,FALSE)+1),IF(D113,-1,1))-1,9)</f>
        <v>#N/A</v>
      </c>
      <c r="F111" s="96" t="e">
        <f ca="1">MOD(VLOOKUP(E112,PlanetData,3,FALSE)+MATCH(E110,INDEX(VimFrac,0,9*E113+VLOOKUP(E112,PlanetData,3,FALSE)+1),IF(E113,-1,1))-1,9)</f>
        <v>#N/A</v>
      </c>
      <c r="G111" s="96" t="e">
        <f ca="1">MOD(VLOOKUP(F112,PlanetData,3,FALSE)+MATCH(F110,INDEX(VimFrac,0,9*F113+VLOOKUP(F112,PlanetData,3,FALSE)+1),IF(F113,-1,1))-1,9)</f>
        <v>#N/A</v>
      </c>
      <c r="H111" s="96" t="e">
        <f ca="1">MOD(VLOOKUP(G112,PlanetData,3,FALSE)+MATCH(G110,INDEX(VimFrac,0,9*G113+VLOOKUP(G112,PlanetData,3,FALSE)+1),IF(G113,-1,1))-1,9)</f>
        <v>#N/A</v>
      </c>
      <c r="I111"/>
      <c r="K111">
        <f>K103</f>
        <v>0</v>
      </c>
    </row>
    <row r="112" spans="1:15" x14ac:dyDescent="0.2">
      <c r="A112" s="90" t="s">
        <v>1155</v>
      </c>
      <c r="B112" s="95" t="str">
        <f>$B$4</f>
        <v>Moon</v>
      </c>
      <c r="C112" s="96" t="e">
        <f t="shared" ref="C112:H112" ca="1" si="25">INDEX(DasaYears,IF(C111=0,9,C111),1)</f>
        <v>#N/A</v>
      </c>
      <c r="D112" s="96" t="e">
        <f t="shared" ca="1" si="25"/>
        <v>#N/A</v>
      </c>
      <c r="E112" s="96" t="e">
        <f t="shared" ca="1" si="25"/>
        <v>#N/A</v>
      </c>
      <c r="F112" s="96" t="e">
        <f t="shared" ca="1" si="25"/>
        <v>#N/A</v>
      </c>
      <c r="G112" s="96" t="e">
        <f t="shared" ca="1" si="25"/>
        <v>#N/A</v>
      </c>
      <c r="H112" s="96" t="e">
        <f t="shared" ca="1" si="25"/>
        <v>#N/A</v>
      </c>
      <c r="I112" s="97">
        <f ca="1">INDIRECT("'JHora'!$B$"&amp;($K112))</f>
        <v>0</v>
      </c>
      <c r="J112" s="97">
        <f ca="1">INDIRECT("'JHora'!$C$"&amp;($K112))</f>
        <v>0</v>
      </c>
      <c r="K112">
        <f>K104+1</f>
        <v>13</v>
      </c>
      <c r="N112" s="97">
        <f>JHora!B113</f>
        <v>0</v>
      </c>
      <c r="O112">
        <f>JHora!C113</f>
        <v>0</v>
      </c>
    </row>
    <row r="113" spans="1:15" x14ac:dyDescent="0.2">
      <c r="A113" s="90" t="s">
        <v>1139</v>
      </c>
      <c r="B113" s="91" t="b">
        <f>$B$7</f>
        <v>1</v>
      </c>
      <c r="C113" s="96" t="e">
        <f ca="1">IF(VLOOKUP(C112,ChartInfo,11,FALSE),1,0)*B113</f>
        <v>#N/A</v>
      </c>
      <c r="D113" s="96" t="e">
        <f ca="1">IF(VLOOKUP(D112,ChartInfo,11,FALSE),1,0)*B113</f>
        <v>#N/A</v>
      </c>
      <c r="E113" s="96" t="e">
        <f ca="1">IF(VLOOKUP(E112,ChartInfo,11,FALSE),1,0)*B113</f>
        <v>#N/A</v>
      </c>
      <c r="F113" s="96" t="e">
        <f ca="1">IF(VLOOKUP(F112,ChartInfo,11,FALSE),1,0)*B113</f>
        <v>#N/A</v>
      </c>
      <c r="G113" s="96" t="e">
        <f ca="1">IF(VLOOKUP(G112,ChartInfo,11,FALSE),1,0)*B113</f>
        <v>#N/A</v>
      </c>
      <c r="H113" s="96" t="e">
        <f ca="1">IF(VLOOKUP(H112,ChartInfo,11,FALSE),1,0)*B113</f>
        <v>#N/A</v>
      </c>
      <c r="I113"/>
      <c r="K113">
        <f>K105</f>
        <v>0</v>
      </c>
    </row>
    <row r="114" spans="1:15" x14ac:dyDescent="0.2">
      <c r="K114">
        <f>K106+1</f>
        <v>13</v>
      </c>
      <c r="N114" s="97">
        <f>JHora!B115</f>
        <v>0</v>
      </c>
      <c r="O114">
        <f>JHora!C115</f>
        <v>0</v>
      </c>
    </row>
    <row r="115" spans="1:15" x14ac:dyDescent="0.2">
      <c r="A115" s="87" t="s">
        <v>1150</v>
      </c>
      <c r="B115" s="88">
        <f>DoB-$E$6*DaysInYear</f>
        <v>22567.7812953188</v>
      </c>
      <c r="C115" s="89" t="e">
        <f ca="1">B115+B117*INDEX(INDEX(VimFrac,,VLOOKUP(B120,PlanetData,3,FALSE)+1),MATCH(B118,INDEX(VimFrac,,VLOOKUP(B120,PlanetData,3,FALSE)+1),1))</f>
        <v>#N/A</v>
      </c>
      <c r="D115" s="89" t="e">
        <f ca="1">C115+C117*INDEX(INDEX(VimFrac,0,9*C121+VLOOKUP(C120,PlanetData,3,FALSE)+1),IF(C121,1,0)+MATCH(C118,INDEX(VimFrac,0,9*C121+VLOOKUP(C120,PlanetData,3,FALSE)+1),IF(C121,-1,1)))</f>
        <v>#N/A</v>
      </c>
      <c r="E115" s="89" t="e">
        <f ca="1">D115+D117*INDEX(INDEX(VimFrac,0,9*D121+VLOOKUP(D120,PlanetData,3,FALSE)+1),IF(D121,1,0)+MATCH(D118,INDEX(VimFrac,0,9*D121+VLOOKUP(D120,PlanetData,3,FALSE)+1),IF(D121,-1,1)))</f>
        <v>#N/A</v>
      </c>
      <c r="F115" s="89" t="e">
        <f ca="1">E115+E117*INDEX(INDEX(VimFrac,0,9*E121+VLOOKUP(E120,PlanetData,3,FALSE)+1),IF(E121,1,0)+MATCH(E118,INDEX(VimFrac,0,9*E121+VLOOKUP(E120,PlanetData,3,FALSE)+1),IF(E121,-1,1)))</f>
        <v>#N/A</v>
      </c>
      <c r="G115" s="89" t="e">
        <f ca="1">F115+F117*INDEX(INDEX(VimFrac,0,9*F121+VLOOKUP(F120,PlanetData,3,FALSE)+1),IF(F121,1,0)+MATCH(F118,INDEX(VimFrac,0,9*F121+VLOOKUP(F120,PlanetData,3,FALSE)+1),IF(F121,-1,1)))</f>
        <v>#N/A</v>
      </c>
      <c r="H115" s="89" t="e">
        <f ca="1">G115+G117*INDEX(INDEX(VimFrac,0,9*G121+VLOOKUP(G120,PlanetData,3,FALSE)+1),IF(G121,1,0)+MATCH(G118,INDEX(VimFrac,0,9*G121+VLOOKUP(G120,PlanetData,3,FALSE)+1),IF(G121,-1,1)))</f>
        <v>#N/A</v>
      </c>
      <c r="J115">
        <f ca="1">J120</f>
        <v>0</v>
      </c>
      <c r="K115">
        <f>K107+1</f>
        <v>14</v>
      </c>
      <c r="N115" s="97">
        <f>JHora!B116</f>
        <v>0</v>
      </c>
      <c r="O115">
        <f>JHora!C116</f>
        <v>0</v>
      </c>
    </row>
    <row r="116" spans="1:15" x14ac:dyDescent="0.2">
      <c r="A116" s="87" t="s">
        <v>1151</v>
      </c>
      <c r="B116" s="88">
        <f>B115+B117</f>
        <v>66398.36601754064</v>
      </c>
      <c r="C116" s="89" t="e">
        <f ca="1">B115+B117*INDEX(INDEX(VimFrac,,VLOOKUP(B120,PlanetData,3,FALSE)+1),MATCH(B118,INDEX(VimFrac,,VLOOKUP(B120,PlanetData,3,FALSE)+1),1)+1)</f>
        <v>#N/A</v>
      </c>
      <c r="D116" s="89" t="e">
        <f ca="1">C115+C117*INDEX(INDEX(VimFrac,0,9*C121+VLOOKUP(C120,PlanetData,3,FALSE)+1),IF(C121,0,1)+MATCH(C118,INDEX(VimFrac,0,9*C121+VLOOKUP(C120,PlanetData,3,FALSE)+1),IF(C121,-1,1)))</f>
        <v>#N/A</v>
      </c>
      <c r="E116" s="89" t="e">
        <f ca="1">D115+D117*INDEX(INDEX(VimFrac,0,9*D121+VLOOKUP(D120,PlanetData,3,FALSE)+1),IF(D121,0,1)+MATCH(D118,INDEX(VimFrac,0,9*D121+VLOOKUP(D120,PlanetData,3,FALSE)+1),IF(D121,-1,1)))</f>
        <v>#N/A</v>
      </c>
      <c r="F116" s="89" t="e">
        <f ca="1">E115+E117*INDEX(INDEX(VimFrac,0,9*E121+VLOOKUP(E120,PlanetData,3,FALSE)+1),IF(E121,0,1)+MATCH(E118,INDEX(VimFrac,0,9*E121+VLOOKUP(E120,PlanetData,3,FALSE)+1),IF(E121,-1,1)))</f>
        <v>#N/A</v>
      </c>
      <c r="G116" s="89" t="e">
        <f ca="1">F115+F117*INDEX(INDEX(VimFrac,0,9*F121+VLOOKUP(F120,PlanetData,3,FALSE)+1),IF(F121,0,1)+MATCH(F118,INDEX(VimFrac,0,9*F121+VLOOKUP(F120,PlanetData,3,FALSE)+1),IF(F121,-1,1)))</f>
        <v>#N/A</v>
      </c>
      <c r="H116" s="89" t="e">
        <f ca="1">G115+G117*INDEX(INDEX(VimFrac,0,9*G121+VLOOKUP(G120,PlanetData,3,FALSE)+1),IF(G121,0,1)+MATCH(G118,INDEX(VimFrac,0,9*G121+VLOOKUP(G120,PlanetData,3,FALSE)+1),IF(G121,-1,1)))</f>
        <v>#N/A</v>
      </c>
      <c r="J116">
        <f ca="1">J120</f>
        <v>0</v>
      </c>
      <c r="K116">
        <f>K108+1</f>
        <v>14</v>
      </c>
      <c r="N116" s="97">
        <f>JHora!B117</f>
        <v>0</v>
      </c>
      <c r="O116">
        <f>JHora!C117</f>
        <v>0</v>
      </c>
    </row>
    <row r="117" spans="1:15" x14ac:dyDescent="0.2">
      <c r="A117" s="90" t="s">
        <v>1152</v>
      </c>
      <c r="B117" s="91">
        <f>120*DaysInYear</f>
        <v>43830.584722221844</v>
      </c>
      <c r="C117" s="92" t="e">
        <f t="shared" ref="C117:H117" ca="1" si="26">C116-C115</f>
        <v>#N/A</v>
      </c>
      <c r="D117" s="92" t="e">
        <f t="shared" ca="1" si="26"/>
        <v>#N/A</v>
      </c>
      <c r="E117" s="92" t="e">
        <f t="shared" ca="1" si="26"/>
        <v>#N/A</v>
      </c>
      <c r="F117" s="92" t="e">
        <f t="shared" ca="1" si="26"/>
        <v>#N/A</v>
      </c>
      <c r="G117" s="92" t="e">
        <f t="shared" ca="1" si="26"/>
        <v>#N/A</v>
      </c>
      <c r="H117" s="92" t="e">
        <f t="shared" ca="1" si="26"/>
        <v>#N/A</v>
      </c>
      <c r="I117"/>
      <c r="K117">
        <f>K109</f>
        <v>0</v>
      </c>
    </row>
    <row r="118" spans="1:15" x14ac:dyDescent="0.2">
      <c r="A118" s="90" t="s">
        <v>1153</v>
      </c>
      <c r="B118" s="93">
        <f ca="1">(I120-B115)/(B116-B115)</f>
        <v>-0.51488661258669155</v>
      </c>
      <c r="C118" s="94" t="e">
        <f ca="1">(I120-C115)/(C116-C115)</f>
        <v>#N/A</v>
      </c>
      <c r="D118" s="94" t="e">
        <f ca="1">(I120-D115)/(D116-D115)</f>
        <v>#N/A</v>
      </c>
      <c r="E118" s="94" t="e">
        <f ca="1">(I120-E115)/(E116-E115)</f>
        <v>#N/A</v>
      </c>
      <c r="F118" s="94" t="e">
        <f ca="1">(I120-F115)/(F116-F115)</f>
        <v>#N/A</v>
      </c>
      <c r="G118" s="94" t="e">
        <f ca="1">(I120-G115)/(G116-G115)</f>
        <v>#N/A</v>
      </c>
      <c r="H118" s="94" t="e">
        <f ca="1">(I120-H115)/(H116-H115)</f>
        <v>#N/A</v>
      </c>
      <c r="I118"/>
      <c r="K118">
        <f>K110</f>
        <v>0</v>
      </c>
    </row>
    <row r="119" spans="1:15" x14ac:dyDescent="0.2">
      <c r="A119" s="90" t="s">
        <v>1154</v>
      </c>
      <c r="B119" s="95"/>
      <c r="C119" s="96" t="e">
        <f ca="1">MOD(VLOOKUP(B120,PlanetData,3,FALSE)+MATCH(B118,INDEX(VimFrac,,VLOOKUP(B120,PlanetData,3,FALSE)+1),1)-1,9)</f>
        <v>#N/A</v>
      </c>
      <c r="D119" s="96" t="e">
        <f ca="1">MOD(VLOOKUP(C120,PlanetData,3,FALSE)+MATCH(C118,INDEX(VimFrac,0,9*C121+VLOOKUP(C120,PlanetData,3,FALSE)+1),IF(C121,-1,1))-1,9)</f>
        <v>#N/A</v>
      </c>
      <c r="E119" s="96" t="e">
        <f ca="1">MOD(VLOOKUP(D120,PlanetData,3,FALSE)+MATCH(D118,INDEX(VimFrac,0,9*D121+VLOOKUP(D120,PlanetData,3,FALSE)+1),IF(D121,-1,1))-1,9)</f>
        <v>#N/A</v>
      </c>
      <c r="F119" s="96" t="e">
        <f ca="1">MOD(VLOOKUP(E120,PlanetData,3,FALSE)+MATCH(E118,INDEX(VimFrac,0,9*E121+VLOOKUP(E120,PlanetData,3,FALSE)+1),IF(E121,-1,1))-1,9)</f>
        <v>#N/A</v>
      </c>
      <c r="G119" s="96" t="e">
        <f ca="1">MOD(VLOOKUP(F120,PlanetData,3,FALSE)+MATCH(F118,INDEX(VimFrac,0,9*F121+VLOOKUP(F120,PlanetData,3,FALSE)+1),IF(F121,-1,1))-1,9)</f>
        <v>#N/A</v>
      </c>
      <c r="H119" s="96" t="e">
        <f ca="1">MOD(VLOOKUP(G120,PlanetData,3,FALSE)+MATCH(G118,INDEX(VimFrac,0,9*G121+VLOOKUP(G120,PlanetData,3,FALSE)+1),IF(G121,-1,1))-1,9)</f>
        <v>#N/A</v>
      </c>
      <c r="I119"/>
      <c r="K119">
        <f>K111</f>
        <v>0</v>
      </c>
    </row>
    <row r="120" spans="1:15" x14ac:dyDescent="0.2">
      <c r="A120" s="90" t="s">
        <v>1155</v>
      </c>
      <c r="B120" s="95" t="str">
        <f>$B$4</f>
        <v>Moon</v>
      </c>
      <c r="C120" s="96" t="e">
        <f t="shared" ref="C120:H120" ca="1" si="27">INDEX(DasaYears,IF(C119=0,9,C119),1)</f>
        <v>#N/A</v>
      </c>
      <c r="D120" s="96" t="e">
        <f t="shared" ca="1" si="27"/>
        <v>#N/A</v>
      </c>
      <c r="E120" s="96" t="e">
        <f t="shared" ca="1" si="27"/>
        <v>#N/A</v>
      </c>
      <c r="F120" s="96" t="e">
        <f t="shared" ca="1" si="27"/>
        <v>#N/A</v>
      </c>
      <c r="G120" s="96" t="e">
        <f t="shared" ca="1" si="27"/>
        <v>#N/A</v>
      </c>
      <c r="H120" s="96" t="e">
        <f t="shared" ca="1" si="27"/>
        <v>#N/A</v>
      </c>
      <c r="I120" s="97">
        <f ca="1">INDIRECT("'JHora'!$B$"&amp;($K120))</f>
        <v>0</v>
      </c>
      <c r="J120" s="97">
        <f ca="1">INDIRECT("'JHora'!$C$"&amp;($K120))</f>
        <v>0</v>
      </c>
      <c r="K120">
        <f>K112+1</f>
        <v>14</v>
      </c>
      <c r="N120" s="97">
        <f>JHora!B121</f>
        <v>0</v>
      </c>
      <c r="O120">
        <f>JHora!C121</f>
        <v>0</v>
      </c>
    </row>
    <row r="121" spans="1:15" x14ac:dyDescent="0.2">
      <c r="A121" s="90" t="s">
        <v>1139</v>
      </c>
      <c r="B121" s="91" t="b">
        <f>$B$7</f>
        <v>1</v>
      </c>
      <c r="C121" s="96" t="e">
        <f ca="1">IF(VLOOKUP(C120,ChartInfo,11,FALSE),1,0)*B121</f>
        <v>#N/A</v>
      </c>
      <c r="D121" s="96" t="e">
        <f ca="1">IF(VLOOKUP(D120,ChartInfo,11,FALSE),1,0)*B121</f>
        <v>#N/A</v>
      </c>
      <c r="E121" s="96" t="e">
        <f ca="1">IF(VLOOKUP(E120,ChartInfo,11,FALSE),1,0)*B121</f>
        <v>#N/A</v>
      </c>
      <c r="F121" s="96" t="e">
        <f ca="1">IF(VLOOKUP(F120,ChartInfo,11,FALSE),1,0)*B121</f>
        <v>#N/A</v>
      </c>
      <c r="G121" s="96" t="e">
        <f ca="1">IF(VLOOKUP(G120,ChartInfo,11,FALSE),1,0)*B121</f>
        <v>#N/A</v>
      </c>
      <c r="H121" s="96" t="e">
        <f ca="1">IF(VLOOKUP(H120,ChartInfo,11,FALSE),1,0)*B121</f>
        <v>#N/A</v>
      </c>
      <c r="I121"/>
      <c r="K121">
        <f>K113</f>
        <v>0</v>
      </c>
    </row>
    <row r="122" spans="1:15" x14ac:dyDescent="0.2">
      <c r="K122">
        <f>K114+1</f>
        <v>14</v>
      </c>
      <c r="N122" s="97">
        <f>JHora!B123</f>
        <v>0</v>
      </c>
      <c r="O122">
        <f>JHora!C123</f>
        <v>0</v>
      </c>
    </row>
    <row r="123" spans="1:15" x14ac:dyDescent="0.2">
      <c r="A123" s="87" t="s">
        <v>1150</v>
      </c>
      <c r="B123" s="88">
        <f>DoB-$E$6*DaysInYear</f>
        <v>22567.7812953188</v>
      </c>
      <c r="C123" s="89" t="e">
        <f ca="1">B123+B125*INDEX(INDEX(VimFrac,,VLOOKUP(B128,PlanetData,3,FALSE)+1),MATCH(B126,INDEX(VimFrac,,VLOOKUP(B128,PlanetData,3,FALSE)+1),1))</f>
        <v>#N/A</v>
      </c>
      <c r="D123" s="89" t="e">
        <f ca="1">C123+C125*INDEX(INDEX(VimFrac,0,9*C129+VLOOKUP(C128,PlanetData,3,FALSE)+1),IF(C129,1,0)+MATCH(C126,INDEX(VimFrac,0,9*C129+VLOOKUP(C128,PlanetData,3,FALSE)+1),IF(C129,-1,1)))</f>
        <v>#N/A</v>
      </c>
      <c r="E123" s="89" t="e">
        <f ca="1">D123+D125*INDEX(INDEX(VimFrac,0,9*D129+VLOOKUP(D128,PlanetData,3,FALSE)+1),IF(D129,1,0)+MATCH(D126,INDEX(VimFrac,0,9*D129+VLOOKUP(D128,PlanetData,3,FALSE)+1),IF(D129,-1,1)))</f>
        <v>#N/A</v>
      </c>
      <c r="F123" s="89" t="e">
        <f ca="1">E123+E125*INDEX(INDEX(VimFrac,0,9*E129+VLOOKUP(E128,PlanetData,3,FALSE)+1),IF(E129,1,0)+MATCH(E126,INDEX(VimFrac,0,9*E129+VLOOKUP(E128,PlanetData,3,FALSE)+1),IF(E129,-1,1)))</f>
        <v>#N/A</v>
      </c>
      <c r="G123" s="89" t="e">
        <f ca="1">F123+F125*INDEX(INDEX(VimFrac,0,9*F129+VLOOKUP(F128,PlanetData,3,FALSE)+1),IF(F129,1,0)+MATCH(F126,INDEX(VimFrac,0,9*F129+VLOOKUP(F128,PlanetData,3,FALSE)+1),IF(F129,-1,1)))</f>
        <v>#N/A</v>
      </c>
      <c r="H123" s="89" t="e">
        <f ca="1">G123+G125*INDEX(INDEX(VimFrac,0,9*G129+VLOOKUP(G128,PlanetData,3,FALSE)+1),IF(G129,1,0)+MATCH(G126,INDEX(VimFrac,0,9*G129+VLOOKUP(G128,PlanetData,3,FALSE)+1),IF(G129,-1,1)))</f>
        <v>#N/A</v>
      </c>
      <c r="J123">
        <f ca="1">J128</f>
        <v>0</v>
      </c>
      <c r="K123">
        <f>K115+1</f>
        <v>15</v>
      </c>
      <c r="N123" s="97">
        <f>JHora!B124</f>
        <v>0</v>
      </c>
      <c r="O123">
        <f>JHora!C124</f>
        <v>0</v>
      </c>
    </row>
    <row r="124" spans="1:15" x14ac:dyDescent="0.2">
      <c r="A124" s="87" t="s">
        <v>1151</v>
      </c>
      <c r="B124" s="88">
        <f>B123+B125</f>
        <v>66398.36601754064</v>
      </c>
      <c r="C124" s="89" t="e">
        <f ca="1">B123+B125*INDEX(INDEX(VimFrac,,VLOOKUP(B128,PlanetData,3,FALSE)+1),MATCH(B126,INDEX(VimFrac,,VLOOKUP(B128,PlanetData,3,FALSE)+1),1)+1)</f>
        <v>#N/A</v>
      </c>
      <c r="D124" s="89" t="e">
        <f ca="1">C123+C125*INDEX(INDEX(VimFrac,0,9*C129+VLOOKUP(C128,PlanetData,3,FALSE)+1),IF(C129,0,1)+MATCH(C126,INDEX(VimFrac,0,9*C129+VLOOKUP(C128,PlanetData,3,FALSE)+1),IF(C129,-1,1)))</f>
        <v>#N/A</v>
      </c>
      <c r="E124" s="89" t="e">
        <f ca="1">D123+D125*INDEX(INDEX(VimFrac,0,9*D129+VLOOKUP(D128,PlanetData,3,FALSE)+1),IF(D129,0,1)+MATCH(D126,INDEX(VimFrac,0,9*D129+VLOOKUP(D128,PlanetData,3,FALSE)+1),IF(D129,-1,1)))</f>
        <v>#N/A</v>
      </c>
      <c r="F124" s="89" t="e">
        <f ca="1">E123+E125*INDEX(INDEX(VimFrac,0,9*E129+VLOOKUP(E128,PlanetData,3,FALSE)+1),IF(E129,0,1)+MATCH(E126,INDEX(VimFrac,0,9*E129+VLOOKUP(E128,PlanetData,3,FALSE)+1),IF(E129,-1,1)))</f>
        <v>#N/A</v>
      </c>
      <c r="G124" s="89" t="e">
        <f ca="1">F123+F125*INDEX(INDEX(VimFrac,0,9*F129+VLOOKUP(F128,PlanetData,3,FALSE)+1),IF(F129,0,1)+MATCH(F126,INDEX(VimFrac,0,9*F129+VLOOKUP(F128,PlanetData,3,FALSE)+1),IF(F129,-1,1)))</f>
        <v>#N/A</v>
      </c>
      <c r="H124" s="89" t="e">
        <f ca="1">G123+G125*INDEX(INDEX(VimFrac,0,9*G129+VLOOKUP(G128,PlanetData,3,FALSE)+1),IF(G129,0,1)+MATCH(G126,INDEX(VimFrac,0,9*G129+VLOOKUP(G128,PlanetData,3,FALSE)+1),IF(G129,-1,1)))</f>
        <v>#N/A</v>
      </c>
      <c r="J124">
        <f ca="1">J128</f>
        <v>0</v>
      </c>
      <c r="K124">
        <f>K116+1</f>
        <v>15</v>
      </c>
      <c r="N124" s="97">
        <f>JHora!B125</f>
        <v>0</v>
      </c>
      <c r="O124">
        <f>JHora!C125</f>
        <v>0</v>
      </c>
    </row>
    <row r="125" spans="1:15" x14ac:dyDescent="0.2">
      <c r="A125" s="90" t="s">
        <v>1152</v>
      </c>
      <c r="B125" s="91">
        <f>120*DaysInYear</f>
        <v>43830.584722221844</v>
      </c>
      <c r="C125" s="92" t="e">
        <f t="shared" ref="C125:H125" ca="1" si="28">C124-C123</f>
        <v>#N/A</v>
      </c>
      <c r="D125" s="92" t="e">
        <f t="shared" ca="1" si="28"/>
        <v>#N/A</v>
      </c>
      <c r="E125" s="92" t="e">
        <f t="shared" ca="1" si="28"/>
        <v>#N/A</v>
      </c>
      <c r="F125" s="92" t="e">
        <f t="shared" ca="1" si="28"/>
        <v>#N/A</v>
      </c>
      <c r="G125" s="92" t="e">
        <f t="shared" ca="1" si="28"/>
        <v>#N/A</v>
      </c>
      <c r="H125" s="92" t="e">
        <f t="shared" ca="1" si="28"/>
        <v>#N/A</v>
      </c>
      <c r="I125"/>
      <c r="K125">
        <f>K117</f>
        <v>0</v>
      </c>
    </row>
    <row r="126" spans="1:15" x14ac:dyDescent="0.2">
      <c r="A126" s="90" t="s">
        <v>1153</v>
      </c>
      <c r="B126" s="93">
        <f ca="1">(I128-B123)/(B124-B123)</f>
        <v>-0.51488661258669155</v>
      </c>
      <c r="C126" s="94" t="e">
        <f ca="1">(I128-C123)/(C124-C123)</f>
        <v>#N/A</v>
      </c>
      <c r="D126" s="94" t="e">
        <f ca="1">(I128-D123)/(D124-D123)</f>
        <v>#N/A</v>
      </c>
      <c r="E126" s="94" t="e">
        <f ca="1">(I128-E123)/(E124-E123)</f>
        <v>#N/A</v>
      </c>
      <c r="F126" s="94" t="e">
        <f ca="1">(I128-F123)/(F124-F123)</f>
        <v>#N/A</v>
      </c>
      <c r="G126" s="94" t="e">
        <f ca="1">(I128-G123)/(G124-G123)</f>
        <v>#N/A</v>
      </c>
      <c r="H126" s="94" t="e">
        <f ca="1">(I128-H123)/(H124-H123)</f>
        <v>#N/A</v>
      </c>
      <c r="I126"/>
      <c r="K126">
        <f>K118</f>
        <v>0</v>
      </c>
    </row>
    <row r="127" spans="1:15" x14ac:dyDescent="0.2">
      <c r="A127" s="90" t="s">
        <v>1154</v>
      </c>
      <c r="B127" s="95"/>
      <c r="C127" s="96" t="e">
        <f ca="1">MOD(VLOOKUP(B128,PlanetData,3,FALSE)+MATCH(B126,INDEX(VimFrac,,VLOOKUP(B128,PlanetData,3,FALSE)+1),1)-1,9)</f>
        <v>#N/A</v>
      </c>
      <c r="D127" s="96" t="e">
        <f ca="1">MOD(VLOOKUP(C128,PlanetData,3,FALSE)+MATCH(C126,INDEX(VimFrac,0,9*C129+VLOOKUP(C128,PlanetData,3,FALSE)+1),IF(C129,-1,1))-1,9)</f>
        <v>#N/A</v>
      </c>
      <c r="E127" s="96" t="e">
        <f ca="1">MOD(VLOOKUP(D128,PlanetData,3,FALSE)+MATCH(D126,INDEX(VimFrac,0,9*D129+VLOOKUP(D128,PlanetData,3,FALSE)+1),IF(D129,-1,1))-1,9)</f>
        <v>#N/A</v>
      </c>
      <c r="F127" s="96" t="e">
        <f ca="1">MOD(VLOOKUP(E128,PlanetData,3,FALSE)+MATCH(E126,INDEX(VimFrac,0,9*E129+VLOOKUP(E128,PlanetData,3,FALSE)+1),IF(E129,-1,1))-1,9)</f>
        <v>#N/A</v>
      </c>
      <c r="G127" s="96" t="e">
        <f ca="1">MOD(VLOOKUP(F128,PlanetData,3,FALSE)+MATCH(F126,INDEX(VimFrac,0,9*F129+VLOOKUP(F128,PlanetData,3,FALSE)+1),IF(F129,-1,1))-1,9)</f>
        <v>#N/A</v>
      </c>
      <c r="H127" s="96" t="e">
        <f ca="1">MOD(VLOOKUP(G128,PlanetData,3,FALSE)+MATCH(G126,INDEX(VimFrac,0,9*G129+VLOOKUP(G128,PlanetData,3,FALSE)+1),IF(G129,-1,1))-1,9)</f>
        <v>#N/A</v>
      </c>
      <c r="I127"/>
      <c r="K127">
        <f>K119</f>
        <v>0</v>
      </c>
    </row>
    <row r="128" spans="1:15" x14ac:dyDescent="0.2">
      <c r="A128" s="90" t="s">
        <v>1155</v>
      </c>
      <c r="B128" s="95" t="str">
        <f>$B$4</f>
        <v>Moon</v>
      </c>
      <c r="C128" s="96" t="e">
        <f t="shared" ref="C128:H128" ca="1" si="29">INDEX(DasaYears,IF(C127=0,9,C127),1)</f>
        <v>#N/A</v>
      </c>
      <c r="D128" s="96" t="e">
        <f t="shared" ca="1" si="29"/>
        <v>#N/A</v>
      </c>
      <c r="E128" s="96" t="e">
        <f t="shared" ca="1" si="29"/>
        <v>#N/A</v>
      </c>
      <c r="F128" s="96" t="e">
        <f t="shared" ca="1" si="29"/>
        <v>#N/A</v>
      </c>
      <c r="G128" s="96" t="e">
        <f t="shared" ca="1" si="29"/>
        <v>#N/A</v>
      </c>
      <c r="H128" s="96" t="e">
        <f t="shared" ca="1" si="29"/>
        <v>#N/A</v>
      </c>
      <c r="I128" s="97">
        <f ca="1">INDIRECT("'JHora'!$B$"&amp;($K128))</f>
        <v>0</v>
      </c>
      <c r="J128" s="97">
        <f ca="1">INDIRECT("'JHora'!$C$"&amp;($K128))</f>
        <v>0</v>
      </c>
      <c r="K128">
        <f>K120+1</f>
        <v>15</v>
      </c>
      <c r="N128" s="97">
        <f>JHora!B129</f>
        <v>0</v>
      </c>
      <c r="O128">
        <f>JHora!C129</f>
        <v>0</v>
      </c>
    </row>
    <row r="129" spans="1:15" x14ac:dyDescent="0.2">
      <c r="A129" s="90" t="s">
        <v>1139</v>
      </c>
      <c r="B129" s="91" t="b">
        <f>$B$7</f>
        <v>1</v>
      </c>
      <c r="C129" s="96" t="e">
        <f ca="1">IF(VLOOKUP(C128,ChartInfo,11,FALSE),1,0)*B129</f>
        <v>#N/A</v>
      </c>
      <c r="D129" s="96" t="e">
        <f ca="1">IF(VLOOKUP(D128,ChartInfo,11,FALSE),1,0)*B129</f>
        <v>#N/A</v>
      </c>
      <c r="E129" s="96" t="e">
        <f ca="1">IF(VLOOKUP(E128,ChartInfo,11,FALSE),1,0)*B129</f>
        <v>#N/A</v>
      </c>
      <c r="F129" s="96" t="e">
        <f ca="1">IF(VLOOKUP(F128,ChartInfo,11,FALSE),1,0)*B129</f>
        <v>#N/A</v>
      </c>
      <c r="G129" s="96" t="e">
        <f ca="1">IF(VLOOKUP(G128,ChartInfo,11,FALSE),1,0)*B129</f>
        <v>#N/A</v>
      </c>
      <c r="H129" s="96" t="e">
        <f ca="1">IF(VLOOKUP(H128,ChartInfo,11,FALSE),1,0)*B129</f>
        <v>#N/A</v>
      </c>
      <c r="I129"/>
      <c r="K129">
        <f>K121</f>
        <v>0</v>
      </c>
    </row>
    <row r="130" spans="1:15" x14ac:dyDescent="0.2">
      <c r="K130">
        <f>K122+1</f>
        <v>15</v>
      </c>
      <c r="N130" s="97">
        <f>JHora!B131</f>
        <v>0</v>
      </c>
      <c r="O130">
        <f>JHora!C131</f>
        <v>0</v>
      </c>
    </row>
    <row r="131" spans="1:15" x14ac:dyDescent="0.2">
      <c r="A131" s="87" t="s">
        <v>1150</v>
      </c>
      <c r="B131" s="88">
        <f>DoB-$E$6*DaysInYear</f>
        <v>22567.7812953188</v>
      </c>
      <c r="C131" s="89" t="e">
        <f ca="1">B131+B133*INDEX(INDEX(VimFrac,,VLOOKUP(B136,PlanetData,3,FALSE)+1),MATCH(B134,INDEX(VimFrac,,VLOOKUP(B136,PlanetData,3,FALSE)+1),1))</f>
        <v>#N/A</v>
      </c>
      <c r="D131" s="89" t="e">
        <f ca="1">C131+C133*INDEX(INDEX(VimFrac,0,9*C137+VLOOKUP(C136,PlanetData,3,FALSE)+1),IF(C137,1,0)+MATCH(C134,INDEX(VimFrac,0,9*C137+VLOOKUP(C136,PlanetData,3,FALSE)+1),IF(C137,-1,1)))</f>
        <v>#N/A</v>
      </c>
      <c r="E131" s="89" t="e">
        <f ca="1">D131+D133*INDEX(INDEX(VimFrac,0,9*D137+VLOOKUP(D136,PlanetData,3,FALSE)+1),IF(D137,1,0)+MATCH(D134,INDEX(VimFrac,0,9*D137+VLOOKUP(D136,PlanetData,3,FALSE)+1),IF(D137,-1,1)))</f>
        <v>#N/A</v>
      </c>
      <c r="F131" s="89" t="e">
        <f ca="1">E131+E133*INDEX(INDEX(VimFrac,0,9*E137+VLOOKUP(E136,PlanetData,3,FALSE)+1),IF(E137,1,0)+MATCH(E134,INDEX(VimFrac,0,9*E137+VLOOKUP(E136,PlanetData,3,FALSE)+1),IF(E137,-1,1)))</f>
        <v>#N/A</v>
      </c>
      <c r="G131" s="89" t="e">
        <f ca="1">F131+F133*INDEX(INDEX(VimFrac,0,9*F137+VLOOKUP(F136,PlanetData,3,FALSE)+1),IF(F137,1,0)+MATCH(F134,INDEX(VimFrac,0,9*F137+VLOOKUP(F136,PlanetData,3,FALSE)+1),IF(F137,-1,1)))</f>
        <v>#N/A</v>
      </c>
      <c r="H131" s="89" t="e">
        <f ca="1">G131+G133*INDEX(INDEX(VimFrac,0,9*G137+VLOOKUP(G136,PlanetData,3,FALSE)+1),IF(G137,1,0)+MATCH(G134,INDEX(VimFrac,0,9*G137+VLOOKUP(G136,PlanetData,3,FALSE)+1),IF(G137,-1,1)))</f>
        <v>#N/A</v>
      </c>
      <c r="J131">
        <f ca="1">J136</f>
        <v>0</v>
      </c>
      <c r="K131">
        <f>K123+1</f>
        <v>16</v>
      </c>
      <c r="N131" s="97">
        <f>JHora!B132</f>
        <v>0</v>
      </c>
      <c r="O131">
        <f>JHora!C132</f>
        <v>0</v>
      </c>
    </row>
    <row r="132" spans="1:15" x14ac:dyDescent="0.2">
      <c r="A132" s="87" t="s">
        <v>1151</v>
      </c>
      <c r="B132" s="88">
        <f>B131+B133</f>
        <v>66398.36601754064</v>
      </c>
      <c r="C132" s="89" t="e">
        <f ca="1">B131+B133*INDEX(INDEX(VimFrac,,VLOOKUP(B136,PlanetData,3,FALSE)+1),MATCH(B134,INDEX(VimFrac,,VLOOKUP(B136,PlanetData,3,FALSE)+1),1)+1)</f>
        <v>#N/A</v>
      </c>
      <c r="D132" s="89" t="e">
        <f ca="1">C131+C133*INDEX(INDEX(VimFrac,0,9*C137+VLOOKUP(C136,PlanetData,3,FALSE)+1),IF(C137,0,1)+MATCH(C134,INDEX(VimFrac,0,9*C137+VLOOKUP(C136,PlanetData,3,FALSE)+1),IF(C137,-1,1)))</f>
        <v>#N/A</v>
      </c>
      <c r="E132" s="89" t="e">
        <f ca="1">D131+D133*INDEX(INDEX(VimFrac,0,9*D137+VLOOKUP(D136,PlanetData,3,FALSE)+1),IF(D137,0,1)+MATCH(D134,INDEX(VimFrac,0,9*D137+VLOOKUP(D136,PlanetData,3,FALSE)+1),IF(D137,-1,1)))</f>
        <v>#N/A</v>
      </c>
      <c r="F132" s="89" t="e">
        <f ca="1">E131+E133*INDEX(INDEX(VimFrac,0,9*E137+VLOOKUP(E136,PlanetData,3,FALSE)+1),IF(E137,0,1)+MATCH(E134,INDEX(VimFrac,0,9*E137+VLOOKUP(E136,PlanetData,3,FALSE)+1),IF(E137,-1,1)))</f>
        <v>#N/A</v>
      </c>
      <c r="G132" s="89" t="e">
        <f ca="1">F131+F133*INDEX(INDEX(VimFrac,0,9*F137+VLOOKUP(F136,PlanetData,3,FALSE)+1),IF(F137,0,1)+MATCH(F134,INDEX(VimFrac,0,9*F137+VLOOKUP(F136,PlanetData,3,FALSE)+1),IF(F137,-1,1)))</f>
        <v>#N/A</v>
      </c>
      <c r="H132" s="89" t="e">
        <f ca="1">G131+G133*INDEX(INDEX(VimFrac,0,9*G137+VLOOKUP(G136,PlanetData,3,FALSE)+1),IF(G137,0,1)+MATCH(G134,INDEX(VimFrac,0,9*G137+VLOOKUP(G136,PlanetData,3,FALSE)+1),IF(G137,-1,1)))</f>
        <v>#N/A</v>
      </c>
      <c r="J132">
        <f ca="1">J136</f>
        <v>0</v>
      </c>
      <c r="K132">
        <f>K124+1</f>
        <v>16</v>
      </c>
      <c r="N132" s="97">
        <f>JHora!B133</f>
        <v>0</v>
      </c>
      <c r="O132">
        <f>JHora!C133</f>
        <v>0</v>
      </c>
    </row>
    <row r="133" spans="1:15" x14ac:dyDescent="0.2">
      <c r="A133" s="90" t="s">
        <v>1152</v>
      </c>
      <c r="B133" s="91">
        <f>120*DaysInYear</f>
        <v>43830.584722221844</v>
      </c>
      <c r="C133" s="92" t="e">
        <f t="shared" ref="C133:H133" ca="1" si="30">C132-C131</f>
        <v>#N/A</v>
      </c>
      <c r="D133" s="92" t="e">
        <f t="shared" ca="1" si="30"/>
        <v>#N/A</v>
      </c>
      <c r="E133" s="92" t="e">
        <f t="shared" ca="1" si="30"/>
        <v>#N/A</v>
      </c>
      <c r="F133" s="92" t="e">
        <f t="shared" ca="1" si="30"/>
        <v>#N/A</v>
      </c>
      <c r="G133" s="92" t="e">
        <f t="shared" ca="1" si="30"/>
        <v>#N/A</v>
      </c>
      <c r="H133" s="92" t="e">
        <f t="shared" ca="1" si="30"/>
        <v>#N/A</v>
      </c>
      <c r="I133"/>
      <c r="K133">
        <f>K125</f>
        <v>0</v>
      </c>
    </row>
    <row r="134" spans="1:15" x14ac:dyDescent="0.2">
      <c r="A134" s="90" t="s">
        <v>1153</v>
      </c>
      <c r="B134" s="93">
        <f ca="1">(I136-B131)/(B132-B131)</f>
        <v>-0.51488661258669155</v>
      </c>
      <c r="C134" s="94" t="e">
        <f ca="1">(I136-C131)/(C132-C131)</f>
        <v>#N/A</v>
      </c>
      <c r="D134" s="94" t="e">
        <f ca="1">(I136-D131)/(D132-D131)</f>
        <v>#N/A</v>
      </c>
      <c r="E134" s="94" t="e">
        <f ca="1">(I136-E131)/(E132-E131)</f>
        <v>#N/A</v>
      </c>
      <c r="F134" s="94" t="e">
        <f ca="1">(I136-F131)/(F132-F131)</f>
        <v>#N/A</v>
      </c>
      <c r="G134" s="94" t="e">
        <f ca="1">(I136-G131)/(G132-G131)</f>
        <v>#N/A</v>
      </c>
      <c r="H134" s="94" t="e">
        <f ca="1">(I136-H131)/(H132-H131)</f>
        <v>#N/A</v>
      </c>
      <c r="I134"/>
      <c r="K134">
        <f>K126</f>
        <v>0</v>
      </c>
    </row>
    <row r="135" spans="1:15" x14ac:dyDescent="0.2">
      <c r="A135" s="90" t="s">
        <v>1154</v>
      </c>
      <c r="B135" s="95"/>
      <c r="C135" s="96" t="e">
        <f ca="1">MOD(VLOOKUP(B136,PlanetData,3,FALSE)+MATCH(B134,INDEX(VimFrac,,VLOOKUP(B136,PlanetData,3,FALSE)+1),1)-1,9)</f>
        <v>#N/A</v>
      </c>
      <c r="D135" s="96" t="e">
        <f ca="1">MOD(VLOOKUP(C136,PlanetData,3,FALSE)+MATCH(C134,INDEX(VimFrac,0,9*C137+VLOOKUP(C136,PlanetData,3,FALSE)+1),IF(C137,-1,1))-1,9)</f>
        <v>#N/A</v>
      </c>
      <c r="E135" s="96" t="e">
        <f ca="1">MOD(VLOOKUP(D136,PlanetData,3,FALSE)+MATCH(D134,INDEX(VimFrac,0,9*D137+VLOOKUP(D136,PlanetData,3,FALSE)+1),IF(D137,-1,1))-1,9)</f>
        <v>#N/A</v>
      </c>
      <c r="F135" s="96" t="e">
        <f ca="1">MOD(VLOOKUP(E136,PlanetData,3,FALSE)+MATCH(E134,INDEX(VimFrac,0,9*E137+VLOOKUP(E136,PlanetData,3,FALSE)+1),IF(E137,-1,1))-1,9)</f>
        <v>#N/A</v>
      </c>
      <c r="G135" s="96" t="e">
        <f ca="1">MOD(VLOOKUP(F136,PlanetData,3,FALSE)+MATCH(F134,INDEX(VimFrac,0,9*F137+VLOOKUP(F136,PlanetData,3,FALSE)+1),IF(F137,-1,1))-1,9)</f>
        <v>#N/A</v>
      </c>
      <c r="H135" s="96" t="e">
        <f ca="1">MOD(VLOOKUP(G136,PlanetData,3,FALSE)+MATCH(G134,INDEX(VimFrac,0,9*G137+VLOOKUP(G136,PlanetData,3,FALSE)+1),IF(G137,-1,1))-1,9)</f>
        <v>#N/A</v>
      </c>
      <c r="I135"/>
      <c r="K135">
        <f>K127</f>
        <v>0</v>
      </c>
    </row>
    <row r="136" spans="1:15" x14ac:dyDescent="0.2">
      <c r="A136" s="90" t="s">
        <v>1155</v>
      </c>
      <c r="B136" s="95" t="str">
        <f>$B$4</f>
        <v>Moon</v>
      </c>
      <c r="C136" s="96" t="e">
        <f t="shared" ref="C136:H136" ca="1" si="31">INDEX(DasaYears,IF(C135=0,9,C135),1)</f>
        <v>#N/A</v>
      </c>
      <c r="D136" s="96" t="e">
        <f t="shared" ca="1" si="31"/>
        <v>#N/A</v>
      </c>
      <c r="E136" s="96" t="e">
        <f t="shared" ca="1" si="31"/>
        <v>#N/A</v>
      </c>
      <c r="F136" s="96" t="e">
        <f t="shared" ca="1" si="31"/>
        <v>#N/A</v>
      </c>
      <c r="G136" s="96" t="e">
        <f t="shared" ca="1" si="31"/>
        <v>#N/A</v>
      </c>
      <c r="H136" s="96" t="e">
        <f t="shared" ca="1" si="31"/>
        <v>#N/A</v>
      </c>
      <c r="I136" s="97">
        <f ca="1">INDIRECT("'JHora'!$B$"&amp;($K136))</f>
        <v>0</v>
      </c>
      <c r="J136" s="97">
        <f ca="1">INDIRECT("'JHora'!$C$"&amp;($K136))</f>
        <v>0</v>
      </c>
      <c r="K136">
        <f>K128+1</f>
        <v>16</v>
      </c>
      <c r="N136" s="97">
        <f>JHora!B137</f>
        <v>0</v>
      </c>
      <c r="O136">
        <f>JHora!C137</f>
        <v>0</v>
      </c>
    </row>
    <row r="137" spans="1:15" x14ac:dyDescent="0.2">
      <c r="A137" s="90" t="s">
        <v>1139</v>
      </c>
      <c r="B137" s="91" t="b">
        <f>$B$7</f>
        <v>1</v>
      </c>
      <c r="C137" s="96" t="e">
        <f ca="1">IF(VLOOKUP(C136,ChartInfo,11,FALSE),1,0)*B137</f>
        <v>#N/A</v>
      </c>
      <c r="D137" s="96" t="e">
        <f ca="1">IF(VLOOKUP(D136,ChartInfo,11,FALSE),1,0)*B137</f>
        <v>#N/A</v>
      </c>
      <c r="E137" s="96" t="e">
        <f ca="1">IF(VLOOKUP(E136,ChartInfo,11,FALSE),1,0)*B137</f>
        <v>#N/A</v>
      </c>
      <c r="F137" s="96" t="e">
        <f ca="1">IF(VLOOKUP(F136,ChartInfo,11,FALSE),1,0)*B137</f>
        <v>#N/A</v>
      </c>
      <c r="G137" s="96" t="e">
        <f ca="1">IF(VLOOKUP(G136,ChartInfo,11,FALSE),1,0)*B137</f>
        <v>#N/A</v>
      </c>
      <c r="H137" s="96" t="e">
        <f ca="1">IF(VLOOKUP(H136,ChartInfo,11,FALSE),1,0)*B137</f>
        <v>#N/A</v>
      </c>
      <c r="I137"/>
      <c r="K137">
        <f>K129</f>
        <v>0</v>
      </c>
    </row>
    <row r="138" spans="1:15" x14ac:dyDescent="0.2">
      <c r="K138">
        <f>K130+1</f>
        <v>16</v>
      </c>
    </row>
    <row r="139" spans="1:15" x14ac:dyDescent="0.2">
      <c r="A139" s="87" t="s">
        <v>1150</v>
      </c>
      <c r="B139" s="88">
        <f>DoB-$E$6*DaysInYear</f>
        <v>22567.7812953188</v>
      </c>
      <c r="C139" s="89" t="e">
        <f ca="1">B139+B141*INDEX(INDEX(VimFrac,,VLOOKUP(B144,PlanetData,3,FALSE)+1),MATCH(B142,INDEX(VimFrac,,VLOOKUP(B144,PlanetData,3,FALSE)+1),1))</f>
        <v>#N/A</v>
      </c>
      <c r="D139" s="89" t="e">
        <f ca="1">C139+C141*INDEX(INDEX(VimFrac,0,9*C145+VLOOKUP(C144,PlanetData,3,FALSE)+1),IF(C145,1,0)+MATCH(C142,INDEX(VimFrac,0,9*C145+VLOOKUP(C144,PlanetData,3,FALSE)+1),IF(C145,-1,1)))</f>
        <v>#N/A</v>
      </c>
      <c r="E139" s="89" t="e">
        <f ca="1">D139+D141*INDEX(INDEX(VimFrac,0,9*D145+VLOOKUP(D144,PlanetData,3,FALSE)+1),IF(D145,1,0)+MATCH(D142,INDEX(VimFrac,0,9*D145+VLOOKUP(D144,PlanetData,3,FALSE)+1),IF(D145,-1,1)))</f>
        <v>#N/A</v>
      </c>
      <c r="F139" s="89" t="e">
        <f ca="1">E139+E141*INDEX(INDEX(VimFrac,0,9*E145+VLOOKUP(E144,PlanetData,3,FALSE)+1),IF(E145,1,0)+MATCH(E142,INDEX(VimFrac,0,9*E145+VLOOKUP(E144,PlanetData,3,FALSE)+1),IF(E145,-1,1)))</f>
        <v>#N/A</v>
      </c>
      <c r="G139" s="89" t="e">
        <f ca="1">F139+F141*INDEX(INDEX(VimFrac,0,9*F145+VLOOKUP(F144,PlanetData,3,FALSE)+1),IF(F145,1,0)+MATCH(F142,INDEX(VimFrac,0,9*F145+VLOOKUP(F144,PlanetData,3,FALSE)+1),IF(F145,-1,1)))</f>
        <v>#N/A</v>
      </c>
      <c r="H139" s="89" t="e">
        <f ca="1">G139+G141*INDEX(INDEX(VimFrac,0,9*G145+VLOOKUP(G144,PlanetData,3,FALSE)+1),IF(G145,1,0)+MATCH(G142,INDEX(VimFrac,0,9*G145+VLOOKUP(G144,PlanetData,3,FALSE)+1),IF(G145,-1,1)))</f>
        <v>#N/A</v>
      </c>
      <c r="J139">
        <f ca="1">J144</f>
        <v>0</v>
      </c>
      <c r="K139">
        <f>K131+1</f>
        <v>17</v>
      </c>
    </row>
    <row r="140" spans="1:15" x14ac:dyDescent="0.2">
      <c r="A140" s="87" t="s">
        <v>1151</v>
      </c>
      <c r="B140" s="88">
        <f>B139+B141</f>
        <v>66398.36601754064</v>
      </c>
      <c r="C140" s="89" t="e">
        <f ca="1">B139+B141*INDEX(INDEX(VimFrac,,VLOOKUP(B144,PlanetData,3,FALSE)+1),MATCH(B142,INDEX(VimFrac,,VLOOKUP(B144,PlanetData,3,FALSE)+1),1)+1)</f>
        <v>#N/A</v>
      </c>
      <c r="D140" s="89" t="e">
        <f ca="1">C139+C141*INDEX(INDEX(VimFrac,0,9*C145+VLOOKUP(C144,PlanetData,3,FALSE)+1),IF(C145,0,1)+MATCH(C142,INDEX(VimFrac,0,9*C145+VLOOKUP(C144,PlanetData,3,FALSE)+1),IF(C145,-1,1)))</f>
        <v>#N/A</v>
      </c>
      <c r="E140" s="89" t="e">
        <f ca="1">D139+D141*INDEX(INDEX(VimFrac,0,9*D145+VLOOKUP(D144,PlanetData,3,FALSE)+1),IF(D145,0,1)+MATCH(D142,INDEX(VimFrac,0,9*D145+VLOOKUP(D144,PlanetData,3,FALSE)+1),IF(D145,-1,1)))</f>
        <v>#N/A</v>
      </c>
      <c r="F140" s="89" t="e">
        <f ca="1">E139+E141*INDEX(INDEX(VimFrac,0,9*E145+VLOOKUP(E144,PlanetData,3,FALSE)+1),IF(E145,0,1)+MATCH(E142,INDEX(VimFrac,0,9*E145+VLOOKUP(E144,PlanetData,3,FALSE)+1),IF(E145,-1,1)))</f>
        <v>#N/A</v>
      </c>
      <c r="G140" s="89" t="e">
        <f ca="1">F139+F141*INDEX(INDEX(VimFrac,0,9*F145+VLOOKUP(F144,PlanetData,3,FALSE)+1),IF(F145,0,1)+MATCH(F142,INDEX(VimFrac,0,9*F145+VLOOKUP(F144,PlanetData,3,FALSE)+1),IF(F145,-1,1)))</f>
        <v>#N/A</v>
      </c>
      <c r="H140" s="89" t="e">
        <f ca="1">G139+G141*INDEX(INDEX(VimFrac,0,9*G145+VLOOKUP(G144,PlanetData,3,FALSE)+1),IF(G145,0,1)+MATCH(G142,INDEX(VimFrac,0,9*G145+VLOOKUP(G144,PlanetData,3,FALSE)+1),IF(G145,-1,1)))</f>
        <v>#N/A</v>
      </c>
      <c r="J140">
        <f ca="1">J144</f>
        <v>0</v>
      </c>
      <c r="K140">
        <f>K132+1</f>
        <v>17</v>
      </c>
    </row>
    <row r="141" spans="1:15" x14ac:dyDescent="0.2">
      <c r="A141" s="90" t="s">
        <v>1152</v>
      </c>
      <c r="B141" s="91">
        <f>120*DaysInYear</f>
        <v>43830.584722221844</v>
      </c>
      <c r="C141" s="92" t="e">
        <f t="shared" ref="C141:H141" ca="1" si="32">C140-C139</f>
        <v>#N/A</v>
      </c>
      <c r="D141" s="92" t="e">
        <f t="shared" ca="1" si="32"/>
        <v>#N/A</v>
      </c>
      <c r="E141" s="92" t="e">
        <f t="shared" ca="1" si="32"/>
        <v>#N/A</v>
      </c>
      <c r="F141" s="92" t="e">
        <f t="shared" ca="1" si="32"/>
        <v>#N/A</v>
      </c>
      <c r="G141" s="92" t="e">
        <f t="shared" ca="1" si="32"/>
        <v>#N/A</v>
      </c>
      <c r="H141" s="92" t="e">
        <f t="shared" ca="1" si="32"/>
        <v>#N/A</v>
      </c>
      <c r="I141"/>
      <c r="K141">
        <f>K133</f>
        <v>0</v>
      </c>
    </row>
    <row r="142" spans="1:15" x14ac:dyDescent="0.2">
      <c r="A142" s="90" t="s">
        <v>1153</v>
      </c>
      <c r="B142" s="93">
        <f ca="1">(I144-B139)/(B140-B139)</f>
        <v>-0.51488661258669155</v>
      </c>
      <c r="C142" s="94" t="e">
        <f ca="1">(I144-C139)/(C140-C139)</f>
        <v>#N/A</v>
      </c>
      <c r="D142" s="94" t="e">
        <f ca="1">(I144-D139)/(D140-D139)</f>
        <v>#N/A</v>
      </c>
      <c r="E142" s="94" t="e">
        <f ca="1">(I144-E139)/(E140-E139)</f>
        <v>#N/A</v>
      </c>
      <c r="F142" s="94" t="e">
        <f ca="1">(I144-F139)/(F140-F139)</f>
        <v>#N/A</v>
      </c>
      <c r="G142" s="94" t="e">
        <f ca="1">(I144-G139)/(G140-G139)</f>
        <v>#N/A</v>
      </c>
      <c r="H142" s="94" t="e">
        <f ca="1">(I144-H139)/(H140-H139)</f>
        <v>#N/A</v>
      </c>
      <c r="I142"/>
      <c r="K142">
        <f>K134</f>
        <v>0</v>
      </c>
    </row>
    <row r="143" spans="1:15" x14ac:dyDescent="0.2">
      <c r="A143" s="90" t="s">
        <v>1154</v>
      </c>
      <c r="B143" s="95"/>
      <c r="C143" s="96" t="e">
        <f ca="1">MOD(VLOOKUP(B144,PlanetData,3,FALSE)+MATCH(B142,INDEX(VimFrac,,VLOOKUP(B144,PlanetData,3,FALSE)+1),1)-1,9)</f>
        <v>#N/A</v>
      </c>
      <c r="D143" s="96" t="e">
        <f ca="1">MOD(VLOOKUP(C144,PlanetData,3,FALSE)+MATCH(C142,INDEX(VimFrac,0,9*C145+VLOOKUP(C144,PlanetData,3,FALSE)+1),IF(C145,-1,1))-1,9)</f>
        <v>#N/A</v>
      </c>
      <c r="E143" s="96" t="e">
        <f ca="1">MOD(VLOOKUP(D144,PlanetData,3,FALSE)+MATCH(D142,INDEX(VimFrac,0,9*D145+VLOOKUP(D144,PlanetData,3,FALSE)+1),IF(D145,-1,1))-1,9)</f>
        <v>#N/A</v>
      </c>
      <c r="F143" s="96" t="e">
        <f ca="1">MOD(VLOOKUP(E144,PlanetData,3,FALSE)+MATCH(E142,INDEX(VimFrac,0,9*E145+VLOOKUP(E144,PlanetData,3,FALSE)+1),IF(E145,-1,1))-1,9)</f>
        <v>#N/A</v>
      </c>
      <c r="G143" s="96" t="e">
        <f ca="1">MOD(VLOOKUP(F144,PlanetData,3,FALSE)+MATCH(F142,INDEX(VimFrac,0,9*F145+VLOOKUP(F144,PlanetData,3,FALSE)+1),IF(F145,-1,1))-1,9)</f>
        <v>#N/A</v>
      </c>
      <c r="H143" s="96" t="e">
        <f ca="1">MOD(VLOOKUP(G144,PlanetData,3,FALSE)+MATCH(G142,INDEX(VimFrac,0,9*G145+VLOOKUP(G144,PlanetData,3,FALSE)+1),IF(G145,-1,1))-1,9)</f>
        <v>#N/A</v>
      </c>
      <c r="I143"/>
      <c r="K143">
        <f>K135</f>
        <v>0</v>
      </c>
    </row>
    <row r="144" spans="1:15" x14ac:dyDescent="0.2">
      <c r="A144" s="90" t="s">
        <v>1155</v>
      </c>
      <c r="B144" s="95" t="str">
        <f>$B$4</f>
        <v>Moon</v>
      </c>
      <c r="C144" s="96" t="e">
        <f t="shared" ref="C144:H144" ca="1" si="33">INDEX(DasaYears,IF(C143=0,9,C143),1)</f>
        <v>#N/A</v>
      </c>
      <c r="D144" s="96" t="e">
        <f t="shared" ca="1" si="33"/>
        <v>#N/A</v>
      </c>
      <c r="E144" s="96" t="e">
        <f t="shared" ca="1" si="33"/>
        <v>#N/A</v>
      </c>
      <c r="F144" s="96" t="e">
        <f t="shared" ca="1" si="33"/>
        <v>#N/A</v>
      </c>
      <c r="G144" s="96" t="e">
        <f t="shared" ca="1" si="33"/>
        <v>#N/A</v>
      </c>
      <c r="H144" s="96" t="e">
        <f t="shared" ca="1" si="33"/>
        <v>#N/A</v>
      </c>
      <c r="I144" s="97">
        <f ca="1">INDIRECT("'JHora'!$B$"&amp;($K144))</f>
        <v>0</v>
      </c>
      <c r="J144" s="97">
        <f ca="1">INDIRECT("'JHora'!$C$"&amp;($K144))</f>
        <v>0</v>
      </c>
      <c r="K144">
        <f>K136+1</f>
        <v>17</v>
      </c>
    </row>
    <row r="145" spans="1:11" x14ac:dyDescent="0.2">
      <c r="A145" s="90" t="s">
        <v>1139</v>
      </c>
      <c r="B145" s="91" t="b">
        <f>$B$7</f>
        <v>1</v>
      </c>
      <c r="C145" s="96" t="e">
        <f ca="1">IF(VLOOKUP(C144,ChartInfo,11,FALSE),1,0)*B145</f>
        <v>#N/A</v>
      </c>
      <c r="D145" s="96" t="e">
        <f ca="1">IF(VLOOKUP(D144,ChartInfo,11,FALSE),1,0)*B145</f>
        <v>#N/A</v>
      </c>
      <c r="E145" s="96" t="e">
        <f ca="1">IF(VLOOKUP(E144,ChartInfo,11,FALSE),1,0)*B145</f>
        <v>#N/A</v>
      </c>
      <c r="F145" s="96" t="e">
        <f ca="1">IF(VLOOKUP(F144,ChartInfo,11,FALSE),1,0)*B145</f>
        <v>#N/A</v>
      </c>
      <c r="G145" s="96" t="e">
        <f ca="1">IF(VLOOKUP(G144,ChartInfo,11,FALSE),1,0)*B145</f>
        <v>#N/A</v>
      </c>
      <c r="H145" s="96" t="e">
        <f ca="1">IF(VLOOKUP(H144,ChartInfo,11,FALSE),1,0)*B145</f>
        <v>#N/A</v>
      </c>
      <c r="I145"/>
      <c r="K145">
        <f>K137</f>
        <v>0</v>
      </c>
    </row>
    <row r="146" spans="1:11" x14ac:dyDescent="0.2">
      <c r="K146">
        <f>K138+1</f>
        <v>17</v>
      </c>
    </row>
    <row r="147" spans="1:11" x14ac:dyDescent="0.2">
      <c r="A147" s="87" t="s">
        <v>1150</v>
      </c>
      <c r="B147" s="88">
        <f>DoB-$E$6*DaysInYear</f>
        <v>22567.7812953188</v>
      </c>
      <c r="C147" s="89" t="e">
        <f ca="1">B147+B149*INDEX(INDEX(VimFrac,,VLOOKUP(B152,PlanetData,3,FALSE)+1),MATCH(B150,INDEX(VimFrac,,VLOOKUP(B152,PlanetData,3,FALSE)+1),1))</f>
        <v>#N/A</v>
      </c>
      <c r="D147" s="89" t="e">
        <f ca="1">C147+C149*INDEX(INDEX(VimFrac,0,9*C153+VLOOKUP(C152,PlanetData,3,FALSE)+1),IF(C153,1,0)+MATCH(C150,INDEX(VimFrac,0,9*C153+VLOOKUP(C152,PlanetData,3,FALSE)+1),IF(C153,-1,1)))</f>
        <v>#N/A</v>
      </c>
      <c r="E147" s="89" t="e">
        <f ca="1">D147+D149*INDEX(INDEX(VimFrac,0,9*D153+VLOOKUP(D152,PlanetData,3,FALSE)+1),IF(D153,1,0)+MATCH(D150,INDEX(VimFrac,0,9*D153+VLOOKUP(D152,PlanetData,3,FALSE)+1),IF(D153,-1,1)))</f>
        <v>#N/A</v>
      </c>
      <c r="F147" s="89" t="e">
        <f ca="1">E147+E149*INDEX(INDEX(VimFrac,0,9*E153+VLOOKUP(E152,PlanetData,3,FALSE)+1),IF(E153,1,0)+MATCH(E150,INDEX(VimFrac,0,9*E153+VLOOKUP(E152,PlanetData,3,FALSE)+1),IF(E153,-1,1)))</f>
        <v>#N/A</v>
      </c>
      <c r="G147" s="89" t="e">
        <f ca="1">F147+F149*INDEX(INDEX(VimFrac,0,9*F153+VLOOKUP(F152,PlanetData,3,FALSE)+1),IF(F153,1,0)+MATCH(F150,INDEX(VimFrac,0,9*F153+VLOOKUP(F152,PlanetData,3,FALSE)+1),IF(F153,-1,1)))</f>
        <v>#N/A</v>
      </c>
      <c r="H147" s="89" t="e">
        <f ca="1">G147+G149*INDEX(INDEX(VimFrac,0,9*G153+VLOOKUP(G152,PlanetData,3,FALSE)+1),IF(G153,1,0)+MATCH(G150,INDEX(VimFrac,0,9*G153+VLOOKUP(G152,PlanetData,3,FALSE)+1),IF(G153,-1,1)))</f>
        <v>#N/A</v>
      </c>
      <c r="J147">
        <f ca="1">J152</f>
        <v>0</v>
      </c>
      <c r="K147">
        <f>K139+1</f>
        <v>18</v>
      </c>
    </row>
    <row r="148" spans="1:11" x14ac:dyDescent="0.2">
      <c r="A148" s="87" t="s">
        <v>1151</v>
      </c>
      <c r="B148" s="88">
        <f>B147+B149</f>
        <v>66398.36601754064</v>
      </c>
      <c r="C148" s="89" t="e">
        <f ca="1">B147+B149*INDEX(INDEX(VimFrac,,VLOOKUP(B152,PlanetData,3,FALSE)+1),MATCH(B150,INDEX(VimFrac,,VLOOKUP(B152,PlanetData,3,FALSE)+1),1)+1)</f>
        <v>#N/A</v>
      </c>
      <c r="D148" s="89" t="e">
        <f ca="1">C147+C149*INDEX(INDEX(VimFrac,0,9*C153+VLOOKUP(C152,PlanetData,3,FALSE)+1),IF(C153,0,1)+MATCH(C150,INDEX(VimFrac,0,9*C153+VLOOKUP(C152,PlanetData,3,FALSE)+1),IF(C153,-1,1)))</f>
        <v>#N/A</v>
      </c>
      <c r="E148" s="89" t="e">
        <f ca="1">D147+D149*INDEX(INDEX(VimFrac,0,9*D153+VLOOKUP(D152,PlanetData,3,FALSE)+1),IF(D153,0,1)+MATCH(D150,INDEX(VimFrac,0,9*D153+VLOOKUP(D152,PlanetData,3,FALSE)+1),IF(D153,-1,1)))</f>
        <v>#N/A</v>
      </c>
      <c r="F148" s="89" t="e">
        <f ca="1">E147+E149*INDEX(INDEX(VimFrac,0,9*E153+VLOOKUP(E152,PlanetData,3,FALSE)+1),IF(E153,0,1)+MATCH(E150,INDEX(VimFrac,0,9*E153+VLOOKUP(E152,PlanetData,3,FALSE)+1),IF(E153,-1,1)))</f>
        <v>#N/A</v>
      </c>
      <c r="G148" s="89" t="e">
        <f ca="1">F147+F149*INDEX(INDEX(VimFrac,0,9*F153+VLOOKUP(F152,PlanetData,3,FALSE)+1),IF(F153,0,1)+MATCH(F150,INDEX(VimFrac,0,9*F153+VLOOKUP(F152,PlanetData,3,FALSE)+1),IF(F153,-1,1)))</f>
        <v>#N/A</v>
      </c>
      <c r="H148" s="89" t="e">
        <f ca="1">G147+G149*INDEX(INDEX(VimFrac,0,9*G153+VLOOKUP(G152,PlanetData,3,FALSE)+1),IF(G153,0,1)+MATCH(G150,INDEX(VimFrac,0,9*G153+VLOOKUP(G152,PlanetData,3,FALSE)+1),IF(G153,-1,1)))</f>
        <v>#N/A</v>
      </c>
      <c r="J148">
        <f ca="1">J152</f>
        <v>0</v>
      </c>
      <c r="K148">
        <f>K140+1</f>
        <v>18</v>
      </c>
    </row>
    <row r="149" spans="1:11" x14ac:dyDescent="0.2">
      <c r="A149" s="90" t="s">
        <v>1152</v>
      </c>
      <c r="B149" s="91">
        <f>120*DaysInYear</f>
        <v>43830.584722221844</v>
      </c>
      <c r="C149" s="92" t="e">
        <f t="shared" ref="C149:H149" ca="1" si="34">C148-C147</f>
        <v>#N/A</v>
      </c>
      <c r="D149" s="92" t="e">
        <f t="shared" ca="1" si="34"/>
        <v>#N/A</v>
      </c>
      <c r="E149" s="92" t="e">
        <f t="shared" ca="1" si="34"/>
        <v>#N/A</v>
      </c>
      <c r="F149" s="92" t="e">
        <f t="shared" ca="1" si="34"/>
        <v>#N/A</v>
      </c>
      <c r="G149" s="92" t="e">
        <f t="shared" ca="1" si="34"/>
        <v>#N/A</v>
      </c>
      <c r="H149" s="92" t="e">
        <f t="shared" ca="1" si="34"/>
        <v>#N/A</v>
      </c>
      <c r="I149"/>
      <c r="K149">
        <f>K141</f>
        <v>0</v>
      </c>
    </row>
    <row r="150" spans="1:11" x14ac:dyDescent="0.2">
      <c r="A150" s="90" t="s">
        <v>1153</v>
      </c>
      <c r="B150" s="93">
        <f ca="1">(I152-B147)/(B148-B147)</f>
        <v>-0.51488661258669155</v>
      </c>
      <c r="C150" s="94" t="e">
        <f ca="1">(I152-C147)/(C148-C147)</f>
        <v>#N/A</v>
      </c>
      <c r="D150" s="94" t="e">
        <f ca="1">(I152-D147)/(D148-D147)</f>
        <v>#N/A</v>
      </c>
      <c r="E150" s="94" t="e">
        <f ca="1">(I152-E147)/(E148-E147)</f>
        <v>#N/A</v>
      </c>
      <c r="F150" s="94" t="e">
        <f ca="1">(I152-F147)/(F148-F147)</f>
        <v>#N/A</v>
      </c>
      <c r="G150" s="94" t="e">
        <f ca="1">(I152-G147)/(G148-G147)</f>
        <v>#N/A</v>
      </c>
      <c r="H150" s="94" t="e">
        <f ca="1">(I152-H147)/(H148-H147)</f>
        <v>#N/A</v>
      </c>
      <c r="I150"/>
      <c r="K150">
        <f>K142</f>
        <v>0</v>
      </c>
    </row>
    <row r="151" spans="1:11" x14ac:dyDescent="0.2">
      <c r="A151" s="90" t="s">
        <v>1154</v>
      </c>
      <c r="B151" s="95"/>
      <c r="C151" s="96" t="e">
        <f ca="1">MOD(VLOOKUP(B152,PlanetData,3,FALSE)+MATCH(B150,INDEX(VimFrac,,VLOOKUP(B152,PlanetData,3,FALSE)+1),1)-1,9)</f>
        <v>#N/A</v>
      </c>
      <c r="D151" s="96" t="e">
        <f ca="1">MOD(VLOOKUP(C152,PlanetData,3,FALSE)+MATCH(C150,INDEX(VimFrac,0,9*C153+VLOOKUP(C152,PlanetData,3,FALSE)+1),IF(C153,-1,1))-1,9)</f>
        <v>#N/A</v>
      </c>
      <c r="E151" s="96" t="e">
        <f ca="1">MOD(VLOOKUP(D152,PlanetData,3,FALSE)+MATCH(D150,INDEX(VimFrac,0,9*D153+VLOOKUP(D152,PlanetData,3,FALSE)+1),IF(D153,-1,1))-1,9)</f>
        <v>#N/A</v>
      </c>
      <c r="F151" s="96" t="e">
        <f ca="1">MOD(VLOOKUP(E152,PlanetData,3,FALSE)+MATCH(E150,INDEX(VimFrac,0,9*E153+VLOOKUP(E152,PlanetData,3,FALSE)+1),IF(E153,-1,1))-1,9)</f>
        <v>#N/A</v>
      </c>
      <c r="G151" s="96" t="e">
        <f ca="1">MOD(VLOOKUP(F152,PlanetData,3,FALSE)+MATCH(F150,INDEX(VimFrac,0,9*F153+VLOOKUP(F152,PlanetData,3,FALSE)+1),IF(F153,-1,1))-1,9)</f>
        <v>#N/A</v>
      </c>
      <c r="H151" s="96" t="e">
        <f ca="1">MOD(VLOOKUP(G152,PlanetData,3,FALSE)+MATCH(G150,INDEX(VimFrac,0,9*G153+VLOOKUP(G152,PlanetData,3,FALSE)+1),IF(G153,-1,1))-1,9)</f>
        <v>#N/A</v>
      </c>
      <c r="I151"/>
      <c r="K151">
        <f>K143</f>
        <v>0</v>
      </c>
    </row>
    <row r="152" spans="1:11" x14ac:dyDescent="0.2">
      <c r="A152" s="90" t="s">
        <v>1155</v>
      </c>
      <c r="B152" s="95" t="str">
        <f>$B$4</f>
        <v>Moon</v>
      </c>
      <c r="C152" s="96" t="e">
        <f t="shared" ref="C152:H152" ca="1" si="35">INDEX(DasaYears,IF(C151=0,9,C151),1)</f>
        <v>#N/A</v>
      </c>
      <c r="D152" s="96" t="e">
        <f t="shared" ca="1" si="35"/>
        <v>#N/A</v>
      </c>
      <c r="E152" s="96" t="e">
        <f t="shared" ca="1" si="35"/>
        <v>#N/A</v>
      </c>
      <c r="F152" s="96" t="e">
        <f t="shared" ca="1" si="35"/>
        <v>#N/A</v>
      </c>
      <c r="G152" s="96" t="e">
        <f t="shared" ca="1" si="35"/>
        <v>#N/A</v>
      </c>
      <c r="H152" s="96" t="e">
        <f t="shared" ca="1" si="35"/>
        <v>#N/A</v>
      </c>
      <c r="I152" s="97">
        <f ca="1">INDIRECT("'JHora'!$B$"&amp;($K152))</f>
        <v>0</v>
      </c>
      <c r="J152" s="97">
        <f ca="1">INDIRECT("'JHora'!$C$"&amp;($K152))</f>
        <v>0</v>
      </c>
      <c r="K152">
        <f>K144+1</f>
        <v>18</v>
      </c>
    </row>
    <row r="153" spans="1:11" x14ac:dyDescent="0.2">
      <c r="A153" s="90" t="s">
        <v>1139</v>
      </c>
      <c r="B153" s="91" t="b">
        <f>$B$7</f>
        <v>1</v>
      </c>
      <c r="C153" s="96" t="e">
        <f ca="1">IF(VLOOKUP(C152,ChartInfo,11,FALSE),1,0)*B153</f>
        <v>#N/A</v>
      </c>
      <c r="D153" s="96" t="e">
        <f ca="1">IF(VLOOKUP(D152,ChartInfo,11,FALSE),1,0)*B153</f>
        <v>#N/A</v>
      </c>
      <c r="E153" s="96" t="e">
        <f ca="1">IF(VLOOKUP(E152,ChartInfo,11,FALSE),1,0)*B153</f>
        <v>#N/A</v>
      </c>
      <c r="F153" s="96" t="e">
        <f ca="1">IF(VLOOKUP(F152,ChartInfo,11,FALSE),1,0)*B153</f>
        <v>#N/A</v>
      </c>
      <c r="G153" s="96" t="e">
        <f ca="1">IF(VLOOKUP(G152,ChartInfo,11,FALSE),1,0)*B153</f>
        <v>#N/A</v>
      </c>
      <c r="H153" s="96" t="e">
        <f ca="1">IF(VLOOKUP(H152,ChartInfo,11,FALSE),1,0)*B153</f>
        <v>#N/A</v>
      </c>
      <c r="I153"/>
      <c r="K153">
        <f>K145</f>
        <v>0</v>
      </c>
    </row>
    <row r="154" spans="1:11" x14ac:dyDescent="0.2">
      <c r="K154">
        <f>K146+1</f>
        <v>18</v>
      </c>
    </row>
    <row r="155" spans="1:11" x14ac:dyDescent="0.2">
      <c r="A155" s="87" t="s">
        <v>1150</v>
      </c>
      <c r="B155" s="88">
        <f>DoB-$E$6*DaysInYear</f>
        <v>22567.7812953188</v>
      </c>
      <c r="C155" s="89" t="e">
        <f ca="1">B155+B157*INDEX(INDEX(VimFrac,,VLOOKUP(B160,PlanetData,3,FALSE)+1),MATCH(B158,INDEX(VimFrac,,VLOOKUP(B160,PlanetData,3,FALSE)+1),1))</f>
        <v>#N/A</v>
      </c>
      <c r="D155" s="89" t="e">
        <f ca="1">C155+C157*INDEX(INDEX(VimFrac,0,9*C161+VLOOKUP(C160,PlanetData,3,FALSE)+1),IF(C161,1,0)+MATCH(C158,INDEX(VimFrac,0,9*C161+VLOOKUP(C160,PlanetData,3,FALSE)+1),IF(C161,-1,1)))</f>
        <v>#N/A</v>
      </c>
      <c r="E155" s="89" t="e">
        <f ca="1">D155+D157*INDEX(INDEX(VimFrac,0,9*D161+VLOOKUP(D160,PlanetData,3,FALSE)+1),IF(D161,1,0)+MATCH(D158,INDEX(VimFrac,0,9*D161+VLOOKUP(D160,PlanetData,3,FALSE)+1),IF(D161,-1,1)))</f>
        <v>#N/A</v>
      </c>
      <c r="F155" s="89" t="e">
        <f ca="1">E155+E157*INDEX(INDEX(VimFrac,0,9*E161+VLOOKUP(E160,PlanetData,3,FALSE)+1),IF(E161,1,0)+MATCH(E158,INDEX(VimFrac,0,9*E161+VLOOKUP(E160,PlanetData,3,FALSE)+1),IF(E161,-1,1)))</f>
        <v>#N/A</v>
      </c>
      <c r="G155" s="89" t="e">
        <f ca="1">F155+F157*INDEX(INDEX(VimFrac,0,9*F161+VLOOKUP(F160,PlanetData,3,FALSE)+1),IF(F161,1,0)+MATCH(F158,INDEX(VimFrac,0,9*F161+VLOOKUP(F160,PlanetData,3,FALSE)+1),IF(F161,-1,1)))</f>
        <v>#N/A</v>
      </c>
      <c r="H155" s="89" t="e">
        <f ca="1">G155+G157*INDEX(INDEX(VimFrac,0,9*G161+VLOOKUP(G160,PlanetData,3,FALSE)+1),IF(G161,1,0)+MATCH(G158,INDEX(VimFrac,0,9*G161+VLOOKUP(G160,PlanetData,3,FALSE)+1),IF(G161,-1,1)))</f>
        <v>#N/A</v>
      </c>
      <c r="J155">
        <f ca="1">J160</f>
        <v>0</v>
      </c>
      <c r="K155">
        <f>K147+1</f>
        <v>19</v>
      </c>
    </row>
    <row r="156" spans="1:11" x14ac:dyDescent="0.2">
      <c r="A156" s="87" t="s">
        <v>1151</v>
      </c>
      <c r="B156" s="88">
        <f>B155+B157</f>
        <v>66398.36601754064</v>
      </c>
      <c r="C156" s="89" t="e">
        <f ca="1">B155+B157*INDEX(INDEX(VimFrac,,VLOOKUP(B160,PlanetData,3,FALSE)+1),MATCH(B158,INDEX(VimFrac,,VLOOKUP(B160,PlanetData,3,FALSE)+1),1)+1)</f>
        <v>#N/A</v>
      </c>
      <c r="D156" s="89" t="e">
        <f ca="1">C155+C157*INDEX(INDEX(VimFrac,0,9*C161+VLOOKUP(C160,PlanetData,3,FALSE)+1),IF(C161,0,1)+MATCH(C158,INDEX(VimFrac,0,9*C161+VLOOKUP(C160,PlanetData,3,FALSE)+1),IF(C161,-1,1)))</f>
        <v>#N/A</v>
      </c>
      <c r="E156" s="89" t="e">
        <f ca="1">D155+D157*INDEX(INDEX(VimFrac,0,9*D161+VLOOKUP(D160,PlanetData,3,FALSE)+1),IF(D161,0,1)+MATCH(D158,INDEX(VimFrac,0,9*D161+VLOOKUP(D160,PlanetData,3,FALSE)+1),IF(D161,-1,1)))</f>
        <v>#N/A</v>
      </c>
      <c r="F156" s="89" t="e">
        <f ca="1">E155+E157*INDEX(INDEX(VimFrac,0,9*E161+VLOOKUP(E160,PlanetData,3,FALSE)+1),IF(E161,0,1)+MATCH(E158,INDEX(VimFrac,0,9*E161+VLOOKUP(E160,PlanetData,3,FALSE)+1),IF(E161,-1,1)))</f>
        <v>#N/A</v>
      </c>
      <c r="G156" s="89" t="e">
        <f ca="1">F155+F157*INDEX(INDEX(VimFrac,0,9*F161+VLOOKUP(F160,PlanetData,3,FALSE)+1),IF(F161,0,1)+MATCH(F158,INDEX(VimFrac,0,9*F161+VLOOKUP(F160,PlanetData,3,FALSE)+1),IF(F161,-1,1)))</f>
        <v>#N/A</v>
      </c>
      <c r="H156" s="89" t="e">
        <f ca="1">G155+G157*INDEX(INDEX(VimFrac,0,9*G161+VLOOKUP(G160,PlanetData,3,FALSE)+1),IF(G161,0,1)+MATCH(G158,INDEX(VimFrac,0,9*G161+VLOOKUP(G160,PlanetData,3,FALSE)+1),IF(G161,-1,1)))</f>
        <v>#N/A</v>
      </c>
      <c r="J156">
        <f ca="1">J160</f>
        <v>0</v>
      </c>
      <c r="K156">
        <f>K148+1</f>
        <v>19</v>
      </c>
    </row>
    <row r="157" spans="1:11" x14ac:dyDescent="0.2">
      <c r="A157" s="90" t="s">
        <v>1152</v>
      </c>
      <c r="B157" s="91">
        <f>120*DaysInYear</f>
        <v>43830.584722221844</v>
      </c>
      <c r="C157" s="92" t="e">
        <f t="shared" ref="C157:H157" ca="1" si="36">C156-C155</f>
        <v>#N/A</v>
      </c>
      <c r="D157" s="92" t="e">
        <f t="shared" ca="1" si="36"/>
        <v>#N/A</v>
      </c>
      <c r="E157" s="92" t="e">
        <f t="shared" ca="1" si="36"/>
        <v>#N/A</v>
      </c>
      <c r="F157" s="92" t="e">
        <f t="shared" ca="1" si="36"/>
        <v>#N/A</v>
      </c>
      <c r="G157" s="92" t="e">
        <f t="shared" ca="1" si="36"/>
        <v>#N/A</v>
      </c>
      <c r="H157" s="92" t="e">
        <f t="shared" ca="1" si="36"/>
        <v>#N/A</v>
      </c>
      <c r="I157"/>
      <c r="K157">
        <f>K149</f>
        <v>0</v>
      </c>
    </row>
    <row r="158" spans="1:11" x14ac:dyDescent="0.2">
      <c r="A158" s="90" t="s">
        <v>1153</v>
      </c>
      <c r="B158" s="93">
        <f ca="1">(I160-B155)/(B156-B155)</f>
        <v>-0.51488661258669155</v>
      </c>
      <c r="C158" s="94" t="e">
        <f ca="1">(I160-C155)/(C156-C155)</f>
        <v>#N/A</v>
      </c>
      <c r="D158" s="94" t="e">
        <f ca="1">(I160-D155)/(D156-D155)</f>
        <v>#N/A</v>
      </c>
      <c r="E158" s="94" t="e">
        <f ca="1">(I160-E155)/(E156-E155)</f>
        <v>#N/A</v>
      </c>
      <c r="F158" s="94" t="e">
        <f ca="1">(I160-F155)/(F156-F155)</f>
        <v>#N/A</v>
      </c>
      <c r="G158" s="94" t="e">
        <f ca="1">(I160-G155)/(G156-G155)</f>
        <v>#N/A</v>
      </c>
      <c r="H158" s="94" t="e">
        <f ca="1">(I160-H155)/(H156-H155)</f>
        <v>#N/A</v>
      </c>
      <c r="I158"/>
      <c r="K158">
        <f>K150</f>
        <v>0</v>
      </c>
    </row>
    <row r="159" spans="1:11" x14ac:dyDescent="0.2">
      <c r="A159" s="90" t="s">
        <v>1154</v>
      </c>
      <c r="B159" s="95"/>
      <c r="C159" s="96" t="e">
        <f ca="1">MOD(VLOOKUP(B160,PlanetData,3,FALSE)+MATCH(B158,INDEX(VimFrac,,VLOOKUP(B160,PlanetData,3,FALSE)+1),1)-1,9)</f>
        <v>#N/A</v>
      </c>
      <c r="D159" s="96" t="e">
        <f ca="1">MOD(VLOOKUP(C160,PlanetData,3,FALSE)+MATCH(C158,INDEX(VimFrac,0,9*C161+VLOOKUP(C160,PlanetData,3,FALSE)+1),IF(C161,-1,1))-1,9)</f>
        <v>#N/A</v>
      </c>
      <c r="E159" s="96" t="e">
        <f ca="1">MOD(VLOOKUP(D160,PlanetData,3,FALSE)+MATCH(D158,INDEX(VimFrac,0,9*D161+VLOOKUP(D160,PlanetData,3,FALSE)+1),IF(D161,-1,1))-1,9)</f>
        <v>#N/A</v>
      </c>
      <c r="F159" s="96" t="e">
        <f ca="1">MOD(VLOOKUP(E160,PlanetData,3,FALSE)+MATCH(E158,INDEX(VimFrac,0,9*E161+VLOOKUP(E160,PlanetData,3,FALSE)+1),IF(E161,-1,1))-1,9)</f>
        <v>#N/A</v>
      </c>
      <c r="G159" s="96" t="e">
        <f ca="1">MOD(VLOOKUP(F160,PlanetData,3,FALSE)+MATCH(F158,INDEX(VimFrac,0,9*F161+VLOOKUP(F160,PlanetData,3,FALSE)+1),IF(F161,-1,1))-1,9)</f>
        <v>#N/A</v>
      </c>
      <c r="H159" s="96" t="e">
        <f ca="1">MOD(VLOOKUP(G160,PlanetData,3,FALSE)+MATCH(G158,INDEX(VimFrac,0,9*G161+VLOOKUP(G160,PlanetData,3,FALSE)+1),IF(G161,-1,1))-1,9)</f>
        <v>#N/A</v>
      </c>
      <c r="I159"/>
      <c r="K159">
        <f>K151</f>
        <v>0</v>
      </c>
    </row>
    <row r="160" spans="1:11" x14ac:dyDescent="0.2">
      <c r="A160" s="90" t="s">
        <v>1155</v>
      </c>
      <c r="B160" s="95" t="str">
        <f>$B$4</f>
        <v>Moon</v>
      </c>
      <c r="C160" s="96" t="e">
        <f t="shared" ref="C160:H160" ca="1" si="37">INDEX(DasaYears,IF(C159=0,9,C159),1)</f>
        <v>#N/A</v>
      </c>
      <c r="D160" s="96" t="e">
        <f t="shared" ca="1" si="37"/>
        <v>#N/A</v>
      </c>
      <c r="E160" s="96" t="e">
        <f t="shared" ca="1" si="37"/>
        <v>#N/A</v>
      </c>
      <c r="F160" s="96" t="e">
        <f t="shared" ca="1" si="37"/>
        <v>#N/A</v>
      </c>
      <c r="G160" s="96" t="e">
        <f t="shared" ca="1" si="37"/>
        <v>#N/A</v>
      </c>
      <c r="H160" s="96" t="e">
        <f t="shared" ca="1" si="37"/>
        <v>#N/A</v>
      </c>
      <c r="I160" s="97">
        <f ca="1">INDIRECT("'JHora'!$B$"&amp;($K160))</f>
        <v>0</v>
      </c>
      <c r="J160" s="97">
        <f ca="1">INDIRECT("'JHora'!$C$"&amp;($K160))</f>
        <v>0</v>
      </c>
      <c r="K160">
        <f>K152+1</f>
        <v>19</v>
      </c>
    </row>
    <row r="161" spans="1:11" x14ac:dyDescent="0.2">
      <c r="A161" s="90" t="s">
        <v>1139</v>
      </c>
      <c r="B161" s="91" t="b">
        <f>$B$7</f>
        <v>1</v>
      </c>
      <c r="C161" s="96" t="e">
        <f ca="1">IF(VLOOKUP(C160,ChartInfo,11,FALSE),1,0)*B161</f>
        <v>#N/A</v>
      </c>
      <c r="D161" s="96" t="e">
        <f ca="1">IF(VLOOKUP(D160,ChartInfo,11,FALSE),1,0)*B161</f>
        <v>#N/A</v>
      </c>
      <c r="E161" s="96" t="e">
        <f ca="1">IF(VLOOKUP(E160,ChartInfo,11,FALSE),1,0)*B161</f>
        <v>#N/A</v>
      </c>
      <c r="F161" s="96" t="e">
        <f ca="1">IF(VLOOKUP(F160,ChartInfo,11,FALSE),1,0)*B161</f>
        <v>#N/A</v>
      </c>
      <c r="G161" s="96" t="e">
        <f ca="1">IF(VLOOKUP(G160,ChartInfo,11,FALSE),1,0)*B161</f>
        <v>#N/A</v>
      </c>
      <c r="H161" s="96" t="e">
        <f ca="1">IF(VLOOKUP(H160,ChartInfo,11,FALSE),1,0)*B161</f>
        <v>#N/A</v>
      </c>
      <c r="I161"/>
      <c r="K161">
        <f>K153</f>
        <v>0</v>
      </c>
    </row>
    <row r="162" spans="1:11" x14ac:dyDescent="0.2">
      <c r="K162">
        <f>K154+1</f>
        <v>19</v>
      </c>
    </row>
    <row r="163" spans="1:11" x14ac:dyDescent="0.2">
      <c r="A163" s="87" t="s">
        <v>1150</v>
      </c>
      <c r="B163" s="88">
        <f>DoB-$E$6*DaysInYear</f>
        <v>22567.7812953188</v>
      </c>
      <c r="C163" s="89" t="e">
        <f ca="1">B163+B165*INDEX(INDEX(VimFrac,,VLOOKUP(B168,PlanetData,3,FALSE)+1),MATCH(B166,INDEX(VimFrac,,VLOOKUP(B168,PlanetData,3,FALSE)+1),1))</f>
        <v>#N/A</v>
      </c>
      <c r="D163" s="89" t="e">
        <f ca="1">C163+C165*INDEX(INDEX(VimFrac,0,9*C169+VLOOKUP(C168,PlanetData,3,FALSE)+1),IF(C169,1,0)+MATCH(C166,INDEX(VimFrac,0,9*C169+VLOOKUP(C168,PlanetData,3,FALSE)+1),IF(C169,-1,1)))</f>
        <v>#N/A</v>
      </c>
      <c r="E163" s="89" t="e">
        <f ca="1">D163+D165*INDEX(INDEX(VimFrac,0,9*D169+VLOOKUP(D168,PlanetData,3,FALSE)+1),IF(D169,1,0)+MATCH(D166,INDEX(VimFrac,0,9*D169+VLOOKUP(D168,PlanetData,3,FALSE)+1),IF(D169,-1,1)))</f>
        <v>#N/A</v>
      </c>
      <c r="F163" s="89" t="e">
        <f ca="1">E163+E165*INDEX(INDEX(VimFrac,0,9*E169+VLOOKUP(E168,PlanetData,3,FALSE)+1),IF(E169,1,0)+MATCH(E166,INDEX(VimFrac,0,9*E169+VLOOKUP(E168,PlanetData,3,FALSE)+1),IF(E169,-1,1)))</f>
        <v>#N/A</v>
      </c>
      <c r="G163" s="89" t="e">
        <f ca="1">F163+F165*INDEX(INDEX(VimFrac,0,9*F169+VLOOKUP(F168,PlanetData,3,FALSE)+1),IF(F169,1,0)+MATCH(F166,INDEX(VimFrac,0,9*F169+VLOOKUP(F168,PlanetData,3,FALSE)+1),IF(F169,-1,1)))</f>
        <v>#N/A</v>
      </c>
      <c r="H163" s="89" t="e">
        <f ca="1">G163+G165*INDEX(INDEX(VimFrac,0,9*G169+VLOOKUP(G168,PlanetData,3,FALSE)+1),IF(G169,1,0)+MATCH(G166,INDEX(VimFrac,0,9*G169+VLOOKUP(G168,PlanetData,3,FALSE)+1),IF(G169,-1,1)))</f>
        <v>#N/A</v>
      </c>
      <c r="J163">
        <f ca="1">J168</f>
        <v>0</v>
      </c>
      <c r="K163">
        <f>K155+1</f>
        <v>20</v>
      </c>
    </row>
    <row r="164" spans="1:11" x14ac:dyDescent="0.2">
      <c r="A164" s="87" t="s">
        <v>1151</v>
      </c>
      <c r="B164" s="88">
        <f>B163+B165</f>
        <v>66398.36601754064</v>
      </c>
      <c r="C164" s="89" t="e">
        <f ca="1">B163+B165*INDEX(INDEX(VimFrac,,VLOOKUP(B168,PlanetData,3,FALSE)+1),MATCH(B166,INDEX(VimFrac,,VLOOKUP(B168,PlanetData,3,FALSE)+1),1)+1)</f>
        <v>#N/A</v>
      </c>
      <c r="D164" s="89" t="e">
        <f ca="1">C163+C165*INDEX(INDEX(VimFrac,0,9*C169+VLOOKUP(C168,PlanetData,3,FALSE)+1),IF(C169,0,1)+MATCH(C166,INDEX(VimFrac,0,9*C169+VLOOKUP(C168,PlanetData,3,FALSE)+1),IF(C169,-1,1)))</f>
        <v>#N/A</v>
      </c>
      <c r="E164" s="89" t="e">
        <f ca="1">D163+D165*INDEX(INDEX(VimFrac,0,9*D169+VLOOKUP(D168,PlanetData,3,FALSE)+1),IF(D169,0,1)+MATCH(D166,INDEX(VimFrac,0,9*D169+VLOOKUP(D168,PlanetData,3,FALSE)+1),IF(D169,-1,1)))</f>
        <v>#N/A</v>
      </c>
      <c r="F164" s="89" t="e">
        <f ca="1">E163+E165*INDEX(INDEX(VimFrac,0,9*E169+VLOOKUP(E168,PlanetData,3,FALSE)+1),IF(E169,0,1)+MATCH(E166,INDEX(VimFrac,0,9*E169+VLOOKUP(E168,PlanetData,3,FALSE)+1),IF(E169,-1,1)))</f>
        <v>#N/A</v>
      </c>
      <c r="G164" s="89" t="e">
        <f ca="1">F163+F165*INDEX(INDEX(VimFrac,0,9*F169+VLOOKUP(F168,PlanetData,3,FALSE)+1),IF(F169,0,1)+MATCH(F166,INDEX(VimFrac,0,9*F169+VLOOKUP(F168,PlanetData,3,FALSE)+1),IF(F169,-1,1)))</f>
        <v>#N/A</v>
      </c>
      <c r="H164" s="89" t="e">
        <f ca="1">G163+G165*INDEX(INDEX(VimFrac,0,9*G169+VLOOKUP(G168,PlanetData,3,FALSE)+1),IF(G169,0,1)+MATCH(G166,INDEX(VimFrac,0,9*G169+VLOOKUP(G168,PlanetData,3,FALSE)+1),IF(G169,-1,1)))</f>
        <v>#N/A</v>
      </c>
      <c r="J164">
        <f ca="1">J168</f>
        <v>0</v>
      </c>
      <c r="K164">
        <f>K156+1</f>
        <v>20</v>
      </c>
    </row>
    <row r="165" spans="1:11" x14ac:dyDescent="0.2">
      <c r="A165" s="90" t="s">
        <v>1152</v>
      </c>
      <c r="B165" s="91">
        <f>120*DaysInYear</f>
        <v>43830.584722221844</v>
      </c>
      <c r="C165" s="92" t="e">
        <f t="shared" ref="C165:H165" ca="1" si="38">C164-C163</f>
        <v>#N/A</v>
      </c>
      <c r="D165" s="92" t="e">
        <f t="shared" ca="1" si="38"/>
        <v>#N/A</v>
      </c>
      <c r="E165" s="92" t="e">
        <f t="shared" ca="1" si="38"/>
        <v>#N/A</v>
      </c>
      <c r="F165" s="92" t="e">
        <f t="shared" ca="1" si="38"/>
        <v>#N/A</v>
      </c>
      <c r="G165" s="92" t="e">
        <f t="shared" ca="1" si="38"/>
        <v>#N/A</v>
      </c>
      <c r="H165" s="92" t="e">
        <f t="shared" ca="1" si="38"/>
        <v>#N/A</v>
      </c>
      <c r="I165"/>
      <c r="K165">
        <f>K157</f>
        <v>0</v>
      </c>
    </row>
    <row r="166" spans="1:11" x14ac:dyDescent="0.2">
      <c r="A166" s="90" t="s">
        <v>1153</v>
      </c>
      <c r="B166" s="93">
        <f ca="1">(I168-B163)/(B164-B163)</f>
        <v>-0.51488661258669155</v>
      </c>
      <c r="C166" s="94" t="e">
        <f ca="1">(I168-C163)/(C164-C163)</f>
        <v>#N/A</v>
      </c>
      <c r="D166" s="94" t="e">
        <f ca="1">(I168-D163)/(D164-D163)</f>
        <v>#N/A</v>
      </c>
      <c r="E166" s="94" t="e">
        <f ca="1">(I168-E163)/(E164-E163)</f>
        <v>#N/A</v>
      </c>
      <c r="F166" s="94" t="e">
        <f ca="1">(I168-F163)/(F164-F163)</f>
        <v>#N/A</v>
      </c>
      <c r="G166" s="94" t="e">
        <f ca="1">(I168-G163)/(G164-G163)</f>
        <v>#N/A</v>
      </c>
      <c r="H166" s="94" t="e">
        <f ca="1">(I168-H163)/(H164-H163)</f>
        <v>#N/A</v>
      </c>
      <c r="I166"/>
      <c r="K166">
        <f>K158</f>
        <v>0</v>
      </c>
    </row>
    <row r="167" spans="1:11" x14ac:dyDescent="0.2">
      <c r="A167" s="90" t="s">
        <v>1154</v>
      </c>
      <c r="B167" s="95"/>
      <c r="C167" s="96" t="e">
        <f ca="1">MOD(VLOOKUP(B168,PlanetData,3,FALSE)+MATCH(B166,INDEX(VimFrac,,VLOOKUP(B168,PlanetData,3,FALSE)+1),1)-1,9)</f>
        <v>#N/A</v>
      </c>
      <c r="D167" s="96" t="e">
        <f ca="1">MOD(VLOOKUP(C168,PlanetData,3,FALSE)+MATCH(C166,INDEX(VimFrac,0,9*C169+VLOOKUP(C168,PlanetData,3,FALSE)+1),IF(C169,-1,1))-1,9)</f>
        <v>#N/A</v>
      </c>
      <c r="E167" s="96" t="e">
        <f ca="1">MOD(VLOOKUP(D168,PlanetData,3,FALSE)+MATCH(D166,INDEX(VimFrac,0,9*D169+VLOOKUP(D168,PlanetData,3,FALSE)+1),IF(D169,-1,1))-1,9)</f>
        <v>#N/A</v>
      </c>
      <c r="F167" s="96" t="e">
        <f ca="1">MOD(VLOOKUP(E168,PlanetData,3,FALSE)+MATCH(E166,INDEX(VimFrac,0,9*E169+VLOOKUP(E168,PlanetData,3,FALSE)+1),IF(E169,-1,1))-1,9)</f>
        <v>#N/A</v>
      </c>
      <c r="G167" s="96" t="e">
        <f ca="1">MOD(VLOOKUP(F168,PlanetData,3,FALSE)+MATCH(F166,INDEX(VimFrac,0,9*F169+VLOOKUP(F168,PlanetData,3,FALSE)+1),IF(F169,-1,1))-1,9)</f>
        <v>#N/A</v>
      </c>
      <c r="H167" s="96" t="e">
        <f ca="1">MOD(VLOOKUP(G168,PlanetData,3,FALSE)+MATCH(G166,INDEX(VimFrac,0,9*G169+VLOOKUP(G168,PlanetData,3,FALSE)+1),IF(G169,-1,1))-1,9)</f>
        <v>#N/A</v>
      </c>
      <c r="I167"/>
      <c r="K167">
        <f>K159</f>
        <v>0</v>
      </c>
    </row>
    <row r="168" spans="1:11" x14ac:dyDescent="0.2">
      <c r="A168" s="90" t="s">
        <v>1155</v>
      </c>
      <c r="B168" s="95" t="str">
        <f>$B$4</f>
        <v>Moon</v>
      </c>
      <c r="C168" s="96" t="e">
        <f t="shared" ref="C168:H168" ca="1" si="39">INDEX(DasaYears,IF(C167=0,9,C167),1)</f>
        <v>#N/A</v>
      </c>
      <c r="D168" s="96" t="e">
        <f t="shared" ca="1" si="39"/>
        <v>#N/A</v>
      </c>
      <c r="E168" s="96" t="e">
        <f t="shared" ca="1" si="39"/>
        <v>#N/A</v>
      </c>
      <c r="F168" s="96" t="e">
        <f t="shared" ca="1" si="39"/>
        <v>#N/A</v>
      </c>
      <c r="G168" s="96" t="e">
        <f t="shared" ca="1" si="39"/>
        <v>#N/A</v>
      </c>
      <c r="H168" s="96" t="e">
        <f t="shared" ca="1" si="39"/>
        <v>#N/A</v>
      </c>
      <c r="I168" s="97">
        <f ca="1">INDIRECT("'JHora'!$B$"&amp;($K168))</f>
        <v>0</v>
      </c>
      <c r="J168" s="97">
        <f ca="1">INDIRECT("'JHora'!$C$"&amp;($K168))</f>
        <v>0</v>
      </c>
      <c r="K168">
        <f>K160+1</f>
        <v>20</v>
      </c>
    </row>
    <row r="169" spans="1:11" x14ac:dyDescent="0.2">
      <c r="A169" s="90" t="s">
        <v>1139</v>
      </c>
      <c r="B169" s="91" t="b">
        <f>$B$7</f>
        <v>1</v>
      </c>
      <c r="C169" s="96" t="e">
        <f ca="1">IF(VLOOKUP(C168,ChartInfo,11,FALSE),1,0)*B169</f>
        <v>#N/A</v>
      </c>
      <c r="D169" s="96" t="e">
        <f ca="1">IF(VLOOKUP(D168,ChartInfo,11,FALSE),1,0)*B169</f>
        <v>#N/A</v>
      </c>
      <c r="E169" s="96" t="e">
        <f ca="1">IF(VLOOKUP(E168,ChartInfo,11,FALSE),1,0)*B169</f>
        <v>#N/A</v>
      </c>
      <c r="F169" s="96" t="e">
        <f ca="1">IF(VLOOKUP(F168,ChartInfo,11,FALSE),1,0)*B169</f>
        <v>#N/A</v>
      </c>
      <c r="G169" s="96" t="e">
        <f ca="1">IF(VLOOKUP(G168,ChartInfo,11,FALSE),1,0)*B169</f>
        <v>#N/A</v>
      </c>
      <c r="H169" s="96" t="e">
        <f ca="1">IF(VLOOKUP(H168,ChartInfo,11,FALSE),1,0)*B169</f>
        <v>#N/A</v>
      </c>
      <c r="I169"/>
      <c r="K169">
        <f>K161</f>
        <v>0</v>
      </c>
    </row>
    <row r="170" spans="1:11" x14ac:dyDescent="0.2">
      <c r="K170">
        <f>K162+1</f>
        <v>20</v>
      </c>
    </row>
    <row r="171" spans="1:11" x14ac:dyDescent="0.2">
      <c r="A171" s="87" t="s">
        <v>1150</v>
      </c>
      <c r="B171" s="88">
        <f>DoB-$E$6*DaysInYear</f>
        <v>22567.7812953188</v>
      </c>
      <c r="C171" s="89" t="e">
        <f ca="1">B171+B173*INDEX(INDEX(VimFrac,,VLOOKUP(B176,PlanetData,3,FALSE)+1),MATCH(B174,INDEX(VimFrac,,VLOOKUP(B176,PlanetData,3,FALSE)+1),1))</f>
        <v>#N/A</v>
      </c>
      <c r="D171" s="89" t="e">
        <f ca="1">C171+C173*INDEX(INDEX(VimFrac,0,9*C177+VLOOKUP(C176,PlanetData,3,FALSE)+1),IF(C177,1,0)+MATCH(C174,INDEX(VimFrac,0,9*C177+VLOOKUP(C176,PlanetData,3,FALSE)+1),IF(C177,-1,1)))</f>
        <v>#N/A</v>
      </c>
      <c r="E171" s="89" t="e">
        <f ca="1">D171+D173*INDEX(INDEX(VimFrac,0,9*D177+VLOOKUP(D176,PlanetData,3,FALSE)+1),IF(D177,1,0)+MATCH(D174,INDEX(VimFrac,0,9*D177+VLOOKUP(D176,PlanetData,3,FALSE)+1),IF(D177,-1,1)))</f>
        <v>#N/A</v>
      </c>
      <c r="F171" s="89" t="e">
        <f ca="1">E171+E173*INDEX(INDEX(VimFrac,0,9*E177+VLOOKUP(E176,PlanetData,3,FALSE)+1),IF(E177,1,0)+MATCH(E174,INDEX(VimFrac,0,9*E177+VLOOKUP(E176,PlanetData,3,FALSE)+1),IF(E177,-1,1)))</f>
        <v>#N/A</v>
      </c>
      <c r="G171" s="89" t="e">
        <f ca="1">F171+F173*INDEX(INDEX(VimFrac,0,9*F177+VLOOKUP(F176,PlanetData,3,FALSE)+1),IF(F177,1,0)+MATCH(F174,INDEX(VimFrac,0,9*F177+VLOOKUP(F176,PlanetData,3,FALSE)+1),IF(F177,-1,1)))</f>
        <v>#N/A</v>
      </c>
      <c r="H171" s="89" t="e">
        <f ca="1">G171+G173*INDEX(INDEX(VimFrac,0,9*G177+VLOOKUP(G176,PlanetData,3,FALSE)+1),IF(G177,1,0)+MATCH(G174,INDEX(VimFrac,0,9*G177+VLOOKUP(G176,PlanetData,3,FALSE)+1),IF(G177,-1,1)))</f>
        <v>#N/A</v>
      </c>
      <c r="J171">
        <f ca="1">J176</f>
        <v>0</v>
      </c>
      <c r="K171">
        <f>K163+1</f>
        <v>21</v>
      </c>
    </row>
    <row r="172" spans="1:11" x14ac:dyDescent="0.2">
      <c r="A172" s="87" t="s">
        <v>1151</v>
      </c>
      <c r="B172" s="88">
        <f>B171+B173</f>
        <v>66398.36601754064</v>
      </c>
      <c r="C172" s="89" t="e">
        <f ca="1">B171+B173*INDEX(INDEX(VimFrac,,VLOOKUP(B176,PlanetData,3,FALSE)+1),MATCH(B174,INDEX(VimFrac,,VLOOKUP(B176,PlanetData,3,FALSE)+1),1)+1)</f>
        <v>#N/A</v>
      </c>
      <c r="D172" s="89" t="e">
        <f ca="1">C171+C173*INDEX(INDEX(VimFrac,0,9*C177+VLOOKUP(C176,PlanetData,3,FALSE)+1),IF(C177,0,1)+MATCH(C174,INDEX(VimFrac,0,9*C177+VLOOKUP(C176,PlanetData,3,FALSE)+1),IF(C177,-1,1)))</f>
        <v>#N/A</v>
      </c>
      <c r="E172" s="89" t="e">
        <f ca="1">D171+D173*INDEX(INDEX(VimFrac,0,9*D177+VLOOKUP(D176,PlanetData,3,FALSE)+1),IF(D177,0,1)+MATCH(D174,INDEX(VimFrac,0,9*D177+VLOOKUP(D176,PlanetData,3,FALSE)+1),IF(D177,-1,1)))</f>
        <v>#N/A</v>
      </c>
      <c r="F172" s="89" t="e">
        <f ca="1">E171+E173*INDEX(INDEX(VimFrac,0,9*E177+VLOOKUP(E176,PlanetData,3,FALSE)+1),IF(E177,0,1)+MATCH(E174,INDEX(VimFrac,0,9*E177+VLOOKUP(E176,PlanetData,3,FALSE)+1),IF(E177,-1,1)))</f>
        <v>#N/A</v>
      </c>
      <c r="G172" s="89" t="e">
        <f ca="1">F171+F173*INDEX(INDEX(VimFrac,0,9*F177+VLOOKUP(F176,PlanetData,3,FALSE)+1),IF(F177,0,1)+MATCH(F174,INDEX(VimFrac,0,9*F177+VLOOKUP(F176,PlanetData,3,FALSE)+1),IF(F177,-1,1)))</f>
        <v>#N/A</v>
      </c>
      <c r="H172" s="89" t="e">
        <f ca="1">G171+G173*INDEX(INDEX(VimFrac,0,9*G177+VLOOKUP(G176,PlanetData,3,FALSE)+1),IF(G177,0,1)+MATCH(G174,INDEX(VimFrac,0,9*G177+VLOOKUP(G176,PlanetData,3,FALSE)+1),IF(G177,-1,1)))</f>
        <v>#N/A</v>
      </c>
      <c r="J172">
        <f ca="1">J176</f>
        <v>0</v>
      </c>
      <c r="K172">
        <f>K164+1</f>
        <v>21</v>
      </c>
    </row>
    <row r="173" spans="1:11" x14ac:dyDescent="0.2">
      <c r="A173" s="90" t="s">
        <v>1152</v>
      </c>
      <c r="B173" s="91">
        <f>120*DaysInYear</f>
        <v>43830.584722221844</v>
      </c>
      <c r="C173" s="92" t="e">
        <f t="shared" ref="C173:H173" ca="1" si="40">C172-C171</f>
        <v>#N/A</v>
      </c>
      <c r="D173" s="92" t="e">
        <f t="shared" ca="1" si="40"/>
        <v>#N/A</v>
      </c>
      <c r="E173" s="92" t="e">
        <f t="shared" ca="1" si="40"/>
        <v>#N/A</v>
      </c>
      <c r="F173" s="92" t="e">
        <f t="shared" ca="1" si="40"/>
        <v>#N/A</v>
      </c>
      <c r="G173" s="92" t="e">
        <f t="shared" ca="1" si="40"/>
        <v>#N/A</v>
      </c>
      <c r="H173" s="92" t="e">
        <f t="shared" ca="1" si="40"/>
        <v>#N/A</v>
      </c>
      <c r="I173"/>
      <c r="K173">
        <f>K165</f>
        <v>0</v>
      </c>
    </row>
    <row r="174" spans="1:11" x14ac:dyDescent="0.2">
      <c r="A174" s="90" t="s">
        <v>1153</v>
      </c>
      <c r="B174" s="93">
        <f ca="1">(I176-B171)/(B172-B171)</f>
        <v>-0.51488661258669155</v>
      </c>
      <c r="C174" s="94" t="e">
        <f ca="1">(I176-C171)/(C172-C171)</f>
        <v>#N/A</v>
      </c>
      <c r="D174" s="94" t="e">
        <f ca="1">(I176-D171)/(D172-D171)</f>
        <v>#N/A</v>
      </c>
      <c r="E174" s="94" t="e">
        <f ca="1">(I176-E171)/(E172-E171)</f>
        <v>#N/A</v>
      </c>
      <c r="F174" s="94" t="e">
        <f ca="1">(I176-F171)/(F172-F171)</f>
        <v>#N/A</v>
      </c>
      <c r="G174" s="94" t="e">
        <f ca="1">(I176-G171)/(G172-G171)</f>
        <v>#N/A</v>
      </c>
      <c r="H174" s="94" t="e">
        <f ca="1">(I176-H171)/(H172-H171)</f>
        <v>#N/A</v>
      </c>
      <c r="I174"/>
      <c r="K174">
        <f>K166</f>
        <v>0</v>
      </c>
    </row>
    <row r="175" spans="1:11" x14ac:dyDescent="0.2">
      <c r="A175" s="90" t="s">
        <v>1154</v>
      </c>
      <c r="B175" s="95"/>
      <c r="C175" s="96" t="e">
        <f ca="1">MOD(VLOOKUP(B176,PlanetData,3,FALSE)+MATCH(B174,INDEX(VimFrac,,VLOOKUP(B176,PlanetData,3,FALSE)+1),1)-1,9)</f>
        <v>#N/A</v>
      </c>
      <c r="D175" s="96" t="e">
        <f ca="1">MOD(VLOOKUP(C176,PlanetData,3,FALSE)+MATCH(C174,INDEX(VimFrac,0,9*C177+VLOOKUP(C176,PlanetData,3,FALSE)+1),IF(C177,-1,1))-1,9)</f>
        <v>#N/A</v>
      </c>
      <c r="E175" s="96" t="e">
        <f ca="1">MOD(VLOOKUP(D176,PlanetData,3,FALSE)+MATCH(D174,INDEX(VimFrac,0,9*D177+VLOOKUP(D176,PlanetData,3,FALSE)+1),IF(D177,-1,1))-1,9)</f>
        <v>#N/A</v>
      </c>
      <c r="F175" s="96" t="e">
        <f ca="1">MOD(VLOOKUP(E176,PlanetData,3,FALSE)+MATCH(E174,INDEX(VimFrac,0,9*E177+VLOOKUP(E176,PlanetData,3,FALSE)+1),IF(E177,-1,1))-1,9)</f>
        <v>#N/A</v>
      </c>
      <c r="G175" s="96" t="e">
        <f ca="1">MOD(VLOOKUP(F176,PlanetData,3,FALSE)+MATCH(F174,INDEX(VimFrac,0,9*F177+VLOOKUP(F176,PlanetData,3,FALSE)+1),IF(F177,-1,1))-1,9)</f>
        <v>#N/A</v>
      </c>
      <c r="H175" s="96" t="e">
        <f ca="1">MOD(VLOOKUP(G176,PlanetData,3,FALSE)+MATCH(G174,INDEX(VimFrac,0,9*G177+VLOOKUP(G176,PlanetData,3,FALSE)+1),IF(G177,-1,1))-1,9)</f>
        <v>#N/A</v>
      </c>
      <c r="I175"/>
      <c r="K175">
        <f>K167</f>
        <v>0</v>
      </c>
    </row>
    <row r="176" spans="1:11" x14ac:dyDescent="0.2">
      <c r="A176" s="90" t="s">
        <v>1155</v>
      </c>
      <c r="B176" s="95" t="str">
        <f>$B$4</f>
        <v>Moon</v>
      </c>
      <c r="C176" s="96" t="e">
        <f t="shared" ref="C176:H176" ca="1" si="41">INDEX(DasaYears,IF(C175=0,9,C175),1)</f>
        <v>#N/A</v>
      </c>
      <c r="D176" s="96" t="e">
        <f t="shared" ca="1" si="41"/>
        <v>#N/A</v>
      </c>
      <c r="E176" s="96" t="e">
        <f t="shared" ca="1" si="41"/>
        <v>#N/A</v>
      </c>
      <c r="F176" s="96" t="e">
        <f t="shared" ca="1" si="41"/>
        <v>#N/A</v>
      </c>
      <c r="G176" s="96" t="e">
        <f t="shared" ca="1" si="41"/>
        <v>#N/A</v>
      </c>
      <c r="H176" s="96" t="e">
        <f t="shared" ca="1" si="41"/>
        <v>#N/A</v>
      </c>
      <c r="I176" s="97">
        <f ca="1">INDIRECT("'JHora'!$B$"&amp;($K176))</f>
        <v>0</v>
      </c>
      <c r="J176" s="97">
        <f ca="1">INDIRECT("'JHora'!$C$"&amp;($K176))</f>
        <v>0</v>
      </c>
      <c r="K176">
        <f>K168+1</f>
        <v>21</v>
      </c>
    </row>
    <row r="177" spans="1:11" x14ac:dyDescent="0.2">
      <c r="A177" s="90" t="s">
        <v>1139</v>
      </c>
      <c r="B177" s="91" t="b">
        <f>$B$7</f>
        <v>1</v>
      </c>
      <c r="C177" s="96" t="e">
        <f ca="1">IF(VLOOKUP(C176,ChartInfo,11,FALSE),1,0)*B177</f>
        <v>#N/A</v>
      </c>
      <c r="D177" s="96" t="e">
        <f ca="1">IF(VLOOKUP(D176,ChartInfo,11,FALSE),1,0)*B177</f>
        <v>#N/A</v>
      </c>
      <c r="E177" s="96" t="e">
        <f ca="1">IF(VLOOKUP(E176,ChartInfo,11,FALSE),1,0)*B177</f>
        <v>#N/A</v>
      </c>
      <c r="F177" s="96" t="e">
        <f ca="1">IF(VLOOKUP(F176,ChartInfo,11,FALSE),1,0)*B177</f>
        <v>#N/A</v>
      </c>
      <c r="G177" s="96" t="e">
        <f ca="1">IF(VLOOKUP(G176,ChartInfo,11,FALSE),1,0)*B177</f>
        <v>#N/A</v>
      </c>
      <c r="H177" s="96" t="e">
        <f ca="1">IF(VLOOKUP(H176,ChartInfo,11,FALSE),1,0)*B177</f>
        <v>#N/A</v>
      </c>
      <c r="I177"/>
      <c r="K177">
        <f>K169</f>
        <v>0</v>
      </c>
    </row>
    <row r="178" spans="1:11" x14ac:dyDescent="0.2">
      <c r="K178">
        <f>K170+1</f>
        <v>21</v>
      </c>
    </row>
    <row r="179" spans="1:11" x14ac:dyDescent="0.2">
      <c r="A179" s="87" t="s">
        <v>1150</v>
      </c>
      <c r="B179" s="88">
        <f>DoB-$E$6*DaysInYear</f>
        <v>22567.7812953188</v>
      </c>
      <c r="C179" s="89" t="e">
        <f ca="1">B179+B181*INDEX(INDEX(VimFrac,,VLOOKUP(B184,PlanetData,3,FALSE)+1),MATCH(B182,INDEX(VimFrac,,VLOOKUP(B184,PlanetData,3,FALSE)+1),1))</f>
        <v>#N/A</v>
      </c>
      <c r="D179" s="89" t="e">
        <f ca="1">C179+C181*INDEX(INDEX(VimFrac,0,9*C185+VLOOKUP(C184,PlanetData,3,FALSE)+1),IF(C185,1,0)+MATCH(C182,INDEX(VimFrac,0,9*C185+VLOOKUP(C184,PlanetData,3,FALSE)+1),IF(C185,-1,1)))</f>
        <v>#N/A</v>
      </c>
      <c r="E179" s="89" t="e">
        <f ca="1">D179+D181*INDEX(INDEX(VimFrac,0,9*D185+VLOOKUP(D184,PlanetData,3,FALSE)+1),IF(D185,1,0)+MATCH(D182,INDEX(VimFrac,0,9*D185+VLOOKUP(D184,PlanetData,3,FALSE)+1),IF(D185,-1,1)))</f>
        <v>#N/A</v>
      </c>
      <c r="F179" s="89" t="e">
        <f ca="1">E179+E181*INDEX(INDEX(VimFrac,0,9*E185+VLOOKUP(E184,PlanetData,3,FALSE)+1),IF(E185,1,0)+MATCH(E182,INDEX(VimFrac,0,9*E185+VLOOKUP(E184,PlanetData,3,FALSE)+1),IF(E185,-1,1)))</f>
        <v>#N/A</v>
      </c>
      <c r="G179" s="89" t="e">
        <f ca="1">F179+F181*INDEX(INDEX(VimFrac,0,9*F185+VLOOKUP(F184,PlanetData,3,FALSE)+1),IF(F185,1,0)+MATCH(F182,INDEX(VimFrac,0,9*F185+VLOOKUP(F184,PlanetData,3,FALSE)+1),IF(F185,-1,1)))</f>
        <v>#N/A</v>
      </c>
      <c r="H179" s="89" t="e">
        <f ca="1">G179+G181*INDEX(INDEX(VimFrac,0,9*G185+VLOOKUP(G184,PlanetData,3,FALSE)+1),IF(G185,1,0)+MATCH(G182,INDEX(VimFrac,0,9*G185+VLOOKUP(G184,PlanetData,3,FALSE)+1),IF(G185,-1,1)))</f>
        <v>#N/A</v>
      </c>
      <c r="J179">
        <f ca="1">J184</f>
        <v>0</v>
      </c>
      <c r="K179">
        <f>K171+1</f>
        <v>22</v>
      </c>
    </row>
    <row r="180" spans="1:11" x14ac:dyDescent="0.2">
      <c r="A180" s="87" t="s">
        <v>1151</v>
      </c>
      <c r="B180" s="88">
        <f>B179+B181</f>
        <v>66398.36601754064</v>
      </c>
      <c r="C180" s="89" t="e">
        <f ca="1">B179+B181*INDEX(INDEX(VimFrac,,VLOOKUP(B184,PlanetData,3,FALSE)+1),MATCH(B182,INDEX(VimFrac,,VLOOKUP(B184,PlanetData,3,FALSE)+1),1)+1)</f>
        <v>#N/A</v>
      </c>
      <c r="D180" s="89" t="e">
        <f ca="1">C179+C181*INDEX(INDEX(VimFrac,0,9*C185+VLOOKUP(C184,PlanetData,3,FALSE)+1),IF(C185,0,1)+MATCH(C182,INDEX(VimFrac,0,9*C185+VLOOKUP(C184,PlanetData,3,FALSE)+1),IF(C185,-1,1)))</f>
        <v>#N/A</v>
      </c>
      <c r="E180" s="89" t="e">
        <f ca="1">D179+D181*INDEX(INDEX(VimFrac,0,9*D185+VLOOKUP(D184,PlanetData,3,FALSE)+1),IF(D185,0,1)+MATCH(D182,INDEX(VimFrac,0,9*D185+VLOOKUP(D184,PlanetData,3,FALSE)+1),IF(D185,-1,1)))</f>
        <v>#N/A</v>
      </c>
      <c r="F180" s="89" t="e">
        <f ca="1">E179+E181*INDEX(INDEX(VimFrac,0,9*E185+VLOOKUP(E184,PlanetData,3,FALSE)+1),IF(E185,0,1)+MATCH(E182,INDEX(VimFrac,0,9*E185+VLOOKUP(E184,PlanetData,3,FALSE)+1),IF(E185,-1,1)))</f>
        <v>#N/A</v>
      </c>
      <c r="G180" s="89" t="e">
        <f ca="1">F179+F181*INDEX(INDEX(VimFrac,0,9*F185+VLOOKUP(F184,PlanetData,3,FALSE)+1),IF(F185,0,1)+MATCH(F182,INDEX(VimFrac,0,9*F185+VLOOKUP(F184,PlanetData,3,FALSE)+1),IF(F185,-1,1)))</f>
        <v>#N/A</v>
      </c>
      <c r="H180" s="89" t="e">
        <f ca="1">G179+G181*INDEX(INDEX(VimFrac,0,9*G185+VLOOKUP(G184,PlanetData,3,FALSE)+1),IF(G185,0,1)+MATCH(G182,INDEX(VimFrac,0,9*G185+VLOOKUP(G184,PlanetData,3,FALSE)+1),IF(G185,-1,1)))</f>
        <v>#N/A</v>
      </c>
      <c r="J180">
        <f ca="1">J184</f>
        <v>0</v>
      </c>
      <c r="K180">
        <f>K172+1</f>
        <v>22</v>
      </c>
    </row>
    <row r="181" spans="1:11" x14ac:dyDescent="0.2">
      <c r="A181" s="90" t="s">
        <v>1152</v>
      </c>
      <c r="B181" s="91">
        <f>120*DaysInYear</f>
        <v>43830.584722221844</v>
      </c>
      <c r="C181" s="92" t="e">
        <f t="shared" ref="C181:H181" ca="1" si="42">C180-C179</f>
        <v>#N/A</v>
      </c>
      <c r="D181" s="92" t="e">
        <f t="shared" ca="1" si="42"/>
        <v>#N/A</v>
      </c>
      <c r="E181" s="92" t="e">
        <f t="shared" ca="1" si="42"/>
        <v>#N/A</v>
      </c>
      <c r="F181" s="92" t="e">
        <f t="shared" ca="1" si="42"/>
        <v>#N/A</v>
      </c>
      <c r="G181" s="92" t="e">
        <f t="shared" ca="1" si="42"/>
        <v>#N/A</v>
      </c>
      <c r="H181" s="92" t="e">
        <f t="shared" ca="1" si="42"/>
        <v>#N/A</v>
      </c>
      <c r="I181"/>
      <c r="K181">
        <f>K173</f>
        <v>0</v>
      </c>
    </row>
    <row r="182" spans="1:11" x14ac:dyDescent="0.2">
      <c r="A182" s="90" t="s">
        <v>1153</v>
      </c>
      <c r="B182" s="93">
        <f ca="1">(I184-B179)/(B180-B179)</f>
        <v>-0.51488661258669155</v>
      </c>
      <c r="C182" s="94" t="e">
        <f ca="1">(I184-C179)/(C180-C179)</f>
        <v>#N/A</v>
      </c>
      <c r="D182" s="94" t="e">
        <f ca="1">(I184-D179)/(D180-D179)</f>
        <v>#N/A</v>
      </c>
      <c r="E182" s="94" t="e">
        <f ca="1">(I184-E179)/(E180-E179)</f>
        <v>#N/A</v>
      </c>
      <c r="F182" s="94" t="e">
        <f ca="1">(I184-F179)/(F180-F179)</f>
        <v>#N/A</v>
      </c>
      <c r="G182" s="94" t="e">
        <f ca="1">(I184-G179)/(G180-G179)</f>
        <v>#N/A</v>
      </c>
      <c r="H182" s="94" t="e">
        <f ca="1">(I184-H179)/(H180-H179)</f>
        <v>#N/A</v>
      </c>
      <c r="I182"/>
      <c r="K182">
        <f>K174</f>
        <v>0</v>
      </c>
    </row>
    <row r="183" spans="1:11" x14ac:dyDescent="0.2">
      <c r="A183" s="90" t="s">
        <v>1154</v>
      </c>
      <c r="B183" s="95"/>
      <c r="C183" s="96" t="e">
        <f ca="1">MOD(VLOOKUP(B184,PlanetData,3,FALSE)+MATCH(B182,INDEX(VimFrac,,VLOOKUP(B184,PlanetData,3,FALSE)+1),1)-1,9)</f>
        <v>#N/A</v>
      </c>
      <c r="D183" s="96" t="e">
        <f ca="1">MOD(VLOOKUP(C184,PlanetData,3,FALSE)+MATCH(C182,INDEX(VimFrac,0,9*C185+VLOOKUP(C184,PlanetData,3,FALSE)+1),IF(C185,-1,1))-1,9)</f>
        <v>#N/A</v>
      </c>
      <c r="E183" s="96" t="e">
        <f ca="1">MOD(VLOOKUP(D184,PlanetData,3,FALSE)+MATCH(D182,INDEX(VimFrac,0,9*D185+VLOOKUP(D184,PlanetData,3,FALSE)+1),IF(D185,-1,1))-1,9)</f>
        <v>#N/A</v>
      </c>
      <c r="F183" s="96" t="e">
        <f ca="1">MOD(VLOOKUP(E184,PlanetData,3,FALSE)+MATCH(E182,INDEX(VimFrac,0,9*E185+VLOOKUP(E184,PlanetData,3,FALSE)+1),IF(E185,-1,1))-1,9)</f>
        <v>#N/A</v>
      </c>
      <c r="G183" s="96" t="e">
        <f ca="1">MOD(VLOOKUP(F184,PlanetData,3,FALSE)+MATCH(F182,INDEX(VimFrac,0,9*F185+VLOOKUP(F184,PlanetData,3,FALSE)+1),IF(F185,-1,1))-1,9)</f>
        <v>#N/A</v>
      </c>
      <c r="H183" s="96" t="e">
        <f ca="1">MOD(VLOOKUP(G184,PlanetData,3,FALSE)+MATCH(G182,INDEX(VimFrac,0,9*G185+VLOOKUP(G184,PlanetData,3,FALSE)+1),IF(G185,-1,1))-1,9)</f>
        <v>#N/A</v>
      </c>
      <c r="I183"/>
      <c r="K183">
        <f>K175</f>
        <v>0</v>
      </c>
    </row>
    <row r="184" spans="1:11" x14ac:dyDescent="0.2">
      <c r="A184" s="90" t="s">
        <v>1155</v>
      </c>
      <c r="B184" s="95" t="str">
        <f>$B$4</f>
        <v>Moon</v>
      </c>
      <c r="C184" s="96" t="e">
        <f t="shared" ref="C184:H184" ca="1" si="43">INDEX(DasaYears,IF(C183=0,9,C183),1)</f>
        <v>#N/A</v>
      </c>
      <c r="D184" s="96" t="e">
        <f t="shared" ca="1" si="43"/>
        <v>#N/A</v>
      </c>
      <c r="E184" s="96" t="e">
        <f t="shared" ca="1" si="43"/>
        <v>#N/A</v>
      </c>
      <c r="F184" s="96" t="e">
        <f t="shared" ca="1" si="43"/>
        <v>#N/A</v>
      </c>
      <c r="G184" s="96" t="e">
        <f t="shared" ca="1" si="43"/>
        <v>#N/A</v>
      </c>
      <c r="H184" s="96" t="e">
        <f t="shared" ca="1" si="43"/>
        <v>#N/A</v>
      </c>
      <c r="I184" s="97">
        <f ca="1">INDIRECT("'JHora'!$B$"&amp;($K184))</f>
        <v>0</v>
      </c>
      <c r="J184" s="97">
        <f ca="1">INDIRECT("'JHora'!$C$"&amp;($K184))</f>
        <v>0</v>
      </c>
      <c r="K184">
        <f>K176+1</f>
        <v>22</v>
      </c>
    </row>
    <row r="185" spans="1:11" x14ac:dyDescent="0.2">
      <c r="A185" s="90" t="s">
        <v>1139</v>
      </c>
      <c r="B185" s="91" t="b">
        <f>$B$7</f>
        <v>1</v>
      </c>
      <c r="C185" s="96" t="e">
        <f ca="1">IF(VLOOKUP(C184,ChartInfo,11,FALSE),1,0)*B185</f>
        <v>#N/A</v>
      </c>
      <c r="D185" s="96" t="e">
        <f ca="1">IF(VLOOKUP(D184,ChartInfo,11,FALSE),1,0)*B185</f>
        <v>#N/A</v>
      </c>
      <c r="E185" s="96" t="e">
        <f ca="1">IF(VLOOKUP(E184,ChartInfo,11,FALSE),1,0)*B185</f>
        <v>#N/A</v>
      </c>
      <c r="F185" s="96" t="e">
        <f ca="1">IF(VLOOKUP(F184,ChartInfo,11,FALSE),1,0)*B185</f>
        <v>#N/A</v>
      </c>
      <c r="G185" s="96" t="e">
        <f ca="1">IF(VLOOKUP(G184,ChartInfo,11,FALSE),1,0)*B185</f>
        <v>#N/A</v>
      </c>
      <c r="H185" s="96" t="e">
        <f ca="1">IF(VLOOKUP(H184,ChartInfo,11,FALSE),1,0)*B185</f>
        <v>#N/A</v>
      </c>
      <c r="I185"/>
      <c r="K185">
        <f>K177</f>
        <v>0</v>
      </c>
    </row>
    <row r="186" spans="1:11" x14ac:dyDescent="0.2">
      <c r="K186">
        <f>K178+1</f>
        <v>22</v>
      </c>
    </row>
    <row r="187" spans="1:11" x14ac:dyDescent="0.2">
      <c r="A187" s="87" t="s">
        <v>1150</v>
      </c>
      <c r="B187" s="88">
        <f>DoB-$E$6*DaysInYear</f>
        <v>22567.7812953188</v>
      </c>
      <c r="C187" s="89" t="e">
        <f ca="1">B187+B189*INDEX(INDEX(VimFrac,,VLOOKUP(B192,PlanetData,3,FALSE)+1),MATCH(B190,INDEX(VimFrac,,VLOOKUP(B192,PlanetData,3,FALSE)+1),1))</f>
        <v>#N/A</v>
      </c>
      <c r="D187" s="89" t="e">
        <f ca="1">C187+C189*INDEX(INDEX(VimFrac,0,9*C193+VLOOKUP(C192,PlanetData,3,FALSE)+1),IF(C193,1,0)+MATCH(C190,INDEX(VimFrac,0,9*C193+VLOOKUP(C192,PlanetData,3,FALSE)+1),IF(C193,-1,1)))</f>
        <v>#N/A</v>
      </c>
      <c r="E187" s="89" t="e">
        <f ca="1">D187+D189*INDEX(INDEX(VimFrac,0,9*D193+VLOOKUP(D192,PlanetData,3,FALSE)+1),IF(D193,1,0)+MATCH(D190,INDEX(VimFrac,0,9*D193+VLOOKUP(D192,PlanetData,3,FALSE)+1),IF(D193,-1,1)))</f>
        <v>#N/A</v>
      </c>
      <c r="F187" s="89" t="e">
        <f ca="1">E187+E189*INDEX(INDEX(VimFrac,0,9*E193+VLOOKUP(E192,PlanetData,3,FALSE)+1),IF(E193,1,0)+MATCH(E190,INDEX(VimFrac,0,9*E193+VLOOKUP(E192,PlanetData,3,FALSE)+1),IF(E193,-1,1)))</f>
        <v>#N/A</v>
      </c>
      <c r="G187" s="89" t="e">
        <f ca="1">F187+F189*INDEX(INDEX(VimFrac,0,9*F193+VLOOKUP(F192,PlanetData,3,FALSE)+1),IF(F193,1,0)+MATCH(F190,INDEX(VimFrac,0,9*F193+VLOOKUP(F192,PlanetData,3,FALSE)+1),IF(F193,-1,1)))</f>
        <v>#N/A</v>
      </c>
      <c r="H187" s="89" t="e">
        <f ca="1">G187+G189*INDEX(INDEX(VimFrac,0,9*G193+VLOOKUP(G192,PlanetData,3,FALSE)+1),IF(G193,1,0)+MATCH(G190,INDEX(VimFrac,0,9*G193+VLOOKUP(G192,PlanetData,3,FALSE)+1),IF(G193,-1,1)))</f>
        <v>#N/A</v>
      </c>
      <c r="J187">
        <f ca="1">J192</f>
        <v>0</v>
      </c>
      <c r="K187">
        <f>K179+1</f>
        <v>23</v>
      </c>
    </row>
    <row r="188" spans="1:11" x14ac:dyDescent="0.2">
      <c r="A188" s="87" t="s">
        <v>1151</v>
      </c>
      <c r="B188" s="88">
        <f>B187+B189</f>
        <v>66398.36601754064</v>
      </c>
      <c r="C188" s="89" t="e">
        <f ca="1">B187+B189*INDEX(INDEX(VimFrac,,VLOOKUP(B192,PlanetData,3,FALSE)+1),MATCH(B190,INDEX(VimFrac,,VLOOKUP(B192,PlanetData,3,FALSE)+1),1)+1)</f>
        <v>#N/A</v>
      </c>
      <c r="D188" s="89" t="e">
        <f ca="1">C187+C189*INDEX(INDEX(VimFrac,0,9*C193+VLOOKUP(C192,PlanetData,3,FALSE)+1),IF(C193,0,1)+MATCH(C190,INDEX(VimFrac,0,9*C193+VLOOKUP(C192,PlanetData,3,FALSE)+1),IF(C193,-1,1)))</f>
        <v>#N/A</v>
      </c>
      <c r="E188" s="89" t="e">
        <f ca="1">D187+D189*INDEX(INDEX(VimFrac,0,9*D193+VLOOKUP(D192,PlanetData,3,FALSE)+1),IF(D193,0,1)+MATCH(D190,INDEX(VimFrac,0,9*D193+VLOOKUP(D192,PlanetData,3,FALSE)+1),IF(D193,-1,1)))</f>
        <v>#N/A</v>
      </c>
      <c r="F188" s="89" t="e">
        <f ca="1">E187+E189*INDEX(INDEX(VimFrac,0,9*E193+VLOOKUP(E192,PlanetData,3,FALSE)+1),IF(E193,0,1)+MATCH(E190,INDEX(VimFrac,0,9*E193+VLOOKUP(E192,PlanetData,3,FALSE)+1),IF(E193,-1,1)))</f>
        <v>#N/A</v>
      </c>
      <c r="G188" s="89" t="e">
        <f ca="1">F187+F189*INDEX(INDEX(VimFrac,0,9*F193+VLOOKUP(F192,PlanetData,3,FALSE)+1),IF(F193,0,1)+MATCH(F190,INDEX(VimFrac,0,9*F193+VLOOKUP(F192,PlanetData,3,FALSE)+1),IF(F193,-1,1)))</f>
        <v>#N/A</v>
      </c>
      <c r="H188" s="89" t="e">
        <f ca="1">G187+G189*INDEX(INDEX(VimFrac,0,9*G193+VLOOKUP(G192,PlanetData,3,FALSE)+1),IF(G193,0,1)+MATCH(G190,INDEX(VimFrac,0,9*G193+VLOOKUP(G192,PlanetData,3,FALSE)+1),IF(G193,-1,1)))</f>
        <v>#N/A</v>
      </c>
      <c r="J188">
        <f ca="1">J192</f>
        <v>0</v>
      </c>
      <c r="K188">
        <f>K180+1</f>
        <v>23</v>
      </c>
    </row>
    <row r="189" spans="1:11" x14ac:dyDescent="0.2">
      <c r="A189" s="90" t="s">
        <v>1152</v>
      </c>
      <c r="B189" s="91">
        <f>120*DaysInYear</f>
        <v>43830.584722221844</v>
      </c>
      <c r="C189" s="92" t="e">
        <f t="shared" ref="C189:H189" ca="1" si="44">C188-C187</f>
        <v>#N/A</v>
      </c>
      <c r="D189" s="92" t="e">
        <f t="shared" ca="1" si="44"/>
        <v>#N/A</v>
      </c>
      <c r="E189" s="92" t="e">
        <f t="shared" ca="1" si="44"/>
        <v>#N/A</v>
      </c>
      <c r="F189" s="92" t="e">
        <f t="shared" ca="1" si="44"/>
        <v>#N/A</v>
      </c>
      <c r="G189" s="92" t="e">
        <f t="shared" ca="1" si="44"/>
        <v>#N/A</v>
      </c>
      <c r="H189" s="92" t="e">
        <f t="shared" ca="1" si="44"/>
        <v>#N/A</v>
      </c>
      <c r="I189"/>
      <c r="K189">
        <f>K181</f>
        <v>0</v>
      </c>
    </row>
    <row r="190" spans="1:11" x14ac:dyDescent="0.2">
      <c r="A190" s="90" t="s">
        <v>1153</v>
      </c>
      <c r="B190" s="93">
        <f ca="1">(I192-B187)/(B188-B187)</f>
        <v>-0.51488661258669155</v>
      </c>
      <c r="C190" s="94" t="e">
        <f ca="1">(I192-C187)/(C188-C187)</f>
        <v>#N/A</v>
      </c>
      <c r="D190" s="94" t="e">
        <f ca="1">(I192-D187)/(D188-D187)</f>
        <v>#N/A</v>
      </c>
      <c r="E190" s="94" t="e">
        <f ca="1">(I192-E187)/(E188-E187)</f>
        <v>#N/A</v>
      </c>
      <c r="F190" s="94" t="e">
        <f ca="1">(I192-F187)/(F188-F187)</f>
        <v>#N/A</v>
      </c>
      <c r="G190" s="94" t="e">
        <f ca="1">(I192-G187)/(G188-G187)</f>
        <v>#N/A</v>
      </c>
      <c r="H190" s="94" t="e">
        <f ca="1">(I192-H187)/(H188-H187)</f>
        <v>#N/A</v>
      </c>
      <c r="I190"/>
      <c r="K190">
        <f>K182</f>
        <v>0</v>
      </c>
    </row>
    <row r="191" spans="1:11" x14ac:dyDescent="0.2">
      <c r="A191" s="90" t="s">
        <v>1154</v>
      </c>
      <c r="B191" s="95"/>
      <c r="C191" s="96" t="e">
        <f ca="1">MOD(VLOOKUP(B192,PlanetData,3,FALSE)+MATCH(B190,INDEX(VimFrac,,VLOOKUP(B192,PlanetData,3,FALSE)+1),1)-1,9)</f>
        <v>#N/A</v>
      </c>
      <c r="D191" s="96" t="e">
        <f ca="1">MOD(VLOOKUP(C192,PlanetData,3,FALSE)+MATCH(C190,INDEX(VimFrac,0,9*C193+VLOOKUP(C192,PlanetData,3,FALSE)+1),IF(C193,-1,1))-1,9)</f>
        <v>#N/A</v>
      </c>
      <c r="E191" s="96" t="e">
        <f ca="1">MOD(VLOOKUP(D192,PlanetData,3,FALSE)+MATCH(D190,INDEX(VimFrac,0,9*D193+VLOOKUP(D192,PlanetData,3,FALSE)+1),IF(D193,-1,1))-1,9)</f>
        <v>#N/A</v>
      </c>
      <c r="F191" s="96" t="e">
        <f ca="1">MOD(VLOOKUP(E192,PlanetData,3,FALSE)+MATCH(E190,INDEX(VimFrac,0,9*E193+VLOOKUP(E192,PlanetData,3,FALSE)+1),IF(E193,-1,1))-1,9)</f>
        <v>#N/A</v>
      </c>
      <c r="G191" s="96" t="e">
        <f ca="1">MOD(VLOOKUP(F192,PlanetData,3,FALSE)+MATCH(F190,INDEX(VimFrac,0,9*F193+VLOOKUP(F192,PlanetData,3,FALSE)+1),IF(F193,-1,1))-1,9)</f>
        <v>#N/A</v>
      </c>
      <c r="H191" s="96" t="e">
        <f ca="1">MOD(VLOOKUP(G192,PlanetData,3,FALSE)+MATCH(G190,INDEX(VimFrac,0,9*G193+VLOOKUP(G192,PlanetData,3,FALSE)+1),IF(G193,-1,1))-1,9)</f>
        <v>#N/A</v>
      </c>
      <c r="I191"/>
      <c r="K191">
        <f>K183</f>
        <v>0</v>
      </c>
    </row>
    <row r="192" spans="1:11" x14ac:dyDescent="0.2">
      <c r="A192" s="90" t="s">
        <v>1155</v>
      </c>
      <c r="B192" s="95" t="str">
        <f>$B$4</f>
        <v>Moon</v>
      </c>
      <c r="C192" s="96" t="e">
        <f t="shared" ref="C192:H192" ca="1" si="45">INDEX(DasaYears,IF(C191=0,9,C191),1)</f>
        <v>#N/A</v>
      </c>
      <c r="D192" s="96" t="e">
        <f t="shared" ca="1" si="45"/>
        <v>#N/A</v>
      </c>
      <c r="E192" s="96" t="e">
        <f t="shared" ca="1" si="45"/>
        <v>#N/A</v>
      </c>
      <c r="F192" s="96" t="e">
        <f t="shared" ca="1" si="45"/>
        <v>#N/A</v>
      </c>
      <c r="G192" s="96" t="e">
        <f t="shared" ca="1" si="45"/>
        <v>#N/A</v>
      </c>
      <c r="H192" s="96" t="e">
        <f t="shared" ca="1" si="45"/>
        <v>#N/A</v>
      </c>
      <c r="I192" s="97">
        <f ca="1">INDIRECT("'JHora'!$B$"&amp;($K192))</f>
        <v>0</v>
      </c>
      <c r="J192" s="97">
        <f ca="1">INDIRECT("'JHora'!$C$"&amp;($K192))</f>
        <v>0</v>
      </c>
      <c r="K192">
        <f>K184+1</f>
        <v>23</v>
      </c>
    </row>
    <row r="193" spans="1:11" x14ac:dyDescent="0.2">
      <c r="A193" s="90" t="s">
        <v>1139</v>
      </c>
      <c r="B193" s="91" t="b">
        <f>$B$7</f>
        <v>1</v>
      </c>
      <c r="C193" s="96" t="e">
        <f ca="1">IF(VLOOKUP(C192,ChartInfo,11,FALSE),1,0)*B193</f>
        <v>#N/A</v>
      </c>
      <c r="D193" s="96" t="e">
        <f ca="1">IF(VLOOKUP(D192,ChartInfo,11,FALSE),1,0)*B193</f>
        <v>#N/A</v>
      </c>
      <c r="E193" s="96" t="e">
        <f ca="1">IF(VLOOKUP(E192,ChartInfo,11,FALSE),1,0)*B193</f>
        <v>#N/A</v>
      </c>
      <c r="F193" s="96" t="e">
        <f ca="1">IF(VLOOKUP(F192,ChartInfo,11,FALSE),1,0)*B193</f>
        <v>#N/A</v>
      </c>
      <c r="G193" s="96" t="e">
        <f ca="1">IF(VLOOKUP(G192,ChartInfo,11,FALSE),1,0)*B193</f>
        <v>#N/A</v>
      </c>
      <c r="H193" s="96" t="e">
        <f ca="1">IF(VLOOKUP(H192,ChartInfo,11,FALSE),1,0)*B193</f>
        <v>#N/A</v>
      </c>
      <c r="I193"/>
      <c r="K193">
        <f>K185</f>
        <v>0</v>
      </c>
    </row>
    <row r="194" spans="1:11" x14ac:dyDescent="0.2">
      <c r="K194">
        <f>K186+1</f>
        <v>23</v>
      </c>
    </row>
    <row r="195" spans="1:11" x14ac:dyDescent="0.2">
      <c r="A195" s="87" t="s">
        <v>1150</v>
      </c>
      <c r="B195" s="88">
        <f>DoB-$E$6*DaysInYear</f>
        <v>22567.7812953188</v>
      </c>
      <c r="C195" s="89" t="e">
        <f ca="1">B195+B197*INDEX(INDEX(VimFrac,,VLOOKUP(B200,PlanetData,3,FALSE)+1),MATCH(B198,INDEX(VimFrac,,VLOOKUP(B200,PlanetData,3,FALSE)+1),1))</f>
        <v>#N/A</v>
      </c>
      <c r="D195" s="89" t="e">
        <f ca="1">C195+C197*INDEX(INDEX(VimFrac,0,9*C201+VLOOKUP(C200,PlanetData,3,FALSE)+1),IF(C201,1,0)+MATCH(C198,INDEX(VimFrac,0,9*C201+VLOOKUP(C200,PlanetData,3,FALSE)+1),IF(C201,-1,1)))</f>
        <v>#N/A</v>
      </c>
      <c r="E195" s="89" t="e">
        <f ca="1">D195+D197*INDEX(INDEX(VimFrac,0,9*D201+VLOOKUP(D200,PlanetData,3,FALSE)+1),IF(D201,1,0)+MATCH(D198,INDEX(VimFrac,0,9*D201+VLOOKUP(D200,PlanetData,3,FALSE)+1),IF(D201,-1,1)))</f>
        <v>#N/A</v>
      </c>
      <c r="F195" s="89" t="e">
        <f ca="1">E195+E197*INDEX(INDEX(VimFrac,0,9*E201+VLOOKUP(E200,PlanetData,3,FALSE)+1),IF(E201,1,0)+MATCH(E198,INDEX(VimFrac,0,9*E201+VLOOKUP(E200,PlanetData,3,FALSE)+1),IF(E201,-1,1)))</f>
        <v>#N/A</v>
      </c>
      <c r="G195" s="89" t="e">
        <f ca="1">F195+F197*INDEX(INDEX(VimFrac,0,9*F201+VLOOKUP(F200,PlanetData,3,FALSE)+1),IF(F201,1,0)+MATCH(F198,INDEX(VimFrac,0,9*F201+VLOOKUP(F200,PlanetData,3,FALSE)+1),IF(F201,-1,1)))</f>
        <v>#N/A</v>
      </c>
      <c r="H195" s="89" t="e">
        <f ca="1">G195+G197*INDEX(INDEX(VimFrac,0,9*G201+VLOOKUP(G200,PlanetData,3,FALSE)+1),IF(G201,1,0)+MATCH(G198,INDEX(VimFrac,0,9*G201+VLOOKUP(G200,PlanetData,3,FALSE)+1),IF(G201,-1,1)))</f>
        <v>#N/A</v>
      </c>
      <c r="J195">
        <f ca="1">J200</f>
        <v>0</v>
      </c>
      <c r="K195">
        <f>K187+1</f>
        <v>24</v>
      </c>
    </row>
    <row r="196" spans="1:11" x14ac:dyDescent="0.2">
      <c r="A196" s="87" t="s">
        <v>1151</v>
      </c>
      <c r="B196" s="88">
        <f>B195+B197</f>
        <v>66398.36601754064</v>
      </c>
      <c r="C196" s="89" t="e">
        <f ca="1">B195+B197*INDEX(INDEX(VimFrac,,VLOOKUP(B200,PlanetData,3,FALSE)+1),MATCH(B198,INDEX(VimFrac,,VLOOKUP(B200,PlanetData,3,FALSE)+1),1)+1)</f>
        <v>#N/A</v>
      </c>
      <c r="D196" s="89" t="e">
        <f ca="1">C195+C197*INDEX(INDEX(VimFrac,0,9*C201+VLOOKUP(C200,PlanetData,3,FALSE)+1),IF(C201,0,1)+MATCH(C198,INDEX(VimFrac,0,9*C201+VLOOKUP(C200,PlanetData,3,FALSE)+1),IF(C201,-1,1)))</f>
        <v>#N/A</v>
      </c>
      <c r="E196" s="89" t="e">
        <f ca="1">D195+D197*INDEX(INDEX(VimFrac,0,9*D201+VLOOKUP(D200,PlanetData,3,FALSE)+1),IF(D201,0,1)+MATCH(D198,INDEX(VimFrac,0,9*D201+VLOOKUP(D200,PlanetData,3,FALSE)+1),IF(D201,-1,1)))</f>
        <v>#N/A</v>
      </c>
      <c r="F196" s="89" t="e">
        <f ca="1">E195+E197*INDEX(INDEX(VimFrac,0,9*E201+VLOOKUP(E200,PlanetData,3,FALSE)+1),IF(E201,0,1)+MATCH(E198,INDEX(VimFrac,0,9*E201+VLOOKUP(E200,PlanetData,3,FALSE)+1),IF(E201,-1,1)))</f>
        <v>#N/A</v>
      </c>
      <c r="G196" s="89" t="e">
        <f ca="1">F195+F197*INDEX(INDEX(VimFrac,0,9*F201+VLOOKUP(F200,PlanetData,3,FALSE)+1),IF(F201,0,1)+MATCH(F198,INDEX(VimFrac,0,9*F201+VLOOKUP(F200,PlanetData,3,FALSE)+1),IF(F201,-1,1)))</f>
        <v>#N/A</v>
      </c>
      <c r="H196" s="89" t="e">
        <f ca="1">G195+G197*INDEX(INDEX(VimFrac,0,9*G201+VLOOKUP(G200,PlanetData,3,FALSE)+1),IF(G201,0,1)+MATCH(G198,INDEX(VimFrac,0,9*G201+VLOOKUP(G200,PlanetData,3,FALSE)+1),IF(G201,-1,1)))</f>
        <v>#N/A</v>
      </c>
      <c r="J196">
        <f ca="1">J200</f>
        <v>0</v>
      </c>
      <c r="K196">
        <f>K188+1</f>
        <v>24</v>
      </c>
    </row>
    <row r="197" spans="1:11" x14ac:dyDescent="0.2">
      <c r="A197" s="90" t="s">
        <v>1152</v>
      </c>
      <c r="B197" s="91">
        <f>120*DaysInYear</f>
        <v>43830.584722221844</v>
      </c>
      <c r="C197" s="92" t="e">
        <f t="shared" ref="C197:H197" ca="1" si="46">C196-C195</f>
        <v>#N/A</v>
      </c>
      <c r="D197" s="92" t="e">
        <f t="shared" ca="1" si="46"/>
        <v>#N/A</v>
      </c>
      <c r="E197" s="92" t="e">
        <f t="shared" ca="1" si="46"/>
        <v>#N/A</v>
      </c>
      <c r="F197" s="92" t="e">
        <f t="shared" ca="1" si="46"/>
        <v>#N/A</v>
      </c>
      <c r="G197" s="92" t="e">
        <f t="shared" ca="1" si="46"/>
        <v>#N/A</v>
      </c>
      <c r="H197" s="92" t="e">
        <f t="shared" ca="1" si="46"/>
        <v>#N/A</v>
      </c>
      <c r="I197"/>
      <c r="K197">
        <f>K189</f>
        <v>0</v>
      </c>
    </row>
    <row r="198" spans="1:11" x14ac:dyDescent="0.2">
      <c r="A198" s="90" t="s">
        <v>1153</v>
      </c>
      <c r="B198" s="93">
        <f ca="1">(I200-B195)/(B196-B195)</f>
        <v>-0.51488661258669155</v>
      </c>
      <c r="C198" s="94" t="e">
        <f ca="1">(I200-C195)/(C196-C195)</f>
        <v>#N/A</v>
      </c>
      <c r="D198" s="94" t="e">
        <f ca="1">(I200-D195)/(D196-D195)</f>
        <v>#N/A</v>
      </c>
      <c r="E198" s="94" t="e">
        <f ca="1">(I200-E195)/(E196-E195)</f>
        <v>#N/A</v>
      </c>
      <c r="F198" s="94" t="e">
        <f ca="1">(I200-F195)/(F196-F195)</f>
        <v>#N/A</v>
      </c>
      <c r="G198" s="94" t="e">
        <f ca="1">(I200-G195)/(G196-G195)</f>
        <v>#N/A</v>
      </c>
      <c r="H198" s="94" t="e">
        <f ca="1">(I200-H195)/(H196-H195)</f>
        <v>#N/A</v>
      </c>
      <c r="I198"/>
      <c r="K198">
        <f>K190</f>
        <v>0</v>
      </c>
    </row>
    <row r="199" spans="1:11" x14ac:dyDescent="0.2">
      <c r="A199" s="90" t="s">
        <v>1154</v>
      </c>
      <c r="B199" s="95"/>
      <c r="C199" s="96" t="e">
        <f ca="1">MOD(VLOOKUP(B200,PlanetData,3,FALSE)+MATCH(B198,INDEX(VimFrac,,VLOOKUP(B200,PlanetData,3,FALSE)+1),1)-1,9)</f>
        <v>#N/A</v>
      </c>
      <c r="D199" s="96" t="e">
        <f ca="1">MOD(VLOOKUP(C200,PlanetData,3,FALSE)+MATCH(C198,INDEX(VimFrac,0,9*C201+VLOOKUP(C200,PlanetData,3,FALSE)+1),IF(C201,-1,1))-1,9)</f>
        <v>#N/A</v>
      </c>
      <c r="E199" s="96" t="e">
        <f ca="1">MOD(VLOOKUP(D200,PlanetData,3,FALSE)+MATCH(D198,INDEX(VimFrac,0,9*D201+VLOOKUP(D200,PlanetData,3,FALSE)+1),IF(D201,-1,1))-1,9)</f>
        <v>#N/A</v>
      </c>
      <c r="F199" s="96" t="e">
        <f ca="1">MOD(VLOOKUP(E200,PlanetData,3,FALSE)+MATCH(E198,INDEX(VimFrac,0,9*E201+VLOOKUP(E200,PlanetData,3,FALSE)+1),IF(E201,-1,1))-1,9)</f>
        <v>#N/A</v>
      </c>
      <c r="G199" s="96" t="e">
        <f ca="1">MOD(VLOOKUP(F200,PlanetData,3,FALSE)+MATCH(F198,INDEX(VimFrac,0,9*F201+VLOOKUP(F200,PlanetData,3,FALSE)+1),IF(F201,-1,1))-1,9)</f>
        <v>#N/A</v>
      </c>
      <c r="H199" s="96" t="e">
        <f ca="1">MOD(VLOOKUP(G200,PlanetData,3,FALSE)+MATCH(G198,INDEX(VimFrac,0,9*G201+VLOOKUP(G200,PlanetData,3,FALSE)+1),IF(G201,-1,1))-1,9)</f>
        <v>#N/A</v>
      </c>
      <c r="I199"/>
      <c r="K199">
        <f>K191</f>
        <v>0</v>
      </c>
    </row>
    <row r="200" spans="1:11" x14ac:dyDescent="0.2">
      <c r="A200" s="90" t="s">
        <v>1155</v>
      </c>
      <c r="B200" s="95" t="str">
        <f>$B$4</f>
        <v>Moon</v>
      </c>
      <c r="C200" s="96" t="e">
        <f t="shared" ref="C200:H200" ca="1" si="47">INDEX(DasaYears,IF(C199=0,9,C199),1)</f>
        <v>#N/A</v>
      </c>
      <c r="D200" s="96" t="e">
        <f t="shared" ca="1" si="47"/>
        <v>#N/A</v>
      </c>
      <c r="E200" s="96" t="e">
        <f t="shared" ca="1" si="47"/>
        <v>#N/A</v>
      </c>
      <c r="F200" s="96" t="e">
        <f t="shared" ca="1" si="47"/>
        <v>#N/A</v>
      </c>
      <c r="G200" s="96" t="e">
        <f t="shared" ca="1" si="47"/>
        <v>#N/A</v>
      </c>
      <c r="H200" s="96" t="e">
        <f t="shared" ca="1" si="47"/>
        <v>#N/A</v>
      </c>
      <c r="I200" s="97">
        <f ca="1">INDIRECT("'JHora'!$B$"&amp;($K200))</f>
        <v>0</v>
      </c>
      <c r="J200" s="97">
        <f ca="1">INDIRECT("'JHora'!$C$"&amp;($K200))</f>
        <v>0</v>
      </c>
      <c r="K200">
        <f>K192+1</f>
        <v>24</v>
      </c>
    </row>
    <row r="201" spans="1:11" x14ac:dyDescent="0.2">
      <c r="A201" s="90" t="s">
        <v>1139</v>
      </c>
      <c r="B201" s="91" t="b">
        <f>$B$7</f>
        <v>1</v>
      </c>
      <c r="C201" s="96" t="e">
        <f ca="1">IF(VLOOKUP(C200,ChartInfo,11,FALSE),1,0)*B201</f>
        <v>#N/A</v>
      </c>
      <c r="D201" s="96" t="e">
        <f ca="1">IF(VLOOKUP(D200,ChartInfo,11,FALSE),1,0)*B201</f>
        <v>#N/A</v>
      </c>
      <c r="E201" s="96" t="e">
        <f ca="1">IF(VLOOKUP(E200,ChartInfo,11,FALSE),1,0)*B201</f>
        <v>#N/A</v>
      </c>
      <c r="F201" s="96" t="e">
        <f ca="1">IF(VLOOKUP(F200,ChartInfo,11,FALSE),1,0)*B201</f>
        <v>#N/A</v>
      </c>
      <c r="G201" s="96" t="e">
        <f ca="1">IF(VLOOKUP(G200,ChartInfo,11,FALSE),1,0)*B201</f>
        <v>#N/A</v>
      </c>
      <c r="H201" s="96" t="e">
        <f ca="1">IF(VLOOKUP(H200,ChartInfo,11,FALSE),1,0)*B201</f>
        <v>#N/A</v>
      </c>
      <c r="I201"/>
      <c r="K201">
        <f>K193</f>
        <v>0</v>
      </c>
    </row>
    <row r="202" spans="1:11" x14ac:dyDescent="0.2">
      <c r="K202">
        <f>K194+1</f>
        <v>24</v>
      </c>
    </row>
    <row r="203" spans="1:11" x14ac:dyDescent="0.2">
      <c r="A203" s="87" t="s">
        <v>1150</v>
      </c>
      <c r="B203" s="88">
        <f>DoB-$E$6*DaysInYear</f>
        <v>22567.7812953188</v>
      </c>
      <c r="C203" s="89" t="e">
        <f ca="1">B203+B205*INDEX(INDEX(VimFrac,,VLOOKUP(B208,PlanetData,3,FALSE)+1),MATCH(B206,INDEX(VimFrac,,VLOOKUP(B208,PlanetData,3,FALSE)+1),1))</f>
        <v>#N/A</v>
      </c>
      <c r="D203" s="89" t="e">
        <f ca="1">C203+C205*INDEX(INDEX(VimFrac,0,9*C209+VLOOKUP(C208,PlanetData,3,FALSE)+1),IF(C209,1,0)+MATCH(C206,INDEX(VimFrac,0,9*C209+VLOOKUP(C208,PlanetData,3,FALSE)+1),IF(C209,-1,1)))</f>
        <v>#N/A</v>
      </c>
      <c r="E203" s="89" t="e">
        <f ca="1">D203+D205*INDEX(INDEX(VimFrac,0,9*D209+VLOOKUP(D208,PlanetData,3,FALSE)+1),IF(D209,1,0)+MATCH(D206,INDEX(VimFrac,0,9*D209+VLOOKUP(D208,PlanetData,3,FALSE)+1),IF(D209,-1,1)))</f>
        <v>#N/A</v>
      </c>
      <c r="F203" s="89" t="e">
        <f ca="1">E203+E205*INDEX(INDEX(VimFrac,0,9*E209+VLOOKUP(E208,PlanetData,3,FALSE)+1),IF(E209,1,0)+MATCH(E206,INDEX(VimFrac,0,9*E209+VLOOKUP(E208,PlanetData,3,FALSE)+1),IF(E209,-1,1)))</f>
        <v>#N/A</v>
      </c>
      <c r="G203" s="89" t="e">
        <f ca="1">F203+F205*INDEX(INDEX(VimFrac,0,9*F209+VLOOKUP(F208,PlanetData,3,FALSE)+1),IF(F209,1,0)+MATCH(F206,INDEX(VimFrac,0,9*F209+VLOOKUP(F208,PlanetData,3,FALSE)+1),IF(F209,-1,1)))</f>
        <v>#N/A</v>
      </c>
      <c r="H203" s="89" t="e">
        <f ca="1">G203+G205*INDEX(INDEX(VimFrac,0,9*G209+VLOOKUP(G208,PlanetData,3,FALSE)+1),IF(G209,1,0)+MATCH(G206,INDEX(VimFrac,0,9*G209+VLOOKUP(G208,PlanetData,3,FALSE)+1),IF(G209,-1,1)))</f>
        <v>#N/A</v>
      </c>
      <c r="J203">
        <f ca="1">J208</f>
        <v>0</v>
      </c>
      <c r="K203">
        <f>K195+1</f>
        <v>25</v>
      </c>
    </row>
    <row r="204" spans="1:11" x14ac:dyDescent="0.2">
      <c r="A204" s="87" t="s">
        <v>1151</v>
      </c>
      <c r="B204" s="88">
        <f>B203+B205</f>
        <v>66398.36601754064</v>
      </c>
      <c r="C204" s="89" t="e">
        <f ca="1">B203+B205*INDEX(INDEX(VimFrac,,VLOOKUP(B208,PlanetData,3,FALSE)+1),MATCH(B206,INDEX(VimFrac,,VLOOKUP(B208,PlanetData,3,FALSE)+1),1)+1)</f>
        <v>#N/A</v>
      </c>
      <c r="D204" s="89" t="e">
        <f ca="1">C203+C205*INDEX(INDEX(VimFrac,0,9*C209+VLOOKUP(C208,PlanetData,3,FALSE)+1),IF(C209,0,1)+MATCH(C206,INDEX(VimFrac,0,9*C209+VLOOKUP(C208,PlanetData,3,FALSE)+1),IF(C209,-1,1)))</f>
        <v>#N/A</v>
      </c>
      <c r="E204" s="89" t="e">
        <f ca="1">D203+D205*INDEX(INDEX(VimFrac,0,9*D209+VLOOKUP(D208,PlanetData,3,FALSE)+1),IF(D209,0,1)+MATCH(D206,INDEX(VimFrac,0,9*D209+VLOOKUP(D208,PlanetData,3,FALSE)+1),IF(D209,-1,1)))</f>
        <v>#N/A</v>
      </c>
      <c r="F204" s="89" t="e">
        <f ca="1">E203+E205*INDEX(INDEX(VimFrac,0,9*E209+VLOOKUP(E208,PlanetData,3,FALSE)+1),IF(E209,0,1)+MATCH(E206,INDEX(VimFrac,0,9*E209+VLOOKUP(E208,PlanetData,3,FALSE)+1),IF(E209,-1,1)))</f>
        <v>#N/A</v>
      </c>
      <c r="G204" s="89" t="e">
        <f ca="1">F203+F205*INDEX(INDEX(VimFrac,0,9*F209+VLOOKUP(F208,PlanetData,3,FALSE)+1),IF(F209,0,1)+MATCH(F206,INDEX(VimFrac,0,9*F209+VLOOKUP(F208,PlanetData,3,FALSE)+1),IF(F209,-1,1)))</f>
        <v>#N/A</v>
      </c>
      <c r="H204" s="89" t="e">
        <f ca="1">G203+G205*INDEX(INDEX(VimFrac,0,9*G209+VLOOKUP(G208,PlanetData,3,FALSE)+1),IF(G209,0,1)+MATCH(G206,INDEX(VimFrac,0,9*G209+VLOOKUP(G208,PlanetData,3,FALSE)+1),IF(G209,-1,1)))</f>
        <v>#N/A</v>
      </c>
      <c r="J204">
        <f ca="1">J208</f>
        <v>0</v>
      </c>
      <c r="K204">
        <f>K196+1</f>
        <v>25</v>
      </c>
    </row>
    <row r="205" spans="1:11" x14ac:dyDescent="0.2">
      <c r="A205" s="90" t="s">
        <v>1152</v>
      </c>
      <c r="B205" s="91">
        <f>120*DaysInYear</f>
        <v>43830.584722221844</v>
      </c>
      <c r="C205" s="92" t="e">
        <f t="shared" ref="C205:H205" ca="1" si="48">C204-C203</f>
        <v>#N/A</v>
      </c>
      <c r="D205" s="92" t="e">
        <f t="shared" ca="1" si="48"/>
        <v>#N/A</v>
      </c>
      <c r="E205" s="92" t="e">
        <f t="shared" ca="1" si="48"/>
        <v>#N/A</v>
      </c>
      <c r="F205" s="92" t="e">
        <f t="shared" ca="1" si="48"/>
        <v>#N/A</v>
      </c>
      <c r="G205" s="92" t="e">
        <f t="shared" ca="1" si="48"/>
        <v>#N/A</v>
      </c>
      <c r="H205" s="92" t="e">
        <f t="shared" ca="1" si="48"/>
        <v>#N/A</v>
      </c>
      <c r="I205"/>
      <c r="K205">
        <f>K197</f>
        <v>0</v>
      </c>
    </row>
    <row r="206" spans="1:11" x14ac:dyDescent="0.2">
      <c r="A206" s="90" t="s">
        <v>1153</v>
      </c>
      <c r="B206" s="93">
        <f ca="1">(I208-B203)/(B204-B203)</f>
        <v>-0.51488661258669155</v>
      </c>
      <c r="C206" s="94" t="e">
        <f ca="1">(I208-C203)/(C204-C203)</f>
        <v>#N/A</v>
      </c>
      <c r="D206" s="94" t="e">
        <f ca="1">(I208-D203)/(D204-D203)</f>
        <v>#N/A</v>
      </c>
      <c r="E206" s="94" t="e">
        <f ca="1">(I208-E203)/(E204-E203)</f>
        <v>#N/A</v>
      </c>
      <c r="F206" s="94" t="e">
        <f ca="1">(I208-F203)/(F204-F203)</f>
        <v>#N/A</v>
      </c>
      <c r="G206" s="94" t="e">
        <f ca="1">(I208-G203)/(G204-G203)</f>
        <v>#N/A</v>
      </c>
      <c r="H206" s="94" t="e">
        <f ca="1">(I208-H203)/(H204-H203)</f>
        <v>#N/A</v>
      </c>
      <c r="I206"/>
      <c r="K206">
        <f>K198</f>
        <v>0</v>
      </c>
    </row>
    <row r="207" spans="1:11" x14ac:dyDescent="0.2">
      <c r="A207" s="90" t="s">
        <v>1154</v>
      </c>
      <c r="B207" s="95"/>
      <c r="C207" s="96" t="e">
        <f ca="1">MOD(VLOOKUP(B208,PlanetData,3,FALSE)+MATCH(B206,INDEX(VimFrac,,VLOOKUP(B208,PlanetData,3,FALSE)+1),1)-1,9)</f>
        <v>#N/A</v>
      </c>
      <c r="D207" s="96" t="e">
        <f ca="1">MOD(VLOOKUP(C208,PlanetData,3,FALSE)+MATCH(C206,INDEX(VimFrac,0,9*C209+VLOOKUP(C208,PlanetData,3,FALSE)+1),IF(C209,-1,1))-1,9)</f>
        <v>#N/A</v>
      </c>
      <c r="E207" s="96" t="e">
        <f ca="1">MOD(VLOOKUP(D208,PlanetData,3,FALSE)+MATCH(D206,INDEX(VimFrac,0,9*D209+VLOOKUP(D208,PlanetData,3,FALSE)+1),IF(D209,-1,1))-1,9)</f>
        <v>#N/A</v>
      </c>
      <c r="F207" s="96" t="e">
        <f ca="1">MOD(VLOOKUP(E208,PlanetData,3,FALSE)+MATCH(E206,INDEX(VimFrac,0,9*E209+VLOOKUP(E208,PlanetData,3,FALSE)+1),IF(E209,-1,1))-1,9)</f>
        <v>#N/A</v>
      </c>
      <c r="G207" s="96" t="e">
        <f ca="1">MOD(VLOOKUP(F208,PlanetData,3,FALSE)+MATCH(F206,INDEX(VimFrac,0,9*F209+VLOOKUP(F208,PlanetData,3,FALSE)+1),IF(F209,-1,1))-1,9)</f>
        <v>#N/A</v>
      </c>
      <c r="H207" s="96" t="e">
        <f ca="1">MOD(VLOOKUP(G208,PlanetData,3,FALSE)+MATCH(G206,INDEX(VimFrac,0,9*G209+VLOOKUP(G208,PlanetData,3,FALSE)+1),IF(G209,-1,1))-1,9)</f>
        <v>#N/A</v>
      </c>
      <c r="I207"/>
      <c r="K207">
        <f>K199</f>
        <v>0</v>
      </c>
    </row>
    <row r="208" spans="1:11" x14ac:dyDescent="0.2">
      <c r="A208" s="90" t="s">
        <v>1155</v>
      </c>
      <c r="B208" s="95" t="str">
        <f>$B$4</f>
        <v>Moon</v>
      </c>
      <c r="C208" s="96" t="e">
        <f t="shared" ref="C208:H208" ca="1" si="49">INDEX(DasaYears,IF(C207=0,9,C207),1)</f>
        <v>#N/A</v>
      </c>
      <c r="D208" s="96" t="e">
        <f t="shared" ca="1" si="49"/>
        <v>#N/A</v>
      </c>
      <c r="E208" s="96" t="e">
        <f t="shared" ca="1" si="49"/>
        <v>#N/A</v>
      </c>
      <c r="F208" s="96" t="e">
        <f t="shared" ca="1" si="49"/>
        <v>#N/A</v>
      </c>
      <c r="G208" s="96" t="e">
        <f t="shared" ca="1" si="49"/>
        <v>#N/A</v>
      </c>
      <c r="H208" s="96" t="e">
        <f t="shared" ca="1" si="49"/>
        <v>#N/A</v>
      </c>
      <c r="I208" s="97">
        <f ca="1">INDIRECT("'JHora'!$B$"&amp;($K208))</f>
        <v>0</v>
      </c>
      <c r="J208" s="97">
        <f ca="1">INDIRECT("'JHora'!$C$"&amp;($K208))</f>
        <v>0</v>
      </c>
      <c r="K208">
        <f>K200+1</f>
        <v>25</v>
      </c>
    </row>
    <row r="209" spans="1:11" x14ac:dyDescent="0.2">
      <c r="A209" s="90" t="s">
        <v>1139</v>
      </c>
      <c r="B209" s="91" t="b">
        <f>$B$7</f>
        <v>1</v>
      </c>
      <c r="C209" s="96" t="e">
        <f ca="1">IF(VLOOKUP(C208,ChartInfo,11,FALSE),1,0)*B209</f>
        <v>#N/A</v>
      </c>
      <c r="D209" s="96" t="e">
        <f ca="1">IF(VLOOKUP(D208,ChartInfo,11,FALSE),1,0)*B209</f>
        <v>#N/A</v>
      </c>
      <c r="E209" s="96" t="e">
        <f ca="1">IF(VLOOKUP(E208,ChartInfo,11,FALSE),1,0)*B209</f>
        <v>#N/A</v>
      </c>
      <c r="F209" s="96" t="e">
        <f ca="1">IF(VLOOKUP(F208,ChartInfo,11,FALSE),1,0)*B209</f>
        <v>#N/A</v>
      </c>
      <c r="G209" s="96" t="e">
        <f ca="1">IF(VLOOKUP(G208,ChartInfo,11,FALSE),1,0)*B209</f>
        <v>#N/A</v>
      </c>
      <c r="H209" s="96" t="e">
        <f ca="1">IF(VLOOKUP(H208,ChartInfo,11,FALSE),1,0)*B209</f>
        <v>#N/A</v>
      </c>
      <c r="I209"/>
      <c r="K209">
        <f>K201</f>
        <v>0</v>
      </c>
    </row>
    <row r="210" spans="1:11" x14ac:dyDescent="0.2">
      <c r="K210">
        <f>K202+1</f>
        <v>25</v>
      </c>
    </row>
    <row r="211" spans="1:11" x14ac:dyDescent="0.2">
      <c r="A211" s="87" t="s">
        <v>1150</v>
      </c>
      <c r="B211" s="88">
        <f>DoB-$E$6*DaysInYear</f>
        <v>22567.7812953188</v>
      </c>
      <c r="C211" s="89" t="e">
        <f ca="1">B211+B213*INDEX(INDEX(VimFrac,,VLOOKUP(B216,PlanetData,3,FALSE)+1),MATCH(B214,INDEX(VimFrac,,VLOOKUP(B216,PlanetData,3,FALSE)+1),1))</f>
        <v>#N/A</v>
      </c>
      <c r="D211" s="89" t="e">
        <f ca="1">C211+C213*INDEX(INDEX(VimFrac,0,9*C217+VLOOKUP(C216,PlanetData,3,FALSE)+1),IF(C217,1,0)+MATCH(C214,INDEX(VimFrac,0,9*C217+VLOOKUP(C216,PlanetData,3,FALSE)+1),IF(C217,-1,1)))</f>
        <v>#N/A</v>
      </c>
      <c r="E211" s="89" t="e">
        <f ca="1">D211+D213*INDEX(INDEX(VimFrac,0,9*D217+VLOOKUP(D216,PlanetData,3,FALSE)+1),IF(D217,1,0)+MATCH(D214,INDEX(VimFrac,0,9*D217+VLOOKUP(D216,PlanetData,3,FALSE)+1),IF(D217,-1,1)))</f>
        <v>#N/A</v>
      </c>
      <c r="F211" s="89" t="e">
        <f ca="1">E211+E213*INDEX(INDEX(VimFrac,0,9*E217+VLOOKUP(E216,PlanetData,3,FALSE)+1),IF(E217,1,0)+MATCH(E214,INDEX(VimFrac,0,9*E217+VLOOKUP(E216,PlanetData,3,FALSE)+1),IF(E217,-1,1)))</f>
        <v>#N/A</v>
      </c>
      <c r="G211" s="89" t="e">
        <f ca="1">F211+F213*INDEX(INDEX(VimFrac,0,9*F217+VLOOKUP(F216,PlanetData,3,FALSE)+1),IF(F217,1,0)+MATCH(F214,INDEX(VimFrac,0,9*F217+VLOOKUP(F216,PlanetData,3,FALSE)+1),IF(F217,-1,1)))</f>
        <v>#N/A</v>
      </c>
      <c r="H211" s="89" t="e">
        <f ca="1">G211+G213*INDEX(INDEX(VimFrac,0,9*G217+VLOOKUP(G216,PlanetData,3,FALSE)+1),IF(G217,1,0)+MATCH(G214,INDEX(VimFrac,0,9*G217+VLOOKUP(G216,PlanetData,3,FALSE)+1),IF(G217,-1,1)))</f>
        <v>#N/A</v>
      </c>
      <c r="J211">
        <f ca="1">J216</f>
        <v>0</v>
      </c>
      <c r="K211">
        <f>K203+1</f>
        <v>26</v>
      </c>
    </row>
    <row r="212" spans="1:11" x14ac:dyDescent="0.2">
      <c r="A212" s="87" t="s">
        <v>1151</v>
      </c>
      <c r="B212" s="88">
        <f>B211+B213</f>
        <v>66398.36601754064</v>
      </c>
      <c r="C212" s="89" t="e">
        <f ca="1">B211+B213*INDEX(INDEX(VimFrac,,VLOOKUP(B216,PlanetData,3,FALSE)+1),MATCH(B214,INDEX(VimFrac,,VLOOKUP(B216,PlanetData,3,FALSE)+1),1)+1)</f>
        <v>#N/A</v>
      </c>
      <c r="D212" s="89" t="e">
        <f ca="1">C211+C213*INDEX(INDEX(VimFrac,0,9*C217+VLOOKUP(C216,PlanetData,3,FALSE)+1),IF(C217,0,1)+MATCH(C214,INDEX(VimFrac,0,9*C217+VLOOKUP(C216,PlanetData,3,FALSE)+1),IF(C217,-1,1)))</f>
        <v>#N/A</v>
      </c>
      <c r="E212" s="89" t="e">
        <f ca="1">D211+D213*INDEX(INDEX(VimFrac,0,9*D217+VLOOKUP(D216,PlanetData,3,FALSE)+1),IF(D217,0,1)+MATCH(D214,INDEX(VimFrac,0,9*D217+VLOOKUP(D216,PlanetData,3,FALSE)+1),IF(D217,-1,1)))</f>
        <v>#N/A</v>
      </c>
      <c r="F212" s="89" t="e">
        <f ca="1">E211+E213*INDEX(INDEX(VimFrac,0,9*E217+VLOOKUP(E216,PlanetData,3,FALSE)+1),IF(E217,0,1)+MATCH(E214,INDEX(VimFrac,0,9*E217+VLOOKUP(E216,PlanetData,3,FALSE)+1),IF(E217,-1,1)))</f>
        <v>#N/A</v>
      </c>
      <c r="G212" s="89" t="e">
        <f ca="1">F211+F213*INDEX(INDEX(VimFrac,0,9*F217+VLOOKUP(F216,PlanetData,3,FALSE)+1),IF(F217,0,1)+MATCH(F214,INDEX(VimFrac,0,9*F217+VLOOKUP(F216,PlanetData,3,FALSE)+1),IF(F217,-1,1)))</f>
        <v>#N/A</v>
      </c>
      <c r="H212" s="89" t="e">
        <f ca="1">G211+G213*INDEX(INDEX(VimFrac,0,9*G217+VLOOKUP(G216,PlanetData,3,FALSE)+1),IF(G217,0,1)+MATCH(G214,INDEX(VimFrac,0,9*G217+VLOOKUP(G216,PlanetData,3,FALSE)+1),IF(G217,-1,1)))</f>
        <v>#N/A</v>
      </c>
      <c r="J212">
        <f ca="1">J216</f>
        <v>0</v>
      </c>
      <c r="K212">
        <f>K204+1</f>
        <v>26</v>
      </c>
    </row>
    <row r="213" spans="1:11" x14ac:dyDescent="0.2">
      <c r="A213" s="90" t="s">
        <v>1152</v>
      </c>
      <c r="B213" s="91">
        <f>120*DaysInYear</f>
        <v>43830.584722221844</v>
      </c>
      <c r="C213" s="92" t="e">
        <f t="shared" ref="C213:H213" ca="1" si="50">C212-C211</f>
        <v>#N/A</v>
      </c>
      <c r="D213" s="92" t="e">
        <f t="shared" ca="1" si="50"/>
        <v>#N/A</v>
      </c>
      <c r="E213" s="92" t="e">
        <f t="shared" ca="1" si="50"/>
        <v>#N/A</v>
      </c>
      <c r="F213" s="92" t="e">
        <f t="shared" ca="1" si="50"/>
        <v>#N/A</v>
      </c>
      <c r="G213" s="92" t="e">
        <f t="shared" ca="1" si="50"/>
        <v>#N/A</v>
      </c>
      <c r="H213" s="92" t="e">
        <f t="shared" ca="1" si="50"/>
        <v>#N/A</v>
      </c>
      <c r="I213"/>
      <c r="K213">
        <f>K205</f>
        <v>0</v>
      </c>
    </row>
    <row r="214" spans="1:11" x14ac:dyDescent="0.2">
      <c r="A214" s="90" t="s">
        <v>1153</v>
      </c>
      <c r="B214" s="93">
        <f ca="1">(I216-B211)/(B212-B211)</f>
        <v>-0.51488661258669155</v>
      </c>
      <c r="C214" s="94" t="e">
        <f ca="1">(I216-C211)/(C212-C211)</f>
        <v>#N/A</v>
      </c>
      <c r="D214" s="94" t="e">
        <f ca="1">(I216-D211)/(D212-D211)</f>
        <v>#N/A</v>
      </c>
      <c r="E214" s="94" t="e">
        <f ca="1">(I216-E211)/(E212-E211)</f>
        <v>#N/A</v>
      </c>
      <c r="F214" s="94" t="e">
        <f ca="1">(I216-F211)/(F212-F211)</f>
        <v>#N/A</v>
      </c>
      <c r="G214" s="94" t="e">
        <f ca="1">(I216-G211)/(G212-G211)</f>
        <v>#N/A</v>
      </c>
      <c r="H214" s="94" t="e">
        <f ca="1">(I216-H211)/(H212-H211)</f>
        <v>#N/A</v>
      </c>
      <c r="I214"/>
      <c r="K214">
        <f>K206</f>
        <v>0</v>
      </c>
    </row>
    <row r="215" spans="1:11" x14ac:dyDescent="0.2">
      <c r="A215" s="90" t="s">
        <v>1154</v>
      </c>
      <c r="B215" s="95"/>
      <c r="C215" s="96" t="e">
        <f ca="1">MOD(VLOOKUP(B216,PlanetData,3,FALSE)+MATCH(B214,INDEX(VimFrac,,VLOOKUP(B216,PlanetData,3,FALSE)+1),1)-1,9)</f>
        <v>#N/A</v>
      </c>
      <c r="D215" s="96" t="e">
        <f ca="1">MOD(VLOOKUP(C216,PlanetData,3,FALSE)+MATCH(C214,INDEX(VimFrac,0,9*C217+VLOOKUP(C216,PlanetData,3,FALSE)+1),IF(C217,-1,1))-1,9)</f>
        <v>#N/A</v>
      </c>
      <c r="E215" s="96" t="e">
        <f ca="1">MOD(VLOOKUP(D216,PlanetData,3,FALSE)+MATCH(D214,INDEX(VimFrac,0,9*D217+VLOOKUP(D216,PlanetData,3,FALSE)+1),IF(D217,-1,1))-1,9)</f>
        <v>#N/A</v>
      </c>
      <c r="F215" s="96" t="e">
        <f ca="1">MOD(VLOOKUP(E216,PlanetData,3,FALSE)+MATCH(E214,INDEX(VimFrac,0,9*E217+VLOOKUP(E216,PlanetData,3,FALSE)+1),IF(E217,-1,1))-1,9)</f>
        <v>#N/A</v>
      </c>
      <c r="G215" s="96" t="e">
        <f ca="1">MOD(VLOOKUP(F216,PlanetData,3,FALSE)+MATCH(F214,INDEX(VimFrac,0,9*F217+VLOOKUP(F216,PlanetData,3,FALSE)+1),IF(F217,-1,1))-1,9)</f>
        <v>#N/A</v>
      </c>
      <c r="H215" s="96" t="e">
        <f ca="1">MOD(VLOOKUP(G216,PlanetData,3,FALSE)+MATCH(G214,INDEX(VimFrac,0,9*G217+VLOOKUP(G216,PlanetData,3,FALSE)+1),IF(G217,-1,1))-1,9)</f>
        <v>#N/A</v>
      </c>
      <c r="I215"/>
      <c r="K215">
        <f>K207</f>
        <v>0</v>
      </c>
    </row>
    <row r="216" spans="1:11" x14ac:dyDescent="0.2">
      <c r="A216" s="90" t="s">
        <v>1155</v>
      </c>
      <c r="B216" s="95" t="str">
        <f>$B$4</f>
        <v>Moon</v>
      </c>
      <c r="C216" s="96" t="e">
        <f t="shared" ref="C216:H216" ca="1" si="51">INDEX(DasaYears,IF(C215=0,9,C215),1)</f>
        <v>#N/A</v>
      </c>
      <c r="D216" s="96" t="e">
        <f t="shared" ca="1" si="51"/>
        <v>#N/A</v>
      </c>
      <c r="E216" s="96" t="e">
        <f t="shared" ca="1" si="51"/>
        <v>#N/A</v>
      </c>
      <c r="F216" s="96" t="e">
        <f t="shared" ca="1" si="51"/>
        <v>#N/A</v>
      </c>
      <c r="G216" s="96" t="e">
        <f t="shared" ca="1" si="51"/>
        <v>#N/A</v>
      </c>
      <c r="H216" s="96" t="e">
        <f t="shared" ca="1" si="51"/>
        <v>#N/A</v>
      </c>
      <c r="I216" s="97">
        <f ca="1">INDIRECT("'JHora'!$B$"&amp;($K216))</f>
        <v>0</v>
      </c>
      <c r="J216" s="97">
        <f ca="1">INDIRECT("'JHora'!$C$"&amp;($K216))</f>
        <v>0</v>
      </c>
      <c r="K216">
        <f>K208+1</f>
        <v>26</v>
      </c>
    </row>
    <row r="217" spans="1:11" x14ac:dyDescent="0.2">
      <c r="A217" s="90" t="s">
        <v>1139</v>
      </c>
      <c r="B217" s="91" t="b">
        <v>0</v>
      </c>
      <c r="C217" s="96" t="e">
        <f ca="1">IF(VLOOKUP(C216,ChartInfo,11,FALSE),1,0)*B217</f>
        <v>#N/A</v>
      </c>
      <c r="D217" s="96" t="e">
        <f ca="1">IF(VLOOKUP(D216,ChartInfo,11,FALSE),1,0)*B217</f>
        <v>#N/A</v>
      </c>
      <c r="E217" s="96" t="e">
        <f ca="1">IF(VLOOKUP(E216,ChartInfo,11,FALSE),1,0)*B217</f>
        <v>#N/A</v>
      </c>
      <c r="F217" s="96" t="e">
        <f ca="1">IF(VLOOKUP(F216,ChartInfo,11,FALSE),1,0)*B217</f>
        <v>#N/A</v>
      </c>
      <c r="G217" s="96" t="e">
        <f ca="1">IF(VLOOKUP(G216,ChartInfo,11,FALSE),1,0)*B217</f>
        <v>#N/A</v>
      </c>
      <c r="H217" s="96" t="e">
        <f ca="1">IF(VLOOKUP(H216,ChartInfo,11,FALSE),1,0)*B217</f>
        <v>#N/A</v>
      </c>
      <c r="I217"/>
      <c r="K217">
        <f>K209</f>
        <v>0</v>
      </c>
    </row>
    <row r="218" spans="1:11" x14ac:dyDescent="0.2">
      <c r="K218">
        <f>K210+1</f>
        <v>26</v>
      </c>
    </row>
    <row r="219" spans="1:11" x14ac:dyDescent="0.2">
      <c r="A219" s="87" t="s">
        <v>1150</v>
      </c>
      <c r="B219" s="88">
        <f>DoB-$E$6*DaysInYear</f>
        <v>22567.7812953188</v>
      </c>
      <c r="C219" s="89" t="e">
        <f ca="1">B219+B221*INDEX(INDEX(VimFrac,,VLOOKUP(B224,PlanetData,3,FALSE)+1),MATCH(B222,INDEX(VimFrac,,VLOOKUP(B224,PlanetData,3,FALSE)+1),1))</f>
        <v>#N/A</v>
      </c>
      <c r="D219" s="89" t="e">
        <f ca="1">C219+C221*INDEX(INDEX(VimFrac,0,9*C225+VLOOKUP(C224,PlanetData,3,FALSE)+1),IF(C225,1,0)+MATCH(C222,INDEX(VimFrac,0,9*C225+VLOOKUP(C224,PlanetData,3,FALSE)+1),IF(C225,-1,1)))</f>
        <v>#N/A</v>
      </c>
      <c r="E219" s="89" t="e">
        <f ca="1">D219+D221*INDEX(INDEX(VimFrac,0,9*D225+VLOOKUP(D224,PlanetData,3,FALSE)+1),IF(D225,1,0)+MATCH(D222,INDEX(VimFrac,0,9*D225+VLOOKUP(D224,PlanetData,3,FALSE)+1),IF(D225,-1,1)))</f>
        <v>#N/A</v>
      </c>
      <c r="F219" s="89" t="e">
        <f ca="1">E219+E221*INDEX(INDEX(VimFrac,0,9*E225+VLOOKUP(E224,PlanetData,3,FALSE)+1),IF(E225,1,0)+MATCH(E222,INDEX(VimFrac,0,9*E225+VLOOKUP(E224,PlanetData,3,FALSE)+1),IF(E225,-1,1)))</f>
        <v>#N/A</v>
      </c>
      <c r="G219" s="89" t="e">
        <f ca="1">F219+F221*INDEX(INDEX(VimFrac,0,9*F225+VLOOKUP(F224,PlanetData,3,FALSE)+1),IF(F225,1,0)+MATCH(F222,INDEX(VimFrac,0,9*F225+VLOOKUP(F224,PlanetData,3,FALSE)+1),IF(F225,-1,1)))</f>
        <v>#N/A</v>
      </c>
      <c r="H219" s="89" t="e">
        <f ca="1">G219+G221*INDEX(INDEX(VimFrac,0,9*G225+VLOOKUP(G224,PlanetData,3,FALSE)+1),IF(G225,1,0)+MATCH(G222,INDEX(VimFrac,0,9*G225+VLOOKUP(G224,PlanetData,3,FALSE)+1),IF(G225,-1,1)))</f>
        <v>#N/A</v>
      </c>
      <c r="J219">
        <f ca="1">J224</f>
        <v>0</v>
      </c>
      <c r="K219">
        <f>K211+1</f>
        <v>27</v>
      </c>
    </row>
    <row r="220" spans="1:11" x14ac:dyDescent="0.2">
      <c r="A220" s="87" t="s">
        <v>1151</v>
      </c>
      <c r="B220" s="88">
        <f>B219+B221</f>
        <v>66398.36601754064</v>
      </c>
      <c r="C220" s="89" t="e">
        <f ca="1">B219+B221*INDEX(INDEX(VimFrac,,VLOOKUP(B224,PlanetData,3,FALSE)+1),MATCH(B222,INDEX(VimFrac,,VLOOKUP(B224,PlanetData,3,FALSE)+1),1)+1)</f>
        <v>#N/A</v>
      </c>
      <c r="D220" s="89" t="e">
        <f ca="1">C219+C221*INDEX(INDEX(VimFrac,0,9*C225+VLOOKUP(C224,PlanetData,3,FALSE)+1),IF(C225,0,1)+MATCH(C222,INDEX(VimFrac,0,9*C225+VLOOKUP(C224,PlanetData,3,FALSE)+1),IF(C225,-1,1)))</f>
        <v>#N/A</v>
      </c>
      <c r="E220" s="89" t="e">
        <f ca="1">D219+D221*INDEX(INDEX(VimFrac,0,9*D225+VLOOKUP(D224,PlanetData,3,FALSE)+1),IF(D225,0,1)+MATCH(D222,INDEX(VimFrac,0,9*D225+VLOOKUP(D224,PlanetData,3,FALSE)+1),IF(D225,-1,1)))</f>
        <v>#N/A</v>
      </c>
      <c r="F220" s="89" t="e">
        <f ca="1">E219+E221*INDEX(INDEX(VimFrac,0,9*E225+VLOOKUP(E224,PlanetData,3,FALSE)+1),IF(E225,0,1)+MATCH(E222,INDEX(VimFrac,0,9*E225+VLOOKUP(E224,PlanetData,3,FALSE)+1),IF(E225,-1,1)))</f>
        <v>#N/A</v>
      </c>
      <c r="G220" s="89" t="e">
        <f ca="1">F219+F221*INDEX(INDEX(VimFrac,0,9*F225+VLOOKUP(F224,PlanetData,3,FALSE)+1),IF(F225,0,1)+MATCH(F222,INDEX(VimFrac,0,9*F225+VLOOKUP(F224,PlanetData,3,FALSE)+1),IF(F225,-1,1)))</f>
        <v>#N/A</v>
      </c>
      <c r="H220" s="89" t="e">
        <f ca="1">G219+G221*INDEX(INDEX(VimFrac,0,9*G225+VLOOKUP(G224,PlanetData,3,FALSE)+1),IF(G225,0,1)+MATCH(G222,INDEX(VimFrac,0,9*G225+VLOOKUP(G224,PlanetData,3,FALSE)+1),IF(G225,-1,1)))</f>
        <v>#N/A</v>
      </c>
      <c r="J220">
        <f ca="1">J224</f>
        <v>0</v>
      </c>
      <c r="K220">
        <f>K212+1</f>
        <v>27</v>
      </c>
    </row>
    <row r="221" spans="1:11" x14ac:dyDescent="0.2">
      <c r="A221" s="90" t="s">
        <v>1152</v>
      </c>
      <c r="B221" s="91">
        <f>120*DaysInYear</f>
        <v>43830.584722221844</v>
      </c>
      <c r="C221" s="92" t="e">
        <f t="shared" ref="C221:H221" ca="1" si="52">C220-C219</f>
        <v>#N/A</v>
      </c>
      <c r="D221" s="92" t="e">
        <f t="shared" ca="1" si="52"/>
        <v>#N/A</v>
      </c>
      <c r="E221" s="92" t="e">
        <f t="shared" ca="1" si="52"/>
        <v>#N/A</v>
      </c>
      <c r="F221" s="92" t="e">
        <f t="shared" ca="1" si="52"/>
        <v>#N/A</v>
      </c>
      <c r="G221" s="92" t="e">
        <f t="shared" ca="1" si="52"/>
        <v>#N/A</v>
      </c>
      <c r="H221" s="92" t="e">
        <f t="shared" ca="1" si="52"/>
        <v>#N/A</v>
      </c>
      <c r="I221"/>
      <c r="K221">
        <f>K213</f>
        <v>0</v>
      </c>
    </row>
    <row r="222" spans="1:11" x14ac:dyDescent="0.2">
      <c r="A222" s="90" t="s">
        <v>1153</v>
      </c>
      <c r="B222" s="93">
        <f ca="1">(I224-B219)/(B220-B219)</f>
        <v>-0.51488661258669155</v>
      </c>
      <c r="C222" s="94" t="e">
        <f ca="1">(I224-C219)/(C220-C219)</f>
        <v>#N/A</v>
      </c>
      <c r="D222" s="94" t="e">
        <f ca="1">(I224-D219)/(D220-D219)</f>
        <v>#N/A</v>
      </c>
      <c r="E222" s="94" t="e">
        <f ca="1">(I224-E219)/(E220-E219)</f>
        <v>#N/A</v>
      </c>
      <c r="F222" s="94" t="e">
        <f ca="1">(I224-F219)/(F220-F219)</f>
        <v>#N/A</v>
      </c>
      <c r="G222" s="94" t="e">
        <f ca="1">(I224-G219)/(G220-G219)</f>
        <v>#N/A</v>
      </c>
      <c r="H222" s="94" t="e">
        <f ca="1">(I224-H219)/(H220-H219)</f>
        <v>#N/A</v>
      </c>
      <c r="I222"/>
      <c r="K222">
        <f>K214</f>
        <v>0</v>
      </c>
    </row>
    <row r="223" spans="1:11" x14ac:dyDescent="0.2">
      <c r="A223" s="90" t="s">
        <v>1154</v>
      </c>
      <c r="B223" s="95"/>
      <c r="C223" s="96" t="e">
        <f ca="1">MOD(VLOOKUP(B224,PlanetData,3,FALSE)+MATCH(B222,INDEX(VimFrac,,VLOOKUP(B224,PlanetData,3,FALSE)+1),1)-1,9)</f>
        <v>#N/A</v>
      </c>
      <c r="D223" s="96" t="e">
        <f ca="1">MOD(VLOOKUP(C224,PlanetData,3,FALSE)+MATCH(C222,INDEX(VimFrac,0,9*C225+VLOOKUP(C224,PlanetData,3,FALSE)+1),IF(C225,-1,1))-1,9)</f>
        <v>#N/A</v>
      </c>
      <c r="E223" s="96" t="e">
        <f ca="1">MOD(VLOOKUP(D224,PlanetData,3,FALSE)+MATCH(D222,INDEX(VimFrac,0,9*D225+VLOOKUP(D224,PlanetData,3,FALSE)+1),IF(D225,-1,1))-1,9)</f>
        <v>#N/A</v>
      </c>
      <c r="F223" s="96" t="e">
        <f ca="1">MOD(VLOOKUP(E224,PlanetData,3,FALSE)+MATCH(E222,INDEX(VimFrac,0,9*E225+VLOOKUP(E224,PlanetData,3,FALSE)+1),IF(E225,-1,1))-1,9)</f>
        <v>#N/A</v>
      </c>
      <c r="G223" s="96" t="e">
        <f ca="1">MOD(VLOOKUP(F224,PlanetData,3,FALSE)+MATCH(F222,INDEX(VimFrac,0,9*F225+VLOOKUP(F224,PlanetData,3,FALSE)+1),IF(F225,-1,1))-1,9)</f>
        <v>#N/A</v>
      </c>
      <c r="H223" s="96" t="e">
        <f ca="1">MOD(VLOOKUP(G224,PlanetData,3,FALSE)+MATCH(G222,INDEX(VimFrac,0,9*G225+VLOOKUP(G224,PlanetData,3,FALSE)+1),IF(G225,-1,1))-1,9)</f>
        <v>#N/A</v>
      </c>
      <c r="I223"/>
      <c r="K223">
        <f>K215</f>
        <v>0</v>
      </c>
    </row>
    <row r="224" spans="1:11" x14ac:dyDescent="0.2">
      <c r="A224" s="90" t="s">
        <v>1155</v>
      </c>
      <c r="B224" s="95" t="str">
        <f>$B$4</f>
        <v>Moon</v>
      </c>
      <c r="C224" s="96" t="e">
        <f t="shared" ref="C224:H224" ca="1" si="53">INDEX(DasaYears,IF(C223=0,9,C223),1)</f>
        <v>#N/A</v>
      </c>
      <c r="D224" s="96" t="e">
        <f t="shared" ca="1" si="53"/>
        <v>#N/A</v>
      </c>
      <c r="E224" s="96" t="e">
        <f t="shared" ca="1" si="53"/>
        <v>#N/A</v>
      </c>
      <c r="F224" s="96" t="e">
        <f t="shared" ca="1" si="53"/>
        <v>#N/A</v>
      </c>
      <c r="G224" s="96" t="e">
        <f t="shared" ca="1" si="53"/>
        <v>#N/A</v>
      </c>
      <c r="H224" s="96" t="e">
        <f t="shared" ca="1" si="53"/>
        <v>#N/A</v>
      </c>
      <c r="I224" s="97">
        <f ca="1">INDIRECT("'JHora'!$B$"&amp;($K224))</f>
        <v>0</v>
      </c>
      <c r="J224" s="97">
        <f ca="1">INDIRECT("'JHora'!$C$"&amp;($K224))</f>
        <v>0</v>
      </c>
      <c r="K224">
        <f>K216+1</f>
        <v>27</v>
      </c>
    </row>
    <row r="225" spans="1:11" x14ac:dyDescent="0.2">
      <c r="A225" s="90" t="s">
        <v>1139</v>
      </c>
      <c r="B225" s="91" t="b">
        <f>$B$7</f>
        <v>1</v>
      </c>
      <c r="C225" s="96" t="e">
        <f ca="1">IF(VLOOKUP(C224,ChartInfo,11,FALSE),1,0)*B225</f>
        <v>#N/A</v>
      </c>
      <c r="D225" s="96" t="e">
        <f ca="1">IF(VLOOKUP(D224,ChartInfo,11,FALSE),1,0)*B225</f>
        <v>#N/A</v>
      </c>
      <c r="E225" s="96" t="e">
        <f ca="1">IF(VLOOKUP(E224,ChartInfo,11,FALSE),1,0)*B225</f>
        <v>#N/A</v>
      </c>
      <c r="F225" s="96" t="e">
        <f ca="1">IF(VLOOKUP(F224,ChartInfo,11,FALSE),1,0)*B225</f>
        <v>#N/A</v>
      </c>
      <c r="G225" s="96" t="e">
        <f ca="1">IF(VLOOKUP(G224,ChartInfo,11,FALSE),1,0)*B225</f>
        <v>#N/A</v>
      </c>
      <c r="H225" s="96" t="e">
        <f ca="1">IF(VLOOKUP(H224,ChartInfo,11,FALSE),1,0)*B225</f>
        <v>#N/A</v>
      </c>
      <c r="I225" s="99">
        <f ca="1">NOW()-I224</f>
        <v>43423.919726736109</v>
      </c>
      <c r="K225">
        <f>K217</f>
        <v>0</v>
      </c>
    </row>
    <row r="226" spans="1:11" x14ac:dyDescent="0.2">
      <c r="K226">
        <f>K218+1</f>
        <v>27</v>
      </c>
    </row>
    <row r="227" spans="1:11" x14ac:dyDescent="0.2">
      <c r="A227" s="87" t="s">
        <v>1150</v>
      </c>
      <c r="B227" s="88">
        <f>DoB-$E$6*DaysInYear</f>
        <v>22567.7812953188</v>
      </c>
      <c r="C227" s="89" t="e">
        <f ca="1">B227+B229*INDEX(INDEX(VimFrac,,VLOOKUP(B232,PlanetData,3,FALSE)+1),MATCH(B230,INDEX(VimFrac,,VLOOKUP(B232,PlanetData,3,FALSE)+1),1))</f>
        <v>#N/A</v>
      </c>
      <c r="D227" s="89" t="e">
        <f ca="1">C227+C229*INDEX(INDEX(VimFrac,0,9*C233+VLOOKUP(C232,PlanetData,3,FALSE)+1),IF(C233,1,0)+MATCH(C230,INDEX(VimFrac,0,9*C233+VLOOKUP(C232,PlanetData,3,FALSE)+1),IF(C233,-1,1)))</f>
        <v>#N/A</v>
      </c>
      <c r="E227" s="89" t="e">
        <f ca="1">D227+D229*INDEX(INDEX(VimFrac,0,9*D233+VLOOKUP(D232,PlanetData,3,FALSE)+1),IF(D233,1,0)+MATCH(D230,INDEX(VimFrac,0,9*D233+VLOOKUP(D232,PlanetData,3,FALSE)+1),IF(D233,-1,1)))</f>
        <v>#N/A</v>
      </c>
      <c r="F227" s="89" t="e">
        <f ca="1">E227+E229*INDEX(INDEX(VimFrac,0,9*E233+VLOOKUP(E232,PlanetData,3,FALSE)+1),IF(E233,1,0)+MATCH(E230,INDEX(VimFrac,0,9*E233+VLOOKUP(E232,PlanetData,3,FALSE)+1),IF(E233,-1,1)))</f>
        <v>#N/A</v>
      </c>
      <c r="G227" s="89" t="e">
        <f ca="1">F227+F229*INDEX(INDEX(VimFrac,0,9*F233+VLOOKUP(F232,PlanetData,3,FALSE)+1),IF(F233,1,0)+MATCH(F230,INDEX(VimFrac,0,9*F233+VLOOKUP(F232,PlanetData,3,FALSE)+1),IF(F233,-1,1)))</f>
        <v>#N/A</v>
      </c>
      <c r="H227" s="89" t="e">
        <f ca="1">G227+G229*INDEX(INDEX(VimFrac,0,9*G233+VLOOKUP(G232,PlanetData,3,FALSE)+1),IF(G233,1,0)+MATCH(G230,INDEX(VimFrac,0,9*G233+VLOOKUP(G232,PlanetData,3,FALSE)+1),IF(G233,-1,1)))</f>
        <v>#N/A</v>
      </c>
      <c r="J227">
        <f ca="1">J232</f>
        <v>0</v>
      </c>
      <c r="K227">
        <f>K219+1</f>
        <v>28</v>
      </c>
    </row>
    <row r="228" spans="1:11" x14ac:dyDescent="0.2">
      <c r="A228" s="87" t="s">
        <v>1151</v>
      </c>
      <c r="B228" s="88">
        <f>B227+B229</f>
        <v>66398.36601754064</v>
      </c>
      <c r="C228" s="89" t="e">
        <f ca="1">B227+B229*INDEX(INDEX(VimFrac,,VLOOKUP(B232,PlanetData,3,FALSE)+1),MATCH(B230,INDEX(VimFrac,,VLOOKUP(B232,PlanetData,3,FALSE)+1),1)+1)</f>
        <v>#N/A</v>
      </c>
      <c r="D228" s="89" t="e">
        <f ca="1">C227+C229*INDEX(INDEX(VimFrac,0,9*C233+VLOOKUP(C232,PlanetData,3,FALSE)+1),IF(C233,0,1)+MATCH(C230,INDEX(VimFrac,0,9*C233+VLOOKUP(C232,PlanetData,3,FALSE)+1),IF(C233,-1,1)))</f>
        <v>#N/A</v>
      </c>
      <c r="E228" s="89" t="e">
        <f ca="1">D227+D229*INDEX(INDEX(VimFrac,0,9*D233+VLOOKUP(D232,PlanetData,3,FALSE)+1),IF(D233,0,1)+MATCH(D230,INDEX(VimFrac,0,9*D233+VLOOKUP(D232,PlanetData,3,FALSE)+1),IF(D233,-1,1)))</f>
        <v>#N/A</v>
      </c>
      <c r="F228" s="89" t="e">
        <f ca="1">E227+E229*INDEX(INDEX(VimFrac,0,9*E233+VLOOKUP(E232,PlanetData,3,FALSE)+1),IF(E233,0,1)+MATCH(E230,INDEX(VimFrac,0,9*E233+VLOOKUP(E232,PlanetData,3,FALSE)+1),IF(E233,-1,1)))</f>
        <v>#N/A</v>
      </c>
      <c r="G228" s="89" t="e">
        <f ca="1">F227+F229*INDEX(INDEX(VimFrac,0,9*F233+VLOOKUP(F232,PlanetData,3,FALSE)+1),IF(F233,0,1)+MATCH(F230,INDEX(VimFrac,0,9*F233+VLOOKUP(F232,PlanetData,3,FALSE)+1),IF(F233,-1,1)))</f>
        <v>#N/A</v>
      </c>
      <c r="H228" s="89" t="e">
        <f ca="1">G227+G229*INDEX(INDEX(VimFrac,0,9*G233+VLOOKUP(G232,PlanetData,3,FALSE)+1),IF(G233,0,1)+MATCH(G230,INDEX(VimFrac,0,9*G233+VLOOKUP(G232,PlanetData,3,FALSE)+1),IF(G233,-1,1)))</f>
        <v>#N/A</v>
      </c>
      <c r="J228">
        <f ca="1">J232</f>
        <v>0</v>
      </c>
      <c r="K228">
        <f>K220+1</f>
        <v>28</v>
      </c>
    </row>
    <row r="229" spans="1:11" x14ac:dyDescent="0.2">
      <c r="A229" s="90" t="s">
        <v>1152</v>
      </c>
      <c r="B229" s="91">
        <f>120*DaysInYear</f>
        <v>43830.584722221844</v>
      </c>
      <c r="C229" s="92" t="e">
        <f t="shared" ref="C229:H229" ca="1" si="54">C228-C227</f>
        <v>#N/A</v>
      </c>
      <c r="D229" s="92" t="e">
        <f t="shared" ca="1" si="54"/>
        <v>#N/A</v>
      </c>
      <c r="E229" s="92" t="e">
        <f t="shared" ca="1" si="54"/>
        <v>#N/A</v>
      </c>
      <c r="F229" s="92" t="e">
        <f t="shared" ca="1" si="54"/>
        <v>#N/A</v>
      </c>
      <c r="G229" s="92" t="e">
        <f t="shared" ca="1" si="54"/>
        <v>#N/A</v>
      </c>
      <c r="H229" s="92" t="e">
        <f t="shared" ca="1" si="54"/>
        <v>#N/A</v>
      </c>
      <c r="I229"/>
      <c r="K229">
        <f>K221</f>
        <v>0</v>
      </c>
    </row>
    <row r="230" spans="1:11" x14ac:dyDescent="0.2">
      <c r="A230" s="90" t="s">
        <v>1153</v>
      </c>
      <c r="B230" s="93">
        <f ca="1">(I232-B227)/(B228-B227)</f>
        <v>-0.51488661258669155</v>
      </c>
      <c r="C230" s="94" t="e">
        <f ca="1">(I232-C227)/(C228-C227)</f>
        <v>#N/A</v>
      </c>
      <c r="D230" s="94" t="e">
        <f ca="1">(I232-D227)/(D228-D227)</f>
        <v>#N/A</v>
      </c>
      <c r="E230" s="94" t="e">
        <f ca="1">(I232-E227)/(E228-E227)</f>
        <v>#N/A</v>
      </c>
      <c r="F230" s="94" t="e">
        <f ca="1">(I232-F227)/(F228-F227)</f>
        <v>#N/A</v>
      </c>
      <c r="G230" s="94" t="e">
        <f ca="1">(I232-G227)/(G228-G227)</f>
        <v>#N/A</v>
      </c>
      <c r="H230" s="94" t="e">
        <f ca="1">(I232-H227)/(H228-H227)</f>
        <v>#N/A</v>
      </c>
      <c r="I230"/>
      <c r="K230">
        <f>K222</f>
        <v>0</v>
      </c>
    </row>
    <row r="231" spans="1:11" x14ac:dyDescent="0.2">
      <c r="A231" s="90" t="s">
        <v>1154</v>
      </c>
      <c r="B231" s="95"/>
      <c r="C231" s="96" t="e">
        <f ca="1">MOD(VLOOKUP(B232,PlanetData,3,FALSE)+MATCH(B230,INDEX(VimFrac,,VLOOKUP(B232,PlanetData,3,FALSE)+1),1)-1,9)</f>
        <v>#N/A</v>
      </c>
      <c r="D231" s="96" t="e">
        <f ca="1">MOD(VLOOKUP(C232,PlanetData,3,FALSE)+MATCH(C230,INDEX(VimFrac,0,9*C233+VLOOKUP(C232,PlanetData,3,FALSE)+1),IF(C233,-1,1))-1,9)</f>
        <v>#N/A</v>
      </c>
      <c r="E231" s="96" t="e">
        <f ca="1">MOD(VLOOKUP(D232,PlanetData,3,FALSE)+MATCH(D230,INDEX(VimFrac,0,9*D233+VLOOKUP(D232,PlanetData,3,FALSE)+1),IF(D233,-1,1))-1,9)</f>
        <v>#N/A</v>
      </c>
      <c r="F231" s="96" t="e">
        <f ca="1">MOD(VLOOKUP(E232,PlanetData,3,FALSE)+MATCH(E230,INDEX(VimFrac,0,9*E233+VLOOKUP(E232,PlanetData,3,FALSE)+1),IF(E233,-1,1))-1,9)</f>
        <v>#N/A</v>
      </c>
      <c r="G231" s="96" t="e">
        <f ca="1">MOD(VLOOKUP(F232,PlanetData,3,FALSE)+MATCH(F230,INDEX(VimFrac,0,9*F233+VLOOKUP(F232,PlanetData,3,FALSE)+1),IF(F233,-1,1))-1,9)</f>
        <v>#N/A</v>
      </c>
      <c r="H231" s="96" t="e">
        <f ca="1">MOD(VLOOKUP(G232,PlanetData,3,FALSE)+MATCH(G230,INDEX(VimFrac,0,9*G233+VLOOKUP(G232,PlanetData,3,FALSE)+1),IF(G233,-1,1))-1,9)</f>
        <v>#N/A</v>
      </c>
      <c r="I231"/>
      <c r="K231">
        <f>K223</f>
        <v>0</v>
      </c>
    </row>
    <row r="232" spans="1:11" x14ac:dyDescent="0.2">
      <c r="A232" s="90" t="s">
        <v>1155</v>
      </c>
      <c r="B232" s="95" t="str">
        <f>$B$4</f>
        <v>Moon</v>
      </c>
      <c r="C232" s="96" t="e">
        <f t="shared" ref="C232:H232" ca="1" si="55">INDEX(DasaYears,IF(C231=0,9,C231),1)</f>
        <v>#N/A</v>
      </c>
      <c r="D232" s="96" t="e">
        <f t="shared" ca="1" si="55"/>
        <v>#N/A</v>
      </c>
      <c r="E232" s="96" t="e">
        <f t="shared" ca="1" si="55"/>
        <v>#N/A</v>
      </c>
      <c r="F232" s="96" t="e">
        <f t="shared" ca="1" si="55"/>
        <v>#N/A</v>
      </c>
      <c r="G232" s="96" t="e">
        <f t="shared" ca="1" si="55"/>
        <v>#N/A</v>
      </c>
      <c r="H232" s="96" t="e">
        <f t="shared" ca="1" si="55"/>
        <v>#N/A</v>
      </c>
      <c r="I232" s="97">
        <f ca="1">INDIRECT("'JHora'!$B$"&amp;($K232))</f>
        <v>0</v>
      </c>
      <c r="J232" s="97">
        <f ca="1">INDIRECT("'JHora'!$C$"&amp;($K232))</f>
        <v>0</v>
      </c>
      <c r="K232">
        <f>K224+1</f>
        <v>28</v>
      </c>
    </row>
    <row r="233" spans="1:11" x14ac:dyDescent="0.2">
      <c r="A233" s="90" t="s">
        <v>1139</v>
      </c>
      <c r="B233" s="91" t="b">
        <f>$B$7</f>
        <v>1</v>
      </c>
      <c r="C233" s="96" t="e">
        <f ca="1">IF(VLOOKUP(C232,ChartInfo,11,FALSE),1,0)*B233</f>
        <v>#N/A</v>
      </c>
      <c r="D233" s="96" t="e">
        <f ca="1">IF(VLOOKUP(D232,ChartInfo,11,FALSE),1,0)*B233</f>
        <v>#N/A</v>
      </c>
      <c r="E233" s="96" t="e">
        <f ca="1">IF(VLOOKUP(E232,ChartInfo,11,FALSE),1,0)*B233</f>
        <v>#N/A</v>
      </c>
      <c r="F233" s="96" t="e">
        <f ca="1">IF(VLOOKUP(F232,ChartInfo,11,FALSE),1,0)*B233</f>
        <v>#N/A</v>
      </c>
      <c r="G233" s="96" t="e">
        <f ca="1">IF(VLOOKUP(G232,ChartInfo,11,FALSE),1,0)*B233</f>
        <v>#N/A</v>
      </c>
      <c r="H233" s="96" t="e">
        <f ca="1">IF(VLOOKUP(H232,ChartInfo,11,FALSE),1,0)*B233</f>
        <v>#N/A</v>
      </c>
      <c r="I233" s="99"/>
      <c r="K233">
        <f>K225</f>
        <v>0</v>
      </c>
    </row>
    <row r="234" spans="1:11" x14ac:dyDescent="0.2">
      <c r="K234">
        <f>K226+1</f>
        <v>28</v>
      </c>
    </row>
    <row r="235" spans="1:11" x14ac:dyDescent="0.2">
      <c r="A235" s="87" t="s">
        <v>1150</v>
      </c>
      <c r="B235" s="88">
        <f>DoB-$E$6*DaysInYear</f>
        <v>22567.7812953188</v>
      </c>
      <c r="C235" s="89" t="e">
        <f ca="1">B235+B237*INDEX(INDEX(VimFrac,,VLOOKUP(B240,PlanetData,3,FALSE)+1),MATCH(B238,INDEX(VimFrac,,VLOOKUP(B240,PlanetData,3,FALSE)+1),1))</f>
        <v>#N/A</v>
      </c>
      <c r="D235" s="89" t="e">
        <f ca="1">C235+C237*INDEX(INDEX(VimFrac,0,9*C241+VLOOKUP(C240,PlanetData,3,FALSE)+1),IF(C241,1,0)+MATCH(C238,INDEX(VimFrac,0,9*C241+VLOOKUP(C240,PlanetData,3,FALSE)+1),IF(C241,-1,1)))</f>
        <v>#N/A</v>
      </c>
      <c r="E235" s="89" t="e">
        <f ca="1">D235+D237*INDEX(INDEX(VimFrac,0,9*D241+VLOOKUP(D240,PlanetData,3,FALSE)+1),IF(D241,1,0)+MATCH(D238,INDEX(VimFrac,0,9*D241+VLOOKUP(D240,PlanetData,3,FALSE)+1),IF(D241,-1,1)))</f>
        <v>#N/A</v>
      </c>
      <c r="F235" s="89" t="e">
        <f ca="1">E235+E237*INDEX(INDEX(VimFrac,0,9*E241+VLOOKUP(E240,PlanetData,3,FALSE)+1),IF(E241,1,0)+MATCH(E238,INDEX(VimFrac,0,9*E241+VLOOKUP(E240,PlanetData,3,FALSE)+1),IF(E241,-1,1)))</f>
        <v>#N/A</v>
      </c>
      <c r="G235" s="89" t="e">
        <f ca="1">F235+F237*INDEX(INDEX(VimFrac,0,9*F241+VLOOKUP(F240,PlanetData,3,FALSE)+1),IF(F241,1,0)+MATCH(F238,INDEX(VimFrac,0,9*F241+VLOOKUP(F240,PlanetData,3,FALSE)+1),IF(F241,-1,1)))</f>
        <v>#N/A</v>
      </c>
      <c r="H235" s="89" t="e">
        <f ca="1">G235+G237*INDEX(INDEX(VimFrac,0,9*G241+VLOOKUP(G240,PlanetData,3,FALSE)+1),IF(G241,1,0)+MATCH(G238,INDEX(VimFrac,0,9*G241+VLOOKUP(G240,PlanetData,3,FALSE)+1),IF(G241,-1,1)))</f>
        <v>#N/A</v>
      </c>
      <c r="J235">
        <f ca="1">J240</f>
        <v>0</v>
      </c>
      <c r="K235">
        <f>K227+1</f>
        <v>29</v>
      </c>
    </row>
    <row r="236" spans="1:11" x14ac:dyDescent="0.2">
      <c r="A236" s="87" t="s">
        <v>1151</v>
      </c>
      <c r="B236" s="88">
        <f>B235+B237</f>
        <v>66398.36601754064</v>
      </c>
      <c r="C236" s="89" t="e">
        <f ca="1">B235+B237*INDEX(INDEX(VimFrac,,VLOOKUP(B240,PlanetData,3,FALSE)+1),MATCH(B238,INDEX(VimFrac,,VLOOKUP(B240,PlanetData,3,FALSE)+1),1)+1)</f>
        <v>#N/A</v>
      </c>
      <c r="D236" s="89" t="e">
        <f ca="1">C235+C237*INDEX(INDEX(VimFrac,0,9*C241+VLOOKUP(C240,PlanetData,3,FALSE)+1),IF(C241,0,1)+MATCH(C238,INDEX(VimFrac,0,9*C241+VLOOKUP(C240,PlanetData,3,FALSE)+1),IF(C241,-1,1)))</f>
        <v>#N/A</v>
      </c>
      <c r="E236" s="89" t="e">
        <f ca="1">D235+D237*INDEX(INDEX(VimFrac,0,9*D241+VLOOKUP(D240,PlanetData,3,FALSE)+1),IF(D241,0,1)+MATCH(D238,INDEX(VimFrac,0,9*D241+VLOOKUP(D240,PlanetData,3,FALSE)+1),IF(D241,-1,1)))</f>
        <v>#N/A</v>
      </c>
      <c r="F236" s="89" t="e">
        <f ca="1">E235+E237*INDEX(INDEX(VimFrac,0,9*E241+VLOOKUP(E240,PlanetData,3,FALSE)+1),IF(E241,0,1)+MATCH(E238,INDEX(VimFrac,0,9*E241+VLOOKUP(E240,PlanetData,3,FALSE)+1),IF(E241,-1,1)))</f>
        <v>#N/A</v>
      </c>
      <c r="G236" s="89" t="e">
        <f ca="1">F235+F237*INDEX(INDEX(VimFrac,0,9*F241+VLOOKUP(F240,PlanetData,3,FALSE)+1),IF(F241,0,1)+MATCH(F238,INDEX(VimFrac,0,9*F241+VLOOKUP(F240,PlanetData,3,FALSE)+1),IF(F241,-1,1)))</f>
        <v>#N/A</v>
      </c>
      <c r="H236" s="89" t="e">
        <f ca="1">G235+G237*INDEX(INDEX(VimFrac,0,9*G241+VLOOKUP(G240,PlanetData,3,FALSE)+1),IF(G241,0,1)+MATCH(G238,INDEX(VimFrac,0,9*G241+VLOOKUP(G240,PlanetData,3,FALSE)+1),IF(G241,-1,1)))</f>
        <v>#N/A</v>
      </c>
      <c r="J236">
        <f ca="1">J240</f>
        <v>0</v>
      </c>
      <c r="K236">
        <f>K228+1</f>
        <v>29</v>
      </c>
    </row>
    <row r="237" spans="1:11" x14ac:dyDescent="0.2">
      <c r="A237" s="90" t="s">
        <v>1152</v>
      </c>
      <c r="B237" s="91">
        <f>120*DaysInYear</f>
        <v>43830.584722221844</v>
      </c>
      <c r="C237" s="92" t="e">
        <f t="shared" ref="C237:H237" ca="1" si="56">C236-C235</f>
        <v>#N/A</v>
      </c>
      <c r="D237" s="92" t="e">
        <f t="shared" ca="1" si="56"/>
        <v>#N/A</v>
      </c>
      <c r="E237" s="92" t="e">
        <f t="shared" ca="1" si="56"/>
        <v>#N/A</v>
      </c>
      <c r="F237" s="92" t="e">
        <f t="shared" ca="1" si="56"/>
        <v>#N/A</v>
      </c>
      <c r="G237" s="92" t="e">
        <f t="shared" ca="1" si="56"/>
        <v>#N/A</v>
      </c>
      <c r="H237" s="92" t="e">
        <f t="shared" ca="1" si="56"/>
        <v>#N/A</v>
      </c>
      <c r="I237"/>
      <c r="K237">
        <f>K229</f>
        <v>0</v>
      </c>
    </row>
    <row r="238" spans="1:11" x14ac:dyDescent="0.2">
      <c r="A238" s="90" t="s">
        <v>1153</v>
      </c>
      <c r="B238" s="93">
        <f ca="1">(I240-B235)/(B236-B235)</f>
        <v>-0.51488661258669155</v>
      </c>
      <c r="C238" s="94" t="e">
        <f ca="1">(I240-C235)/(C236-C235)</f>
        <v>#N/A</v>
      </c>
      <c r="D238" s="94" t="e">
        <f ca="1">(I240-D235)/(D236-D235)</f>
        <v>#N/A</v>
      </c>
      <c r="E238" s="94" t="e">
        <f ca="1">(I240-E235)/(E236-E235)</f>
        <v>#N/A</v>
      </c>
      <c r="F238" s="94" t="e">
        <f ca="1">(I240-F235)/(F236-F235)</f>
        <v>#N/A</v>
      </c>
      <c r="G238" s="94" t="e">
        <f ca="1">(I240-G235)/(G236-G235)</f>
        <v>#N/A</v>
      </c>
      <c r="H238" s="94" t="e">
        <f ca="1">(I240-H235)/(H236-H235)</f>
        <v>#N/A</v>
      </c>
      <c r="I238"/>
      <c r="K238">
        <f>K230</f>
        <v>0</v>
      </c>
    </row>
    <row r="239" spans="1:11" x14ac:dyDescent="0.2">
      <c r="A239" s="90" t="s">
        <v>1154</v>
      </c>
      <c r="B239" s="95"/>
      <c r="C239" s="96" t="e">
        <f ca="1">MOD(VLOOKUP(B240,PlanetData,3,FALSE)+MATCH(B238,INDEX(VimFrac,,VLOOKUP(B240,PlanetData,3,FALSE)+1),1)-1,9)</f>
        <v>#N/A</v>
      </c>
      <c r="D239" s="96" t="e">
        <f ca="1">MOD(VLOOKUP(C240,PlanetData,3,FALSE)+MATCH(C238,INDEX(VimFrac,0,9*C241+VLOOKUP(C240,PlanetData,3,FALSE)+1),IF(C241,-1,1))-1,9)</f>
        <v>#N/A</v>
      </c>
      <c r="E239" s="96" t="e">
        <f ca="1">MOD(VLOOKUP(D240,PlanetData,3,FALSE)+MATCH(D238,INDEX(VimFrac,0,9*D241+VLOOKUP(D240,PlanetData,3,FALSE)+1),IF(D241,-1,1))-1,9)</f>
        <v>#N/A</v>
      </c>
      <c r="F239" s="96" t="e">
        <f ca="1">MOD(VLOOKUP(E240,PlanetData,3,FALSE)+MATCH(E238,INDEX(VimFrac,0,9*E241+VLOOKUP(E240,PlanetData,3,FALSE)+1),IF(E241,-1,1))-1,9)</f>
        <v>#N/A</v>
      </c>
      <c r="G239" s="96" t="e">
        <f ca="1">MOD(VLOOKUP(F240,PlanetData,3,FALSE)+MATCH(F238,INDEX(VimFrac,0,9*F241+VLOOKUP(F240,PlanetData,3,FALSE)+1),IF(F241,-1,1))-1,9)</f>
        <v>#N/A</v>
      </c>
      <c r="H239" s="96" t="e">
        <f ca="1">MOD(VLOOKUP(G240,PlanetData,3,FALSE)+MATCH(G238,INDEX(VimFrac,0,9*G241+VLOOKUP(G240,PlanetData,3,FALSE)+1),IF(G241,-1,1))-1,9)</f>
        <v>#N/A</v>
      </c>
      <c r="I239"/>
      <c r="K239">
        <f>K231</f>
        <v>0</v>
      </c>
    </row>
    <row r="240" spans="1:11" x14ac:dyDescent="0.2">
      <c r="A240" s="90" t="s">
        <v>1155</v>
      </c>
      <c r="B240" s="95" t="str">
        <f>$B$4</f>
        <v>Moon</v>
      </c>
      <c r="C240" s="96" t="e">
        <f t="shared" ref="C240:H240" ca="1" si="57">INDEX(DasaYears,IF(C239=0,9,C239),1)</f>
        <v>#N/A</v>
      </c>
      <c r="D240" s="96" t="e">
        <f t="shared" ca="1" si="57"/>
        <v>#N/A</v>
      </c>
      <c r="E240" s="96" t="e">
        <f t="shared" ca="1" si="57"/>
        <v>#N/A</v>
      </c>
      <c r="F240" s="96" t="e">
        <f t="shared" ca="1" si="57"/>
        <v>#N/A</v>
      </c>
      <c r="G240" s="96" t="e">
        <f t="shared" ca="1" si="57"/>
        <v>#N/A</v>
      </c>
      <c r="H240" s="96" t="e">
        <f t="shared" ca="1" si="57"/>
        <v>#N/A</v>
      </c>
      <c r="I240" s="97">
        <f ca="1">INDIRECT("'JHora'!$B$"&amp;($K240))</f>
        <v>0</v>
      </c>
      <c r="J240" s="97">
        <f ca="1">INDIRECT("'JHora'!$C$"&amp;($K240))</f>
        <v>0</v>
      </c>
      <c r="K240">
        <f>K232+1</f>
        <v>29</v>
      </c>
    </row>
    <row r="241" spans="1:11" x14ac:dyDescent="0.2">
      <c r="A241" s="90" t="s">
        <v>1139</v>
      </c>
      <c r="B241" s="91" t="b">
        <f>$B$7</f>
        <v>1</v>
      </c>
      <c r="C241" s="96" t="e">
        <f ca="1">IF(VLOOKUP(C240,ChartInfo,11,FALSE),1,0)*B241</f>
        <v>#N/A</v>
      </c>
      <c r="D241" s="96" t="e">
        <f ca="1">IF(VLOOKUP(D240,ChartInfo,11,FALSE),1,0)*B241</f>
        <v>#N/A</v>
      </c>
      <c r="E241" s="96" t="e">
        <f ca="1">IF(VLOOKUP(E240,ChartInfo,11,FALSE),1,0)*B241</f>
        <v>#N/A</v>
      </c>
      <c r="F241" s="96" t="e">
        <f ca="1">IF(VLOOKUP(F240,ChartInfo,11,FALSE),1,0)*B241</f>
        <v>#N/A</v>
      </c>
      <c r="G241" s="96" t="e">
        <f ca="1">IF(VLOOKUP(G240,ChartInfo,11,FALSE),1,0)*B241</f>
        <v>#N/A</v>
      </c>
      <c r="H241" s="96" t="e">
        <f ca="1">IF(VLOOKUP(H240,ChartInfo,11,FALSE),1,0)*B241</f>
        <v>#N/A</v>
      </c>
      <c r="I241" s="99"/>
      <c r="K241">
        <f>K233</f>
        <v>0</v>
      </c>
    </row>
    <row r="242" spans="1:11" x14ac:dyDescent="0.2">
      <c r="K242">
        <f>K234+1</f>
        <v>29</v>
      </c>
    </row>
    <row r="243" spans="1:11" x14ac:dyDescent="0.2">
      <c r="A243" s="87" t="s">
        <v>1150</v>
      </c>
      <c r="B243" s="88">
        <f>DoB-$E$6*DaysInYear</f>
        <v>22567.7812953188</v>
      </c>
      <c r="C243" s="89" t="e">
        <f ca="1">B243+B245*INDEX(INDEX(VimFrac,,VLOOKUP(B248,PlanetData,3,FALSE)+1),MATCH(B246,INDEX(VimFrac,,VLOOKUP(B248,PlanetData,3,FALSE)+1),1))</f>
        <v>#N/A</v>
      </c>
      <c r="D243" s="89" t="e">
        <f ca="1">C243+C245*INDEX(INDEX(VimFrac,0,9*C249+VLOOKUP(C248,PlanetData,3,FALSE)+1),IF(C249,1,0)+MATCH(C246,INDEX(VimFrac,0,9*C249+VLOOKUP(C248,PlanetData,3,FALSE)+1),IF(C249,-1,1)))</f>
        <v>#N/A</v>
      </c>
      <c r="E243" s="89" t="e">
        <f ca="1">D243+D245*INDEX(INDEX(VimFrac,0,9*D249+VLOOKUP(D248,PlanetData,3,FALSE)+1),IF(D249,1,0)+MATCH(D246,INDEX(VimFrac,0,9*D249+VLOOKUP(D248,PlanetData,3,FALSE)+1),IF(D249,-1,1)))</f>
        <v>#N/A</v>
      </c>
      <c r="F243" s="89" t="e">
        <f ca="1">E243+E245*INDEX(INDEX(VimFrac,0,9*E249+VLOOKUP(E248,PlanetData,3,FALSE)+1),IF(E249,1,0)+MATCH(E246,INDEX(VimFrac,0,9*E249+VLOOKUP(E248,PlanetData,3,FALSE)+1),IF(E249,-1,1)))</f>
        <v>#N/A</v>
      </c>
      <c r="G243" s="89" t="e">
        <f ca="1">F243+F245*INDEX(INDEX(VimFrac,0,9*F249+VLOOKUP(F248,PlanetData,3,FALSE)+1),IF(F249,1,0)+MATCH(F246,INDEX(VimFrac,0,9*F249+VLOOKUP(F248,PlanetData,3,FALSE)+1),IF(F249,-1,1)))</f>
        <v>#N/A</v>
      </c>
      <c r="H243" s="89" t="e">
        <f ca="1">G243+G245*INDEX(INDEX(VimFrac,0,9*G249+VLOOKUP(G248,PlanetData,3,FALSE)+1),IF(G249,1,0)+MATCH(G246,INDEX(VimFrac,0,9*G249+VLOOKUP(G248,PlanetData,3,FALSE)+1),IF(G249,-1,1)))</f>
        <v>#N/A</v>
      </c>
      <c r="J243">
        <f ca="1">J248</f>
        <v>0</v>
      </c>
      <c r="K243">
        <f>K235+1</f>
        <v>30</v>
      </c>
    </row>
    <row r="244" spans="1:11" x14ac:dyDescent="0.2">
      <c r="A244" s="87" t="s">
        <v>1151</v>
      </c>
      <c r="B244" s="88">
        <f>B243+B245</f>
        <v>66398.36601754064</v>
      </c>
      <c r="C244" s="89" t="e">
        <f ca="1">B243+B245*INDEX(INDEX(VimFrac,,VLOOKUP(B248,PlanetData,3,FALSE)+1),MATCH(B246,INDEX(VimFrac,,VLOOKUP(B248,PlanetData,3,FALSE)+1),1)+1)</f>
        <v>#N/A</v>
      </c>
      <c r="D244" s="89" t="e">
        <f ca="1">C243+C245*INDEX(INDEX(VimFrac,0,9*C249+VLOOKUP(C248,PlanetData,3,FALSE)+1),IF(C249,0,1)+MATCH(C246,INDEX(VimFrac,0,9*C249+VLOOKUP(C248,PlanetData,3,FALSE)+1),IF(C249,-1,1)))</f>
        <v>#N/A</v>
      </c>
      <c r="E244" s="89" t="e">
        <f ca="1">D243+D245*INDEX(INDEX(VimFrac,0,9*D249+VLOOKUP(D248,PlanetData,3,FALSE)+1),IF(D249,0,1)+MATCH(D246,INDEX(VimFrac,0,9*D249+VLOOKUP(D248,PlanetData,3,FALSE)+1),IF(D249,-1,1)))</f>
        <v>#N/A</v>
      </c>
      <c r="F244" s="89" t="e">
        <f ca="1">E243+E245*INDEX(INDEX(VimFrac,0,9*E249+VLOOKUP(E248,PlanetData,3,FALSE)+1),IF(E249,0,1)+MATCH(E246,INDEX(VimFrac,0,9*E249+VLOOKUP(E248,PlanetData,3,FALSE)+1),IF(E249,-1,1)))</f>
        <v>#N/A</v>
      </c>
      <c r="G244" s="89" t="e">
        <f ca="1">F243+F245*INDEX(INDEX(VimFrac,0,9*F249+VLOOKUP(F248,PlanetData,3,FALSE)+1),IF(F249,0,1)+MATCH(F246,INDEX(VimFrac,0,9*F249+VLOOKUP(F248,PlanetData,3,FALSE)+1),IF(F249,-1,1)))</f>
        <v>#N/A</v>
      </c>
      <c r="H244" s="89" t="e">
        <f ca="1">G243+G245*INDEX(INDEX(VimFrac,0,9*G249+VLOOKUP(G248,PlanetData,3,FALSE)+1),IF(G249,0,1)+MATCH(G246,INDEX(VimFrac,0,9*G249+VLOOKUP(G248,PlanetData,3,FALSE)+1),IF(G249,-1,1)))</f>
        <v>#N/A</v>
      </c>
      <c r="J244">
        <f ca="1">J248</f>
        <v>0</v>
      </c>
      <c r="K244">
        <f>K236+1</f>
        <v>30</v>
      </c>
    </row>
    <row r="245" spans="1:11" x14ac:dyDescent="0.2">
      <c r="A245" s="90" t="s">
        <v>1152</v>
      </c>
      <c r="B245" s="91">
        <f>120*DaysInYear</f>
        <v>43830.584722221844</v>
      </c>
      <c r="C245" s="92" t="e">
        <f t="shared" ref="C245:H245" ca="1" si="58">C244-C243</f>
        <v>#N/A</v>
      </c>
      <c r="D245" s="92" t="e">
        <f t="shared" ca="1" si="58"/>
        <v>#N/A</v>
      </c>
      <c r="E245" s="92" t="e">
        <f t="shared" ca="1" si="58"/>
        <v>#N/A</v>
      </c>
      <c r="F245" s="92" t="e">
        <f t="shared" ca="1" si="58"/>
        <v>#N/A</v>
      </c>
      <c r="G245" s="92" t="e">
        <f t="shared" ca="1" si="58"/>
        <v>#N/A</v>
      </c>
      <c r="H245" s="92" t="e">
        <f t="shared" ca="1" si="58"/>
        <v>#N/A</v>
      </c>
      <c r="I245"/>
      <c r="K245">
        <f>K237</f>
        <v>0</v>
      </c>
    </row>
    <row r="246" spans="1:11" x14ac:dyDescent="0.2">
      <c r="A246" s="90" t="s">
        <v>1153</v>
      </c>
      <c r="B246" s="93">
        <f ca="1">(I248-B243)/(B244-B243)</f>
        <v>-0.51488661258669155</v>
      </c>
      <c r="C246" s="94" t="e">
        <f ca="1">(I248-C243)/(C244-C243)</f>
        <v>#N/A</v>
      </c>
      <c r="D246" s="94" t="e">
        <f ca="1">(I248-D243)/(D244-D243)</f>
        <v>#N/A</v>
      </c>
      <c r="E246" s="94" t="e">
        <f ca="1">(I248-E243)/(E244-E243)</f>
        <v>#N/A</v>
      </c>
      <c r="F246" s="94" t="e">
        <f ca="1">(I248-F243)/(F244-F243)</f>
        <v>#N/A</v>
      </c>
      <c r="G246" s="94" t="e">
        <f ca="1">(I248-G243)/(G244-G243)</f>
        <v>#N/A</v>
      </c>
      <c r="H246" s="94" t="e">
        <f ca="1">(I248-H243)/(H244-H243)</f>
        <v>#N/A</v>
      </c>
      <c r="I246"/>
      <c r="K246">
        <f>K238</f>
        <v>0</v>
      </c>
    </row>
    <row r="247" spans="1:11" x14ac:dyDescent="0.2">
      <c r="A247" s="90" t="s">
        <v>1154</v>
      </c>
      <c r="B247" s="95"/>
      <c r="C247" s="96" t="e">
        <f ca="1">MOD(VLOOKUP(B248,PlanetData,3,FALSE)+MATCH(B246,INDEX(VimFrac,,VLOOKUP(B248,PlanetData,3,FALSE)+1),1)-1,9)</f>
        <v>#N/A</v>
      </c>
      <c r="D247" s="96" t="e">
        <f ca="1">MOD(VLOOKUP(C248,PlanetData,3,FALSE)+MATCH(C246,INDEX(VimFrac,0,9*C249+VLOOKUP(C248,PlanetData,3,FALSE)+1),IF(C249,-1,1))-1,9)</f>
        <v>#N/A</v>
      </c>
      <c r="E247" s="96" t="e">
        <f ca="1">MOD(VLOOKUP(D248,PlanetData,3,FALSE)+MATCH(D246,INDEX(VimFrac,0,9*D249+VLOOKUP(D248,PlanetData,3,FALSE)+1),IF(D249,-1,1))-1,9)</f>
        <v>#N/A</v>
      </c>
      <c r="F247" s="96" t="e">
        <f ca="1">MOD(VLOOKUP(E248,PlanetData,3,FALSE)+MATCH(E246,INDEX(VimFrac,0,9*E249+VLOOKUP(E248,PlanetData,3,FALSE)+1),IF(E249,-1,1))-1,9)</f>
        <v>#N/A</v>
      </c>
      <c r="G247" s="96" t="e">
        <f ca="1">MOD(VLOOKUP(F248,PlanetData,3,FALSE)+MATCH(F246,INDEX(VimFrac,0,9*F249+VLOOKUP(F248,PlanetData,3,FALSE)+1),IF(F249,-1,1))-1,9)</f>
        <v>#N/A</v>
      </c>
      <c r="H247" s="96" t="e">
        <f ca="1">MOD(VLOOKUP(G248,PlanetData,3,FALSE)+MATCH(G246,INDEX(VimFrac,0,9*G249+VLOOKUP(G248,PlanetData,3,FALSE)+1),IF(G249,-1,1))-1,9)</f>
        <v>#N/A</v>
      </c>
      <c r="I247"/>
      <c r="K247">
        <f>K239</f>
        <v>0</v>
      </c>
    </row>
    <row r="248" spans="1:11" x14ac:dyDescent="0.2">
      <c r="A248" s="90" t="s">
        <v>1155</v>
      </c>
      <c r="B248" s="95" t="str">
        <f>$B$4</f>
        <v>Moon</v>
      </c>
      <c r="C248" s="96" t="e">
        <f t="shared" ref="C248:H248" ca="1" si="59">INDEX(DasaYears,IF(C247=0,9,C247),1)</f>
        <v>#N/A</v>
      </c>
      <c r="D248" s="96" t="e">
        <f t="shared" ca="1" si="59"/>
        <v>#N/A</v>
      </c>
      <c r="E248" s="96" t="e">
        <f t="shared" ca="1" si="59"/>
        <v>#N/A</v>
      </c>
      <c r="F248" s="96" t="e">
        <f t="shared" ca="1" si="59"/>
        <v>#N/A</v>
      </c>
      <c r="G248" s="96" t="e">
        <f t="shared" ca="1" si="59"/>
        <v>#N/A</v>
      </c>
      <c r="H248" s="96" t="e">
        <f t="shared" ca="1" si="59"/>
        <v>#N/A</v>
      </c>
      <c r="I248" s="97">
        <f ca="1">INDIRECT("'JHora'!$B$"&amp;($K248))</f>
        <v>0</v>
      </c>
      <c r="J248" s="97">
        <f ca="1">INDIRECT("'JHora'!$C$"&amp;($K248))</f>
        <v>0</v>
      </c>
      <c r="K248">
        <f>K240+1</f>
        <v>30</v>
      </c>
    </row>
    <row r="249" spans="1:11" x14ac:dyDescent="0.2">
      <c r="A249" s="90" t="s">
        <v>1139</v>
      </c>
      <c r="B249" s="91" t="b">
        <f>$B$7</f>
        <v>1</v>
      </c>
      <c r="C249" s="96" t="e">
        <f ca="1">IF(VLOOKUP(C248,ChartInfo,11,FALSE),1,0)*B249</f>
        <v>#N/A</v>
      </c>
      <c r="D249" s="96" t="e">
        <f ca="1">IF(VLOOKUP(D248,ChartInfo,11,FALSE),1,0)*B249</f>
        <v>#N/A</v>
      </c>
      <c r="E249" s="96" t="e">
        <f ca="1">IF(VLOOKUP(E248,ChartInfo,11,FALSE),1,0)*B249</f>
        <v>#N/A</v>
      </c>
      <c r="F249" s="96" t="e">
        <f ca="1">IF(VLOOKUP(F248,ChartInfo,11,FALSE),1,0)*B249</f>
        <v>#N/A</v>
      </c>
      <c r="G249" s="96" t="e">
        <f ca="1">IF(VLOOKUP(G248,ChartInfo,11,FALSE),1,0)*B249</f>
        <v>#N/A</v>
      </c>
      <c r="H249" s="96" t="e">
        <f ca="1">IF(VLOOKUP(H248,ChartInfo,11,FALSE),1,0)*B249</f>
        <v>#N/A</v>
      </c>
      <c r="I249" s="99"/>
      <c r="K249">
        <f>K241</f>
        <v>0</v>
      </c>
    </row>
    <row r="250" spans="1:11" x14ac:dyDescent="0.2">
      <c r="K250">
        <f>K242+1</f>
        <v>30</v>
      </c>
    </row>
    <row r="251" spans="1:11" x14ac:dyDescent="0.2">
      <c r="A251" s="87" t="s">
        <v>1150</v>
      </c>
      <c r="B251" s="88">
        <f>DoB-$E$6*DaysInYear</f>
        <v>22567.7812953188</v>
      </c>
      <c r="C251" s="89" t="e">
        <f ca="1">B251+B253*INDEX(INDEX(VimFrac,,VLOOKUP(B256,PlanetData,3,FALSE)+1),MATCH(B254,INDEX(VimFrac,,VLOOKUP(B256,PlanetData,3,FALSE)+1),1))</f>
        <v>#N/A</v>
      </c>
      <c r="D251" s="89" t="e">
        <f ca="1">C251+C253*INDEX(INDEX(VimFrac,0,9*C257+VLOOKUP(C256,PlanetData,3,FALSE)+1),IF(C257,1,0)+MATCH(C254,INDEX(VimFrac,0,9*C257+VLOOKUP(C256,PlanetData,3,FALSE)+1),IF(C257,-1,1)))</f>
        <v>#N/A</v>
      </c>
      <c r="E251" s="89" t="e">
        <f ca="1">D251+D253*INDEX(INDEX(VimFrac,0,9*D257+VLOOKUP(D256,PlanetData,3,FALSE)+1),IF(D257,1,0)+MATCH(D254,INDEX(VimFrac,0,9*D257+VLOOKUP(D256,PlanetData,3,FALSE)+1),IF(D257,-1,1)))</f>
        <v>#N/A</v>
      </c>
      <c r="F251" s="89" t="e">
        <f ca="1">E251+E253*INDEX(INDEX(VimFrac,0,9*E257+VLOOKUP(E256,PlanetData,3,FALSE)+1),IF(E257,1,0)+MATCH(E254,INDEX(VimFrac,0,9*E257+VLOOKUP(E256,PlanetData,3,FALSE)+1),IF(E257,-1,1)))</f>
        <v>#N/A</v>
      </c>
      <c r="G251" s="89" t="e">
        <f ca="1">F251+F253*INDEX(INDEX(VimFrac,0,9*F257+VLOOKUP(F256,PlanetData,3,FALSE)+1),IF(F257,1,0)+MATCH(F254,INDEX(VimFrac,0,9*F257+VLOOKUP(F256,PlanetData,3,FALSE)+1),IF(F257,-1,1)))</f>
        <v>#N/A</v>
      </c>
      <c r="H251" s="89" t="e">
        <f ca="1">G251+G253*INDEX(INDEX(VimFrac,0,9*G257+VLOOKUP(G256,PlanetData,3,FALSE)+1),IF(G257,1,0)+MATCH(G254,INDEX(VimFrac,0,9*G257+VLOOKUP(G256,PlanetData,3,FALSE)+1),IF(G257,-1,1)))</f>
        <v>#N/A</v>
      </c>
      <c r="J251">
        <f ca="1">J256</f>
        <v>0</v>
      </c>
      <c r="K251">
        <f>K243+1</f>
        <v>31</v>
      </c>
    </row>
    <row r="252" spans="1:11" x14ac:dyDescent="0.2">
      <c r="A252" s="87" t="s">
        <v>1151</v>
      </c>
      <c r="B252" s="88">
        <f>B251+B253</f>
        <v>66398.36601754064</v>
      </c>
      <c r="C252" s="89" t="e">
        <f ca="1">B251+B253*INDEX(INDEX(VimFrac,,VLOOKUP(B256,PlanetData,3,FALSE)+1),MATCH(B254,INDEX(VimFrac,,VLOOKUP(B256,PlanetData,3,FALSE)+1),1)+1)</f>
        <v>#N/A</v>
      </c>
      <c r="D252" s="89" t="e">
        <f ca="1">C251+C253*INDEX(INDEX(VimFrac,0,9*C257+VLOOKUP(C256,PlanetData,3,FALSE)+1),IF(C257,0,1)+MATCH(C254,INDEX(VimFrac,0,9*C257+VLOOKUP(C256,PlanetData,3,FALSE)+1),IF(C257,-1,1)))</f>
        <v>#N/A</v>
      </c>
      <c r="E252" s="89" t="e">
        <f ca="1">D251+D253*INDEX(INDEX(VimFrac,0,9*D257+VLOOKUP(D256,PlanetData,3,FALSE)+1),IF(D257,0,1)+MATCH(D254,INDEX(VimFrac,0,9*D257+VLOOKUP(D256,PlanetData,3,FALSE)+1),IF(D257,-1,1)))</f>
        <v>#N/A</v>
      </c>
      <c r="F252" s="89" t="e">
        <f ca="1">E251+E253*INDEX(INDEX(VimFrac,0,9*E257+VLOOKUP(E256,PlanetData,3,FALSE)+1),IF(E257,0,1)+MATCH(E254,INDEX(VimFrac,0,9*E257+VLOOKUP(E256,PlanetData,3,FALSE)+1),IF(E257,-1,1)))</f>
        <v>#N/A</v>
      </c>
      <c r="G252" s="89" t="e">
        <f ca="1">F251+F253*INDEX(INDEX(VimFrac,0,9*F257+VLOOKUP(F256,PlanetData,3,FALSE)+1),IF(F257,0,1)+MATCH(F254,INDEX(VimFrac,0,9*F257+VLOOKUP(F256,PlanetData,3,FALSE)+1),IF(F257,-1,1)))</f>
        <v>#N/A</v>
      </c>
      <c r="H252" s="89" t="e">
        <f ca="1">G251+G253*INDEX(INDEX(VimFrac,0,9*G257+VLOOKUP(G256,PlanetData,3,FALSE)+1),IF(G257,0,1)+MATCH(G254,INDEX(VimFrac,0,9*G257+VLOOKUP(G256,PlanetData,3,FALSE)+1),IF(G257,-1,1)))</f>
        <v>#N/A</v>
      </c>
      <c r="J252">
        <f ca="1">J256</f>
        <v>0</v>
      </c>
      <c r="K252">
        <f>K244+1</f>
        <v>31</v>
      </c>
    </row>
    <row r="253" spans="1:11" x14ac:dyDescent="0.2">
      <c r="A253" s="90" t="s">
        <v>1152</v>
      </c>
      <c r="B253" s="91">
        <f>120*DaysInYear</f>
        <v>43830.584722221844</v>
      </c>
      <c r="C253" s="92" t="e">
        <f t="shared" ref="C253:H253" ca="1" si="60">C252-C251</f>
        <v>#N/A</v>
      </c>
      <c r="D253" s="92" t="e">
        <f t="shared" ca="1" si="60"/>
        <v>#N/A</v>
      </c>
      <c r="E253" s="92" t="e">
        <f t="shared" ca="1" si="60"/>
        <v>#N/A</v>
      </c>
      <c r="F253" s="92" t="e">
        <f t="shared" ca="1" si="60"/>
        <v>#N/A</v>
      </c>
      <c r="G253" s="92" t="e">
        <f t="shared" ca="1" si="60"/>
        <v>#N/A</v>
      </c>
      <c r="H253" s="92" t="e">
        <f t="shared" ca="1" si="60"/>
        <v>#N/A</v>
      </c>
      <c r="I253"/>
      <c r="K253">
        <f>K245</f>
        <v>0</v>
      </c>
    </row>
    <row r="254" spans="1:11" x14ac:dyDescent="0.2">
      <c r="A254" s="90" t="s">
        <v>1153</v>
      </c>
      <c r="B254" s="93">
        <f ca="1">(I256-B251)/(B252-B251)</f>
        <v>-0.51488661258669155</v>
      </c>
      <c r="C254" s="94" t="e">
        <f ca="1">(I256-C251)/(C252-C251)</f>
        <v>#N/A</v>
      </c>
      <c r="D254" s="94" t="e">
        <f ca="1">(I256-D251)/(D252-D251)</f>
        <v>#N/A</v>
      </c>
      <c r="E254" s="94" t="e">
        <f ca="1">(I256-E251)/(E252-E251)</f>
        <v>#N/A</v>
      </c>
      <c r="F254" s="94" t="e">
        <f ca="1">(I256-F251)/(F252-F251)</f>
        <v>#N/A</v>
      </c>
      <c r="G254" s="94" t="e">
        <f ca="1">(I256-G251)/(G252-G251)</f>
        <v>#N/A</v>
      </c>
      <c r="H254" s="94" t="e">
        <f ca="1">(I256-H251)/(H252-H251)</f>
        <v>#N/A</v>
      </c>
      <c r="I254"/>
      <c r="K254">
        <f>K246</f>
        <v>0</v>
      </c>
    </row>
    <row r="255" spans="1:11" x14ac:dyDescent="0.2">
      <c r="A255" s="90" t="s">
        <v>1154</v>
      </c>
      <c r="B255" s="95"/>
      <c r="C255" s="96" t="e">
        <f ca="1">MOD(VLOOKUP(B256,PlanetData,3,FALSE)+MATCH(B254,INDEX(VimFrac,,VLOOKUP(B256,PlanetData,3,FALSE)+1),1)-1,9)</f>
        <v>#N/A</v>
      </c>
      <c r="D255" s="96" t="e">
        <f ca="1">MOD(VLOOKUP(C256,PlanetData,3,FALSE)+MATCH(C254,INDEX(VimFrac,0,9*C257+VLOOKUP(C256,PlanetData,3,FALSE)+1),IF(C257,-1,1))-1,9)</f>
        <v>#N/A</v>
      </c>
      <c r="E255" s="96" t="e">
        <f ca="1">MOD(VLOOKUP(D256,PlanetData,3,FALSE)+MATCH(D254,INDEX(VimFrac,0,9*D257+VLOOKUP(D256,PlanetData,3,FALSE)+1),IF(D257,-1,1))-1,9)</f>
        <v>#N/A</v>
      </c>
      <c r="F255" s="96" t="e">
        <f ca="1">MOD(VLOOKUP(E256,PlanetData,3,FALSE)+MATCH(E254,INDEX(VimFrac,0,9*E257+VLOOKUP(E256,PlanetData,3,FALSE)+1),IF(E257,-1,1))-1,9)</f>
        <v>#N/A</v>
      </c>
      <c r="G255" s="96" t="e">
        <f ca="1">MOD(VLOOKUP(F256,PlanetData,3,FALSE)+MATCH(F254,INDEX(VimFrac,0,9*F257+VLOOKUP(F256,PlanetData,3,FALSE)+1),IF(F257,-1,1))-1,9)</f>
        <v>#N/A</v>
      </c>
      <c r="H255" s="96" t="e">
        <f ca="1">MOD(VLOOKUP(G256,PlanetData,3,FALSE)+MATCH(G254,INDEX(VimFrac,0,9*G257+VLOOKUP(G256,PlanetData,3,FALSE)+1),IF(G257,-1,1))-1,9)</f>
        <v>#N/A</v>
      </c>
      <c r="I255"/>
      <c r="K255">
        <f>K247</f>
        <v>0</v>
      </c>
    </row>
    <row r="256" spans="1:11" x14ac:dyDescent="0.2">
      <c r="A256" s="90" t="s">
        <v>1155</v>
      </c>
      <c r="B256" s="95" t="str">
        <f>$B$4</f>
        <v>Moon</v>
      </c>
      <c r="C256" s="96" t="e">
        <f t="shared" ref="C256:H256" ca="1" si="61">INDEX(DasaYears,IF(C255=0,9,C255),1)</f>
        <v>#N/A</v>
      </c>
      <c r="D256" s="96" t="e">
        <f t="shared" ca="1" si="61"/>
        <v>#N/A</v>
      </c>
      <c r="E256" s="96" t="e">
        <f t="shared" ca="1" si="61"/>
        <v>#N/A</v>
      </c>
      <c r="F256" s="96" t="e">
        <f t="shared" ca="1" si="61"/>
        <v>#N/A</v>
      </c>
      <c r="G256" s="96" t="e">
        <f t="shared" ca="1" si="61"/>
        <v>#N/A</v>
      </c>
      <c r="H256" s="96" t="e">
        <f t="shared" ca="1" si="61"/>
        <v>#N/A</v>
      </c>
      <c r="I256" s="97">
        <f ca="1">INDIRECT("'JHora'!$B$"&amp;($K256))</f>
        <v>0</v>
      </c>
      <c r="J256" s="97">
        <f ca="1">INDIRECT("'JHora'!$C$"&amp;($K256))</f>
        <v>0</v>
      </c>
      <c r="K256">
        <f>K248+1</f>
        <v>31</v>
      </c>
    </row>
    <row r="257" spans="1:11" x14ac:dyDescent="0.2">
      <c r="A257" s="90" t="s">
        <v>1139</v>
      </c>
      <c r="B257" s="91" t="b">
        <f>$B$7</f>
        <v>1</v>
      </c>
      <c r="C257" s="96" t="e">
        <f ca="1">IF(VLOOKUP(C256,ChartInfo,11,FALSE),1,0)*B257</f>
        <v>#N/A</v>
      </c>
      <c r="D257" s="96" t="e">
        <f ca="1">IF(VLOOKUP(D256,ChartInfo,11,FALSE),1,0)*B257</f>
        <v>#N/A</v>
      </c>
      <c r="E257" s="96" t="e">
        <f ca="1">IF(VLOOKUP(E256,ChartInfo,11,FALSE),1,0)*B257</f>
        <v>#N/A</v>
      </c>
      <c r="F257" s="96" t="e">
        <f ca="1">IF(VLOOKUP(F256,ChartInfo,11,FALSE),1,0)*B257</f>
        <v>#N/A</v>
      </c>
      <c r="G257" s="96" t="e">
        <f ca="1">IF(VLOOKUP(G256,ChartInfo,11,FALSE),1,0)*B257</f>
        <v>#N/A</v>
      </c>
      <c r="H257" s="96" t="e">
        <f ca="1">IF(VLOOKUP(H256,ChartInfo,11,FALSE),1,0)*B257</f>
        <v>#N/A</v>
      </c>
      <c r="I257" s="99"/>
      <c r="K257">
        <f>K249</f>
        <v>0</v>
      </c>
    </row>
    <row r="258" spans="1:11" x14ac:dyDescent="0.2">
      <c r="K258">
        <f>K250+1</f>
        <v>31</v>
      </c>
    </row>
    <row r="259" spans="1:11" x14ac:dyDescent="0.2">
      <c r="A259" s="87" t="s">
        <v>1150</v>
      </c>
      <c r="B259" s="88">
        <f>DoB-$E$6*DaysInYear</f>
        <v>22567.7812953188</v>
      </c>
      <c r="C259" s="89" t="e">
        <f ca="1">B259+B261*INDEX(INDEX(VimFrac,,VLOOKUP(B264,PlanetData,3,FALSE)+1),MATCH(B262,INDEX(VimFrac,,VLOOKUP(B264,PlanetData,3,FALSE)+1),1))</f>
        <v>#N/A</v>
      </c>
      <c r="D259" s="89" t="e">
        <f ca="1">C259+C261*INDEX(INDEX(VimFrac,0,9*C265+VLOOKUP(C264,PlanetData,3,FALSE)+1),IF(C265,1,0)+MATCH(C262,INDEX(VimFrac,0,9*C265+VLOOKUP(C264,PlanetData,3,FALSE)+1),IF(C265,-1,1)))</f>
        <v>#N/A</v>
      </c>
      <c r="E259" s="89" t="e">
        <f ca="1">D259+D261*INDEX(INDEX(VimFrac,0,9*D265+VLOOKUP(D264,PlanetData,3,FALSE)+1),IF(D265,1,0)+MATCH(D262,INDEX(VimFrac,0,9*D265+VLOOKUP(D264,PlanetData,3,FALSE)+1),IF(D265,-1,1)))</f>
        <v>#N/A</v>
      </c>
      <c r="F259" s="89" t="e">
        <f ca="1">E259+E261*INDEX(INDEX(VimFrac,0,9*E265+VLOOKUP(E264,PlanetData,3,FALSE)+1),IF(E265,1,0)+MATCH(E262,INDEX(VimFrac,0,9*E265+VLOOKUP(E264,PlanetData,3,FALSE)+1),IF(E265,-1,1)))</f>
        <v>#N/A</v>
      </c>
      <c r="G259" s="89" t="e">
        <f ca="1">F259+F261*INDEX(INDEX(VimFrac,0,9*F265+VLOOKUP(F264,PlanetData,3,FALSE)+1),IF(F265,1,0)+MATCH(F262,INDEX(VimFrac,0,9*F265+VLOOKUP(F264,PlanetData,3,FALSE)+1),IF(F265,-1,1)))</f>
        <v>#N/A</v>
      </c>
      <c r="H259" s="89" t="e">
        <f ca="1">G259+G261*INDEX(INDEX(VimFrac,0,9*G265+VLOOKUP(G264,PlanetData,3,FALSE)+1),IF(G265,1,0)+MATCH(G262,INDEX(VimFrac,0,9*G265+VLOOKUP(G264,PlanetData,3,FALSE)+1),IF(G265,-1,1)))</f>
        <v>#N/A</v>
      </c>
      <c r="J259">
        <f ca="1">J264</f>
        <v>0</v>
      </c>
      <c r="K259">
        <f>K251+1</f>
        <v>32</v>
      </c>
    </row>
    <row r="260" spans="1:11" x14ac:dyDescent="0.2">
      <c r="A260" s="87" t="s">
        <v>1151</v>
      </c>
      <c r="B260" s="88">
        <f>B259+B261</f>
        <v>66398.36601754064</v>
      </c>
      <c r="C260" s="89" t="e">
        <f ca="1">B259+B261*INDEX(INDEX(VimFrac,,VLOOKUP(B264,PlanetData,3,FALSE)+1),MATCH(B262,INDEX(VimFrac,,VLOOKUP(B264,PlanetData,3,FALSE)+1),1)+1)</f>
        <v>#N/A</v>
      </c>
      <c r="D260" s="89" t="e">
        <f ca="1">C259+C261*INDEX(INDEX(VimFrac,0,9*C265+VLOOKUP(C264,PlanetData,3,FALSE)+1),IF(C265,0,1)+MATCH(C262,INDEX(VimFrac,0,9*C265+VLOOKUP(C264,PlanetData,3,FALSE)+1),IF(C265,-1,1)))</f>
        <v>#N/A</v>
      </c>
      <c r="E260" s="89" t="e">
        <f ca="1">D259+D261*INDEX(INDEX(VimFrac,0,9*D265+VLOOKUP(D264,PlanetData,3,FALSE)+1),IF(D265,0,1)+MATCH(D262,INDEX(VimFrac,0,9*D265+VLOOKUP(D264,PlanetData,3,FALSE)+1),IF(D265,-1,1)))</f>
        <v>#N/A</v>
      </c>
      <c r="F260" s="89" t="e">
        <f ca="1">E259+E261*INDEX(INDEX(VimFrac,0,9*E265+VLOOKUP(E264,PlanetData,3,FALSE)+1),IF(E265,0,1)+MATCH(E262,INDEX(VimFrac,0,9*E265+VLOOKUP(E264,PlanetData,3,FALSE)+1),IF(E265,-1,1)))</f>
        <v>#N/A</v>
      </c>
      <c r="G260" s="89" t="e">
        <f ca="1">F259+F261*INDEX(INDEX(VimFrac,0,9*F265+VLOOKUP(F264,PlanetData,3,FALSE)+1),IF(F265,0,1)+MATCH(F262,INDEX(VimFrac,0,9*F265+VLOOKUP(F264,PlanetData,3,FALSE)+1),IF(F265,-1,1)))</f>
        <v>#N/A</v>
      </c>
      <c r="H260" s="89" t="e">
        <f ca="1">G259+G261*INDEX(INDEX(VimFrac,0,9*G265+VLOOKUP(G264,PlanetData,3,FALSE)+1),IF(G265,0,1)+MATCH(G262,INDEX(VimFrac,0,9*G265+VLOOKUP(G264,PlanetData,3,FALSE)+1),IF(G265,-1,1)))</f>
        <v>#N/A</v>
      </c>
      <c r="J260">
        <f ca="1">J264</f>
        <v>0</v>
      </c>
      <c r="K260">
        <f>K252+1</f>
        <v>32</v>
      </c>
    </row>
    <row r="261" spans="1:11" x14ac:dyDescent="0.2">
      <c r="A261" s="90" t="s">
        <v>1152</v>
      </c>
      <c r="B261" s="91">
        <f>120*DaysInYear</f>
        <v>43830.584722221844</v>
      </c>
      <c r="C261" s="92" t="e">
        <f t="shared" ref="C261:H261" ca="1" si="62">C260-C259</f>
        <v>#N/A</v>
      </c>
      <c r="D261" s="92" t="e">
        <f t="shared" ca="1" si="62"/>
        <v>#N/A</v>
      </c>
      <c r="E261" s="92" t="e">
        <f t="shared" ca="1" si="62"/>
        <v>#N/A</v>
      </c>
      <c r="F261" s="92" t="e">
        <f t="shared" ca="1" si="62"/>
        <v>#N/A</v>
      </c>
      <c r="G261" s="92" t="e">
        <f t="shared" ca="1" si="62"/>
        <v>#N/A</v>
      </c>
      <c r="H261" s="92" t="e">
        <f t="shared" ca="1" si="62"/>
        <v>#N/A</v>
      </c>
      <c r="I261"/>
      <c r="K261">
        <f>K253</f>
        <v>0</v>
      </c>
    </row>
    <row r="262" spans="1:11" x14ac:dyDescent="0.2">
      <c r="A262" s="90" t="s">
        <v>1153</v>
      </c>
      <c r="B262" s="93">
        <f ca="1">(I264-B259)/(B260-B259)</f>
        <v>-0.51488661258669155</v>
      </c>
      <c r="C262" s="94" t="e">
        <f ca="1">(I264-C259)/(C260-C259)</f>
        <v>#N/A</v>
      </c>
      <c r="D262" s="94" t="e">
        <f ca="1">(I264-D259)/(D260-D259)</f>
        <v>#N/A</v>
      </c>
      <c r="E262" s="94" t="e">
        <f ca="1">(I264-E259)/(E260-E259)</f>
        <v>#N/A</v>
      </c>
      <c r="F262" s="94" t="e">
        <f ca="1">(I264-F259)/(F260-F259)</f>
        <v>#N/A</v>
      </c>
      <c r="G262" s="94" t="e">
        <f ca="1">(I264-G259)/(G260-G259)</f>
        <v>#N/A</v>
      </c>
      <c r="H262" s="94" t="e">
        <f ca="1">(I264-H259)/(H260-H259)</f>
        <v>#N/A</v>
      </c>
      <c r="I262"/>
      <c r="K262">
        <f>K254</f>
        <v>0</v>
      </c>
    </row>
    <row r="263" spans="1:11" x14ac:dyDescent="0.2">
      <c r="A263" s="90" t="s">
        <v>1154</v>
      </c>
      <c r="B263" s="95"/>
      <c r="C263" s="96" t="e">
        <f ca="1">MOD(VLOOKUP(B264,PlanetData,3,FALSE)+MATCH(B262,INDEX(VimFrac,,VLOOKUP(B264,PlanetData,3,FALSE)+1),1)-1,9)</f>
        <v>#N/A</v>
      </c>
      <c r="D263" s="96" t="e">
        <f ca="1">MOD(VLOOKUP(C264,PlanetData,3,FALSE)+MATCH(C262,INDEX(VimFrac,0,9*C265+VLOOKUP(C264,PlanetData,3,FALSE)+1),IF(C265,-1,1))-1,9)</f>
        <v>#N/A</v>
      </c>
      <c r="E263" s="96" t="e">
        <f ca="1">MOD(VLOOKUP(D264,PlanetData,3,FALSE)+MATCH(D262,INDEX(VimFrac,0,9*D265+VLOOKUP(D264,PlanetData,3,FALSE)+1),IF(D265,-1,1))-1,9)</f>
        <v>#N/A</v>
      </c>
      <c r="F263" s="96" t="e">
        <f ca="1">MOD(VLOOKUP(E264,PlanetData,3,FALSE)+MATCH(E262,INDEX(VimFrac,0,9*E265+VLOOKUP(E264,PlanetData,3,FALSE)+1),IF(E265,-1,1))-1,9)</f>
        <v>#N/A</v>
      </c>
      <c r="G263" s="96" t="e">
        <f ca="1">MOD(VLOOKUP(F264,PlanetData,3,FALSE)+MATCH(F262,INDEX(VimFrac,0,9*F265+VLOOKUP(F264,PlanetData,3,FALSE)+1),IF(F265,-1,1))-1,9)</f>
        <v>#N/A</v>
      </c>
      <c r="H263" s="96" t="e">
        <f ca="1">MOD(VLOOKUP(G264,PlanetData,3,FALSE)+MATCH(G262,INDEX(VimFrac,0,9*G265+VLOOKUP(G264,PlanetData,3,FALSE)+1),IF(G265,-1,1))-1,9)</f>
        <v>#N/A</v>
      </c>
      <c r="I263"/>
      <c r="K263">
        <f>K255</f>
        <v>0</v>
      </c>
    </row>
    <row r="264" spans="1:11" x14ac:dyDescent="0.2">
      <c r="A264" s="90" t="s">
        <v>1155</v>
      </c>
      <c r="B264" s="95" t="str">
        <f>$B$4</f>
        <v>Moon</v>
      </c>
      <c r="C264" s="96" t="e">
        <f t="shared" ref="C264:H264" ca="1" si="63">INDEX(DasaYears,IF(C263=0,9,C263),1)</f>
        <v>#N/A</v>
      </c>
      <c r="D264" s="96" t="e">
        <f t="shared" ca="1" si="63"/>
        <v>#N/A</v>
      </c>
      <c r="E264" s="96" t="e">
        <f t="shared" ca="1" si="63"/>
        <v>#N/A</v>
      </c>
      <c r="F264" s="96" t="e">
        <f t="shared" ca="1" si="63"/>
        <v>#N/A</v>
      </c>
      <c r="G264" s="96" t="e">
        <f t="shared" ca="1" si="63"/>
        <v>#N/A</v>
      </c>
      <c r="H264" s="96" t="e">
        <f t="shared" ca="1" si="63"/>
        <v>#N/A</v>
      </c>
      <c r="I264" s="97">
        <f ca="1">INDIRECT("'JHora'!$B$"&amp;($K264))</f>
        <v>0</v>
      </c>
      <c r="J264" s="97">
        <f ca="1">INDIRECT("'JHora'!$C$"&amp;($K264))</f>
        <v>0</v>
      </c>
      <c r="K264">
        <f>K256+1</f>
        <v>32</v>
      </c>
    </row>
    <row r="265" spans="1:11" x14ac:dyDescent="0.2">
      <c r="A265" s="90" t="s">
        <v>1139</v>
      </c>
      <c r="B265" s="91" t="b">
        <f>$B$7</f>
        <v>1</v>
      </c>
      <c r="C265" s="96" t="e">
        <f ca="1">IF(VLOOKUP(C264,ChartInfo,11,FALSE),1,0)*B265</f>
        <v>#N/A</v>
      </c>
      <c r="D265" s="96" t="e">
        <f ca="1">IF(VLOOKUP(D264,ChartInfo,11,FALSE),1,0)*B265</f>
        <v>#N/A</v>
      </c>
      <c r="E265" s="96" t="e">
        <f ca="1">IF(VLOOKUP(E264,ChartInfo,11,FALSE),1,0)*B265</f>
        <v>#N/A</v>
      </c>
      <c r="F265" s="96" t="e">
        <f ca="1">IF(VLOOKUP(F264,ChartInfo,11,FALSE),1,0)*B265</f>
        <v>#N/A</v>
      </c>
      <c r="G265" s="96" t="e">
        <f ca="1">IF(VLOOKUP(G264,ChartInfo,11,FALSE),1,0)*B265</f>
        <v>#N/A</v>
      </c>
      <c r="H265" s="96" t="e">
        <f ca="1">IF(VLOOKUP(H264,ChartInfo,11,FALSE),1,0)*B265</f>
        <v>#N/A</v>
      </c>
      <c r="I265" s="99"/>
      <c r="K265">
        <f>K257</f>
        <v>0</v>
      </c>
    </row>
    <row r="266" spans="1:11" x14ac:dyDescent="0.2">
      <c r="K266">
        <f>K258+1</f>
        <v>32</v>
      </c>
    </row>
    <row r="267" spans="1:11" x14ac:dyDescent="0.2">
      <c r="A267" s="87" t="s">
        <v>1150</v>
      </c>
      <c r="B267" s="88">
        <f>DoB-$E$6*DaysInYear</f>
        <v>22567.7812953188</v>
      </c>
      <c r="C267" s="89" t="e">
        <f ca="1">B267+B269*INDEX(INDEX(VimFrac,,VLOOKUP(B272,PlanetData,3,FALSE)+1),MATCH(B270,INDEX(VimFrac,,VLOOKUP(B272,PlanetData,3,FALSE)+1),1))</f>
        <v>#N/A</v>
      </c>
      <c r="D267" s="89" t="e">
        <f ca="1">C267+C269*INDEX(INDEX(VimFrac,0,9*C273+VLOOKUP(C272,PlanetData,3,FALSE)+1),IF(C273,1,0)+MATCH(C270,INDEX(VimFrac,0,9*C273+VLOOKUP(C272,PlanetData,3,FALSE)+1),IF(C273,-1,1)))</f>
        <v>#N/A</v>
      </c>
      <c r="E267" s="89" t="e">
        <f ca="1">D267+D269*INDEX(INDEX(VimFrac,0,9*D273+VLOOKUP(D272,PlanetData,3,FALSE)+1),IF(D273,1,0)+MATCH(D270,INDEX(VimFrac,0,9*D273+VLOOKUP(D272,PlanetData,3,FALSE)+1),IF(D273,-1,1)))</f>
        <v>#N/A</v>
      </c>
      <c r="F267" s="89" t="e">
        <f ca="1">E267+E269*INDEX(INDEX(VimFrac,0,9*E273+VLOOKUP(E272,PlanetData,3,FALSE)+1),IF(E273,1,0)+MATCH(E270,INDEX(VimFrac,0,9*E273+VLOOKUP(E272,PlanetData,3,FALSE)+1),IF(E273,-1,1)))</f>
        <v>#N/A</v>
      </c>
      <c r="G267" s="89" t="e">
        <f ca="1">F267+F269*INDEX(INDEX(VimFrac,0,9*F273+VLOOKUP(F272,PlanetData,3,FALSE)+1),IF(F273,1,0)+MATCH(F270,INDEX(VimFrac,0,9*F273+VLOOKUP(F272,PlanetData,3,FALSE)+1),IF(F273,-1,1)))</f>
        <v>#N/A</v>
      </c>
      <c r="H267" s="89" t="e">
        <f ca="1">G267+G269*INDEX(INDEX(VimFrac,0,9*G273+VLOOKUP(G272,PlanetData,3,FALSE)+1),IF(G273,1,0)+MATCH(G270,INDEX(VimFrac,0,9*G273+VLOOKUP(G272,PlanetData,3,FALSE)+1),IF(G273,-1,1)))</f>
        <v>#N/A</v>
      </c>
      <c r="J267">
        <f ca="1">J272</f>
        <v>0</v>
      </c>
      <c r="K267">
        <f>K259+1</f>
        <v>33</v>
      </c>
    </row>
    <row r="268" spans="1:11" x14ac:dyDescent="0.2">
      <c r="A268" s="87" t="s">
        <v>1151</v>
      </c>
      <c r="B268" s="88">
        <f>B267+B269</f>
        <v>66398.36601754064</v>
      </c>
      <c r="C268" s="89" t="e">
        <f ca="1">B267+B269*INDEX(INDEX(VimFrac,,VLOOKUP(B272,PlanetData,3,FALSE)+1),MATCH(B270,INDEX(VimFrac,,VLOOKUP(B272,PlanetData,3,FALSE)+1),1)+1)</f>
        <v>#N/A</v>
      </c>
      <c r="D268" s="89" t="e">
        <f ca="1">C267+C269*INDEX(INDEX(VimFrac,0,9*C273+VLOOKUP(C272,PlanetData,3,FALSE)+1),IF(C273,0,1)+MATCH(C270,INDEX(VimFrac,0,9*C273+VLOOKUP(C272,PlanetData,3,FALSE)+1),IF(C273,-1,1)))</f>
        <v>#N/A</v>
      </c>
      <c r="E268" s="89" t="e">
        <f ca="1">D267+D269*INDEX(INDEX(VimFrac,0,9*D273+VLOOKUP(D272,PlanetData,3,FALSE)+1),IF(D273,0,1)+MATCH(D270,INDEX(VimFrac,0,9*D273+VLOOKUP(D272,PlanetData,3,FALSE)+1),IF(D273,-1,1)))</f>
        <v>#N/A</v>
      </c>
      <c r="F268" s="89" t="e">
        <f ca="1">E267+E269*INDEX(INDEX(VimFrac,0,9*E273+VLOOKUP(E272,PlanetData,3,FALSE)+1),IF(E273,0,1)+MATCH(E270,INDEX(VimFrac,0,9*E273+VLOOKUP(E272,PlanetData,3,FALSE)+1),IF(E273,-1,1)))</f>
        <v>#N/A</v>
      </c>
      <c r="G268" s="89" t="e">
        <f ca="1">F267+F269*INDEX(INDEX(VimFrac,0,9*F273+VLOOKUP(F272,PlanetData,3,FALSE)+1),IF(F273,0,1)+MATCH(F270,INDEX(VimFrac,0,9*F273+VLOOKUP(F272,PlanetData,3,FALSE)+1),IF(F273,-1,1)))</f>
        <v>#N/A</v>
      </c>
      <c r="H268" s="89" t="e">
        <f ca="1">G267+G269*INDEX(INDEX(VimFrac,0,9*G273+VLOOKUP(G272,PlanetData,3,FALSE)+1),IF(G273,0,1)+MATCH(G270,INDEX(VimFrac,0,9*G273+VLOOKUP(G272,PlanetData,3,FALSE)+1),IF(G273,-1,1)))</f>
        <v>#N/A</v>
      </c>
      <c r="J268">
        <f ca="1">J272</f>
        <v>0</v>
      </c>
      <c r="K268">
        <f>K260+1</f>
        <v>33</v>
      </c>
    </row>
    <row r="269" spans="1:11" x14ac:dyDescent="0.2">
      <c r="A269" s="90" t="s">
        <v>1152</v>
      </c>
      <c r="B269" s="91">
        <f>120*DaysInYear</f>
        <v>43830.584722221844</v>
      </c>
      <c r="C269" s="92" t="e">
        <f t="shared" ref="C269:H269" ca="1" si="64">C268-C267</f>
        <v>#N/A</v>
      </c>
      <c r="D269" s="92" t="e">
        <f t="shared" ca="1" si="64"/>
        <v>#N/A</v>
      </c>
      <c r="E269" s="92" t="e">
        <f t="shared" ca="1" si="64"/>
        <v>#N/A</v>
      </c>
      <c r="F269" s="92" t="e">
        <f t="shared" ca="1" si="64"/>
        <v>#N/A</v>
      </c>
      <c r="G269" s="92" t="e">
        <f t="shared" ca="1" si="64"/>
        <v>#N/A</v>
      </c>
      <c r="H269" s="92" t="e">
        <f t="shared" ca="1" si="64"/>
        <v>#N/A</v>
      </c>
      <c r="I269"/>
      <c r="K269">
        <f>K261</f>
        <v>0</v>
      </c>
    </row>
    <row r="270" spans="1:11" x14ac:dyDescent="0.2">
      <c r="A270" s="90" t="s">
        <v>1153</v>
      </c>
      <c r="B270" s="93">
        <f ca="1">(I272-B267)/(B268-B267)</f>
        <v>-0.51488661258669155</v>
      </c>
      <c r="C270" s="94" t="e">
        <f ca="1">(I272-C267)/(C268-C267)</f>
        <v>#N/A</v>
      </c>
      <c r="D270" s="94" t="e">
        <f ca="1">(I272-D267)/(D268-D267)</f>
        <v>#N/A</v>
      </c>
      <c r="E270" s="94" t="e">
        <f ca="1">(I272-E267)/(E268-E267)</f>
        <v>#N/A</v>
      </c>
      <c r="F270" s="94" t="e">
        <f ca="1">(I272-F267)/(F268-F267)</f>
        <v>#N/A</v>
      </c>
      <c r="G270" s="94" t="e">
        <f ca="1">(I272-G267)/(G268-G267)</f>
        <v>#N/A</v>
      </c>
      <c r="H270" s="94" t="e">
        <f ca="1">(I272-H267)/(H268-H267)</f>
        <v>#N/A</v>
      </c>
      <c r="I270"/>
      <c r="K270">
        <f>K262</f>
        <v>0</v>
      </c>
    </row>
    <row r="271" spans="1:11" x14ac:dyDescent="0.2">
      <c r="A271" s="90" t="s">
        <v>1154</v>
      </c>
      <c r="B271" s="95"/>
      <c r="C271" s="96" t="e">
        <f ca="1">MOD(VLOOKUP(B272,PlanetData,3,FALSE)+MATCH(B270,INDEX(VimFrac,,VLOOKUP(B272,PlanetData,3,FALSE)+1),1)-1,9)</f>
        <v>#N/A</v>
      </c>
      <c r="D271" s="96" t="e">
        <f ca="1">MOD(VLOOKUP(C272,PlanetData,3,FALSE)+MATCH(C270,INDEX(VimFrac,0,9*C273+VLOOKUP(C272,PlanetData,3,FALSE)+1),IF(C273,-1,1))-1,9)</f>
        <v>#N/A</v>
      </c>
      <c r="E271" s="96" t="e">
        <f ca="1">MOD(VLOOKUP(D272,PlanetData,3,FALSE)+MATCH(D270,INDEX(VimFrac,0,9*D273+VLOOKUP(D272,PlanetData,3,FALSE)+1),IF(D273,-1,1))-1,9)</f>
        <v>#N/A</v>
      </c>
      <c r="F271" s="96" t="e">
        <f ca="1">MOD(VLOOKUP(E272,PlanetData,3,FALSE)+MATCH(E270,INDEX(VimFrac,0,9*E273+VLOOKUP(E272,PlanetData,3,FALSE)+1),IF(E273,-1,1))-1,9)</f>
        <v>#N/A</v>
      </c>
      <c r="G271" s="96" t="e">
        <f ca="1">MOD(VLOOKUP(F272,PlanetData,3,FALSE)+MATCH(F270,INDEX(VimFrac,0,9*F273+VLOOKUP(F272,PlanetData,3,FALSE)+1),IF(F273,-1,1))-1,9)</f>
        <v>#N/A</v>
      </c>
      <c r="H271" s="96" t="e">
        <f ca="1">MOD(VLOOKUP(G272,PlanetData,3,FALSE)+MATCH(G270,INDEX(VimFrac,0,9*G273+VLOOKUP(G272,PlanetData,3,FALSE)+1),IF(G273,-1,1))-1,9)</f>
        <v>#N/A</v>
      </c>
      <c r="I271"/>
      <c r="K271">
        <f>K263</f>
        <v>0</v>
      </c>
    </row>
    <row r="272" spans="1:11" x14ac:dyDescent="0.2">
      <c r="A272" s="90" t="s">
        <v>1155</v>
      </c>
      <c r="B272" s="95" t="str">
        <f>$B$4</f>
        <v>Moon</v>
      </c>
      <c r="C272" s="96" t="e">
        <f t="shared" ref="C272:H272" ca="1" si="65">INDEX(DasaYears,IF(C271=0,9,C271),1)</f>
        <v>#N/A</v>
      </c>
      <c r="D272" s="96" t="e">
        <f t="shared" ca="1" si="65"/>
        <v>#N/A</v>
      </c>
      <c r="E272" s="96" t="e">
        <f t="shared" ca="1" si="65"/>
        <v>#N/A</v>
      </c>
      <c r="F272" s="96" t="e">
        <f t="shared" ca="1" si="65"/>
        <v>#N/A</v>
      </c>
      <c r="G272" s="96" t="e">
        <f t="shared" ca="1" si="65"/>
        <v>#N/A</v>
      </c>
      <c r="H272" s="96" t="e">
        <f t="shared" ca="1" si="65"/>
        <v>#N/A</v>
      </c>
      <c r="I272" s="97">
        <f ca="1">INDIRECT("'JHora'!$B$"&amp;($K272))</f>
        <v>0</v>
      </c>
      <c r="J272" s="97">
        <f ca="1">INDIRECT("'JHora'!$C$"&amp;($K272))</f>
        <v>0</v>
      </c>
      <c r="K272">
        <f>K264+1</f>
        <v>33</v>
      </c>
    </row>
    <row r="273" spans="1:11" x14ac:dyDescent="0.2">
      <c r="A273" s="90" t="s">
        <v>1139</v>
      </c>
      <c r="B273" s="91" t="b">
        <f>$B$7</f>
        <v>1</v>
      </c>
      <c r="C273" s="96" t="e">
        <f ca="1">IF(VLOOKUP(C272,ChartInfo,11,FALSE),1,0)*B273</f>
        <v>#N/A</v>
      </c>
      <c r="D273" s="96" t="e">
        <f ca="1">IF(VLOOKUP(D272,ChartInfo,11,FALSE),1,0)*B273</f>
        <v>#N/A</v>
      </c>
      <c r="E273" s="96" t="e">
        <f ca="1">IF(VLOOKUP(E272,ChartInfo,11,FALSE),1,0)*B273</f>
        <v>#N/A</v>
      </c>
      <c r="F273" s="96" t="e">
        <f ca="1">IF(VLOOKUP(F272,ChartInfo,11,FALSE),1,0)*B273</f>
        <v>#N/A</v>
      </c>
      <c r="G273" s="96" t="e">
        <f ca="1">IF(VLOOKUP(G272,ChartInfo,11,FALSE),1,0)*B273</f>
        <v>#N/A</v>
      </c>
      <c r="H273" s="96" t="e">
        <f ca="1">IF(VLOOKUP(H272,ChartInfo,11,FALSE),1,0)*B273</f>
        <v>#N/A</v>
      </c>
      <c r="I273" s="99"/>
      <c r="K273">
        <f>K265</f>
        <v>0</v>
      </c>
    </row>
    <row r="274" spans="1:11" x14ac:dyDescent="0.2">
      <c r="K274">
        <f>K266+1</f>
        <v>33</v>
      </c>
    </row>
    <row r="275" spans="1:11" x14ac:dyDescent="0.2">
      <c r="A275" s="87" t="s">
        <v>1150</v>
      </c>
      <c r="B275" s="88">
        <f>DoB-$E$6*DaysInYear</f>
        <v>22567.7812953188</v>
      </c>
      <c r="C275" s="89" t="e">
        <f ca="1">B275+B277*INDEX(INDEX(VimFrac,,VLOOKUP(B280,PlanetData,3,FALSE)+1),MATCH(B278,INDEX(VimFrac,,VLOOKUP(B280,PlanetData,3,FALSE)+1),1))</f>
        <v>#N/A</v>
      </c>
      <c r="D275" s="89" t="e">
        <f ca="1">C275+C277*INDEX(INDEX(VimFrac,0,9*C281+VLOOKUP(C280,PlanetData,3,FALSE)+1),IF(C281,1,0)+MATCH(C278,INDEX(VimFrac,0,9*C281+VLOOKUP(C280,PlanetData,3,FALSE)+1),IF(C281,-1,1)))</f>
        <v>#N/A</v>
      </c>
      <c r="E275" s="89" t="e">
        <f ca="1">D275+D277*INDEX(INDEX(VimFrac,0,9*D281+VLOOKUP(D280,PlanetData,3,FALSE)+1),IF(D281,1,0)+MATCH(D278,INDEX(VimFrac,0,9*D281+VLOOKUP(D280,PlanetData,3,FALSE)+1),IF(D281,-1,1)))</f>
        <v>#N/A</v>
      </c>
      <c r="F275" s="89" t="e">
        <f ca="1">E275+E277*INDEX(INDEX(VimFrac,0,9*E281+VLOOKUP(E280,PlanetData,3,FALSE)+1),IF(E281,1,0)+MATCH(E278,INDEX(VimFrac,0,9*E281+VLOOKUP(E280,PlanetData,3,FALSE)+1),IF(E281,-1,1)))</f>
        <v>#N/A</v>
      </c>
      <c r="G275" s="89" t="e">
        <f ca="1">F275+F277*INDEX(INDEX(VimFrac,0,9*F281+VLOOKUP(F280,PlanetData,3,FALSE)+1),IF(F281,1,0)+MATCH(F278,INDEX(VimFrac,0,9*F281+VLOOKUP(F280,PlanetData,3,FALSE)+1),IF(F281,-1,1)))</f>
        <v>#N/A</v>
      </c>
      <c r="H275" s="89" t="e">
        <f ca="1">G275+G277*INDEX(INDEX(VimFrac,0,9*G281+VLOOKUP(G280,PlanetData,3,FALSE)+1),IF(G281,1,0)+MATCH(G278,INDEX(VimFrac,0,9*G281+VLOOKUP(G280,PlanetData,3,FALSE)+1),IF(G281,-1,1)))</f>
        <v>#N/A</v>
      </c>
      <c r="J275">
        <f ca="1">J280</f>
        <v>0</v>
      </c>
      <c r="K275">
        <f>K267+1</f>
        <v>34</v>
      </c>
    </row>
    <row r="276" spans="1:11" x14ac:dyDescent="0.2">
      <c r="A276" s="87" t="s">
        <v>1151</v>
      </c>
      <c r="B276" s="88">
        <f>B275+B277</f>
        <v>66398.36601754064</v>
      </c>
      <c r="C276" s="89" t="e">
        <f ca="1">B275+B277*INDEX(INDEX(VimFrac,,VLOOKUP(B280,PlanetData,3,FALSE)+1),MATCH(B278,INDEX(VimFrac,,VLOOKUP(B280,PlanetData,3,FALSE)+1),1)+1)</f>
        <v>#N/A</v>
      </c>
      <c r="D276" s="89" t="e">
        <f ca="1">C275+C277*INDEX(INDEX(VimFrac,0,9*C281+VLOOKUP(C280,PlanetData,3,FALSE)+1),IF(C281,0,1)+MATCH(C278,INDEX(VimFrac,0,9*C281+VLOOKUP(C280,PlanetData,3,FALSE)+1),IF(C281,-1,1)))</f>
        <v>#N/A</v>
      </c>
      <c r="E276" s="89" t="e">
        <f ca="1">D275+D277*INDEX(INDEX(VimFrac,0,9*D281+VLOOKUP(D280,PlanetData,3,FALSE)+1),IF(D281,0,1)+MATCH(D278,INDEX(VimFrac,0,9*D281+VLOOKUP(D280,PlanetData,3,FALSE)+1),IF(D281,-1,1)))</f>
        <v>#N/A</v>
      </c>
      <c r="F276" s="89" t="e">
        <f ca="1">E275+E277*INDEX(INDEX(VimFrac,0,9*E281+VLOOKUP(E280,PlanetData,3,FALSE)+1),IF(E281,0,1)+MATCH(E278,INDEX(VimFrac,0,9*E281+VLOOKUP(E280,PlanetData,3,FALSE)+1),IF(E281,-1,1)))</f>
        <v>#N/A</v>
      </c>
      <c r="G276" s="89" t="e">
        <f ca="1">F275+F277*INDEX(INDEX(VimFrac,0,9*F281+VLOOKUP(F280,PlanetData,3,FALSE)+1),IF(F281,0,1)+MATCH(F278,INDEX(VimFrac,0,9*F281+VLOOKUP(F280,PlanetData,3,FALSE)+1),IF(F281,-1,1)))</f>
        <v>#N/A</v>
      </c>
      <c r="H276" s="89" t="e">
        <f ca="1">G275+G277*INDEX(INDEX(VimFrac,0,9*G281+VLOOKUP(G280,PlanetData,3,FALSE)+1),IF(G281,0,1)+MATCH(G278,INDEX(VimFrac,0,9*G281+VLOOKUP(G280,PlanetData,3,FALSE)+1),IF(G281,-1,1)))</f>
        <v>#N/A</v>
      </c>
      <c r="J276">
        <f ca="1">J280</f>
        <v>0</v>
      </c>
      <c r="K276">
        <f>K268+1</f>
        <v>34</v>
      </c>
    </row>
    <row r="277" spans="1:11" x14ac:dyDescent="0.2">
      <c r="A277" s="90" t="s">
        <v>1152</v>
      </c>
      <c r="B277" s="91">
        <f>120*DaysInYear</f>
        <v>43830.584722221844</v>
      </c>
      <c r="C277" s="92" t="e">
        <f t="shared" ref="C277:H277" ca="1" si="66">C276-C275</f>
        <v>#N/A</v>
      </c>
      <c r="D277" s="92" t="e">
        <f t="shared" ca="1" si="66"/>
        <v>#N/A</v>
      </c>
      <c r="E277" s="92" t="e">
        <f t="shared" ca="1" si="66"/>
        <v>#N/A</v>
      </c>
      <c r="F277" s="92" t="e">
        <f t="shared" ca="1" si="66"/>
        <v>#N/A</v>
      </c>
      <c r="G277" s="92" t="e">
        <f t="shared" ca="1" si="66"/>
        <v>#N/A</v>
      </c>
      <c r="H277" s="92" t="e">
        <f t="shared" ca="1" si="66"/>
        <v>#N/A</v>
      </c>
      <c r="I277"/>
      <c r="K277">
        <f>K269</f>
        <v>0</v>
      </c>
    </row>
    <row r="278" spans="1:11" x14ac:dyDescent="0.2">
      <c r="A278" s="90" t="s">
        <v>1153</v>
      </c>
      <c r="B278" s="93">
        <f ca="1">(I280-B275)/(B276-B275)</f>
        <v>-0.51488661258669155</v>
      </c>
      <c r="C278" s="94" t="e">
        <f ca="1">(I280-C275)/(C276-C275)</f>
        <v>#N/A</v>
      </c>
      <c r="D278" s="94" t="e">
        <f ca="1">(I280-D275)/(D276-D275)</f>
        <v>#N/A</v>
      </c>
      <c r="E278" s="94" t="e">
        <f ca="1">(I280-E275)/(E276-E275)</f>
        <v>#N/A</v>
      </c>
      <c r="F278" s="94" t="e">
        <f ca="1">(I280-F275)/(F276-F275)</f>
        <v>#N/A</v>
      </c>
      <c r="G278" s="94" t="e">
        <f ca="1">(I280-G275)/(G276-G275)</f>
        <v>#N/A</v>
      </c>
      <c r="H278" s="94" t="e">
        <f ca="1">(I280-H275)/(H276-H275)</f>
        <v>#N/A</v>
      </c>
      <c r="I278"/>
      <c r="K278">
        <f>K270</f>
        <v>0</v>
      </c>
    </row>
    <row r="279" spans="1:11" x14ac:dyDescent="0.2">
      <c r="A279" s="90" t="s">
        <v>1154</v>
      </c>
      <c r="B279" s="95"/>
      <c r="C279" s="96" t="e">
        <f ca="1">MOD(VLOOKUP(B280,PlanetData,3,FALSE)+MATCH(B278,INDEX(VimFrac,,VLOOKUP(B280,PlanetData,3,FALSE)+1),1)-1,9)</f>
        <v>#N/A</v>
      </c>
      <c r="D279" s="96" t="e">
        <f ca="1">MOD(VLOOKUP(C280,PlanetData,3,FALSE)+MATCH(C278,INDEX(VimFrac,0,9*C281+VLOOKUP(C280,PlanetData,3,FALSE)+1),IF(C281,-1,1))-1,9)</f>
        <v>#N/A</v>
      </c>
      <c r="E279" s="96" t="e">
        <f ca="1">MOD(VLOOKUP(D280,PlanetData,3,FALSE)+MATCH(D278,INDEX(VimFrac,0,9*D281+VLOOKUP(D280,PlanetData,3,FALSE)+1),IF(D281,-1,1))-1,9)</f>
        <v>#N/A</v>
      </c>
      <c r="F279" s="96" t="e">
        <f ca="1">MOD(VLOOKUP(E280,PlanetData,3,FALSE)+MATCH(E278,INDEX(VimFrac,0,9*E281+VLOOKUP(E280,PlanetData,3,FALSE)+1),IF(E281,-1,1))-1,9)</f>
        <v>#N/A</v>
      </c>
      <c r="G279" s="96" t="e">
        <f ca="1">MOD(VLOOKUP(F280,PlanetData,3,FALSE)+MATCH(F278,INDEX(VimFrac,0,9*F281+VLOOKUP(F280,PlanetData,3,FALSE)+1),IF(F281,-1,1))-1,9)</f>
        <v>#N/A</v>
      </c>
      <c r="H279" s="96" t="e">
        <f ca="1">MOD(VLOOKUP(G280,PlanetData,3,FALSE)+MATCH(G278,INDEX(VimFrac,0,9*G281+VLOOKUP(G280,PlanetData,3,FALSE)+1),IF(G281,-1,1))-1,9)</f>
        <v>#N/A</v>
      </c>
      <c r="I279"/>
      <c r="K279">
        <f>K271</f>
        <v>0</v>
      </c>
    </row>
    <row r="280" spans="1:11" x14ac:dyDescent="0.2">
      <c r="A280" s="90" t="s">
        <v>1155</v>
      </c>
      <c r="B280" s="95" t="str">
        <f>$B$4</f>
        <v>Moon</v>
      </c>
      <c r="C280" s="96" t="e">
        <f t="shared" ref="C280:H280" ca="1" si="67">INDEX(DasaYears,IF(C279=0,9,C279),1)</f>
        <v>#N/A</v>
      </c>
      <c r="D280" s="96" t="e">
        <f t="shared" ca="1" si="67"/>
        <v>#N/A</v>
      </c>
      <c r="E280" s="96" t="e">
        <f t="shared" ca="1" si="67"/>
        <v>#N/A</v>
      </c>
      <c r="F280" s="96" t="e">
        <f t="shared" ca="1" si="67"/>
        <v>#N/A</v>
      </c>
      <c r="G280" s="96" t="e">
        <f t="shared" ca="1" si="67"/>
        <v>#N/A</v>
      </c>
      <c r="H280" s="96" t="e">
        <f t="shared" ca="1" si="67"/>
        <v>#N/A</v>
      </c>
      <c r="I280" s="97">
        <f ca="1">INDIRECT("'JHora'!$B$"&amp;($K280))</f>
        <v>0</v>
      </c>
      <c r="J280" s="97">
        <f ca="1">INDIRECT("'JHora'!$C$"&amp;($K280))</f>
        <v>0</v>
      </c>
      <c r="K280">
        <f>K272+1</f>
        <v>34</v>
      </c>
    </row>
    <row r="281" spans="1:11" x14ac:dyDescent="0.2">
      <c r="A281" s="90" t="s">
        <v>1139</v>
      </c>
      <c r="B281" s="91" t="b">
        <f>$B$7</f>
        <v>1</v>
      </c>
      <c r="C281" s="96" t="e">
        <f ca="1">IF(VLOOKUP(C280,ChartInfo,11,FALSE),1,0)*B281</f>
        <v>#N/A</v>
      </c>
      <c r="D281" s="96" t="e">
        <f ca="1">IF(VLOOKUP(D280,ChartInfo,11,FALSE),1,0)*B281</f>
        <v>#N/A</v>
      </c>
      <c r="E281" s="96" t="e">
        <f ca="1">IF(VLOOKUP(E280,ChartInfo,11,FALSE),1,0)*B281</f>
        <v>#N/A</v>
      </c>
      <c r="F281" s="96" t="e">
        <f ca="1">IF(VLOOKUP(F280,ChartInfo,11,FALSE),1,0)*B281</f>
        <v>#N/A</v>
      </c>
      <c r="G281" s="96" t="e">
        <f ca="1">IF(VLOOKUP(G280,ChartInfo,11,FALSE),1,0)*B281</f>
        <v>#N/A</v>
      </c>
      <c r="H281" s="96" t="e">
        <f ca="1">IF(VLOOKUP(H280,ChartInfo,11,FALSE),1,0)*B281</f>
        <v>#N/A</v>
      </c>
      <c r="I281" s="99"/>
      <c r="K281">
        <f>K273</f>
        <v>0</v>
      </c>
    </row>
    <row r="282" spans="1:11" x14ac:dyDescent="0.2">
      <c r="K282">
        <f>K274+1</f>
        <v>34</v>
      </c>
    </row>
    <row r="283" spans="1:11" x14ac:dyDescent="0.2">
      <c r="A283" s="87" t="s">
        <v>1150</v>
      </c>
      <c r="B283" s="88">
        <f>DoB-$E$6*DaysInYear</f>
        <v>22567.7812953188</v>
      </c>
      <c r="C283" s="89" t="e">
        <f ca="1">B283+B285*INDEX(INDEX(VimFrac,,VLOOKUP(B288,PlanetData,3,FALSE)+1),MATCH(B286,INDEX(VimFrac,,VLOOKUP(B288,PlanetData,3,FALSE)+1),1))</f>
        <v>#N/A</v>
      </c>
      <c r="D283" s="89" t="e">
        <f ca="1">C283+C285*INDEX(INDEX(VimFrac,0,9*C289+VLOOKUP(C288,PlanetData,3,FALSE)+1),IF(C289,1,0)+MATCH(C286,INDEX(VimFrac,0,9*C289+VLOOKUP(C288,PlanetData,3,FALSE)+1),IF(C289,-1,1)))</f>
        <v>#N/A</v>
      </c>
      <c r="E283" s="89" t="e">
        <f ca="1">D283+D285*INDEX(INDEX(VimFrac,0,9*D289+VLOOKUP(D288,PlanetData,3,FALSE)+1),IF(D289,1,0)+MATCH(D286,INDEX(VimFrac,0,9*D289+VLOOKUP(D288,PlanetData,3,FALSE)+1),IF(D289,-1,1)))</f>
        <v>#N/A</v>
      </c>
      <c r="F283" s="89" t="e">
        <f ca="1">E283+E285*INDEX(INDEX(VimFrac,0,9*E289+VLOOKUP(E288,PlanetData,3,FALSE)+1),IF(E289,1,0)+MATCH(E286,INDEX(VimFrac,0,9*E289+VLOOKUP(E288,PlanetData,3,FALSE)+1),IF(E289,-1,1)))</f>
        <v>#N/A</v>
      </c>
      <c r="G283" s="89" t="e">
        <f ca="1">F283+F285*INDEX(INDEX(VimFrac,0,9*F289+VLOOKUP(F288,PlanetData,3,FALSE)+1),IF(F289,1,0)+MATCH(F286,INDEX(VimFrac,0,9*F289+VLOOKUP(F288,PlanetData,3,FALSE)+1),IF(F289,-1,1)))</f>
        <v>#N/A</v>
      </c>
      <c r="H283" s="89" t="e">
        <f ca="1">G283+G285*INDEX(INDEX(VimFrac,0,9*G289+VLOOKUP(G288,PlanetData,3,FALSE)+1),IF(G289,1,0)+MATCH(G286,INDEX(VimFrac,0,9*G289+VLOOKUP(G288,PlanetData,3,FALSE)+1),IF(G289,-1,1)))</f>
        <v>#N/A</v>
      </c>
      <c r="J283">
        <f ca="1">J288</f>
        <v>0</v>
      </c>
      <c r="K283">
        <f>K275+1</f>
        <v>35</v>
      </c>
    </row>
    <row r="284" spans="1:11" x14ac:dyDescent="0.2">
      <c r="A284" s="87" t="s">
        <v>1151</v>
      </c>
      <c r="B284" s="88">
        <f>B283+B285</f>
        <v>66398.36601754064</v>
      </c>
      <c r="C284" s="89" t="e">
        <f ca="1">B283+B285*INDEX(INDEX(VimFrac,,VLOOKUP(B288,PlanetData,3,FALSE)+1),MATCH(B286,INDEX(VimFrac,,VLOOKUP(B288,PlanetData,3,FALSE)+1),1)+1)</f>
        <v>#N/A</v>
      </c>
      <c r="D284" s="89" t="e">
        <f ca="1">C283+C285*INDEX(INDEX(VimFrac,0,9*C289+VLOOKUP(C288,PlanetData,3,FALSE)+1),IF(C289,0,1)+MATCH(C286,INDEX(VimFrac,0,9*C289+VLOOKUP(C288,PlanetData,3,FALSE)+1),IF(C289,-1,1)))</f>
        <v>#N/A</v>
      </c>
      <c r="E284" s="89" t="e">
        <f ca="1">D283+D285*INDEX(INDEX(VimFrac,0,9*D289+VLOOKUP(D288,PlanetData,3,FALSE)+1),IF(D289,0,1)+MATCH(D286,INDEX(VimFrac,0,9*D289+VLOOKUP(D288,PlanetData,3,FALSE)+1),IF(D289,-1,1)))</f>
        <v>#N/A</v>
      </c>
      <c r="F284" s="89" t="e">
        <f ca="1">E283+E285*INDEX(INDEX(VimFrac,0,9*E289+VLOOKUP(E288,PlanetData,3,FALSE)+1),IF(E289,0,1)+MATCH(E286,INDEX(VimFrac,0,9*E289+VLOOKUP(E288,PlanetData,3,FALSE)+1),IF(E289,-1,1)))</f>
        <v>#N/A</v>
      </c>
      <c r="G284" s="89" t="e">
        <f ca="1">F283+F285*INDEX(INDEX(VimFrac,0,9*F289+VLOOKUP(F288,PlanetData,3,FALSE)+1),IF(F289,0,1)+MATCH(F286,INDEX(VimFrac,0,9*F289+VLOOKUP(F288,PlanetData,3,FALSE)+1),IF(F289,-1,1)))</f>
        <v>#N/A</v>
      </c>
      <c r="H284" s="89" t="e">
        <f ca="1">G283+G285*INDEX(INDEX(VimFrac,0,9*G289+VLOOKUP(G288,PlanetData,3,FALSE)+1),IF(G289,0,1)+MATCH(G286,INDEX(VimFrac,0,9*G289+VLOOKUP(G288,PlanetData,3,FALSE)+1),IF(G289,-1,1)))</f>
        <v>#N/A</v>
      </c>
      <c r="J284">
        <f ca="1">J288</f>
        <v>0</v>
      </c>
      <c r="K284">
        <f>K276+1</f>
        <v>35</v>
      </c>
    </row>
    <row r="285" spans="1:11" x14ac:dyDescent="0.2">
      <c r="A285" s="90" t="s">
        <v>1152</v>
      </c>
      <c r="B285" s="91">
        <f>120*DaysInYear</f>
        <v>43830.584722221844</v>
      </c>
      <c r="C285" s="92" t="e">
        <f t="shared" ref="C285:H285" ca="1" si="68">C284-C283</f>
        <v>#N/A</v>
      </c>
      <c r="D285" s="92" t="e">
        <f t="shared" ca="1" si="68"/>
        <v>#N/A</v>
      </c>
      <c r="E285" s="92" t="e">
        <f t="shared" ca="1" si="68"/>
        <v>#N/A</v>
      </c>
      <c r="F285" s="92" t="e">
        <f t="shared" ca="1" si="68"/>
        <v>#N/A</v>
      </c>
      <c r="G285" s="92" t="e">
        <f t="shared" ca="1" si="68"/>
        <v>#N/A</v>
      </c>
      <c r="H285" s="92" t="e">
        <f t="shared" ca="1" si="68"/>
        <v>#N/A</v>
      </c>
      <c r="I285"/>
      <c r="K285">
        <f>K277</f>
        <v>0</v>
      </c>
    </row>
    <row r="286" spans="1:11" x14ac:dyDescent="0.2">
      <c r="A286" s="90" t="s">
        <v>1153</v>
      </c>
      <c r="B286" s="93">
        <f ca="1">(I288-B283)/(B284-B283)</f>
        <v>-0.51488661258669155</v>
      </c>
      <c r="C286" s="94" t="e">
        <f ca="1">(I288-C283)/(C284-C283)</f>
        <v>#N/A</v>
      </c>
      <c r="D286" s="94" t="e">
        <f ca="1">(I288-D283)/(D284-D283)</f>
        <v>#N/A</v>
      </c>
      <c r="E286" s="94" t="e">
        <f ca="1">(I288-E283)/(E284-E283)</f>
        <v>#N/A</v>
      </c>
      <c r="F286" s="94" t="e">
        <f ca="1">(I288-F283)/(F284-F283)</f>
        <v>#N/A</v>
      </c>
      <c r="G286" s="94" t="e">
        <f ca="1">(I288-G283)/(G284-G283)</f>
        <v>#N/A</v>
      </c>
      <c r="H286" s="94" t="e">
        <f ca="1">(I288-H283)/(H284-H283)</f>
        <v>#N/A</v>
      </c>
      <c r="I286"/>
      <c r="K286">
        <f>K278</f>
        <v>0</v>
      </c>
    </row>
    <row r="287" spans="1:11" x14ac:dyDescent="0.2">
      <c r="A287" s="90" t="s">
        <v>1154</v>
      </c>
      <c r="B287" s="95"/>
      <c r="C287" s="96" t="e">
        <f ca="1">MOD(VLOOKUP(B288,PlanetData,3,FALSE)+MATCH(B286,INDEX(VimFrac,,VLOOKUP(B288,PlanetData,3,FALSE)+1),1)-1,9)</f>
        <v>#N/A</v>
      </c>
      <c r="D287" s="96" t="e">
        <f ca="1">MOD(VLOOKUP(C288,PlanetData,3,FALSE)+MATCH(C286,INDEX(VimFrac,0,9*C289+VLOOKUP(C288,PlanetData,3,FALSE)+1),IF(C289,-1,1))-1,9)</f>
        <v>#N/A</v>
      </c>
      <c r="E287" s="96" t="e">
        <f ca="1">MOD(VLOOKUP(D288,PlanetData,3,FALSE)+MATCH(D286,INDEX(VimFrac,0,9*D289+VLOOKUP(D288,PlanetData,3,FALSE)+1),IF(D289,-1,1))-1,9)</f>
        <v>#N/A</v>
      </c>
      <c r="F287" s="96" t="e">
        <f ca="1">MOD(VLOOKUP(E288,PlanetData,3,FALSE)+MATCH(E286,INDEX(VimFrac,0,9*E289+VLOOKUP(E288,PlanetData,3,FALSE)+1),IF(E289,-1,1))-1,9)</f>
        <v>#N/A</v>
      </c>
      <c r="G287" s="96" t="e">
        <f ca="1">MOD(VLOOKUP(F288,PlanetData,3,FALSE)+MATCH(F286,INDEX(VimFrac,0,9*F289+VLOOKUP(F288,PlanetData,3,FALSE)+1),IF(F289,-1,1))-1,9)</f>
        <v>#N/A</v>
      </c>
      <c r="H287" s="96" t="e">
        <f ca="1">MOD(VLOOKUP(G288,PlanetData,3,FALSE)+MATCH(G286,INDEX(VimFrac,0,9*G289+VLOOKUP(G288,PlanetData,3,FALSE)+1),IF(G289,-1,1))-1,9)</f>
        <v>#N/A</v>
      </c>
      <c r="I287"/>
      <c r="K287">
        <f>K279</f>
        <v>0</v>
      </c>
    </row>
    <row r="288" spans="1:11" x14ac:dyDescent="0.2">
      <c r="A288" s="90" t="s">
        <v>1155</v>
      </c>
      <c r="B288" s="95" t="str">
        <f>$B$4</f>
        <v>Moon</v>
      </c>
      <c r="C288" s="96" t="e">
        <f t="shared" ref="C288:H288" ca="1" si="69">INDEX(DasaYears,IF(C287=0,9,C287),1)</f>
        <v>#N/A</v>
      </c>
      <c r="D288" s="96" t="e">
        <f t="shared" ca="1" si="69"/>
        <v>#N/A</v>
      </c>
      <c r="E288" s="96" t="e">
        <f t="shared" ca="1" si="69"/>
        <v>#N/A</v>
      </c>
      <c r="F288" s="96" t="e">
        <f t="shared" ca="1" si="69"/>
        <v>#N/A</v>
      </c>
      <c r="G288" s="96" t="e">
        <f t="shared" ca="1" si="69"/>
        <v>#N/A</v>
      </c>
      <c r="H288" s="96" t="e">
        <f t="shared" ca="1" si="69"/>
        <v>#N/A</v>
      </c>
      <c r="I288" s="97">
        <f ca="1">INDIRECT("'JHora'!$B$"&amp;($K288))</f>
        <v>0</v>
      </c>
      <c r="J288" s="97">
        <f ca="1">INDIRECT("'JHora'!$C$"&amp;($K288))</f>
        <v>0</v>
      </c>
      <c r="K288">
        <f>K280+1</f>
        <v>35</v>
      </c>
    </row>
    <row r="289" spans="1:11" x14ac:dyDescent="0.2">
      <c r="A289" s="90" t="s">
        <v>1139</v>
      </c>
      <c r="B289" s="91" t="b">
        <f>$B$7</f>
        <v>1</v>
      </c>
      <c r="C289" s="96" t="e">
        <f ca="1">IF(VLOOKUP(C288,ChartInfo,11,FALSE),1,0)*B289</f>
        <v>#N/A</v>
      </c>
      <c r="D289" s="96" t="e">
        <f ca="1">IF(VLOOKUP(D288,ChartInfo,11,FALSE),1,0)*B289</f>
        <v>#N/A</v>
      </c>
      <c r="E289" s="96" t="e">
        <f ca="1">IF(VLOOKUP(E288,ChartInfo,11,FALSE),1,0)*B289</f>
        <v>#N/A</v>
      </c>
      <c r="F289" s="96" t="e">
        <f ca="1">IF(VLOOKUP(F288,ChartInfo,11,FALSE),1,0)*B289</f>
        <v>#N/A</v>
      </c>
      <c r="G289" s="96" t="e">
        <f ca="1">IF(VLOOKUP(G288,ChartInfo,11,FALSE),1,0)*B289</f>
        <v>#N/A</v>
      </c>
      <c r="H289" s="96" t="e">
        <f ca="1">IF(VLOOKUP(H288,ChartInfo,11,FALSE),1,0)*B289</f>
        <v>#N/A</v>
      </c>
      <c r="I289" s="99"/>
      <c r="K289">
        <f>K281</f>
        <v>0</v>
      </c>
    </row>
    <row r="290" spans="1:11" x14ac:dyDescent="0.2">
      <c r="K290">
        <f>K282+1</f>
        <v>35</v>
      </c>
    </row>
    <row r="291" spans="1:11" x14ac:dyDescent="0.2">
      <c r="A291" s="87" t="s">
        <v>1150</v>
      </c>
      <c r="B291" s="88">
        <f>DoB-$E$6*DaysInYear</f>
        <v>22567.7812953188</v>
      </c>
      <c r="C291" s="89" t="e">
        <f ca="1">B291+B293*INDEX(INDEX(VimFrac,,VLOOKUP(B296,PlanetData,3,FALSE)+1),MATCH(B294,INDEX(VimFrac,,VLOOKUP(B296,PlanetData,3,FALSE)+1),1))</f>
        <v>#N/A</v>
      </c>
      <c r="D291" s="89" t="e">
        <f ca="1">C291+C293*INDEX(INDEX(VimFrac,0,9*C297+VLOOKUP(C296,PlanetData,3,FALSE)+1),IF(C297,1,0)+MATCH(C294,INDEX(VimFrac,0,9*C297+VLOOKUP(C296,PlanetData,3,FALSE)+1),IF(C297,-1,1)))</f>
        <v>#N/A</v>
      </c>
      <c r="E291" s="89" t="e">
        <f ca="1">D291+D293*INDEX(INDEX(VimFrac,0,9*D297+VLOOKUP(D296,PlanetData,3,FALSE)+1),IF(D297,1,0)+MATCH(D294,INDEX(VimFrac,0,9*D297+VLOOKUP(D296,PlanetData,3,FALSE)+1),IF(D297,-1,1)))</f>
        <v>#N/A</v>
      </c>
      <c r="F291" s="89" t="e">
        <f ca="1">E291+E293*INDEX(INDEX(VimFrac,0,9*E297+VLOOKUP(E296,PlanetData,3,FALSE)+1),IF(E297,1,0)+MATCH(E294,INDEX(VimFrac,0,9*E297+VLOOKUP(E296,PlanetData,3,FALSE)+1),IF(E297,-1,1)))</f>
        <v>#N/A</v>
      </c>
      <c r="G291" s="89" t="e">
        <f ca="1">F291+F293*INDEX(INDEX(VimFrac,0,9*F297+VLOOKUP(F296,PlanetData,3,FALSE)+1),IF(F297,1,0)+MATCH(F294,INDEX(VimFrac,0,9*F297+VLOOKUP(F296,PlanetData,3,FALSE)+1),IF(F297,-1,1)))</f>
        <v>#N/A</v>
      </c>
      <c r="H291" s="89" t="e">
        <f ca="1">G291+G293*INDEX(INDEX(VimFrac,0,9*G297+VLOOKUP(G296,PlanetData,3,FALSE)+1),IF(G297,1,0)+MATCH(G294,INDEX(VimFrac,0,9*G297+VLOOKUP(G296,PlanetData,3,FALSE)+1),IF(G297,-1,1)))</f>
        <v>#N/A</v>
      </c>
      <c r="J291">
        <f ca="1">J296</f>
        <v>0</v>
      </c>
      <c r="K291">
        <f>K283+1</f>
        <v>36</v>
      </c>
    </row>
    <row r="292" spans="1:11" x14ac:dyDescent="0.2">
      <c r="A292" s="87" t="s">
        <v>1151</v>
      </c>
      <c r="B292" s="88">
        <f>B291+B293</f>
        <v>66398.36601754064</v>
      </c>
      <c r="C292" s="89" t="e">
        <f ca="1">B291+B293*INDEX(INDEX(VimFrac,,VLOOKUP(B296,PlanetData,3,FALSE)+1),MATCH(B294,INDEX(VimFrac,,VLOOKUP(B296,PlanetData,3,FALSE)+1),1)+1)</f>
        <v>#N/A</v>
      </c>
      <c r="D292" s="89" t="e">
        <f ca="1">C291+C293*INDEX(INDEX(VimFrac,0,9*C297+VLOOKUP(C296,PlanetData,3,FALSE)+1),IF(C297,0,1)+MATCH(C294,INDEX(VimFrac,0,9*C297+VLOOKUP(C296,PlanetData,3,FALSE)+1),IF(C297,-1,1)))</f>
        <v>#N/A</v>
      </c>
      <c r="E292" s="89" t="e">
        <f ca="1">D291+D293*INDEX(INDEX(VimFrac,0,9*D297+VLOOKUP(D296,PlanetData,3,FALSE)+1),IF(D297,0,1)+MATCH(D294,INDEX(VimFrac,0,9*D297+VLOOKUP(D296,PlanetData,3,FALSE)+1),IF(D297,-1,1)))</f>
        <v>#N/A</v>
      </c>
      <c r="F292" s="89" t="e">
        <f ca="1">E291+E293*INDEX(INDEX(VimFrac,0,9*E297+VLOOKUP(E296,PlanetData,3,FALSE)+1),IF(E297,0,1)+MATCH(E294,INDEX(VimFrac,0,9*E297+VLOOKUP(E296,PlanetData,3,FALSE)+1),IF(E297,-1,1)))</f>
        <v>#N/A</v>
      </c>
      <c r="G292" s="89" t="e">
        <f ca="1">F291+F293*INDEX(INDEX(VimFrac,0,9*F297+VLOOKUP(F296,PlanetData,3,FALSE)+1),IF(F297,0,1)+MATCH(F294,INDEX(VimFrac,0,9*F297+VLOOKUP(F296,PlanetData,3,FALSE)+1),IF(F297,-1,1)))</f>
        <v>#N/A</v>
      </c>
      <c r="H292" s="89" t="e">
        <f ca="1">G291+G293*INDEX(INDEX(VimFrac,0,9*G297+VLOOKUP(G296,PlanetData,3,FALSE)+1),IF(G297,0,1)+MATCH(G294,INDEX(VimFrac,0,9*G297+VLOOKUP(G296,PlanetData,3,FALSE)+1),IF(G297,-1,1)))</f>
        <v>#N/A</v>
      </c>
      <c r="J292">
        <f ca="1">J296</f>
        <v>0</v>
      </c>
      <c r="K292">
        <f>K284+1</f>
        <v>36</v>
      </c>
    </row>
    <row r="293" spans="1:11" x14ac:dyDescent="0.2">
      <c r="A293" s="90" t="s">
        <v>1152</v>
      </c>
      <c r="B293" s="91">
        <f>120*DaysInYear</f>
        <v>43830.584722221844</v>
      </c>
      <c r="C293" s="92" t="e">
        <f t="shared" ref="C293:H293" ca="1" si="70">C292-C291</f>
        <v>#N/A</v>
      </c>
      <c r="D293" s="92" t="e">
        <f t="shared" ca="1" si="70"/>
        <v>#N/A</v>
      </c>
      <c r="E293" s="92" t="e">
        <f t="shared" ca="1" si="70"/>
        <v>#N/A</v>
      </c>
      <c r="F293" s="92" t="e">
        <f t="shared" ca="1" si="70"/>
        <v>#N/A</v>
      </c>
      <c r="G293" s="92" t="e">
        <f t="shared" ca="1" si="70"/>
        <v>#N/A</v>
      </c>
      <c r="H293" s="92" t="e">
        <f t="shared" ca="1" si="70"/>
        <v>#N/A</v>
      </c>
      <c r="I293"/>
      <c r="K293">
        <f>K285</f>
        <v>0</v>
      </c>
    </row>
    <row r="294" spans="1:11" x14ac:dyDescent="0.2">
      <c r="A294" s="90" t="s">
        <v>1153</v>
      </c>
      <c r="B294" s="93">
        <f ca="1">(I296-B291)/(B292-B291)</f>
        <v>-0.51488661258669155</v>
      </c>
      <c r="C294" s="94" t="e">
        <f ca="1">(I296-C291)/(C292-C291)</f>
        <v>#N/A</v>
      </c>
      <c r="D294" s="94" t="e">
        <f ca="1">(I296-D291)/(D292-D291)</f>
        <v>#N/A</v>
      </c>
      <c r="E294" s="94" t="e">
        <f ca="1">(I296-E291)/(E292-E291)</f>
        <v>#N/A</v>
      </c>
      <c r="F294" s="94" t="e">
        <f ca="1">(I296-F291)/(F292-F291)</f>
        <v>#N/A</v>
      </c>
      <c r="G294" s="94" t="e">
        <f ca="1">(I296-G291)/(G292-G291)</f>
        <v>#N/A</v>
      </c>
      <c r="H294" s="94" t="e">
        <f ca="1">(I296-H291)/(H292-H291)</f>
        <v>#N/A</v>
      </c>
      <c r="I294"/>
      <c r="K294">
        <f>K286</f>
        <v>0</v>
      </c>
    </row>
    <row r="295" spans="1:11" x14ac:dyDescent="0.2">
      <c r="A295" s="90" t="s">
        <v>1154</v>
      </c>
      <c r="B295" s="95"/>
      <c r="C295" s="96" t="e">
        <f ca="1">MOD(VLOOKUP(B296,PlanetData,3,FALSE)+MATCH(B294,INDEX(VimFrac,,VLOOKUP(B296,PlanetData,3,FALSE)+1),1)-1,9)</f>
        <v>#N/A</v>
      </c>
      <c r="D295" s="96" t="e">
        <f ca="1">MOD(VLOOKUP(C296,PlanetData,3,FALSE)+MATCH(C294,INDEX(VimFrac,0,9*C297+VLOOKUP(C296,PlanetData,3,FALSE)+1),IF(C297,-1,1))-1,9)</f>
        <v>#N/A</v>
      </c>
      <c r="E295" s="96" t="e">
        <f ca="1">MOD(VLOOKUP(D296,PlanetData,3,FALSE)+MATCH(D294,INDEX(VimFrac,0,9*D297+VLOOKUP(D296,PlanetData,3,FALSE)+1),IF(D297,-1,1))-1,9)</f>
        <v>#N/A</v>
      </c>
      <c r="F295" s="96" t="e">
        <f ca="1">MOD(VLOOKUP(E296,PlanetData,3,FALSE)+MATCH(E294,INDEX(VimFrac,0,9*E297+VLOOKUP(E296,PlanetData,3,FALSE)+1),IF(E297,-1,1))-1,9)</f>
        <v>#N/A</v>
      </c>
      <c r="G295" s="96" t="e">
        <f ca="1">MOD(VLOOKUP(F296,PlanetData,3,FALSE)+MATCH(F294,INDEX(VimFrac,0,9*F297+VLOOKUP(F296,PlanetData,3,FALSE)+1),IF(F297,-1,1))-1,9)</f>
        <v>#N/A</v>
      </c>
      <c r="H295" s="96" t="e">
        <f ca="1">MOD(VLOOKUP(G296,PlanetData,3,FALSE)+MATCH(G294,INDEX(VimFrac,0,9*G297+VLOOKUP(G296,PlanetData,3,FALSE)+1),IF(G297,-1,1))-1,9)</f>
        <v>#N/A</v>
      </c>
      <c r="I295"/>
      <c r="K295">
        <f>K287</f>
        <v>0</v>
      </c>
    </row>
    <row r="296" spans="1:11" x14ac:dyDescent="0.2">
      <c r="A296" s="90" t="s">
        <v>1155</v>
      </c>
      <c r="B296" s="95" t="str">
        <f>$B$4</f>
        <v>Moon</v>
      </c>
      <c r="C296" s="96" t="e">
        <f t="shared" ref="C296:H296" ca="1" si="71">INDEX(DasaYears,IF(C295=0,9,C295),1)</f>
        <v>#N/A</v>
      </c>
      <c r="D296" s="96" t="e">
        <f t="shared" ca="1" si="71"/>
        <v>#N/A</v>
      </c>
      <c r="E296" s="96" t="e">
        <f t="shared" ca="1" si="71"/>
        <v>#N/A</v>
      </c>
      <c r="F296" s="96" t="e">
        <f t="shared" ca="1" si="71"/>
        <v>#N/A</v>
      </c>
      <c r="G296" s="96" t="e">
        <f t="shared" ca="1" si="71"/>
        <v>#N/A</v>
      </c>
      <c r="H296" s="96" t="e">
        <f t="shared" ca="1" si="71"/>
        <v>#N/A</v>
      </c>
      <c r="I296" s="97">
        <f ca="1">INDIRECT("'JHora'!$B$"&amp;($K296))</f>
        <v>0</v>
      </c>
      <c r="J296" s="97">
        <f ca="1">INDIRECT("'JHora'!$C$"&amp;($K296))</f>
        <v>0</v>
      </c>
      <c r="K296">
        <f>K288+1</f>
        <v>36</v>
      </c>
    </row>
    <row r="297" spans="1:11" x14ac:dyDescent="0.2">
      <c r="A297" s="90" t="s">
        <v>1139</v>
      </c>
      <c r="B297" s="91" t="b">
        <f>$B$7</f>
        <v>1</v>
      </c>
      <c r="C297" s="96" t="e">
        <f ca="1">IF(VLOOKUP(C296,ChartInfo,11,FALSE),1,0)*B297</f>
        <v>#N/A</v>
      </c>
      <c r="D297" s="96" t="e">
        <f ca="1">IF(VLOOKUP(D296,ChartInfo,11,FALSE),1,0)*B297</f>
        <v>#N/A</v>
      </c>
      <c r="E297" s="96" t="e">
        <f ca="1">IF(VLOOKUP(E296,ChartInfo,11,FALSE),1,0)*B297</f>
        <v>#N/A</v>
      </c>
      <c r="F297" s="96" t="e">
        <f ca="1">IF(VLOOKUP(F296,ChartInfo,11,FALSE),1,0)*B297</f>
        <v>#N/A</v>
      </c>
      <c r="G297" s="96" t="e">
        <f ca="1">IF(VLOOKUP(G296,ChartInfo,11,FALSE),1,0)*B297</f>
        <v>#N/A</v>
      </c>
      <c r="H297" s="96" t="e">
        <f ca="1">IF(VLOOKUP(H296,ChartInfo,11,FALSE),1,0)*B297</f>
        <v>#N/A</v>
      </c>
      <c r="I297" s="99"/>
      <c r="K297">
        <f>K289</f>
        <v>0</v>
      </c>
    </row>
    <row r="298" spans="1:11" x14ac:dyDescent="0.2">
      <c r="K298">
        <f>K290+1</f>
        <v>36</v>
      </c>
    </row>
    <row r="299" spans="1:11" x14ac:dyDescent="0.2">
      <c r="A299" s="87" t="s">
        <v>1150</v>
      </c>
      <c r="B299" s="88">
        <f>DoB-$E$6*DaysInYear</f>
        <v>22567.7812953188</v>
      </c>
      <c r="C299" s="89" t="e">
        <f ca="1">B299+B301*INDEX(INDEX(VimFrac,,VLOOKUP(B304,PlanetData,3,FALSE)+1),MATCH(B302,INDEX(VimFrac,,VLOOKUP(B304,PlanetData,3,FALSE)+1),1))</f>
        <v>#N/A</v>
      </c>
      <c r="D299" s="89" t="e">
        <f ca="1">C299+C301*INDEX(INDEX(VimFrac,0,9*C305+VLOOKUP(C304,PlanetData,3,FALSE)+1),IF(C305,1,0)+MATCH(C302,INDEX(VimFrac,0,9*C305+VLOOKUP(C304,PlanetData,3,FALSE)+1),IF(C305,-1,1)))</f>
        <v>#N/A</v>
      </c>
      <c r="E299" s="89" t="e">
        <f ca="1">D299+D301*INDEX(INDEX(VimFrac,0,9*D305+VLOOKUP(D304,PlanetData,3,FALSE)+1),IF(D305,1,0)+MATCH(D302,INDEX(VimFrac,0,9*D305+VLOOKUP(D304,PlanetData,3,FALSE)+1),IF(D305,-1,1)))</f>
        <v>#N/A</v>
      </c>
      <c r="F299" s="89" t="e">
        <f ca="1">E299+E301*INDEX(INDEX(VimFrac,0,9*E305+VLOOKUP(E304,PlanetData,3,FALSE)+1),IF(E305,1,0)+MATCH(E302,INDEX(VimFrac,0,9*E305+VLOOKUP(E304,PlanetData,3,FALSE)+1),IF(E305,-1,1)))</f>
        <v>#N/A</v>
      </c>
      <c r="G299" s="89" t="e">
        <f ca="1">F299+F301*INDEX(INDEX(VimFrac,0,9*F305+VLOOKUP(F304,PlanetData,3,FALSE)+1),IF(F305,1,0)+MATCH(F302,INDEX(VimFrac,0,9*F305+VLOOKUP(F304,PlanetData,3,FALSE)+1),IF(F305,-1,1)))</f>
        <v>#N/A</v>
      </c>
      <c r="H299" s="89" t="e">
        <f ca="1">G299+G301*INDEX(INDEX(VimFrac,0,9*G305+VLOOKUP(G304,PlanetData,3,FALSE)+1),IF(G305,1,0)+MATCH(G302,INDEX(VimFrac,0,9*G305+VLOOKUP(G304,PlanetData,3,FALSE)+1),IF(G305,-1,1)))</f>
        <v>#N/A</v>
      </c>
      <c r="J299">
        <f ca="1">J304</f>
        <v>0</v>
      </c>
      <c r="K299">
        <f>K291+1</f>
        <v>37</v>
      </c>
    </row>
    <row r="300" spans="1:11" x14ac:dyDescent="0.2">
      <c r="A300" s="87" t="s">
        <v>1151</v>
      </c>
      <c r="B300" s="88">
        <f>B299+B301</f>
        <v>66398.36601754064</v>
      </c>
      <c r="C300" s="89" t="e">
        <f ca="1">B299+B301*INDEX(INDEX(VimFrac,,VLOOKUP(B304,PlanetData,3,FALSE)+1),MATCH(B302,INDEX(VimFrac,,VLOOKUP(B304,PlanetData,3,FALSE)+1),1)+1)</f>
        <v>#N/A</v>
      </c>
      <c r="D300" s="89" t="e">
        <f ca="1">C299+C301*INDEX(INDEX(VimFrac,0,9*C305+VLOOKUP(C304,PlanetData,3,FALSE)+1),IF(C305,0,1)+MATCH(C302,INDEX(VimFrac,0,9*C305+VLOOKUP(C304,PlanetData,3,FALSE)+1),IF(C305,-1,1)))</f>
        <v>#N/A</v>
      </c>
      <c r="E300" s="89" t="e">
        <f ca="1">D299+D301*INDEX(INDEX(VimFrac,0,9*D305+VLOOKUP(D304,PlanetData,3,FALSE)+1),IF(D305,0,1)+MATCH(D302,INDEX(VimFrac,0,9*D305+VLOOKUP(D304,PlanetData,3,FALSE)+1),IF(D305,-1,1)))</f>
        <v>#N/A</v>
      </c>
      <c r="F300" s="89" t="e">
        <f ca="1">E299+E301*INDEX(INDEX(VimFrac,0,9*E305+VLOOKUP(E304,PlanetData,3,FALSE)+1),IF(E305,0,1)+MATCH(E302,INDEX(VimFrac,0,9*E305+VLOOKUP(E304,PlanetData,3,FALSE)+1),IF(E305,-1,1)))</f>
        <v>#N/A</v>
      </c>
      <c r="G300" s="89" t="e">
        <f ca="1">F299+F301*INDEX(INDEX(VimFrac,0,9*F305+VLOOKUP(F304,PlanetData,3,FALSE)+1),IF(F305,0,1)+MATCH(F302,INDEX(VimFrac,0,9*F305+VLOOKUP(F304,PlanetData,3,FALSE)+1),IF(F305,-1,1)))</f>
        <v>#N/A</v>
      </c>
      <c r="H300" s="89" t="e">
        <f ca="1">G299+G301*INDEX(INDEX(VimFrac,0,9*G305+VLOOKUP(G304,PlanetData,3,FALSE)+1),IF(G305,0,1)+MATCH(G302,INDEX(VimFrac,0,9*G305+VLOOKUP(G304,PlanetData,3,FALSE)+1),IF(G305,-1,1)))</f>
        <v>#N/A</v>
      </c>
      <c r="J300">
        <f ca="1">J304</f>
        <v>0</v>
      </c>
      <c r="K300">
        <f>K292+1</f>
        <v>37</v>
      </c>
    </row>
    <row r="301" spans="1:11" x14ac:dyDescent="0.2">
      <c r="A301" s="90" t="s">
        <v>1152</v>
      </c>
      <c r="B301" s="91">
        <f>120*DaysInYear</f>
        <v>43830.584722221844</v>
      </c>
      <c r="C301" s="92" t="e">
        <f t="shared" ref="C301:H301" ca="1" si="72">C300-C299</f>
        <v>#N/A</v>
      </c>
      <c r="D301" s="92" t="e">
        <f t="shared" ca="1" si="72"/>
        <v>#N/A</v>
      </c>
      <c r="E301" s="92" t="e">
        <f t="shared" ca="1" si="72"/>
        <v>#N/A</v>
      </c>
      <c r="F301" s="92" t="e">
        <f t="shared" ca="1" si="72"/>
        <v>#N/A</v>
      </c>
      <c r="G301" s="92" t="e">
        <f t="shared" ca="1" si="72"/>
        <v>#N/A</v>
      </c>
      <c r="H301" s="92" t="e">
        <f t="shared" ca="1" si="72"/>
        <v>#N/A</v>
      </c>
      <c r="I301"/>
      <c r="K301">
        <f>K293</f>
        <v>0</v>
      </c>
    </row>
    <row r="302" spans="1:11" x14ac:dyDescent="0.2">
      <c r="A302" s="90" t="s">
        <v>1153</v>
      </c>
      <c r="B302" s="93">
        <f ca="1">(I304-B299)/(B300-B299)</f>
        <v>-0.51488661258669155</v>
      </c>
      <c r="C302" s="94" t="e">
        <f ca="1">(I304-C299)/(C300-C299)</f>
        <v>#N/A</v>
      </c>
      <c r="D302" s="94" t="e">
        <f ca="1">(I304-D299)/(D300-D299)</f>
        <v>#N/A</v>
      </c>
      <c r="E302" s="94" t="e">
        <f ca="1">(I304-E299)/(E300-E299)</f>
        <v>#N/A</v>
      </c>
      <c r="F302" s="94" t="e">
        <f ca="1">(I304-F299)/(F300-F299)</f>
        <v>#N/A</v>
      </c>
      <c r="G302" s="94" t="e">
        <f ca="1">(I304-G299)/(G300-G299)</f>
        <v>#N/A</v>
      </c>
      <c r="H302" s="94" t="e">
        <f ca="1">(I304-H299)/(H300-H299)</f>
        <v>#N/A</v>
      </c>
      <c r="I302"/>
      <c r="K302">
        <f>K294</f>
        <v>0</v>
      </c>
    </row>
    <row r="303" spans="1:11" x14ac:dyDescent="0.2">
      <c r="A303" s="90" t="s">
        <v>1154</v>
      </c>
      <c r="B303" s="95"/>
      <c r="C303" s="96" t="e">
        <f ca="1">MOD(VLOOKUP(B304,PlanetData,3,FALSE)+MATCH(B302,INDEX(VimFrac,,VLOOKUP(B304,PlanetData,3,FALSE)+1),1)-1,9)</f>
        <v>#N/A</v>
      </c>
      <c r="D303" s="96" t="e">
        <f ca="1">MOD(VLOOKUP(C304,PlanetData,3,FALSE)+MATCH(C302,INDEX(VimFrac,0,9*C305+VLOOKUP(C304,PlanetData,3,FALSE)+1),IF(C305,-1,1))-1,9)</f>
        <v>#N/A</v>
      </c>
      <c r="E303" s="96" t="e">
        <f ca="1">MOD(VLOOKUP(D304,PlanetData,3,FALSE)+MATCH(D302,INDEX(VimFrac,0,9*D305+VLOOKUP(D304,PlanetData,3,FALSE)+1),IF(D305,-1,1))-1,9)</f>
        <v>#N/A</v>
      </c>
      <c r="F303" s="96" t="e">
        <f ca="1">MOD(VLOOKUP(E304,PlanetData,3,FALSE)+MATCH(E302,INDEX(VimFrac,0,9*E305+VLOOKUP(E304,PlanetData,3,FALSE)+1),IF(E305,-1,1))-1,9)</f>
        <v>#N/A</v>
      </c>
      <c r="G303" s="96" t="e">
        <f ca="1">MOD(VLOOKUP(F304,PlanetData,3,FALSE)+MATCH(F302,INDEX(VimFrac,0,9*F305+VLOOKUP(F304,PlanetData,3,FALSE)+1),IF(F305,-1,1))-1,9)</f>
        <v>#N/A</v>
      </c>
      <c r="H303" s="96" t="e">
        <f ca="1">MOD(VLOOKUP(G304,PlanetData,3,FALSE)+MATCH(G302,INDEX(VimFrac,0,9*G305+VLOOKUP(G304,PlanetData,3,FALSE)+1),IF(G305,-1,1))-1,9)</f>
        <v>#N/A</v>
      </c>
      <c r="I303"/>
      <c r="K303">
        <f>K295</f>
        <v>0</v>
      </c>
    </row>
    <row r="304" spans="1:11" x14ac:dyDescent="0.2">
      <c r="A304" s="90" t="s">
        <v>1155</v>
      </c>
      <c r="B304" s="95" t="str">
        <f>$B$4</f>
        <v>Moon</v>
      </c>
      <c r="C304" s="96" t="e">
        <f t="shared" ref="C304:H304" ca="1" si="73">INDEX(DasaYears,IF(C303=0,9,C303),1)</f>
        <v>#N/A</v>
      </c>
      <c r="D304" s="96" t="e">
        <f t="shared" ca="1" si="73"/>
        <v>#N/A</v>
      </c>
      <c r="E304" s="96" t="e">
        <f t="shared" ca="1" si="73"/>
        <v>#N/A</v>
      </c>
      <c r="F304" s="96" t="e">
        <f t="shared" ca="1" si="73"/>
        <v>#N/A</v>
      </c>
      <c r="G304" s="96" t="e">
        <f t="shared" ca="1" si="73"/>
        <v>#N/A</v>
      </c>
      <c r="H304" s="96" t="e">
        <f t="shared" ca="1" si="73"/>
        <v>#N/A</v>
      </c>
      <c r="I304" s="97">
        <f ca="1">INDIRECT("'JHora'!$B$"&amp;($K304))</f>
        <v>0</v>
      </c>
      <c r="J304" s="97">
        <f ca="1">INDIRECT("'JHora'!$C$"&amp;($K304))</f>
        <v>0</v>
      </c>
      <c r="K304">
        <f>K296+1</f>
        <v>37</v>
      </c>
    </row>
    <row r="305" spans="1:11" x14ac:dyDescent="0.2">
      <c r="A305" s="90" t="s">
        <v>1139</v>
      </c>
      <c r="B305" s="91" t="b">
        <f>$B$7</f>
        <v>1</v>
      </c>
      <c r="C305" s="96" t="e">
        <f ca="1">IF(VLOOKUP(C304,ChartInfo,11,FALSE),1,0)*B305</f>
        <v>#N/A</v>
      </c>
      <c r="D305" s="96" t="e">
        <f ca="1">IF(VLOOKUP(D304,ChartInfo,11,FALSE),1,0)*B305</f>
        <v>#N/A</v>
      </c>
      <c r="E305" s="96" t="e">
        <f ca="1">IF(VLOOKUP(E304,ChartInfo,11,FALSE),1,0)*B305</f>
        <v>#N/A</v>
      </c>
      <c r="F305" s="96" t="e">
        <f ca="1">IF(VLOOKUP(F304,ChartInfo,11,FALSE),1,0)*B305</f>
        <v>#N/A</v>
      </c>
      <c r="G305" s="96" t="e">
        <f ca="1">IF(VLOOKUP(G304,ChartInfo,11,FALSE),1,0)*B305</f>
        <v>#N/A</v>
      </c>
      <c r="H305" s="96" t="e">
        <f ca="1">IF(VLOOKUP(H304,ChartInfo,11,FALSE),1,0)*B305</f>
        <v>#N/A</v>
      </c>
      <c r="I305" s="99"/>
      <c r="K305">
        <f>K297</f>
        <v>0</v>
      </c>
    </row>
    <row r="306" spans="1:11" x14ac:dyDescent="0.2">
      <c r="K306">
        <f>K298+1</f>
        <v>37</v>
      </c>
    </row>
    <row r="307" spans="1:11" x14ac:dyDescent="0.2">
      <c r="A307" s="87" t="s">
        <v>1150</v>
      </c>
      <c r="B307" s="88">
        <f>DoB-$E$6*DaysInYear</f>
        <v>22567.7812953188</v>
      </c>
      <c r="C307" s="89" t="e">
        <f ca="1">B307+B309*INDEX(INDEX(VimFrac,,VLOOKUP(B312,PlanetData,3,FALSE)+1),MATCH(B310,INDEX(VimFrac,,VLOOKUP(B312,PlanetData,3,FALSE)+1),1))</f>
        <v>#N/A</v>
      </c>
      <c r="D307" s="89" t="e">
        <f ca="1">C307+C309*INDEX(INDEX(VimFrac,0,9*C313+VLOOKUP(C312,PlanetData,3,FALSE)+1),IF(C313,1,0)+MATCH(C310,INDEX(VimFrac,0,9*C313+VLOOKUP(C312,PlanetData,3,FALSE)+1),IF(C313,-1,1)))</f>
        <v>#N/A</v>
      </c>
      <c r="E307" s="89" t="e">
        <f ca="1">D307+D309*INDEX(INDEX(VimFrac,0,9*D313+VLOOKUP(D312,PlanetData,3,FALSE)+1),IF(D313,1,0)+MATCH(D310,INDEX(VimFrac,0,9*D313+VLOOKUP(D312,PlanetData,3,FALSE)+1),IF(D313,-1,1)))</f>
        <v>#N/A</v>
      </c>
      <c r="F307" s="89" t="e">
        <f ca="1">E307+E309*INDEX(INDEX(VimFrac,0,9*E313+VLOOKUP(E312,PlanetData,3,FALSE)+1),IF(E313,1,0)+MATCH(E310,INDEX(VimFrac,0,9*E313+VLOOKUP(E312,PlanetData,3,FALSE)+1),IF(E313,-1,1)))</f>
        <v>#N/A</v>
      </c>
      <c r="G307" s="89" t="e">
        <f ca="1">F307+F309*INDEX(INDEX(VimFrac,0,9*F313+VLOOKUP(F312,PlanetData,3,FALSE)+1),IF(F313,1,0)+MATCH(F310,INDEX(VimFrac,0,9*F313+VLOOKUP(F312,PlanetData,3,FALSE)+1),IF(F313,-1,1)))</f>
        <v>#N/A</v>
      </c>
      <c r="H307" s="89" t="e">
        <f ca="1">G307+G309*INDEX(INDEX(VimFrac,0,9*G313+VLOOKUP(G312,PlanetData,3,FALSE)+1),IF(G313,1,0)+MATCH(G310,INDEX(VimFrac,0,9*G313+VLOOKUP(G312,PlanetData,3,FALSE)+1),IF(G313,-1,1)))</f>
        <v>#N/A</v>
      </c>
      <c r="J307">
        <f ca="1">J312</f>
        <v>0</v>
      </c>
      <c r="K307">
        <f>K299+1</f>
        <v>38</v>
      </c>
    </row>
    <row r="308" spans="1:11" x14ac:dyDescent="0.2">
      <c r="A308" s="87" t="s">
        <v>1151</v>
      </c>
      <c r="B308" s="88">
        <f>B307+B309</f>
        <v>66398.36601754064</v>
      </c>
      <c r="C308" s="89" t="e">
        <f ca="1">B307+B309*INDEX(INDEX(VimFrac,,VLOOKUP(B312,PlanetData,3,FALSE)+1),MATCH(B310,INDEX(VimFrac,,VLOOKUP(B312,PlanetData,3,FALSE)+1),1)+1)</f>
        <v>#N/A</v>
      </c>
      <c r="D308" s="89" t="e">
        <f ca="1">C307+C309*INDEX(INDEX(VimFrac,0,9*C313+VLOOKUP(C312,PlanetData,3,FALSE)+1),IF(C313,0,1)+MATCH(C310,INDEX(VimFrac,0,9*C313+VLOOKUP(C312,PlanetData,3,FALSE)+1),IF(C313,-1,1)))</f>
        <v>#N/A</v>
      </c>
      <c r="E308" s="89" t="e">
        <f ca="1">D307+D309*INDEX(INDEX(VimFrac,0,9*D313+VLOOKUP(D312,PlanetData,3,FALSE)+1),IF(D313,0,1)+MATCH(D310,INDEX(VimFrac,0,9*D313+VLOOKUP(D312,PlanetData,3,FALSE)+1),IF(D313,-1,1)))</f>
        <v>#N/A</v>
      </c>
      <c r="F308" s="89" t="e">
        <f ca="1">E307+E309*INDEX(INDEX(VimFrac,0,9*E313+VLOOKUP(E312,PlanetData,3,FALSE)+1),IF(E313,0,1)+MATCH(E310,INDEX(VimFrac,0,9*E313+VLOOKUP(E312,PlanetData,3,FALSE)+1),IF(E313,-1,1)))</f>
        <v>#N/A</v>
      </c>
      <c r="G308" s="89" t="e">
        <f ca="1">F307+F309*INDEX(INDEX(VimFrac,0,9*F313+VLOOKUP(F312,PlanetData,3,FALSE)+1),IF(F313,0,1)+MATCH(F310,INDEX(VimFrac,0,9*F313+VLOOKUP(F312,PlanetData,3,FALSE)+1),IF(F313,-1,1)))</f>
        <v>#N/A</v>
      </c>
      <c r="H308" s="89" t="e">
        <f ca="1">G307+G309*INDEX(INDEX(VimFrac,0,9*G313+VLOOKUP(G312,PlanetData,3,FALSE)+1),IF(G313,0,1)+MATCH(G310,INDEX(VimFrac,0,9*G313+VLOOKUP(G312,PlanetData,3,FALSE)+1),IF(G313,-1,1)))</f>
        <v>#N/A</v>
      </c>
      <c r="J308">
        <f ca="1">J312</f>
        <v>0</v>
      </c>
      <c r="K308">
        <f>K300+1</f>
        <v>38</v>
      </c>
    </row>
    <row r="309" spans="1:11" x14ac:dyDescent="0.2">
      <c r="A309" s="90" t="s">
        <v>1152</v>
      </c>
      <c r="B309" s="91">
        <f>120*DaysInYear</f>
        <v>43830.584722221844</v>
      </c>
      <c r="C309" s="92" t="e">
        <f t="shared" ref="C309:H309" ca="1" si="74">C308-C307</f>
        <v>#N/A</v>
      </c>
      <c r="D309" s="92" t="e">
        <f t="shared" ca="1" si="74"/>
        <v>#N/A</v>
      </c>
      <c r="E309" s="92" t="e">
        <f t="shared" ca="1" si="74"/>
        <v>#N/A</v>
      </c>
      <c r="F309" s="92" t="e">
        <f t="shared" ca="1" si="74"/>
        <v>#N/A</v>
      </c>
      <c r="G309" s="92" t="e">
        <f t="shared" ca="1" si="74"/>
        <v>#N/A</v>
      </c>
      <c r="H309" s="92" t="e">
        <f t="shared" ca="1" si="74"/>
        <v>#N/A</v>
      </c>
      <c r="I309"/>
      <c r="K309">
        <f>K301</f>
        <v>0</v>
      </c>
    </row>
    <row r="310" spans="1:11" x14ac:dyDescent="0.2">
      <c r="A310" s="90" t="s">
        <v>1153</v>
      </c>
      <c r="B310" s="93">
        <f ca="1">(I312-B307)/(B308-B307)</f>
        <v>-0.51488661258669155</v>
      </c>
      <c r="C310" s="94" t="e">
        <f ca="1">(I312-C307)/(C308-C307)</f>
        <v>#N/A</v>
      </c>
      <c r="D310" s="94" t="e">
        <f ca="1">(I312-D307)/(D308-D307)</f>
        <v>#N/A</v>
      </c>
      <c r="E310" s="94" t="e">
        <f ca="1">(I312-E307)/(E308-E307)</f>
        <v>#N/A</v>
      </c>
      <c r="F310" s="94" t="e">
        <f ca="1">(I312-F307)/(F308-F307)</f>
        <v>#N/A</v>
      </c>
      <c r="G310" s="94" t="e">
        <f ca="1">(I312-G307)/(G308-G307)</f>
        <v>#N/A</v>
      </c>
      <c r="H310" s="94" t="e">
        <f ca="1">(I312-H307)/(H308-H307)</f>
        <v>#N/A</v>
      </c>
      <c r="I310"/>
      <c r="K310">
        <f>K302</f>
        <v>0</v>
      </c>
    </row>
    <row r="311" spans="1:11" x14ac:dyDescent="0.2">
      <c r="A311" s="90" t="s">
        <v>1154</v>
      </c>
      <c r="B311" s="95"/>
      <c r="C311" s="96" t="e">
        <f ca="1">MOD(VLOOKUP(B312,PlanetData,3,FALSE)+MATCH(B310,INDEX(VimFrac,,VLOOKUP(B312,PlanetData,3,FALSE)+1),1)-1,9)</f>
        <v>#N/A</v>
      </c>
      <c r="D311" s="96" t="e">
        <f ca="1">MOD(VLOOKUP(C312,PlanetData,3,FALSE)+MATCH(C310,INDEX(VimFrac,0,9*C313+VLOOKUP(C312,PlanetData,3,FALSE)+1),IF(C313,-1,1))-1,9)</f>
        <v>#N/A</v>
      </c>
      <c r="E311" s="96" t="e">
        <f ca="1">MOD(VLOOKUP(D312,PlanetData,3,FALSE)+MATCH(D310,INDEX(VimFrac,0,9*D313+VLOOKUP(D312,PlanetData,3,FALSE)+1),IF(D313,-1,1))-1,9)</f>
        <v>#N/A</v>
      </c>
      <c r="F311" s="96" t="e">
        <f ca="1">MOD(VLOOKUP(E312,PlanetData,3,FALSE)+MATCH(E310,INDEX(VimFrac,0,9*E313+VLOOKUP(E312,PlanetData,3,FALSE)+1),IF(E313,-1,1))-1,9)</f>
        <v>#N/A</v>
      </c>
      <c r="G311" s="96" t="e">
        <f ca="1">MOD(VLOOKUP(F312,PlanetData,3,FALSE)+MATCH(F310,INDEX(VimFrac,0,9*F313+VLOOKUP(F312,PlanetData,3,FALSE)+1),IF(F313,-1,1))-1,9)</f>
        <v>#N/A</v>
      </c>
      <c r="H311" s="96" t="e">
        <f ca="1">MOD(VLOOKUP(G312,PlanetData,3,FALSE)+MATCH(G310,INDEX(VimFrac,0,9*G313+VLOOKUP(G312,PlanetData,3,FALSE)+1),IF(G313,-1,1))-1,9)</f>
        <v>#N/A</v>
      </c>
      <c r="I311"/>
      <c r="K311">
        <f>K303</f>
        <v>0</v>
      </c>
    </row>
    <row r="312" spans="1:11" x14ac:dyDescent="0.2">
      <c r="A312" s="90" t="s">
        <v>1155</v>
      </c>
      <c r="B312" s="95" t="str">
        <f>$B$4</f>
        <v>Moon</v>
      </c>
      <c r="C312" s="96" t="e">
        <f t="shared" ref="C312:H312" ca="1" si="75">INDEX(DasaYears,IF(C311=0,9,C311),1)</f>
        <v>#N/A</v>
      </c>
      <c r="D312" s="96" t="e">
        <f t="shared" ca="1" si="75"/>
        <v>#N/A</v>
      </c>
      <c r="E312" s="96" t="e">
        <f t="shared" ca="1" si="75"/>
        <v>#N/A</v>
      </c>
      <c r="F312" s="96" t="e">
        <f t="shared" ca="1" si="75"/>
        <v>#N/A</v>
      </c>
      <c r="G312" s="96" t="e">
        <f t="shared" ca="1" si="75"/>
        <v>#N/A</v>
      </c>
      <c r="H312" s="96" t="e">
        <f t="shared" ca="1" si="75"/>
        <v>#N/A</v>
      </c>
      <c r="I312" s="97">
        <f ca="1">INDIRECT("'JHora'!$B$"&amp;($K312))</f>
        <v>0</v>
      </c>
      <c r="J312" s="97">
        <f ca="1">INDIRECT("'JHora'!$C$"&amp;($K312))</f>
        <v>0</v>
      </c>
      <c r="K312">
        <f>K304+1</f>
        <v>38</v>
      </c>
    </row>
    <row r="313" spans="1:11" x14ac:dyDescent="0.2">
      <c r="A313" s="90" t="s">
        <v>1139</v>
      </c>
      <c r="B313" s="91" t="b">
        <f>$B$7</f>
        <v>1</v>
      </c>
      <c r="C313" s="96" t="e">
        <f ca="1">IF(VLOOKUP(C312,ChartInfo,11,FALSE),1,0)*B313</f>
        <v>#N/A</v>
      </c>
      <c r="D313" s="96" t="e">
        <f ca="1">IF(VLOOKUP(D312,ChartInfo,11,FALSE),1,0)*B313</f>
        <v>#N/A</v>
      </c>
      <c r="E313" s="96" t="e">
        <f ca="1">IF(VLOOKUP(E312,ChartInfo,11,FALSE),1,0)*B313</f>
        <v>#N/A</v>
      </c>
      <c r="F313" s="96" t="e">
        <f ca="1">IF(VLOOKUP(F312,ChartInfo,11,FALSE),1,0)*B313</f>
        <v>#N/A</v>
      </c>
      <c r="G313" s="96" t="e">
        <f ca="1">IF(VLOOKUP(G312,ChartInfo,11,FALSE),1,0)*B313</f>
        <v>#N/A</v>
      </c>
      <c r="H313" s="96" t="e">
        <f ca="1">IF(VLOOKUP(H312,ChartInfo,11,FALSE),1,0)*B313</f>
        <v>#N/A</v>
      </c>
      <c r="I313" s="99"/>
      <c r="K313">
        <f>K305</f>
        <v>0</v>
      </c>
    </row>
    <row r="314" spans="1:11" x14ac:dyDescent="0.2">
      <c r="K314">
        <f>K306+1</f>
        <v>38</v>
      </c>
    </row>
    <row r="315" spans="1:11" x14ac:dyDescent="0.2">
      <c r="A315" s="87" t="s">
        <v>1150</v>
      </c>
      <c r="B315" s="88">
        <f>DoB-$E$6*DaysInYear</f>
        <v>22567.7812953188</v>
      </c>
      <c r="C315" s="89" t="e">
        <f ca="1">B315+B317*INDEX(INDEX(VimFrac,,VLOOKUP(B320,PlanetData,3,FALSE)+1),MATCH(B318,INDEX(VimFrac,,VLOOKUP(B320,PlanetData,3,FALSE)+1),1))</f>
        <v>#N/A</v>
      </c>
      <c r="D315" s="89" t="e">
        <f ca="1">C315+C317*INDEX(INDEX(VimFrac,0,9*C321+VLOOKUP(C320,PlanetData,3,FALSE)+1),IF(C321,1,0)+MATCH(C318,INDEX(VimFrac,0,9*C321+VLOOKUP(C320,PlanetData,3,FALSE)+1),IF(C321,-1,1)))</f>
        <v>#N/A</v>
      </c>
      <c r="E315" s="89" t="e">
        <f ca="1">D315+D317*INDEX(INDEX(VimFrac,0,9*D321+VLOOKUP(D320,PlanetData,3,FALSE)+1),IF(D321,1,0)+MATCH(D318,INDEX(VimFrac,0,9*D321+VLOOKUP(D320,PlanetData,3,FALSE)+1),IF(D321,-1,1)))</f>
        <v>#N/A</v>
      </c>
      <c r="F315" s="89" t="e">
        <f ca="1">E315+E317*INDEX(INDEX(VimFrac,0,9*E321+VLOOKUP(E320,PlanetData,3,FALSE)+1),IF(E321,1,0)+MATCH(E318,INDEX(VimFrac,0,9*E321+VLOOKUP(E320,PlanetData,3,FALSE)+1),IF(E321,-1,1)))</f>
        <v>#N/A</v>
      </c>
      <c r="G315" s="89" t="e">
        <f ca="1">F315+F317*INDEX(INDEX(VimFrac,0,9*F321+VLOOKUP(F320,PlanetData,3,FALSE)+1),IF(F321,1,0)+MATCH(F318,INDEX(VimFrac,0,9*F321+VLOOKUP(F320,PlanetData,3,FALSE)+1),IF(F321,-1,1)))</f>
        <v>#N/A</v>
      </c>
      <c r="H315" s="89" t="e">
        <f ca="1">G315+G317*INDEX(INDEX(VimFrac,0,9*G321+VLOOKUP(G320,PlanetData,3,FALSE)+1),IF(G321,1,0)+MATCH(G318,INDEX(VimFrac,0,9*G321+VLOOKUP(G320,PlanetData,3,FALSE)+1),IF(G321,-1,1)))</f>
        <v>#N/A</v>
      </c>
      <c r="J315">
        <f ca="1">J320</f>
        <v>0</v>
      </c>
      <c r="K315">
        <f>K307+1</f>
        <v>39</v>
      </c>
    </row>
    <row r="316" spans="1:11" x14ac:dyDescent="0.2">
      <c r="A316" s="87" t="s">
        <v>1151</v>
      </c>
      <c r="B316" s="88">
        <f>B315+B317</f>
        <v>66398.36601754064</v>
      </c>
      <c r="C316" s="89" t="e">
        <f ca="1">B315+B317*INDEX(INDEX(VimFrac,,VLOOKUP(B320,PlanetData,3,FALSE)+1),MATCH(B318,INDEX(VimFrac,,VLOOKUP(B320,PlanetData,3,FALSE)+1),1)+1)</f>
        <v>#N/A</v>
      </c>
      <c r="D316" s="89" t="e">
        <f ca="1">C315+C317*INDEX(INDEX(VimFrac,0,9*C321+VLOOKUP(C320,PlanetData,3,FALSE)+1),IF(C321,0,1)+MATCH(C318,INDEX(VimFrac,0,9*C321+VLOOKUP(C320,PlanetData,3,FALSE)+1),IF(C321,-1,1)))</f>
        <v>#N/A</v>
      </c>
      <c r="E316" s="89" t="e">
        <f ca="1">D315+D317*INDEX(INDEX(VimFrac,0,9*D321+VLOOKUP(D320,PlanetData,3,FALSE)+1),IF(D321,0,1)+MATCH(D318,INDEX(VimFrac,0,9*D321+VLOOKUP(D320,PlanetData,3,FALSE)+1),IF(D321,-1,1)))</f>
        <v>#N/A</v>
      </c>
      <c r="F316" s="89" t="e">
        <f ca="1">E315+E317*INDEX(INDEX(VimFrac,0,9*E321+VLOOKUP(E320,PlanetData,3,FALSE)+1),IF(E321,0,1)+MATCH(E318,INDEX(VimFrac,0,9*E321+VLOOKUP(E320,PlanetData,3,FALSE)+1),IF(E321,-1,1)))</f>
        <v>#N/A</v>
      </c>
      <c r="G316" s="89" t="e">
        <f ca="1">F315+F317*INDEX(INDEX(VimFrac,0,9*F321+VLOOKUP(F320,PlanetData,3,FALSE)+1),IF(F321,0,1)+MATCH(F318,INDEX(VimFrac,0,9*F321+VLOOKUP(F320,PlanetData,3,FALSE)+1),IF(F321,-1,1)))</f>
        <v>#N/A</v>
      </c>
      <c r="H316" s="89" t="e">
        <f ca="1">G315+G317*INDEX(INDEX(VimFrac,0,9*G321+VLOOKUP(G320,PlanetData,3,FALSE)+1),IF(G321,0,1)+MATCH(G318,INDEX(VimFrac,0,9*G321+VLOOKUP(G320,PlanetData,3,FALSE)+1),IF(G321,-1,1)))</f>
        <v>#N/A</v>
      </c>
      <c r="J316">
        <f ca="1">J320</f>
        <v>0</v>
      </c>
      <c r="K316">
        <f>K308+1</f>
        <v>39</v>
      </c>
    </row>
    <row r="317" spans="1:11" x14ac:dyDescent="0.2">
      <c r="A317" s="90" t="s">
        <v>1152</v>
      </c>
      <c r="B317" s="91">
        <f>120*DaysInYear</f>
        <v>43830.584722221844</v>
      </c>
      <c r="C317" s="92" t="e">
        <f t="shared" ref="C317:H317" ca="1" si="76">C316-C315</f>
        <v>#N/A</v>
      </c>
      <c r="D317" s="92" t="e">
        <f t="shared" ca="1" si="76"/>
        <v>#N/A</v>
      </c>
      <c r="E317" s="92" t="e">
        <f t="shared" ca="1" si="76"/>
        <v>#N/A</v>
      </c>
      <c r="F317" s="92" t="e">
        <f t="shared" ca="1" si="76"/>
        <v>#N/A</v>
      </c>
      <c r="G317" s="92" t="e">
        <f t="shared" ca="1" si="76"/>
        <v>#N/A</v>
      </c>
      <c r="H317" s="92" t="e">
        <f t="shared" ca="1" si="76"/>
        <v>#N/A</v>
      </c>
      <c r="I317"/>
      <c r="K317">
        <f>K309</f>
        <v>0</v>
      </c>
    </row>
    <row r="318" spans="1:11" x14ac:dyDescent="0.2">
      <c r="A318" s="90" t="s">
        <v>1153</v>
      </c>
      <c r="B318" s="93">
        <f ca="1">(I320-B315)/(B316-B315)</f>
        <v>-0.51488661258669155</v>
      </c>
      <c r="C318" s="94" t="e">
        <f ca="1">(I320-C315)/(C316-C315)</f>
        <v>#N/A</v>
      </c>
      <c r="D318" s="94" t="e">
        <f ca="1">(I320-D315)/(D316-D315)</f>
        <v>#N/A</v>
      </c>
      <c r="E318" s="94" t="e">
        <f ca="1">(I320-E315)/(E316-E315)</f>
        <v>#N/A</v>
      </c>
      <c r="F318" s="94" t="e">
        <f ca="1">(I320-F315)/(F316-F315)</f>
        <v>#N/A</v>
      </c>
      <c r="G318" s="94" t="e">
        <f ca="1">(I320-G315)/(G316-G315)</f>
        <v>#N/A</v>
      </c>
      <c r="H318" s="94" t="e">
        <f ca="1">(I320-H315)/(H316-H315)</f>
        <v>#N/A</v>
      </c>
      <c r="I318"/>
      <c r="K318">
        <f>K310</f>
        <v>0</v>
      </c>
    </row>
    <row r="319" spans="1:11" x14ac:dyDescent="0.2">
      <c r="A319" s="90" t="s">
        <v>1154</v>
      </c>
      <c r="B319" s="95"/>
      <c r="C319" s="96" t="e">
        <f ca="1">MOD(VLOOKUP(B320,PlanetData,3,FALSE)+MATCH(B318,INDEX(VimFrac,,VLOOKUP(B320,PlanetData,3,FALSE)+1),1)-1,9)</f>
        <v>#N/A</v>
      </c>
      <c r="D319" s="96" t="e">
        <f ca="1">MOD(VLOOKUP(C320,PlanetData,3,FALSE)+MATCH(C318,INDEX(VimFrac,0,9*C321+VLOOKUP(C320,PlanetData,3,FALSE)+1),IF(C321,-1,1))-1,9)</f>
        <v>#N/A</v>
      </c>
      <c r="E319" s="96" t="e">
        <f ca="1">MOD(VLOOKUP(D320,PlanetData,3,FALSE)+MATCH(D318,INDEX(VimFrac,0,9*D321+VLOOKUP(D320,PlanetData,3,FALSE)+1),IF(D321,-1,1))-1,9)</f>
        <v>#N/A</v>
      </c>
      <c r="F319" s="96" t="e">
        <f ca="1">MOD(VLOOKUP(E320,PlanetData,3,FALSE)+MATCH(E318,INDEX(VimFrac,0,9*E321+VLOOKUP(E320,PlanetData,3,FALSE)+1),IF(E321,-1,1))-1,9)</f>
        <v>#N/A</v>
      </c>
      <c r="G319" s="96" t="e">
        <f ca="1">MOD(VLOOKUP(F320,PlanetData,3,FALSE)+MATCH(F318,INDEX(VimFrac,0,9*F321+VLOOKUP(F320,PlanetData,3,FALSE)+1),IF(F321,-1,1))-1,9)</f>
        <v>#N/A</v>
      </c>
      <c r="H319" s="96" t="e">
        <f ca="1">MOD(VLOOKUP(G320,PlanetData,3,FALSE)+MATCH(G318,INDEX(VimFrac,0,9*G321+VLOOKUP(G320,PlanetData,3,FALSE)+1),IF(G321,-1,1))-1,9)</f>
        <v>#N/A</v>
      </c>
      <c r="I319"/>
      <c r="K319">
        <f>K311</f>
        <v>0</v>
      </c>
    </row>
    <row r="320" spans="1:11" x14ac:dyDescent="0.2">
      <c r="A320" s="90" t="s">
        <v>1155</v>
      </c>
      <c r="B320" s="95" t="str">
        <f>$B$4</f>
        <v>Moon</v>
      </c>
      <c r="C320" s="96" t="e">
        <f t="shared" ref="C320:H320" ca="1" si="77">INDEX(DasaYears,IF(C319=0,9,C319),1)</f>
        <v>#N/A</v>
      </c>
      <c r="D320" s="96" t="e">
        <f t="shared" ca="1" si="77"/>
        <v>#N/A</v>
      </c>
      <c r="E320" s="96" t="e">
        <f t="shared" ca="1" si="77"/>
        <v>#N/A</v>
      </c>
      <c r="F320" s="96" t="e">
        <f t="shared" ca="1" si="77"/>
        <v>#N/A</v>
      </c>
      <c r="G320" s="96" t="e">
        <f t="shared" ca="1" si="77"/>
        <v>#N/A</v>
      </c>
      <c r="H320" s="96" t="e">
        <f t="shared" ca="1" si="77"/>
        <v>#N/A</v>
      </c>
      <c r="I320" s="97">
        <f ca="1">INDIRECT("'JHora'!$B$"&amp;($K320))</f>
        <v>0</v>
      </c>
      <c r="J320" s="97">
        <f ca="1">INDIRECT("'JHora'!$C$"&amp;($K320))</f>
        <v>0</v>
      </c>
      <c r="K320">
        <f>K312+1</f>
        <v>39</v>
      </c>
    </row>
    <row r="321" spans="1:11" x14ac:dyDescent="0.2">
      <c r="A321" s="90" t="s">
        <v>1139</v>
      </c>
      <c r="B321" s="91" t="b">
        <f>$B$7</f>
        <v>1</v>
      </c>
      <c r="C321" s="96" t="e">
        <f ca="1">IF(VLOOKUP(C320,ChartInfo,11,FALSE),1,0)*B321</f>
        <v>#N/A</v>
      </c>
      <c r="D321" s="96" t="e">
        <f ca="1">IF(VLOOKUP(D320,ChartInfo,11,FALSE),1,0)*B321</f>
        <v>#N/A</v>
      </c>
      <c r="E321" s="96" t="e">
        <f ca="1">IF(VLOOKUP(E320,ChartInfo,11,FALSE),1,0)*B321</f>
        <v>#N/A</v>
      </c>
      <c r="F321" s="96" t="e">
        <f ca="1">IF(VLOOKUP(F320,ChartInfo,11,FALSE),1,0)*B321</f>
        <v>#N/A</v>
      </c>
      <c r="G321" s="96" t="e">
        <f ca="1">IF(VLOOKUP(G320,ChartInfo,11,FALSE),1,0)*B321</f>
        <v>#N/A</v>
      </c>
      <c r="H321" s="96" t="e">
        <f ca="1">IF(VLOOKUP(H320,ChartInfo,11,FALSE),1,0)*B321</f>
        <v>#N/A</v>
      </c>
      <c r="I321" s="99"/>
      <c r="K321">
        <f>K313</f>
        <v>0</v>
      </c>
    </row>
    <row r="322" spans="1:11" x14ac:dyDescent="0.2">
      <c r="K322">
        <f>K314+1</f>
        <v>39</v>
      </c>
    </row>
    <row r="323" spans="1:11" x14ac:dyDescent="0.2">
      <c r="A323" s="87" t="s">
        <v>1150</v>
      </c>
      <c r="B323" s="88">
        <f>DoB-$E$6*DaysInYear</f>
        <v>22567.7812953188</v>
      </c>
      <c r="C323" s="89" t="e">
        <f ca="1">B323+B325*INDEX(INDEX(VimFrac,,VLOOKUP(B328,PlanetData,3,FALSE)+1),MATCH(B326,INDEX(VimFrac,,VLOOKUP(B328,PlanetData,3,FALSE)+1),1))</f>
        <v>#N/A</v>
      </c>
      <c r="D323" s="89" t="e">
        <f ca="1">C323+C325*INDEX(INDEX(VimFrac,0,9*C329+VLOOKUP(C328,PlanetData,3,FALSE)+1),IF(C329,1,0)+MATCH(C326,INDEX(VimFrac,0,9*C329+VLOOKUP(C328,PlanetData,3,FALSE)+1),IF(C329,-1,1)))</f>
        <v>#N/A</v>
      </c>
      <c r="E323" s="89" t="e">
        <f ca="1">D323+D325*INDEX(INDEX(VimFrac,0,9*D329+VLOOKUP(D328,PlanetData,3,FALSE)+1),IF(D329,1,0)+MATCH(D326,INDEX(VimFrac,0,9*D329+VLOOKUP(D328,PlanetData,3,FALSE)+1),IF(D329,-1,1)))</f>
        <v>#N/A</v>
      </c>
      <c r="F323" s="89" t="e">
        <f ca="1">E323+E325*INDEX(INDEX(VimFrac,0,9*E329+VLOOKUP(E328,PlanetData,3,FALSE)+1),IF(E329,1,0)+MATCH(E326,INDEX(VimFrac,0,9*E329+VLOOKUP(E328,PlanetData,3,FALSE)+1),IF(E329,-1,1)))</f>
        <v>#N/A</v>
      </c>
      <c r="G323" s="89" t="e">
        <f ca="1">F323+F325*INDEX(INDEX(VimFrac,0,9*F329+VLOOKUP(F328,PlanetData,3,FALSE)+1),IF(F329,1,0)+MATCH(F326,INDEX(VimFrac,0,9*F329+VLOOKUP(F328,PlanetData,3,FALSE)+1),IF(F329,-1,1)))</f>
        <v>#N/A</v>
      </c>
      <c r="H323" s="89" t="e">
        <f ca="1">G323+G325*INDEX(INDEX(VimFrac,0,9*G329+VLOOKUP(G328,PlanetData,3,FALSE)+1),IF(G329,1,0)+MATCH(G326,INDEX(VimFrac,0,9*G329+VLOOKUP(G328,PlanetData,3,FALSE)+1),IF(G329,-1,1)))</f>
        <v>#N/A</v>
      </c>
      <c r="J323">
        <f ca="1">J328</f>
        <v>0</v>
      </c>
      <c r="K323">
        <f>K315+1</f>
        <v>40</v>
      </c>
    </row>
    <row r="324" spans="1:11" x14ac:dyDescent="0.2">
      <c r="A324" s="87" t="s">
        <v>1151</v>
      </c>
      <c r="B324" s="88">
        <f>B323+B325</f>
        <v>66398.36601754064</v>
      </c>
      <c r="C324" s="89" t="e">
        <f ca="1">B323+B325*INDEX(INDEX(VimFrac,,VLOOKUP(B328,PlanetData,3,FALSE)+1),MATCH(B326,INDEX(VimFrac,,VLOOKUP(B328,PlanetData,3,FALSE)+1),1)+1)</f>
        <v>#N/A</v>
      </c>
      <c r="D324" s="89" t="e">
        <f ca="1">C323+C325*INDEX(INDEX(VimFrac,0,9*C329+VLOOKUP(C328,PlanetData,3,FALSE)+1),IF(C329,0,1)+MATCH(C326,INDEX(VimFrac,0,9*C329+VLOOKUP(C328,PlanetData,3,FALSE)+1),IF(C329,-1,1)))</f>
        <v>#N/A</v>
      </c>
      <c r="E324" s="89" t="e">
        <f ca="1">D323+D325*INDEX(INDEX(VimFrac,0,9*D329+VLOOKUP(D328,PlanetData,3,FALSE)+1),IF(D329,0,1)+MATCH(D326,INDEX(VimFrac,0,9*D329+VLOOKUP(D328,PlanetData,3,FALSE)+1),IF(D329,-1,1)))</f>
        <v>#N/A</v>
      </c>
      <c r="F324" s="89" t="e">
        <f ca="1">E323+E325*INDEX(INDEX(VimFrac,0,9*E329+VLOOKUP(E328,PlanetData,3,FALSE)+1),IF(E329,0,1)+MATCH(E326,INDEX(VimFrac,0,9*E329+VLOOKUP(E328,PlanetData,3,FALSE)+1),IF(E329,-1,1)))</f>
        <v>#N/A</v>
      </c>
      <c r="G324" s="89" t="e">
        <f ca="1">F323+F325*INDEX(INDEX(VimFrac,0,9*F329+VLOOKUP(F328,PlanetData,3,FALSE)+1),IF(F329,0,1)+MATCH(F326,INDEX(VimFrac,0,9*F329+VLOOKUP(F328,PlanetData,3,FALSE)+1),IF(F329,-1,1)))</f>
        <v>#N/A</v>
      </c>
      <c r="H324" s="89" t="e">
        <f ca="1">G323+G325*INDEX(INDEX(VimFrac,0,9*G329+VLOOKUP(G328,PlanetData,3,FALSE)+1),IF(G329,0,1)+MATCH(G326,INDEX(VimFrac,0,9*G329+VLOOKUP(G328,PlanetData,3,FALSE)+1),IF(G329,-1,1)))</f>
        <v>#N/A</v>
      </c>
      <c r="J324">
        <f ca="1">J328</f>
        <v>0</v>
      </c>
      <c r="K324">
        <f>K316+1</f>
        <v>40</v>
      </c>
    </row>
    <row r="325" spans="1:11" x14ac:dyDescent="0.2">
      <c r="A325" s="90" t="s">
        <v>1152</v>
      </c>
      <c r="B325" s="91">
        <f>120*DaysInYear</f>
        <v>43830.584722221844</v>
      </c>
      <c r="C325" s="92" t="e">
        <f t="shared" ref="C325:H325" ca="1" si="78">C324-C323</f>
        <v>#N/A</v>
      </c>
      <c r="D325" s="92" t="e">
        <f t="shared" ca="1" si="78"/>
        <v>#N/A</v>
      </c>
      <c r="E325" s="92" t="e">
        <f t="shared" ca="1" si="78"/>
        <v>#N/A</v>
      </c>
      <c r="F325" s="92" t="e">
        <f t="shared" ca="1" si="78"/>
        <v>#N/A</v>
      </c>
      <c r="G325" s="92" t="e">
        <f t="shared" ca="1" si="78"/>
        <v>#N/A</v>
      </c>
      <c r="H325" s="92" t="e">
        <f t="shared" ca="1" si="78"/>
        <v>#N/A</v>
      </c>
      <c r="I325"/>
      <c r="K325">
        <f>K317</f>
        <v>0</v>
      </c>
    </row>
    <row r="326" spans="1:11" x14ac:dyDescent="0.2">
      <c r="A326" s="90" t="s">
        <v>1153</v>
      </c>
      <c r="B326" s="93">
        <f ca="1">(I328-B323)/(B324-B323)</f>
        <v>-0.51488661258669155</v>
      </c>
      <c r="C326" s="94" t="e">
        <f ca="1">(I328-C323)/(C324-C323)</f>
        <v>#N/A</v>
      </c>
      <c r="D326" s="94" t="e">
        <f ca="1">(I328-D323)/(D324-D323)</f>
        <v>#N/A</v>
      </c>
      <c r="E326" s="94" t="e">
        <f ca="1">(I328-E323)/(E324-E323)</f>
        <v>#N/A</v>
      </c>
      <c r="F326" s="94" t="e">
        <f ca="1">(I328-F323)/(F324-F323)</f>
        <v>#N/A</v>
      </c>
      <c r="G326" s="94" t="e">
        <f ca="1">(I328-G323)/(G324-G323)</f>
        <v>#N/A</v>
      </c>
      <c r="H326" s="94" t="e">
        <f ca="1">(I328-H323)/(H324-H323)</f>
        <v>#N/A</v>
      </c>
      <c r="I326"/>
      <c r="K326">
        <f>K318</f>
        <v>0</v>
      </c>
    </row>
    <row r="327" spans="1:11" x14ac:dyDescent="0.2">
      <c r="A327" s="90" t="s">
        <v>1154</v>
      </c>
      <c r="B327" s="95"/>
      <c r="C327" s="96" t="e">
        <f ca="1">MOD(VLOOKUP(B328,PlanetData,3,FALSE)+MATCH(B326,INDEX(VimFrac,,VLOOKUP(B328,PlanetData,3,FALSE)+1),1)-1,9)</f>
        <v>#N/A</v>
      </c>
      <c r="D327" s="96" t="e">
        <f ca="1">MOD(VLOOKUP(C328,PlanetData,3,FALSE)+MATCH(C326,INDEX(VimFrac,0,9*C329+VLOOKUP(C328,PlanetData,3,FALSE)+1),IF(C329,-1,1))-1,9)</f>
        <v>#N/A</v>
      </c>
      <c r="E327" s="96" t="e">
        <f ca="1">MOD(VLOOKUP(D328,PlanetData,3,FALSE)+MATCH(D326,INDEX(VimFrac,0,9*D329+VLOOKUP(D328,PlanetData,3,FALSE)+1),IF(D329,-1,1))-1,9)</f>
        <v>#N/A</v>
      </c>
      <c r="F327" s="96" t="e">
        <f ca="1">MOD(VLOOKUP(E328,PlanetData,3,FALSE)+MATCH(E326,INDEX(VimFrac,0,9*E329+VLOOKUP(E328,PlanetData,3,FALSE)+1),IF(E329,-1,1))-1,9)</f>
        <v>#N/A</v>
      </c>
      <c r="G327" s="96" t="e">
        <f ca="1">MOD(VLOOKUP(F328,PlanetData,3,FALSE)+MATCH(F326,INDEX(VimFrac,0,9*F329+VLOOKUP(F328,PlanetData,3,FALSE)+1),IF(F329,-1,1))-1,9)</f>
        <v>#N/A</v>
      </c>
      <c r="H327" s="96" t="e">
        <f ca="1">MOD(VLOOKUP(G328,PlanetData,3,FALSE)+MATCH(G326,INDEX(VimFrac,0,9*G329+VLOOKUP(G328,PlanetData,3,FALSE)+1),IF(G329,-1,1))-1,9)</f>
        <v>#N/A</v>
      </c>
      <c r="I327"/>
      <c r="K327">
        <f>K319</f>
        <v>0</v>
      </c>
    </row>
    <row r="328" spans="1:11" x14ac:dyDescent="0.2">
      <c r="A328" s="90" t="s">
        <v>1155</v>
      </c>
      <c r="B328" s="95" t="str">
        <f>$B$4</f>
        <v>Moon</v>
      </c>
      <c r="C328" s="96" t="e">
        <f t="shared" ref="C328:H328" ca="1" si="79">INDEX(DasaYears,IF(C327=0,9,C327),1)</f>
        <v>#N/A</v>
      </c>
      <c r="D328" s="96" t="e">
        <f t="shared" ca="1" si="79"/>
        <v>#N/A</v>
      </c>
      <c r="E328" s="96" t="e">
        <f t="shared" ca="1" si="79"/>
        <v>#N/A</v>
      </c>
      <c r="F328" s="96" t="e">
        <f t="shared" ca="1" si="79"/>
        <v>#N/A</v>
      </c>
      <c r="G328" s="96" t="e">
        <f t="shared" ca="1" si="79"/>
        <v>#N/A</v>
      </c>
      <c r="H328" s="96" t="e">
        <f t="shared" ca="1" si="79"/>
        <v>#N/A</v>
      </c>
      <c r="I328" s="97">
        <f ca="1">INDIRECT("'JHora'!$B$"&amp;($K328))</f>
        <v>0</v>
      </c>
      <c r="J328" s="97">
        <f ca="1">INDIRECT("'JHora'!$C$"&amp;($K328))</f>
        <v>0</v>
      </c>
      <c r="K328">
        <f>K320+1</f>
        <v>40</v>
      </c>
    </row>
    <row r="329" spans="1:11" x14ac:dyDescent="0.2">
      <c r="A329" s="90" t="s">
        <v>1139</v>
      </c>
      <c r="B329" s="91" t="b">
        <f>$B$7</f>
        <v>1</v>
      </c>
      <c r="C329" s="96" t="e">
        <f ca="1">IF(VLOOKUP(C328,ChartInfo,11,FALSE),1,0)*B329</f>
        <v>#N/A</v>
      </c>
      <c r="D329" s="96" t="e">
        <f ca="1">IF(VLOOKUP(D328,ChartInfo,11,FALSE),1,0)*B329</f>
        <v>#N/A</v>
      </c>
      <c r="E329" s="96" t="e">
        <f ca="1">IF(VLOOKUP(E328,ChartInfo,11,FALSE),1,0)*B329</f>
        <v>#N/A</v>
      </c>
      <c r="F329" s="96" t="e">
        <f ca="1">IF(VLOOKUP(F328,ChartInfo,11,FALSE),1,0)*B329</f>
        <v>#N/A</v>
      </c>
      <c r="G329" s="96" t="e">
        <f ca="1">IF(VLOOKUP(G328,ChartInfo,11,FALSE),1,0)*B329</f>
        <v>#N/A</v>
      </c>
      <c r="H329" s="96" t="e">
        <f ca="1">IF(VLOOKUP(H328,ChartInfo,11,FALSE),1,0)*B329</f>
        <v>#N/A</v>
      </c>
      <c r="I329" s="99"/>
      <c r="K329">
        <f>K321</f>
        <v>0</v>
      </c>
    </row>
    <row r="330" spans="1:11" x14ac:dyDescent="0.2">
      <c r="K330">
        <f>K322+1</f>
        <v>40</v>
      </c>
    </row>
  </sheetData>
  <sheetProtection selectLockedCells="1" selectUnlockedCells="1"/>
  <autoFilter ref="A10:K330" xr:uid="{00000000-0009-0000-0000-000006000000}">
    <filterColumn colId="10">
      <customFilters and="1">
        <customFilter operator="notEqual" val="0"/>
      </customFilters>
    </filterColumn>
  </autoFilter>
  <mergeCells count="3">
    <mergeCell ref="B3:D3"/>
    <mergeCell ref="B5:E5"/>
    <mergeCell ref="B7:E7"/>
  </mergeCells>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IV131"/>
  <sheetViews>
    <sheetView zoomScale="90" zoomScaleNormal="90" zoomScaleSheetLayoutView="75" workbookViewId="0" xr3:uid="{85D5C41F-068E-5C55-9968-509E7C2A5619}">
      <selection activeCell="O27" sqref="O27"/>
    </sheetView>
  </sheetViews>
  <sheetFormatPr defaultColWidth="7.12890625" defaultRowHeight="15" x14ac:dyDescent="0.2"/>
  <cols>
    <col min="1" max="1" width="4.83984375" style="154" customWidth="1"/>
    <col min="2" max="2" width="13.85546875" style="154" bestFit="1" customWidth="1"/>
    <col min="3" max="3" width="12.64453125" style="154" bestFit="1" customWidth="1"/>
    <col min="4" max="4" width="12.23828125" style="154" customWidth="1"/>
    <col min="5" max="5" width="13.31640625" style="154" bestFit="1" customWidth="1"/>
    <col min="6" max="7" width="11.703125" style="154" bestFit="1" customWidth="1"/>
    <col min="8" max="8" width="8.203125" style="154" bestFit="1" customWidth="1"/>
    <col min="9" max="9" width="7.3984375" style="154" bestFit="1" customWidth="1"/>
    <col min="10" max="10" width="9.28125" style="154" customWidth="1"/>
    <col min="11" max="11" width="8.47265625" style="154" bestFit="1" customWidth="1"/>
    <col min="12" max="12" width="8.203125" style="154" bestFit="1" customWidth="1"/>
    <col min="13" max="13" width="13.31640625" style="154" bestFit="1" customWidth="1"/>
    <col min="14" max="15" width="11.703125" style="154" bestFit="1" customWidth="1"/>
    <col min="16" max="16" width="7.80078125" style="154" customWidth="1"/>
    <col min="17" max="17" width="12.375" style="154" bestFit="1" customWidth="1"/>
    <col min="18" max="18" width="19.234375" style="154" bestFit="1" customWidth="1"/>
    <col min="19" max="19" width="8.33984375" style="154" bestFit="1" customWidth="1"/>
    <col min="20" max="20" width="8.203125" style="154" bestFit="1" customWidth="1"/>
    <col min="21" max="21" width="11.43359375" style="154" customWidth="1"/>
    <col min="22" max="23" width="11.703125" style="154" bestFit="1" customWidth="1"/>
    <col min="24" max="24" width="8.203125" style="154" bestFit="1" customWidth="1"/>
    <col min="25" max="25" width="15.19921875" style="154" customWidth="1"/>
    <col min="26" max="26" width="8.203125" style="154" bestFit="1" customWidth="1"/>
    <col min="27" max="27" width="11.43359375" style="154" customWidth="1"/>
    <col min="28" max="28" width="9.4140625" style="154" customWidth="1"/>
    <col min="29" max="29" width="10.22265625" style="154" customWidth="1"/>
    <col min="30" max="16384" width="7.12890625" style="154"/>
  </cols>
  <sheetData>
    <row r="1" spans="1:256" ht="15.75" thickBot="1" x14ac:dyDescent="0.25">
      <c r="A1" s="154" t="s">
        <v>1716</v>
      </c>
      <c r="B1" s="155" t="s">
        <v>1503</v>
      </c>
      <c r="C1" s="156" t="s">
        <v>1504</v>
      </c>
      <c r="D1" s="156" t="s">
        <v>1505</v>
      </c>
      <c r="E1" s="156" t="s">
        <v>1506</v>
      </c>
      <c r="F1" s="156" t="s">
        <v>1507</v>
      </c>
      <c r="G1" s="156"/>
      <c r="H1" s="156"/>
      <c r="I1" s="156"/>
      <c r="J1" s="156"/>
      <c r="K1" s="156"/>
      <c r="L1" s="156"/>
      <c r="M1" s="156"/>
      <c r="N1" s="156"/>
      <c r="O1" s="156"/>
      <c r="P1" s="156"/>
      <c r="Q1" s="157" t="s">
        <v>1508</v>
      </c>
      <c r="R1" s="157" t="s">
        <v>4743</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x14ac:dyDescent="0.2">
      <c r="A2" s="154">
        <v>1</v>
      </c>
      <c r="B2" s="158" t="s">
        <v>1509</v>
      </c>
      <c r="C2" s="159">
        <v>120</v>
      </c>
      <c r="D2" s="159" t="s">
        <v>2122</v>
      </c>
      <c r="E2" s="159">
        <v>27</v>
      </c>
      <c r="F2" s="782">
        <v>9</v>
      </c>
      <c r="G2" s="159" t="s">
        <v>1157</v>
      </c>
      <c r="H2" s="159" t="s">
        <v>1511</v>
      </c>
      <c r="I2" s="159" t="s">
        <v>1512</v>
      </c>
      <c r="J2" s="159" t="s">
        <v>1513</v>
      </c>
      <c r="K2" s="159" t="s">
        <v>1514</v>
      </c>
      <c r="L2" s="159" t="s">
        <v>1515</v>
      </c>
      <c r="M2" s="159" t="s">
        <v>1516</v>
      </c>
      <c r="N2" s="159" t="s">
        <v>1517</v>
      </c>
      <c r="O2" s="159" t="s">
        <v>1518</v>
      </c>
      <c r="P2" s="159" t="s">
        <v>1519</v>
      </c>
      <c r="Q2" s="160"/>
      <c r="R2" s="1444" t="s">
        <v>4744</v>
      </c>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15.75" thickBot="1" x14ac:dyDescent="0.25">
      <c r="B3" s="779"/>
      <c r="C3" s="161">
        <f>SUM(H3:P3)</f>
        <v>120</v>
      </c>
      <c r="D3" s="161" t="str">
        <f>VLOOKUP(D2,NakshatraTbl,24,FALSE)</f>
        <v>Aïgiras</v>
      </c>
      <c r="E3" s="161" t="s">
        <v>1520</v>
      </c>
      <c r="F3" s="161"/>
      <c r="G3" s="161" t="s">
        <v>1490</v>
      </c>
      <c r="H3" s="161">
        <v>6</v>
      </c>
      <c r="I3" s="161">
        <v>10</v>
      </c>
      <c r="J3" s="161">
        <v>7</v>
      </c>
      <c r="K3" s="161">
        <v>18</v>
      </c>
      <c r="L3" s="161">
        <v>16</v>
      </c>
      <c r="M3" s="161">
        <v>19</v>
      </c>
      <c r="N3" s="161">
        <v>17</v>
      </c>
      <c r="O3" s="161">
        <v>7</v>
      </c>
      <c r="P3" s="161">
        <v>20</v>
      </c>
      <c r="Q3" s="162"/>
      <c r="R3" s="162"/>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x14ac:dyDescent="0.2">
      <c r="A4" s="154">
        <v>2</v>
      </c>
      <c r="B4" s="1241" t="s">
        <v>1527</v>
      </c>
      <c r="C4" s="159">
        <v>108</v>
      </c>
      <c r="D4" s="966" t="s">
        <v>1528</v>
      </c>
      <c r="E4" s="159">
        <v>28</v>
      </c>
      <c r="F4" s="781">
        <v>8</v>
      </c>
      <c r="G4" s="159" t="s">
        <v>1157</v>
      </c>
      <c r="H4" s="159" t="s">
        <v>1511</v>
      </c>
      <c r="I4" s="159" t="s">
        <v>1512</v>
      </c>
      <c r="J4" s="159" t="s">
        <v>1513</v>
      </c>
      <c r="K4" s="159" t="s">
        <v>1517</v>
      </c>
      <c r="L4" s="159" t="s">
        <v>1516</v>
      </c>
      <c r="M4" s="159" t="s">
        <v>1515</v>
      </c>
      <c r="N4" s="159" t="s">
        <v>1514</v>
      </c>
      <c r="O4" s="159" t="s">
        <v>1519</v>
      </c>
      <c r="P4" s="159"/>
      <c r="Q4" s="160" t="s">
        <v>3192</v>
      </c>
      <c r="R4" s="1444" t="s">
        <v>1519</v>
      </c>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5.75" thickBot="1" x14ac:dyDescent="0.25">
      <c r="B5" s="1242" t="s">
        <v>3138</v>
      </c>
      <c r="C5" s="161" t="s">
        <v>2423</v>
      </c>
      <c r="D5" s="161" t="str">
        <f>VLOOKUP(D4,NakshatraTbl,24,FALSE)</f>
        <v>Pulaha</v>
      </c>
      <c r="E5" s="161" t="s">
        <v>1529</v>
      </c>
      <c r="F5" s="161" t="s">
        <v>2435</v>
      </c>
      <c r="G5" s="161" t="s">
        <v>1490</v>
      </c>
      <c r="H5" s="1305">
        <v>6</v>
      </c>
      <c r="I5" s="1305">
        <v>15</v>
      </c>
      <c r="J5" s="161">
        <v>8</v>
      </c>
      <c r="K5" s="161">
        <v>17</v>
      </c>
      <c r="L5" s="161">
        <v>10</v>
      </c>
      <c r="M5" s="161">
        <v>19</v>
      </c>
      <c r="N5" s="161">
        <v>12</v>
      </c>
      <c r="O5" s="161">
        <v>21</v>
      </c>
      <c r="P5" s="161"/>
      <c r="Q5" s="162" t="s">
        <v>1530</v>
      </c>
      <c r="R5" s="1445" t="s">
        <v>1059</v>
      </c>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x14ac:dyDescent="0.2">
      <c r="A6" s="154">
        <v>3</v>
      </c>
      <c r="B6" s="158" t="s">
        <v>1522</v>
      </c>
      <c r="C6" s="159">
        <v>116</v>
      </c>
      <c r="D6" s="968" t="s">
        <v>1523</v>
      </c>
      <c r="E6" s="159">
        <v>28</v>
      </c>
      <c r="F6" s="781">
        <v>8</v>
      </c>
      <c r="G6" s="159" t="s">
        <v>1157</v>
      </c>
      <c r="H6" s="159" t="s">
        <v>1511</v>
      </c>
      <c r="I6" s="159" t="s">
        <v>1513</v>
      </c>
      <c r="J6" s="159" t="s">
        <v>1515</v>
      </c>
      <c r="K6" s="159" t="s">
        <v>1516</v>
      </c>
      <c r="L6" s="159" t="s">
        <v>1518</v>
      </c>
      <c r="M6" s="159" t="s">
        <v>1512</v>
      </c>
      <c r="N6" s="159" t="s">
        <v>1517</v>
      </c>
      <c r="O6" s="159" t="s">
        <v>1519</v>
      </c>
      <c r="P6" s="159"/>
      <c r="Q6" s="160" t="s">
        <v>3193</v>
      </c>
      <c r="R6" s="1444" t="s">
        <v>4745</v>
      </c>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15.75" thickBot="1" x14ac:dyDescent="0.25">
      <c r="B7" s="1242" t="s">
        <v>3136</v>
      </c>
      <c r="C7" s="161" t="s">
        <v>2429</v>
      </c>
      <c r="D7" s="161" t="str">
        <f>VLOOKUP(D6,NakshatraTbl,24,FALSE)</f>
        <v>Marichi</v>
      </c>
      <c r="E7" s="161"/>
      <c r="F7" s="161" t="s">
        <v>2432</v>
      </c>
      <c r="G7" s="161" t="s">
        <v>1490</v>
      </c>
      <c r="H7" s="161">
        <v>11</v>
      </c>
      <c r="I7" s="161">
        <v>12</v>
      </c>
      <c r="J7" s="161">
        <v>13</v>
      </c>
      <c r="K7" s="161">
        <v>14</v>
      </c>
      <c r="L7" s="161">
        <v>15</v>
      </c>
      <c r="M7" s="161">
        <v>16</v>
      </c>
      <c r="N7" s="161">
        <v>17</v>
      </c>
      <c r="O7" s="161">
        <v>18</v>
      </c>
      <c r="P7" s="161"/>
      <c r="Q7" s="162" t="s">
        <v>1524</v>
      </c>
      <c r="R7" s="1445" t="s">
        <v>1059</v>
      </c>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x14ac:dyDescent="0.2">
      <c r="A8" s="154">
        <v>4</v>
      </c>
      <c r="B8" s="158" t="s">
        <v>1521</v>
      </c>
      <c r="C8" s="159">
        <v>112</v>
      </c>
      <c r="D8" s="967" t="s">
        <v>1532</v>
      </c>
      <c r="E8" s="159">
        <v>28</v>
      </c>
      <c r="F8" s="781">
        <v>8</v>
      </c>
      <c r="G8" s="159" t="s">
        <v>1157</v>
      </c>
      <c r="H8" s="159" t="s">
        <v>1511</v>
      </c>
      <c r="I8" s="159" t="s">
        <v>1515</v>
      </c>
      <c r="J8" s="159" t="s">
        <v>1518</v>
      </c>
      <c r="K8" s="159" t="s">
        <v>1517</v>
      </c>
      <c r="L8" s="159" t="s">
        <v>1514</v>
      </c>
      <c r="M8" s="159" t="s">
        <v>1513</v>
      </c>
      <c r="N8" s="159" t="s">
        <v>1516</v>
      </c>
      <c r="O8" s="159" t="s">
        <v>1512</v>
      </c>
      <c r="P8" s="159"/>
      <c r="Q8" s="160" t="s">
        <v>3194</v>
      </c>
      <c r="R8" s="1444" t="s">
        <v>1519</v>
      </c>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15.75" thickBot="1" x14ac:dyDescent="0.25">
      <c r="B9" s="1243" t="s">
        <v>3135</v>
      </c>
      <c r="C9" s="1161" t="s">
        <v>2431</v>
      </c>
      <c r="D9" s="161" t="str">
        <f>VLOOKUP(D8,NakshatraTbl,24,FALSE)</f>
        <v>Kratu</v>
      </c>
      <c r="E9" s="1161"/>
      <c r="F9" s="1161" t="s">
        <v>4152</v>
      </c>
      <c r="G9" s="1161" t="s">
        <v>1490</v>
      </c>
      <c r="H9" s="1161">
        <v>7</v>
      </c>
      <c r="I9" s="1161">
        <v>9</v>
      </c>
      <c r="J9" s="1161">
        <v>11</v>
      </c>
      <c r="K9" s="1161">
        <v>13</v>
      </c>
      <c r="L9" s="1161">
        <v>15</v>
      </c>
      <c r="M9" s="1161">
        <v>17</v>
      </c>
      <c r="N9" s="161">
        <v>19</v>
      </c>
      <c r="O9" s="161">
        <v>21</v>
      </c>
      <c r="P9" s="161"/>
      <c r="Q9" s="162" t="s">
        <v>4243</v>
      </c>
      <c r="R9" s="1445" t="s">
        <v>1059</v>
      </c>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15" customHeight="1" x14ac:dyDescent="0.2">
      <c r="A10" s="154">
        <v>5</v>
      </c>
      <c r="B10" s="1171" t="s">
        <v>1525</v>
      </c>
      <c r="C10" s="1166">
        <v>105</v>
      </c>
      <c r="D10" s="1167" t="s">
        <v>1526</v>
      </c>
      <c r="E10" s="1166">
        <v>28</v>
      </c>
      <c r="F10" s="1168">
        <v>7</v>
      </c>
      <c r="G10" s="1166" t="s">
        <v>1157</v>
      </c>
      <c r="H10" s="1166" t="s">
        <v>1511</v>
      </c>
      <c r="I10" s="1166" t="s">
        <v>1517</v>
      </c>
      <c r="J10" s="1166" t="s">
        <v>1516</v>
      </c>
      <c r="K10" s="1166" t="s">
        <v>1513</v>
      </c>
      <c r="L10" s="1166" t="s">
        <v>1519</v>
      </c>
      <c r="M10" s="1166" t="s">
        <v>1512</v>
      </c>
      <c r="N10" s="159" t="s">
        <v>1515</v>
      </c>
      <c r="O10" s="159"/>
      <c r="P10" s="159"/>
      <c r="Q10" s="160" t="s">
        <v>3195</v>
      </c>
      <c r="R10" s="1444" t="s">
        <v>1059</v>
      </c>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15.75" customHeight="1" thickBot="1" x14ac:dyDescent="0.25">
      <c r="B11" s="1244" t="s">
        <v>3137</v>
      </c>
      <c r="C11" s="161" t="s">
        <v>2430</v>
      </c>
      <c r="D11" s="161" t="str">
        <f>VLOOKUP(D10,NakshatraTbl,24,FALSE)</f>
        <v>Aïgiras</v>
      </c>
      <c r="E11" s="161"/>
      <c r="F11" s="161" t="s">
        <v>2433</v>
      </c>
      <c r="G11" s="161" t="s">
        <v>1490</v>
      </c>
      <c r="H11" s="161">
        <v>12</v>
      </c>
      <c r="I11" s="161">
        <v>13</v>
      </c>
      <c r="J11" s="161">
        <v>14</v>
      </c>
      <c r="K11" s="161">
        <v>15</v>
      </c>
      <c r="L11" s="161">
        <v>16</v>
      </c>
      <c r="M11" s="161">
        <v>17</v>
      </c>
      <c r="N11" s="161">
        <v>18</v>
      </c>
      <c r="O11" s="161"/>
      <c r="P11" s="161"/>
      <c r="Q11" s="162" t="s">
        <v>3196</v>
      </c>
      <c r="R11" s="1445" t="s">
        <v>1059</v>
      </c>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x14ac:dyDescent="0.2">
      <c r="A12" s="154">
        <v>6</v>
      </c>
      <c r="B12" s="1246" t="s">
        <v>1531</v>
      </c>
      <c r="C12" s="159">
        <v>100</v>
      </c>
      <c r="D12" s="967" t="s">
        <v>1532</v>
      </c>
      <c r="E12" s="159">
        <v>28</v>
      </c>
      <c r="F12" s="780">
        <v>7</v>
      </c>
      <c r="G12" s="159" t="s">
        <v>1157</v>
      </c>
      <c r="H12" s="159" t="s">
        <v>1511</v>
      </c>
      <c r="I12" s="159" t="s">
        <v>1512</v>
      </c>
      <c r="J12" s="159" t="s">
        <v>1519</v>
      </c>
      <c r="K12" s="159" t="s">
        <v>1517</v>
      </c>
      <c r="L12" s="159" t="s">
        <v>1515</v>
      </c>
      <c r="M12" s="159" t="s">
        <v>1513</v>
      </c>
      <c r="N12" s="159" t="s">
        <v>1516</v>
      </c>
      <c r="O12" s="159"/>
      <c r="P12" s="159"/>
      <c r="Q12" s="160" t="s">
        <v>1533</v>
      </c>
      <c r="R12" s="1444" t="s">
        <v>1722</v>
      </c>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15.75" thickBot="1" x14ac:dyDescent="0.25">
      <c r="B13" s="1244" t="s">
        <v>3137</v>
      </c>
      <c r="C13" s="161" t="s">
        <v>2424</v>
      </c>
      <c r="D13" s="161" t="str">
        <f>VLOOKUP(D12,NakshatraTbl,24,FALSE)</f>
        <v>Kratu</v>
      </c>
      <c r="E13" s="161"/>
      <c r="F13" s="161" t="s">
        <v>2434</v>
      </c>
      <c r="G13" s="161" t="s">
        <v>1490</v>
      </c>
      <c r="H13" s="161">
        <v>5</v>
      </c>
      <c r="I13" s="161">
        <v>5</v>
      </c>
      <c r="J13" s="161">
        <v>10</v>
      </c>
      <c r="K13" s="161">
        <v>10</v>
      </c>
      <c r="L13" s="161">
        <v>20</v>
      </c>
      <c r="M13" s="161">
        <v>20</v>
      </c>
      <c r="N13" s="161">
        <v>30</v>
      </c>
      <c r="O13" s="161"/>
      <c r="P13" s="161"/>
      <c r="Q13" s="162"/>
      <c r="R13" s="162"/>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17.25" x14ac:dyDescent="0.2">
      <c r="A14" s="154">
        <v>7</v>
      </c>
      <c r="B14" s="1169" t="s">
        <v>1534</v>
      </c>
      <c r="C14" s="159">
        <v>84</v>
      </c>
      <c r="D14" s="968" t="s">
        <v>1535</v>
      </c>
      <c r="E14" s="159">
        <v>28</v>
      </c>
      <c r="F14" s="780">
        <v>7</v>
      </c>
      <c r="G14" s="159" t="s">
        <v>1157</v>
      </c>
      <c r="H14" s="159" t="s">
        <v>1511</v>
      </c>
      <c r="I14" s="159" t="s">
        <v>1512</v>
      </c>
      <c r="J14" s="159" t="s">
        <v>1513</v>
      </c>
      <c r="K14" s="159" t="s">
        <v>1517</v>
      </c>
      <c r="L14" s="159" t="s">
        <v>1515</v>
      </c>
      <c r="M14" s="159" t="s">
        <v>1519</v>
      </c>
      <c r="N14" s="159" t="s">
        <v>1516</v>
      </c>
      <c r="O14" s="159"/>
      <c r="P14" s="159"/>
      <c r="Q14" s="160" t="s">
        <v>1536</v>
      </c>
      <c r="R14" s="1444" t="s">
        <v>1517</v>
      </c>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ht="15.75" thickBot="1" x14ac:dyDescent="0.25">
      <c r="B15" s="1245" t="s">
        <v>3137</v>
      </c>
      <c r="C15" s="1170" t="s">
        <v>2425</v>
      </c>
      <c r="D15" s="161" t="str">
        <f>VLOOKUP(D14,NakshatraTbl,24,FALSE)</f>
        <v>Marichi</v>
      </c>
      <c r="E15" s="1170"/>
      <c r="F15" s="1170" t="s">
        <v>1539</v>
      </c>
      <c r="G15" s="1170" t="s">
        <v>1490</v>
      </c>
      <c r="H15" s="1170">
        <v>12</v>
      </c>
      <c r="I15" s="1170">
        <v>12</v>
      </c>
      <c r="J15" s="1170">
        <v>12</v>
      </c>
      <c r="K15" s="1170">
        <v>12</v>
      </c>
      <c r="L15" s="1170">
        <v>12</v>
      </c>
      <c r="M15" s="1170">
        <v>12</v>
      </c>
      <c r="N15" s="161">
        <v>12</v>
      </c>
      <c r="O15" s="161"/>
      <c r="P15" s="161"/>
      <c r="Q15" s="162"/>
      <c r="R15" s="162"/>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x14ac:dyDescent="0.2">
      <c r="A16" s="154">
        <v>8</v>
      </c>
      <c r="B16" s="1162" t="s">
        <v>1537</v>
      </c>
      <c r="C16" s="1161">
        <v>72</v>
      </c>
      <c r="D16" s="1163" t="s">
        <v>2279</v>
      </c>
      <c r="E16" s="1161">
        <v>28</v>
      </c>
      <c r="F16" s="1164">
        <v>8</v>
      </c>
      <c r="G16" s="1161" t="s">
        <v>1157</v>
      </c>
      <c r="H16" s="1161" t="s">
        <v>1511</v>
      </c>
      <c r="I16" s="1161" t="s">
        <v>1512</v>
      </c>
      <c r="J16" s="1161" t="s">
        <v>1513</v>
      </c>
      <c r="K16" s="1161" t="s">
        <v>1517</v>
      </c>
      <c r="L16" s="1161" t="s">
        <v>1515</v>
      </c>
      <c r="M16" s="1161" t="s">
        <v>1519</v>
      </c>
      <c r="N16" s="159" t="s">
        <v>1516</v>
      </c>
      <c r="O16" s="159" t="s">
        <v>1514</v>
      </c>
      <c r="P16" s="159"/>
      <c r="Q16" s="160" t="s">
        <v>3205</v>
      </c>
      <c r="R16" s="1444" t="s">
        <v>1512</v>
      </c>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ht="15.75" thickBot="1" x14ac:dyDescent="0.25">
      <c r="B17" s="1242" t="s">
        <v>3138</v>
      </c>
      <c r="C17" s="161" t="s">
        <v>2426</v>
      </c>
      <c r="D17" s="161" t="str">
        <f>VLOOKUP(D16,NakshatraTbl,24,FALSE)</f>
        <v>Pulastya</v>
      </c>
      <c r="E17" s="161"/>
      <c r="F17" s="161" t="s">
        <v>1539</v>
      </c>
      <c r="G17" s="161" t="s">
        <v>1490</v>
      </c>
      <c r="H17" s="161">
        <v>9</v>
      </c>
      <c r="I17" s="1326" t="s">
        <v>1511</v>
      </c>
      <c r="J17" s="161">
        <v>9</v>
      </c>
      <c r="K17" s="161">
        <v>9</v>
      </c>
      <c r="L17" s="161">
        <v>9</v>
      </c>
      <c r="M17" s="161">
        <v>9</v>
      </c>
      <c r="N17" s="161">
        <v>9</v>
      </c>
      <c r="O17" s="161">
        <v>9</v>
      </c>
      <c r="P17" s="161"/>
      <c r="Q17" s="162" t="s">
        <v>3206</v>
      </c>
      <c r="R17" s="1445" t="s">
        <v>1059</v>
      </c>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x14ac:dyDescent="0.2">
      <c r="A18" s="154">
        <v>9</v>
      </c>
      <c r="B18" s="158" t="s">
        <v>1540</v>
      </c>
      <c r="C18" s="159">
        <v>60</v>
      </c>
      <c r="D18" s="969" t="s">
        <v>2033</v>
      </c>
      <c r="E18" s="159">
        <v>28</v>
      </c>
      <c r="F18" s="781">
        <v>8</v>
      </c>
      <c r="G18" s="159" t="s">
        <v>1157</v>
      </c>
      <c r="H18" s="159" t="s">
        <v>1515</v>
      </c>
      <c r="I18" s="159" t="s">
        <v>1511</v>
      </c>
      <c r="J18" s="159" t="s">
        <v>1513</v>
      </c>
      <c r="K18" s="159" t="s">
        <v>1512</v>
      </c>
      <c r="L18" s="159" t="s">
        <v>1517</v>
      </c>
      <c r="M18" s="159" t="s">
        <v>1519</v>
      </c>
      <c r="N18" s="159" t="s">
        <v>1516</v>
      </c>
      <c r="O18" s="159" t="s">
        <v>1514</v>
      </c>
      <c r="P18" s="159"/>
      <c r="Q18" s="160" t="s">
        <v>3197</v>
      </c>
      <c r="R18" s="1444" t="s">
        <v>1511</v>
      </c>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row r="19" spans="1:256" ht="15.75" thickBot="1" x14ac:dyDescent="0.25">
      <c r="B19" s="1242" t="s">
        <v>3138</v>
      </c>
      <c r="C19" s="161" t="s">
        <v>2427</v>
      </c>
      <c r="D19" s="161" t="str">
        <f>VLOOKUP(D18,NakshatraTbl,24,FALSE)</f>
        <v>Marichi</v>
      </c>
      <c r="E19" s="161" t="s">
        <v>1542</v>
      </c>
      <c r="F19" s="1326" t="s">
        <v>4482</v>
      </c>
      <c r="G19" s="161" t="s">
        <v>1490</v>
      </c>
      <c r="H19" s="161">
        <v>10</v>
      </c>
      <c r="I19" s="161">
        <v>10</v>
      </c>
      <c r="J19" s="161">
        <v>10</v>
      </c>
      <c r="K19" s="161">
        <v>6</v>
      </c>
      <c r="L19" s="161">
        <v>6</v>
      </c>
      <c r="M19" s="161">
        <v>6</v>
      </c>
      <c r="N19" s="161">
        <v>6</v>
      </c>
      <c r="O19" s="161">
        <v>6</v>
      </c>
      <c r="P19" s="161"/>
      <c r="Q19" s="162" t="s">
        <v>3198</v>
      </c>
      <c r="R19" s="1445" t="s">
        <v>1059</v>
      </c>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x14ac:dyDescent="0.2">
      <c r="A20" s="154">
        <v>10</v>
      </c>
      <c r="B20" s="158" t="s">
        <v>1543</v>
      </c>
      <c r="C20" s="159">
        <v>36</v>
      </c>
      <c r="D20" s="980" t="s">
        <v>2301</v>
      </c>
      <c r="E20" s="159">
        <v>28</v>
      </c>
      <c r="F20" s="781">
        <v>8</v>
      </c>
      <c r="G20" s="159" t="s">
        <v>1157</v>
      </c>
      <c r="H20" s="159" t="s">
        <v>1512</v>
      </c>
      <c r="I20" s="159" t="s">
        <v>1511</v>
      </c>
      <c r="J20" s="159" t="s">
        <v>1515</v>
      </c>
      <c r="K20" s="159" t="s">
        <v>1513</v>
      </c>
      <c r="L20" s="159" t="s">
        <v>1517</v>
      </c>
      <c r="M20" s="159" t="s">
        <v>1516</v>
      </c>
      <c r="N20" s="159" t="s">
        <v>1519</v>
      </c>
      <c r="O20" s="159" t="s">
        <v>1514</v>
      </c>
      <c r="P20" s="159"/>
      <c r="Q20" s="160" t="s">
        <v>1544</v>
      </c>
      <c r="R20" s="1444" t="s">
        <v>4746</v>
      </c>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ht="15.75" thickBot="1" x14ac:dyDescent="0.25">
      <c r="B21" s="1242" t="s">
        <v>3138</v>
      </c>
      <c r="C21" s="161" t="s">
        <v>2428</v>
      </c>
      <c r="D21" s="161" t="str">
        <f>VLOOKUP(D20,NakshatraTbl,24,FALSE)</f>
        <v>Vashishtha</v>
      </c>
      <c r="E21" s="161"/>
      <c r="F21" s="1326" t="s">
        <v>4481</v>
      </c>
      <c r="G21" s="161" t="s">
        <v>1490</v>
      </c>
      <c r="H21" s="1165">
        <v>1</v>
      </c>
      <c r="I21" s="161">
        <v>2</v>
      </c>
      <c r="J21" s="161">
        <v>3</v>
      </c>
      <c r="K21" s="161">
        <v>4</v>
      </c>
      <c r="L21" s="161">
        <v>5</v>
      </c>
      <c r="M21" s="161">
        <v>6</v>
      </c>
      <c r="N21" s="161">
        <v>7</v>
      </c>
      <c r="O21" s="161">
        <v>8</v>
      </c>
      <c r="P21" s="161"/>
      <c r="Q21" s="162"/>
      <c r="R21" s="162"/>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x14ac:dyDescent="0.2">
      <c r="A22" s="154">
        <v>11</v>
      </c>
      <c r="B22" s="158" t="s">
        <v>1545</v>
      </c>
      <c r="C22" s="159">
        <v>36</v>
      </c>
      <c r="D22" s="159" t="s">
        <v>1528</v>
      </c>
      <c r="E22" s="159">
        <v>28</v>
      </c>
      <c r="F22" s="781">
        <v>8</v>
      </c>
      <c r="G22" s="159" t="s">
        <v>1157</v>
      </c>
      <c r="H22" s="159" t="s">
        <v>1512</v>
      </c>
      <c r="I22" s="159" t="s">
        <v>1511</v>
      </c>
      <c r="J22" s="159" t="s">
        <v>1515</v>
      </c>
      <c r="K22" s="159" t="s">
        <v>1513</v>
      </c>
      <c r="L22" s="159" t="s">
        <v>1517</v>
      </c>
      <c r="M22" s="159" t="s">
        <v>1516</v>
      </c>
      <c r="N22" s="159" t="s">
        <v>1519</v>
      </c>
      <c r="O22" s="159" t="s">
        <v>1514</v>
      </c>
      <c r="P22" s="159"/>
      <c r="Q22" s="160"/>
      <c r="R22" s="160"/>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x14ac:dyDescent="0.2">
      <c r="B23" s="1162" t="s">
        <v>1545</v>
      </c>
      <c r="C23" s="1161">
        <v>36</v>
      </c>
      <c r="D23" s="1446" t="s">
        <v>1528</v>
      </c>
      <c r="E23" s="1161">
        <v>28</v>
      </c>
      <c r="F23" s="1161"/>
      <c r="G23" s="1161" t="s">
        <v>1157</v>
      </c>
      <c r="H23" s="1161" t="s">
        <v>1546</v>
      </c>
      <c r="I23" s="1161" t="s">
        <v>1547</v>
      </c>
      <c r="J23" s="1161" t="s">
        <v>1548</v>
      </c>
      <c r="K23" s="1161" t="s">
        <v>1549</v>
      </c>
      <c r="L23" s="1161" t="s">
        <v>1550</v>
      </c>
      <c r="M23" s="1161" t="s">
        <v>1551</v>
      </c>
      <c r="N23" s="1161" t="s">
        <v>1552</v>
      </c>
      <c r="O23" s="1161" t="s">
        <v>1553</v>
      </c>
      <c r="P23" s="1161"/>
      <c r="Q23" s="1447"/>
      <c r="R23" s="1448"/>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ht="15.75" thickBot="1" x14ac:dyDescent="0.25">
      <c r="B24" s="778" t="s">
        <v>3138</v>
      </c>
      <c r="C24" s="161" t="s">
        <v>2428</v>
      </c>
      <c r="D24" s="161" t="str">
        <f>VLOOKUP(D23,NakshatraTbl,24,FALSE)</f>
        <v>Pulaha</v>
      </c>
      <c r="E24" s="161" t="s">
        <v>1529</v>
      </c>
      <c r="F24" s="161"/>
      <c r="G24" s="161" t="s">
        <v>1490</v>
      </c>
      <c r="H24" s="161">
        <v>1</v>
      </c>
      <c r="I24" s="161">
        <v>2</v>
      </c>
      <c r="J24" s="161">
        <v>3</v>
      </c>
      <c r="K24" s="161">
        <v>4</v>
      </c>
      <c r="L24" s="161">
        <v>5</v>
      </c>
      <c r="M24" s="161">
        <v>6</v>
      </c>
      <c r="N24" s="161">
        <v>7</v>
      </c>
      <c r="O24" s="161">
        <v>8</v>
      </c>
      <c r="P24" s="161"/>
      <c r="Q24" s="162"/>
      <c r="R24" s="162"/>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row>
    <row r="25" spans="1:256" x14ac:dyDescent="0.2">
      <c r="A25" s="163"/>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row>
    <row r="26" spans="1:256" x14ac:dyDescent="0.2">
      <c r="A26" s="163"/>
      <c r="B26"/>
      <c r="C26"/>
      <c r="D26" s="1528" t="s">
        <v>1554</v>
      </c>
      <c r="E26" s="1528"/>
      <c r="F26" s="1528"/>
      <c r="G26" s="1528"/>
      <c r="H26" s="1528"/>
      <c r="I26" s="1528"/>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7" spans="1:256" s="98" customFormat="1" ht="32.65" customHeight="1" x14ac:dyDescent="0.2">
      <c r="D27" s="1529" t="s">
        <v>1555</v>
      </c>
      <c r="E27" s="1529"/>
      <c r="F27" s="1529" t="s">
        <v>1556</v>
      </c>
      <c r="G27" s="1529"/>
      <c r="H27" s="98">
        <v>6</v>
      </c>
      <c r="J27" s="98">
        <v>8</v>
      </c>
      <c r="L27" s="98">
        <v>10</v>
      </c>
      <c r="N27" s="98">
        <v>12</v>
      </c>
      <c r="P27" s="98">
        <v>14</v>
      </c>
      <c r="R27" s="98">
        <v>16</v>
      </c>
      <c r="T27" s="98">
        <v>18</v>
      </c>
      <c r="V27" s="970">
        <v>20</v>
      </c>
      <c r="W27" s="970"/>
      <c r="X27" s="970">
        <v>22</v>
      </c>
      <c r="Y27" s="970"/>
      <c r="Z27" s="98">
        <v>24</v>
      </c>
    </row>
    <row r="28" spans="1:256" x14ac:dyDescent="0.2">
      <c r="A28" s="164"/>
      <c r="B28" s="164"/>
      <c r="C28" s="164"/>
      <c r="D28" s="1527" t="s">
        <v>4154</v>
      </c>
      <c r="E28" s="1527"/>
      <c r="F28" s="1527" t="s">
        <v>4155</v>
      </c>
      <c r="G28" s="1527"/>
      <c r="H28" s="1527" t="s">
        <v>3199</v>
      </c>
      <c r="I28" s="1527"/>
      <c r="J28" s="1527" t="s">
        <v>3200</v>
      </c>
      <c r="K28" s="1527"/>
      <c r="L28" s="1527" t="s">
        <v>3201</v>
      </c>
      <c r="M28" s="1527"/>
      <c r="N28" s="1527" t="s">
        <v>3202</v>
      </c>
      <c r="O28" s="1527"/>
      <c r="P28" s="1527" t="s">
        <v>3203</v>
      </c>
      <c r="Q28" s="1527"/>
      <c r="R28" s="1527" t="s">
        <v>3210</v>
      </c>
      <c r="S28" s="1527"/>
      <c r="T28" s="1527" t="s">
        <v>3207</v>
      </c>
      <c r="U28" s="1527"/>
      <c r="V28" s="1530" t="s">
        <v>3208</v>
      </c>
      <c r="W28" s="1530"/>
      <c r="X28" s="1530" t="s">
        <v>3209</v>
      </c>
      <c r="Y28" s="1530"/>
      <c r="Z28" s="1527" t="s">
        <v>4151</v>
      </c>
      <c r="AA28" s="1527"/>
    </row>
    <row r="29" spans="1:256" x14ac:dyDescent="0.2">
      <c r="A29" s="716" t="s">
        <v>1716</v>
      </c>
      <c r="B29" s="165"/>
      <c r="C29" s="165" t="s">
        <v>1581</v>
      </c>
      <c r="D29" s="166" t="s">
        <v>1582</v>
      </c>
      <c r="E29" s="167" t="s">
        <v>1504</v>
      </c>
      <c r="F29" s="166" t="s">
        <v>1582</v>
      </c>
      <c r="G29" s="167" t="s">
        <v>1504</v>
      </c>
      <c r="H29" s="166" t="s">
        <v>1582</v>
      </c>
      <c r="I29" s="167" t="s">
        <v>1504</v>
      </c>
      <c r="J29" s="166" t="s">
        <v>1582</v>
      </c>
      <c r="K29" s="167" t="s">
        <v>1504</v>
      </c>
      <c r="L29" s="166" t="s">
        <v>1582</v>
      </c>
      <c r="M29" s="167" t="s">
        <v>1504</v>
      </c>
      <c r="N29" s="166" t="s">
        <v>1582</v>
      </c>
      <c r="O29" s="167" t="s">
        <v>1504</v>
      </c>
      <c r="P29" s="166" t="s">
        <v>1582</v>
      </c>
      <c r="Q29" s="167" t="s">
        <v>1504</v>
      </c>
      <c r="R29" s="166" t="s">
        <v>1582</v>
      </c>
      <c r="S29" s="167" t="s">
        <v>1504</v>
      </c>
      <c r="T29" s="166" t="s">
        <v>1582</v>
      </c>
      <c r="U29" s="167" t="s">
        <v>1504</v>
      </c>
      <c r="V29" s="971" t="s">
        <v>1582</v>
      </c>
      <c r="W29" s="972" t="s">
        <v>1504</v>
      </c>
      <c r="X29" s="971" t="s">
        <v>1582</v>
      </c>
      <c r="Y29" s="972" t="s">
        <v>1504</v>
      </c>
      <c r="Z29" s="166" t="s">
        <v>1582</v>
      </c>
      <c r="AA29" s="167" t="s">
        <v>1504</v>
      </c>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row>
    <row r="30" spans="1:256" x14ac:dyDescent="0.2">
      <c r="A30">
        <v>1</v>
      </c>
      <c r="B30" t="s">
        <v>1541</v>
      </c>
      <c r="C30" s="407">
        <v>0</v>
      </c>
      <c r="D30" s="169" t="s">
        <v>1514</v>
      </c>
      <c r="E30" s="707">
        <f>12/4</f>
        <v>3</v>
      </c>
      <c r="F30" s="171" t="s">
        <v>1515</v>
      </c>
      <c r="G30" s="713">
        <f>10/3</f>
        <v>3.3333333333333335</v>
      </c>
      <c r="H30" s="169" t="str">
        <f>H57</f>
        <v>Venus</v>
      </c>
      <c r="I30" s="170">
        <f>I57</f>
        <v>1.75</v>
      </c>
      <c r="J30" s="172" t="s">
        <v>1517</v>
      </c>
      <c r="K30" s="717">
        <f>17/4</f>
        <v>4.25</v>
      </c>
      <c r="L30" s="171" t="s">
        <v>1517</v>
      </c>
      <c r="M30" s="713">
        <f>17/3</f>
        <v>5.666666666666667</v>
      </c>
      <c r="N30" s="171" t="s">
        <v>1512</v>
      </c>
      <c r="O30" s="713">
        <f>21/3</f>
        <v>7</v>
      </c>
      <c r="P30" s="169" t="str">
        <f>P31</f>
        <v>Venus</v>
      </c>
      <c r="Q30" s="170">
        <f>Q31</f>
        <v>1.75</v>
      </c>
      <c r="R30" s="169" t="str">
        <f>R31</f>
        <v>Venus</v>
      </c>
      <c r="S30" s="170">
        <f>S31</f>
        <v>2.25</v>
      </c>
      <c r="T30" s="586" t="s">
        <v>1519</v>
      </c>
      <c r="U30" s="717">
        <f>9/3</f>
        <v>3</v>
      </c>
      <c r="V30" s="973" t="s">
        <v>1517</v>
      </c>
      <c r="W30" s="974">
        <f>9/4</f>
        <v>2.25</v>
      </c>
      <c r="X30" s="973" t="s">
        <v>1513</v>
      </c>
      <c r="Y30" s="974">
        <f>9/4</f>
        <v>2.25</v>
      </c>
      <c r="Z30" s="178" t="str">
        <f>Z57</f>
        <v>Sun</v>
      </c>
      <c r="AA30" s="1172">
        <f>7/3</f>
        <v>2.3333333333333335</v>
      </c>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row>
    <row r="31" spans="1:256" x14ac:dyDescent="0.2">
      <c r="A31">
        <v>2</v>
      </c>
      <c r="B31" t="s">
        <v>1583</v>
      </c>
      <c r="C31" s="407">
        <f t="shared" ref="C31:C50" si="0">C30+13+1/3</f>
        <v>13.333333333333334</v>
      </c>
      <c r="D31" s="169" t="s">
        <v>1514</v>
      </c>
      <c r="E31" s="707">
        <f>12/4</f>
        <v>3</v>
      </c>
      <c r="F31" s="171" t="str">
        <f>F30</f>
        <v>Jupiter</v>
      </c>
      <c r="G31" s="713">
        <f>G30</f>
        <v>3.3333333333333335</v>
      </c>
      <c r="H31" s="169" t="str">
        <f>H30</f>
        <v>Venus</v>
      </c>
      <c r="I31" s="170">
        <f>I30</f>
        <v>1.75</v>
      </c>
      <c r="J31" s="172" t="s">
        <v>1517</v>
      </c>
      <c r="K31" s="717">
        <f>17/4</f>
        <v>4.25</v>
      </c>
      <c r="L31" s="171" t="s">
        <v>1517</v>
      </c>
      <c r="M31" s="713">
        <f>17/3</f>
        <v>5.666666666666667</v>
      </c>
      <c r="N31" s="171" t="str">
        <f>N30</f>
        <v>Moon</v>
      </c>
      <c r="O31" s="713">
        <f>O30</f>
        <v>7</v>
      </c>
      <c r="P31" s="584" t="s">
        <v>1519</v>
      </c>
      <c r="Q31" s="170">
        <f>7/4</f>
        <v>1.75</v>
      </c>
      <c r="R31" s="169" t="s">
        <v>1519</v>
      </c>
      <c r="S31" s="170">
        <f>9/4</f>
        <v>2.25</v>
      </c>
      <c r="T31" s="586" t="str">
        <f>T32</f>
        <v>Jupiter</v>
      </c>
      <c r="U31" s="717">
        <f>9/4</f>
        <v>2.25</v>
      </c>
      <c r="V31" s="973" t="s">
        <v>1517</v>
      </c>
      <c r="W31" s="974">
        <f>9/4</f>
        <v>2.25</v>
      </c>
      <c r="X31" s="973" t="s">
        <v>1517</v>
      </c>
      <c r="Y31" s="974">
        <f>9/3</f>
        <v>3</v>
      </c>
      <c r="Z31" s="178" t="str">
        <f>Z30</f>
        <v>Sun</v>
      </c>
      <c r="AA31" s="1172">
        <f>AA30</f>
        <v>2.3333333333333335</v>
      </c>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row>
    <row r="32" spans="1:256" x14ac:dyDescent="0.2">
      <c r="A32">
        <v>3</v>
      </c>
      <c r="B32" t="s">
        <v>1510</v>
      </c>
      <c r="C32" s="407">
        <f t="shared" si="0"/>
        <v>26.666666666666668</v>
      </c>
      <c r="D32" s="174" t="s">
        <v>1519</v>
      </c>
      <c r="E32" s="708">
        <f>21/3</f>
        <v>7</v>
      </c>
      <c r="F32" s="171" t="str">
        <f>F31</f>
        <v>Jupiter</v>
      </c>
      <c r="G32" s="713">
        <f>G31</f>
        <v>3.3333333333333335</v>
      </c>
      <c r="H32" s="174" t="s">
        <v>1514</v>
      </c>
      <c r="I32" s="175">
        <f>7/3</f>
        <v>2.3333333333333335</v>
      </c>
      <c r="J32" s="172" t="s">
        <v>1517</v>
      </c>
      <c r="K32" s="717">
        <f>17/4</f>
        <v>4.25</v>
      </c>
      <c r="L32" s="171" t="s">
        <v>1517</v>
      </c>
      <c r="M32" s="713">
        <f>17/3</f>
        <v>5.666666666666667</v>
      </c>
      <c r="N32" s="171" t="str">
        <f>N31</f>
        <v>Moon</v>
      </c>
      <c r="O32" s="713">
        <f>O31</f>
        <v>7</v>
      </c>
      <c r="P32" s="174" t="str">
        <f t="shared" ref="P32:U33" si="1">P33</f>
        <v>Saturn</v>
      </c>
      <c r="Q32" s="175">
        <f t="shared" si="1"/>
        <v>2</v>
      </c>
      <c r="R32" s="174" t="str">
        <f t="shared" si="1"/>
        <v>Jupiter</v>
      </c>
      <c r="S32" s="175">
        <f t="shared" si="1"/>
        <v>3</v>
      </c>
      <c r="T32" s="172" t="str">
        <f t="shared" si="1"/>
        <v>Jupiter</v>
      </c>
      <c r="U32" s="717">
        <f t="shared" si="1"/>
        <v>2.25</v>
      </c>
      <c r="V32" s="973" t="s">
        <v>1517</v>
      </c>
      <c r="W32" s="974">
        <f>9/4</f>
        <v>2.25</v>
      </c>
      <c r="X32" s="973" t="s">
        <v>1517</v>
      </c>
      <c r="Y32" s="974">
        <f>9/3</f>
        <v>3</v>
      </c>
      <c r="Z32" s="171" t="s">
        <v>1515</v>
      </c>
      <c r="AA32" s="1174">
        <f>9/4</f>
        <v>2.25</v>
      </c>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row>
    <row r="33" spans="1:250" x14ac:dyDescent="0.2">
      <c r="A33">
        <v>4</v>
      </c>
      <c r="B33" t="s">
        <v>1584</v>
      </c>
      <c r="C33" s="407">
        <f t="shared" si="0"/>
        <v>40.000000000000007</v>
      </c>
      <c r="D33" s="176" t="s">
        <v>1519</v>
      </c>
      <c r="E33" s="709">
        <f>21/3</f>
        <v>7</v>
      </c>
      <c r="F33" s="178" t="s">
        <v>1511</v>
      </c>
      <c r="G33" s="714">
        <f>10/4</f>
        <v>2.5</v>
      </c>
      <c r="H33" s="176" t="str">
        <f>H32</f>
        <v>Rahu</v>
      </c>
      <c r="I33" s="719">
        <f>I32</f>
        <v>2.3333333333333335</v>
      </c>
      <c r="J33" s="172" t="s">
        <v>1517</v>
      </c>
      <c r="K33" s="717">
        <f>17/4</f>
        <v>4.25</v>
      </c>
      <c r="L33" s="178" t="s">
        <v>1519</v>
      </c>
      <c r="M33" s="714">
        <f>18/4</f>
        <v>4.5</v>
      </c>
      <c r="N33" s="178" t="s">
        <v>1516</v>
      </c>
      <c r="O33" s="714">
        <f>19/4</f>
        <v>4.75</v>
      </c>
      <c r="P33" s="176" t="str">
        <f t="shared" si="1"/>
        <v>Saturn</v>
      </c>
      <c r="Q33" s="177">
        <f t="shared" si="1"/>
        <v>2</v>
      </c>
      <c r="R33" s="176" t="str">
        <f t="shared" si="1"/>
        <v>Jupiter</v>
      </c>
      <c r="S33" s="177">
        <f t="shared" si="1"/>
        <v>3</v>
      </c>
      <c r="T33" s="172" t="str">
        <f t="shared" si="1"/>
        <v>Jupiter</v>
      </c>
      <c r="U33" s="717">
        <f t="shared" si="1"/>
        <v>2.25</v>
      </c>
      <c r="V33" s="973" t="s">
        <v>1517</v>
      </c>
      <c r="W33" s="974">
        <f>9/4</f>
        <v>2.25</v>
      </c>
      <c r="X33" s="973" t="s">
        <v>1517</v>
      </c>
      <c r="Y33" s="974">
        <f>9/3</f>
        <v>3</v>
      </c>
      <c r="Z33" s="171" t="str">
        <f t="shared" ref="Z33:AA35" si="2">Z32</f>
        <v>Jupiter</v>
      </c>
      <c r="AA33" s="1174">
        <f t="shared" si="2"/>
        <v>2.25</v>
      </c>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row>
    <row r="34" spans="1:250" x14ac:dyDescent="0.2">
      <c r="A34">
        <v>5</v>
      </c>
      <c r="B34" t="s">
        <v>1585</v>
      </c>
      <c r="C34" s="407">
        <f t="shared" si="0"/>
        <v>53.333333333333343</v>
      </c>
      <c r="D34" s="179" t="s">
        <v>1519</v>
      </c>
      <c r="E34" s="710">
        <f>21/3</f>
        <v>7</v>
      </c>
      <c r="F34" s="178" t="str">
        <f t="shared" ref="F34:G36" si="3">F33</f>
        <v>Sun</v>
      </c>
      <c r="G34" s="714">
        <f t="shared" si="3"/>
        <v>2.5</v>
      </c>
      <c r="H34" s="176" t="str">
        <f>H33</f>
        <v>Rahu</v>
      </c>
      <c r="I34" s="719">
        <f>I33</f>
        <v>2.3333333333333335</v>
      </c>
      <c r="J34" s="172" t="s">
        <v>1519</v>
      </c>
      <c r="K34" s="717">
        <f>18/3</f>
        <v>6</v>
      </c>
      <c r="L34" s="178" t="s">
        <v>1519</v>
      </c>
      <c r="M34" s="714">
        <f>18/4</f>
        <v>4.5</v>
      </c>
      <c r="N34" s="178" t="str">
        <f t="shared" ref="N34:O36" si="4">N33</f>
        <v>Saturn</v>
      </c>
      <c r="O34" s="714">
        <f t="shared" si="4"/>
        <v>4.75</v>
      </c>
      <c r="P34" s="579" t="s">
        <v>1516</v>
      </c>
      <c r="Q34" s="180">
        <f>6/3</f>
        <v>2</v>
      </c>
      <c r="R34" s="179" t="s">
        <v>1515</v>
      </c>
      <c r="S34" s="180">
        <f>9/3</f>
        <v>3</v>
      </c>
      <c r="T34" s="172" t="s">
        <v>1515</v>
      </c>
      <c r="U34" s="717">
        <f>9/4</f>
        <v>2.25</v>
      </c>
      <c r="V34" s="973" t="s">
        <v>1515</v>
      </c>
      <c r="W34" s="974">
        <f>9/3</f>
        <v>3</v>
      </c>
      <c r="X34" s="973" t="s">
        <v>1515</v>
      </c>
      <c r="Y34" s="974">
        <f>9/4</f>
        <v>2.25</v>
      </c>
      <c r="Z34" s="171" t="str">
        <f t="shared" si="2"/>
        <v>Jupiter</v>
      </c>
      <c r="AA34" s="1174">
        <f t="shared" si="2"/>
        <v>2.25</v>
      </c>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row>
    <row r="35" spans="1:250" x14ac:dyDescent="0.2">
      <c r="A35">
        <v>6</v>
      </c>
      <c r="B35" s="165" t="s">
        <v>1528</v>
      </c>
      <c r="C35" s="407">
        <f t="shared" si="0"/>
        <v>66.666666666666671</v>
      </c>
      <c r="D35" s="181" t="s">
        <v>1511</v>
      </c>
      <c r="E35" s="711">
        <f>6/4</f>
        <v>1.5</v>
      </c>
      <c r="F35" s="178" t="str">
        <f t="shared" si="3"/>
        <v>Sun</v>
      </c>
      <c r="G35" s="714">
        <f t="shared" si="3"/>
        <v>2.5</v>
      </c>
      <c r="H35" s="181" t="s">
        <v>1512</v>
      </c>
      <c r="I35" s="182">
        <f>1/4</f>
        <v>0.25</v>
      </c>
      <c r="J35" s="172" t="s">
        <v>1519</v>
      </c>
      <c r="K35" s="717">
        <f>18/3</f>
        <v>6</v>
      </c>
      <c r="L35" s="178" t="s">
        <v>1519</v>
      </c>
      <c r="M35" s="714">
        <f>18/4</f>
        <v>4.5</v>
      </c>
      <c r="N35" s="178" t="str">
        <f t="shared" si="4"/>
        <v>Saturn</v>
      </c>
      <c r="O35" s="714">
        <f t="shared" si="4"/>
        <v>4.75</v>
      </c>
      <c r="P35" s="581" t="str">
        <f t="shared" ref="P35:Q37" si="5">P36</f>
        <v>Mercury</v>
      </c>
      <c r="Q35" s="182">
        <f t="shared" si="5"/>
        <v>1.25</v>
      </c>
      <c r="R35" s="188" t="str">
        <f t="shared" ref="R35:U36" si="6">R36</f>
        <v>Mercury</v>
      </c>
      <c r="S35" s="182">
        <f t="shared" si="6"/>
        <v>2.25</v>
      </c>
      <c r="T35" s="172" t="str">
        <f t="shared" si="6"/>
        <v>Mercury</v>
      </c>
      <c r="U35" s="717">
        <f t="shared" si="6"/>
        <v>3</v>
      </c>
      <c r="V35" s="973" t="s">
        <v>1515</v>
      </c>
      <c r="W35" s="974">
        <f>9/3</f>
        <v>3</v>
      </c>
      <c r="X35" s="973" t="s">
        <v>1515</v>
      </c>
      <c r="Y35" s="974">
        <f>9/4</f>
        <v>2.25</v>
      </c>
      <c r="Z35" s="171" t="str">
        <f t="shared" si="2"/>
        <v>Jupiter</v>
      </c>
      <c r="AA35" s="1174">
        <f t="shared" si="2"/>
        <v>2.25</v>
      </c>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row>
    <row r="36" spans="1:250" x14ac:dyDescent="0.2">
      <c r="A36">
        <v>7</v>
      </c>
      <c r="B36" t="s">
        <v>1586</v>
      </c>
      <c r="C36" s="407">
        <f t="shared" si="0"/>
        <v>80</v>
      </c>
      <c r="D36" s="183" t="s">
        <v>1511</v>
      </c>
      <c r="E36" s="707">
        <f>6/4</f>
        <v>1.5</v>
      </c>
      <c r="F36" s="178" t="str">
        <f t="shared" si="3"/>
        <v>Sun</v>
      </c>
      <c r="G36" s="714">
        <f t="shared" si="3"/>
        <v>2.5</v>
      </c>
      <c r="H36" s="181" t="s">
        <v>1512</v>
      </c>
      <c r="I36" s="182">
        <f>1/4</f>
        <v>0.25</v>
      </c>
      <c r="J36" s="172" t="s">
        <v>1519</v>
      </c>
      <c r="K36" s="717">
        <f>18/3</f>
        <v>6</v>
      </c>
      <c r="L36" s="178" t="s">
        <v>1519</v>
      </c>
      <c r="M36" s="714">
        <f>18/4</f>
        <v>4.5</v>
      </c>
      <c r="N36" s="178" t="str">
        <f t="shared" si="4"/>
        <v>Saturn</v>
      </c>
      <c r="O36" s="714">
        <f t="shared" si="4"/>
        <v>4.75</v>
      </c>
      <c r="P36" s="582" t="str">
        <f t="shared" si="5"/>
        <v>Mercury</v>
      </c>
      <c r="Q36" s="170">
        <f t="shared" si="5"/>
        <v>1.25</v>
      </c>
      <c r="R36" s="169" t="str">
        <f t="shared" si="6"/>
        <v>Mercury</v>
      </c>
      <c r="S36" s="170">
        <f t="shared" si="6"/>
        <v>2.25</v>
      </c>
      <c r="T36" s="172" t="str">
        <f t="shared" si="6"/>
        <v>Mercury</v>
      </c>
      <c r="U36" s="717">
        <f t="shared" si="6"/>
        <v>3</v>
      </c>
      <c r="V36" s="973" t="s">
        <v>1515</v>
      </c>
      <c r="W36" s="974">
        <f>9/3</f>
        <v>3</v>
      </c>
      <c r="X36" s="973" t="s">
        <v>1515</v>
      </c>
      <c r="Y36" s="974">
        <f>9/4</f>
        <v>2.25</v>
      </c>
      <c r="Z36" s="1173" t="s">
        <v>1518</v>
      </c>
      <c r="AA36" s="1172">
        <f>11/3</f>
        <v>3.6666666666666665</v>
      </c>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row>
    <row r="37" spans="1:250" x14ac:dyDescent="0.2">
      <c r="A37">
        <v>8</v>
      </c>
      <c r="B37" t="s">
        <v>1523</v>
      </c>
      <c r="C37" s="407">
        <f t="shared" si="0"/>
        <v>93.333333333333329</v>
      </c>
      <c r="D37" s="183" t="s">
        <v>1511</v>
      </c>
      <c r="E37" s="707">
        <f>6/4</f>
        <v>1.5</v>
      </c>
      <c r="F37" s="184" t="s">
        <v>1513</v>
      </c>
      <c r="G37" s="713">
        <f>10/3</f>
        <v>3.3333333333333335</v>
      </c>
      <c r="H37" s="181" t="s">
        <v>1512</v>
      </c>
      <c r="I37" s="182">
        <f>1/4</f>
        <v>0.25</v>
      </c>
      <c r="J37" s="166" t="s">
        <v>1511</v>
      </c>
      <c r="K37" s="717">
        <f>11/4</f>
        <v>2.75</v>
      </c>
      <c r="L37" s="184" t="s">
        <v>1511</v>
      </c>
      <c r="M37" s="713">
        <f>11/3</f>
        <v>3.6666666666666665</v>
      </c>
      <c r="N37" s="184" t="s">
        <v>1513</v>
      </c>
      <c r="O37" s="713">
        <f>17/3</f>
        <v>5.666666666666667</v>
      </c>
      <c r="P37" s="582" t="str">
        <f t="shared" si="5"/>
        <v>Mercury</v>
      </c>
      <c r="Q37" s="170">
        <f t="shared" si="5"/>
        <v>1.25</v>
      </c>
      <c r="R37" s="169" t="str">
        <f>R38</f>
        <v>Mercury</v>
      </c>
      <c r="S37" s="170">
        <f>9/4</f>
        <v>2.25</v>
      </c>
      <c r="T37" s="586" t="s">
        <v>1517</v>
      </c>
      <c r="U37" s="717">
        <f>9/3</f>
        <v>3</v>
      </c>
      <c r="V37" s="973" t="s">
        <v>1519</v>
      </c>
      <c r="W37" s="974">
        <f>9/4</f>
        <v>2.25</v>
      </c>
      <c r="X37" s="973" t="s">
        <v>1515</v>
      </c>
      <c r="Y37" s="974">
        <f>9/4</f>
        <v>2.25</v>
      </c>
      <c r="Z37" s="1173" t="str">
        <f>Z36</f>
        <v>Ketu</v>
      </c>
      <c r="AA37" s="1172">
        <f>AA36</f>
        <v>3.6666666666666665</v>
      </c>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row>
    <row r="38" spans="1:250" x14ac:dyDescent="0.2">
      <c r="A38">
        <v>9</v>
      </c>
      <c r="B38" t="s">
        <v>1587</v>
      </c>
      <c r="C38" s="407">
        <f t="shared" si="0"/>
        <v>106.66666666666666</v>
      </c>
      <c r="D38" s="186" t="s">
        <v>1511</v>
      </c>
      <c r="E38" s="712">
        <f>6/4</f>
        <v>1.5</v>
      </c>
      <c r="F38" s="184" t="str">
        <f>F37</f>
        <v>Mars</v>
      </c>
      <c r="G38" s="713">
        <f>G37</f>
        <v>3.3333333333333335</v>
      </c>
      <c r="H38" s="181" t="s">
        <v>1512</v>
      </c>
      <c r="I38" s="182">
        <f>1/4</f>
        <v>0.25</v>
      </c>
      <c r="J38" s="166" t="s">
        <v>1511</v>
      </c>
      <c r="K38" s="717">
        <f>11/4</f>
        <v>2.75</v>
      </c>
      <c r="L38" s="184" t="s">
        <v>1511</v>
      </c>
      <c r="M38" s="713">
        <f>11/3</f>
        <v>3.6666666666666665</v>
      </c>
      <c r="N38" s="184" t="str">
        <f>N37</f>
        <v>Mars</v>
      </c>
      <c r="O38" s="713">
        <f>O37</f>
        <v>5.666666666666667</v>
      </c>
      <c r="P38" s="583" t="s">
        <v>1517</v>
      </c>
      <c r="Q38" s="187">
        <f>5/4</f>
        <v>1.25</v>
      </c>
      <c r="R38" s="189" t="s">
        <v>1517</v>
      </c>
      <c r="S38" s="187">
        <f>9/4</f>
        <v>2.25</v>
      </c>
      <c r="T38" s="586" t="str">
        <f>T39</f>
        <v>Mars</v>
      </c>
      <c r="U38" s="717">
        <f>9/4</f>
        <v>2.25</v>
      </c>
      <c r="V38" s="973" t="s">
        <v>1519</v>
      </c>
      <c r="W38" s="974">
        <f>9/4</f>
        <v>2.25</v>
      </c>
      <c r="X38" s="973" t="s">
        <v>1519</v>
      </c>
      <c r="Y38" s="974">
        <f>9/3</f>
        <v>3</v>
      </c>
      <c r="Z38" s="1173" t="str">
        <f>Z37</f>
        <v>Ketu</v>
      </c>
      <c r="AA38" s="1172">
        <f>AA37</f>
        <v>3.6666666666666665</v>
      </c>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row>
    <row r="39" spans="1:250" x14ac:dyDescent="0.2">
      <c r="A39">
        <v>10</v>
      </c>
      <c r="B39" t="s">
        <v>1588</v>
      </c>
      <c r="C39" s="407">
        <f t="shared" si="0"/>
        <v>119.99999999999999</v>
      </c>
      <c r="D39" s="174" t="s">
        <v>1512</v>
      </c>
      <c r="E39" s="708">
        <f>15/3</f>
        <v>5</v>
      </c>
      <c r="F39" s="184" t="str">
        <f>F38</f>
        <v>Mars</v>
      </c>
      <c r="G39" s="713">
        <f>G38</f>
        <v>3.3333333333333335</v>
      </c>
      <c r="H39" s="174" t="s">
        <v>1511</v>
      </c>
      <c r="I39" s="175">
        <f>1/3</f>
        <v>0.33333333333333331</v>
      </c>
      <c r="J39" s="166" t="s">
        <v>1511</v>
      </c>
      <c r="K39" s="717">
        <f>11/4</f>
        <v>2.75</v>
      </c>
      <c r="L39" s="184" t="s">
        <v>1511</v>
      </c>
      <c r="M39" s="713">
        <f>11/3</f>
        <v>3.6666666666666665</v>
      </c>
      <c r="N39" s="184" t="str">
        <f>N38</f>
        <v>Mars</v>
      </c>
      <c r="O39" s="713">
        <f>O38</f>
        <v>5.666666666666667</v>
      </c>
      <c r="P39" s="174" t="str">
        <f t="shared" ref="P39:U40" si="7">P40</f>
        <v>Mars</v>
      </c>
      <c r="Q39" s="175">
        <f t="shared" si="7"/>
        <v>1.3333333333333333</v>
      </c>
      <c r="R39" s="174" t="str">
        <f t="shared" si="7"/>
        <v>Mars</v>
      </c>
      <c r="S39" s="175">
        <f t="shared" si="7"/>
        <v>3</v>
      </c>
      <c r="T39" s="172" t="str">
        <f t="shared" si="7"/>
        <v>Mars</v>
      </c>
      <c r="U39" s="717">
        <f t="shared" si="7"/>
        <v>2.25</v>
      </c>
      <c r="V39" s="973" t="s">
        <v>1519</v>
      </c>
      <c r="W39" s="974">
        <f>9/4</f>
        <v>2.25</v>
      </c>
      <c r="X39" s="973" t="s">
        <v>1519</v>
      </c>
      <c r="Y39" s="974">
        <f>9/3</f>
        <v>3</v>
      </c>
      <c r="Z39" s="1175" t="s">
        <v>1517</v>
      </c>
      <c r="AA39" s="1174">
        <f>13/4</f>
        <v>3.25</v>
      </c>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row>
    <row r="40" spans="1:250" x14ac:dyDescent="0.2">
      <c r="A40">
        <v>11</v>
      </c>
      <c r="B40" t="s">
        <v>1589</v>
      </c>
      <c r="C40" s="407">
        <f t="shared" si="0"/>
        <v>133.33333333333334</v>
      </c>
      <c r="D40" s="176" t="s">
        <v>1512</v>
      </c>
      <c r="E40" s="709">
        <f>15/3</f>
        <v>5</v>
      </c>
      <c r="F40" s="178" t="s">
        <v>1512</v>
      </c>
      <c r="G40" s="714">
        <f>6/4</f>
        <v>1.5</v>
      </c>
      <c r="H40" s="174" t="s">
        <v>1511</v>
      </c>
      <c r="I40" s="175">
        <f>1/3</f>
        <v>0.33333333333333331</v>
      </c>
      <c r="J40" s="166" t="s">
        <v>1511</v>
      </c>
      <c r="K40" s="717">
        <f>11/4</f>
        <v>2.75</v>
      </c>
      <c r="L40" s="178" t="s">
        <v>1513</v>
      </c>
      <c r="M40" s="714">
        <f>12/4</f>
        <v>3</v>
      </c>
      <c r="N40" s="178" t="s">
        <v>1514</v>
      </c>
      <c r="O40" s="714">
        <f>15/4</f>
        <v>3.75</v>
      </c>
      <c r="P40" s="176" t="str">
        <f t="shared" si="7"/>
        <v>Mars</v>
      </c>
      <c r="Q40" s="177">
        <f t="shared" si="7"/>
        <v>1.3333333333333333</v>
      </c>
      <c r="R40" s="176" t="str">
        <f t="shared" si="7"/>
        <v>Mars</v>
      </c>
      <c r="S40" s="177">
        <f t="shared" si="7"/>
        <v>3</v>
      </c>
      <c r="T40" s="172" t="str">
        <f t="shared" si="7"/>
        <v>Mars</v>
      </c>
      <c r="U40" s="717">
        <f t="shared" si="7"/>
        <v>2.25</v>
      </c>
      <c r="V40" s="973" t="s">
        <v>1519</v>
      </c>
      <c r="W40" s="974">
        <f>9/4</f>
        <v>2.25</v>
      </c>
      <c r="X40" s="973" t="s">
        <v>1519</v>
      </c>
      <c r="Y40" s="974">
        <f>9/3</f>
        <v>3</v>
      </c>
      <c r="Z40" s="1175" t="s">
        <v>1517</v>
      </c>
      <c r="AA40" s="1174">
        <f>AA39</f>
        <v>3.25</v>
      </c>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row>
    <row r="41" spans="1:250" x14ac:dyDescent="0.2">
      <c r="A41">
        <v>12</v>
      </c>
      <c r="B41" t="s">
        <v>1590</v>
      </c>
      <c r="C41" s="407">
        <f t="shared" si="0"/>
        <v>146.66666666666669</v>
      </c>
      <c r="D41" s="179" t="s">
        <v>1512</v>
      </c>
      <c r="E41" s="710">
        <f>15/3</f>
        <v>5</v>
      </c>
      <c r="F41" s="178" t="str">
        <f t="shared" ref="F41:G43" si="8">F40</f>
        <v>Moon</v>
      </c>
      <c r="G41" s="714">
        <f t="shared" si="8"/>
        <v>1.5</v>
      </c>
      <c r="H41" s="174" t="s">
        <v>1511</v>
      </c>
      <c r="I41" s="175">
        <f>1/3</f>
        <v>0.33333333333333331</v>
      </c>
      <c r="J41" s="172" t="s">
        <v>1513</v>
      </c>
      <c r="K41" s="717">
        <f>12/3</f>
        <v>4</v>
      </c>
      <c r="L41" s="178" t="s">
        <v>1513</v>
      </c>
      <c r="M41" s="714">
        <f>12/4</f>
        <v>3</v>
      </c>
      <c r="N41" s="178" t="str">
        <f t="shared" ref="N41:O43" si="9">N40</f>
        <v>Rahu</v>
      </c>
      <c r="O41" s="714">
        <f t="shared" si="9"/>
        <v>3.75</v>
      </c>
      <c r="P41" s="579" t="s">
        <v>1513</v>
      </c>
      <c r="Q41" s="180">
        <f>4/3</f>
        <v>1.3333333333333333</v>
      </c>
      <c r="R41" s="179" t="s">
        <v>1513</v>
      </c>
      <c r="S41" s="180">
        <f>9/3</f>
        <v>3</v>
      </c>
      <c r="T41" s="586" t="s">
        <v>1513</v>
      </c>
      <c r="U41" s="717">
        <f>9/4</f>
        <v>2.25</v>
      </c>
      <c r="V41" s="973" t="s">
        <v>1516</v>
      </c>
      <c r="W41" s="974">
        <f>9/3</f>
        <v>3</v>
      </c>
      <c r="X41" s="973" t="s">
        <v>1516</v>
      </c>
      <c r="Y41" s="974">
        <f>9/4</f>
        <v>2.25</v>
      </c>
      <c r="Z41" s="1175" t="s">
        <v>1517</v>
      </c>
      <c r="AA41" s="1174">
        <f>AA40</f>
        <v>3.25</v>
      </c>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row>
    <row r="42" spans="1:250" x14ac:dyDescent="0.2">
      <c r="A42">
        <v>13</v>
      </c>
      <c r="B42" s="165" t="s">
        <v>1591</v>
      </c>
      <c r="C42" s="407">
        <f t="shared" si="0"/>
        <v>160.00000000000003</v>
      </c>
      <c r="D42" s="188" t="s">
        <v>1513</v>
      </c>
      <c r="E42" s="711">
        <f>8/4</f>
        <v>2</v>
      </c>
      <c r="F42" s="178" t="str">
        <f t="shared" si="8"/>
        <v>Moon</v>
      </c>
      <c r="G42" s="714">
        <f t="shared" si="8"/>
        <v>1.5</v>
      </c>
      <c r="H42" s="188" t="s">
        <v>1515</v>
      </c>
      <c r="I42" s="182">
        <f>3/4</f>
        <v>0.75</v>
      </c>
      <c r="J42" s="172" t="s">
        <v>1513</v>
      </c>
      <c r="K42" s="717">
        <f>12/3</f>
        <v>4</v>
      </c>
      <c r="L42" s="178" t="s">
        <v>1513</v>
      </c>
      <c r="M42" s="714">
        <f>12/4</f>
        <v>3</v>
      </c>
      <c r="N42" s="178" t="str">
        <f t="shared" si="9"/>
        <v>Rahu</v>
      </c>
      <c r="O42" s="714">
        <f t="shared" si="9"/>
        <v>3.75</v>
      </c>
      <c r="P42" s="188" t="str">
        <f t="shared" ref="P42:Q44" si="10">P43</f>
        <v>Jupiter</v>
      </c>
      <c r="Q42" s="182">
        <f t="shared" si="10"/>
        <v>0.75</v>
      </c>
      <c r="R42" s="188" t="str">
        <f t="shared" ref="R42:U44" si="11">R43</f>
        <v>Moon</v>
      </c>
      <c r="S42" s="182">
        <f t="shared" si="11"/>
        <v>2.25</v>
      </c>
      <c r="T42" s="172" t="str">
        <f t="shared" si="11"/>
        <v>Moon</v>
      </c>
      <c r="U42" s="717">
        <f t="shared" si="11"/>
        <v>3</v>
      </c>
      <c r="V42" s="973" t="s">
        <v>1516</v>
      </c>
      <c r="W42" s="974">
        <f>9/3</f>
        <v>3</v>
      </c>
      <c r="X42" s="973" t="s">
        <v>1516</v>
      </c>
      <c r="Y42" s="974">
        <f>9/4</f>
        <v>2.25</v>
      </c>
      <c r="Z42" s="1175" t="s">
        <v>1517</v>
      </c>
      <c r="AA42" s="1174">
        <f>AA41</f>
        <v>3.25</v>
      </c>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row>
    <row r="43" spans="1:250" x14ac:dyDescent="0.2">
      <c r="A43">
        <v>14</v>
      </c>
      <c r="B43" t="s">
        <v>1592</v>
      </c>
      <c r="C43" s="407">
        <f t="shared" si="0"/>
        <v>173.33333333333337</v>
      </c>
      <c r="D43" s="169" t="s">
        <v>1513</v>
      </c>
      <c r="E43" s="707">
        <f>8/4</f>
        <v>2</v>
      </c>
      <c r="F43" s="178" t="str">
        <f t="shared" si="8"/>
        <v>Moon</v>
      </c>
      <c r="G43" s="714">
        <f t="shared" si="8"/>
        <v>1.5</v>
      </c>
      <c r="H43" s="188" t="s">
        <v>1515</v>
      </c>
      <c r="I43" s="182">
        <f>3/4</f>
        <v>0.75</v>
      </c>
      <c r="J43" s="172" t="s">
        <v>1513</v>
      </c>
      <c r="K43" s="717">
        <f>12/3</f>
        <v>4</v>
      </c>
      <c r="L43" s="178" t="s">
        <v>1513</v>
      </c>
      <c r="M43" s="714">
        <f>12/4</f>
        <v>3</v>
      </c>
      <c r="N43" s="178" t="str">
        <f t="shared" si="9"/>
        <v>Rahu</v>
      </c>
      <c r="O43" s="714">
        <f t="shared" si="9"/>
        <v>3.75</v>
      </c>
      <c r="P43" s="169" t="str">
        <f t="shared" si="10"/>
        <v>Jupiter</v>
      </c>
      <c r="Q43" s="170">
        <f t="shared" si="10"/>
        <v>0.75</v>
      </c>
      <c r="R43" s="169" t="str">
        <f t="shared" si="11"/>
        <v>Moon</v>
      </c>
      <c r="S43" s="170">
        <f t="shared" si="11"/>
        <v>2.25</v>
      </c>
      <c r="T43" s="172" t="str">
        <f t="shared" si="11"/>
        <v>Moon</v>
      </c>
      <c r="U43" s="717">
        <f t="shared" si="11"/>
        <v>3</v>
      </c>
      <c r="V43" s="973" t="s">
        <v>1516</v>
      </c>
      <c r="W43" s="974">
        <f>9/3</f>
        <v>3</v>
      </c>
      <c r="X43" s="973" t="s">
        <v>1516</v>
      </c>
      <c r="Y43" s="974">
        <f>9/4</f>
        <v>2.25</v>
      </c>
      <c r="Z43" s="1173" t="s">
        <v>1514</v>
      </c>
      <c r="AA43" s="1172">
        <f>15/3</f>
        <v>5</v>
      </c>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row>
    <row r="44" spans="1:250" x14ac:dyDescent="0.2">
      <c r="A44">
        <v>15</v>
      </c>
      <c r="B44" t="s">
        <v>1535</v>
      </c>
      <c r="C44" s="407">
        <f t="shared" si="0"/>
        <v>186.66666666666671</v>
      </c>
      <c r="D44" s="169" t="s">
        <v>1513</v>
      </c>
      <c r="E44" s="707">
        <f>8/4</f>
        <v>2</v>
      </c>
      <c r="F44" s="184" t="s">
        <v>1517</v>
      </c>
      <c r="G44" s="713">
        <f>6/3</f>
        <v>2</v>
      </c>
      <c r="H44" s="188" t="s">
        <v>1515</v>
      </c>
      <c r="I44" s="182">
        <f>3/4</f>
        <v>0.75</v>
      </c>
      <c r="J44" s="172" t="s">
        <v>1515</v>
      </c>
      <c r="K44" s="717">
        <f>13/4</f>
        <v>3.25</v>
      </c>
      <c r="L44" s="184" t="s">
        <v>1515</v>
      </c>
      <c r="M44" s="713">
        <f>13/3</f>
        <v>4.333333333333333</v>
      </c>
      <c r="N44" s="184" t="s">
        <v>1517</v>
      </c>
      <c r="O44" s="713">
        <f>13/3</f>
        <v>4.333333333333333</v>
      </c>
      <c r="P44" s="169" t="str">
        <f t="shared" si="10"/>
        <v>Jupiter</v>
      </c>
      <c r="Q44" s="170">
        <f t="shared" si="10"/>
        <v>0.75</v>
      </c>
      <c r="R44" s="169" t="str">
        <f t="shared" si="11"/>
        <v>Moon</v>
      </c>
      <c r="S44" s="170">
        <f t="shared" si="11"/>
        <v>2.25</v>
      </c>
      <c r="T44" s="586" t="s">
        <v>1512</v>
      </c>
      <c r="U44" s="717">
        <f>9/3</f>
        <v>3</v>
      </c>
      <c r="V44" s="973" t="s">
        <v>1514</v>
      </c>
      <c r="W44" s="974">
        <f>9/4</f>
        <v>2.25</v>
      </c>
      <c r="X44" s="973" t="s">
        <v>1516</v>
      </c>
      <c r="Y44" s="974">
        <f>9/4</f>
        <v>2.25</v>
      </c>
      <c r="Z44" s="1173" t="s">
        <v>1514</v>
      </c>
      <c r="AA44" s="1172">
        <f>AA43</f>
        <v>5</v>
      </c>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row>
    <row r="45" spans="1:250" x14ac:dyDescent="0.2">
      <c r="A45">
        <v>16</v>
      </c>
      <c r="B45" t="s">
        <v>1593</v>
      </c>
      <c r="C45" s="407">
        <f t="shared" si="0"/>
        <v>200.00000000000006</v>
      </c>
      <c r="D45" s="189" t="s">
        <v>1513</v>
      </c>
      <c r="E45" s="712">
        <f>8/4</f>
        <v>2</v>
      </c>
      <c r="F45" s="184" t="str">
        <f>F44</f>
        <v>Mercury</v>
      </c>
      <c r="G45" s="713">
        <f>G44</f>
        <v>2</v>
      </c>
      <c r="H45" s="188" t="s">
        <v>1515</v>
      </c>
      <c r="I45" s="182">
        <f>3/4</f>
        <v>0.75</v>
      </c>
      <c r="J45" s="172" t="s">
        <v>1515</v>
      </c>
      <c r="K45" s="717">
        <f>13/4</f>
        <v>3.25</v>
      </c>
      <c r="L45" s="184" t="s">
        <v>1515</v>
      </c>
      <c r="M45" s="713">
        <f>13/3</f>
        <v>4.333333333333333</v>
      </c>
      <c r="N45" s="184" t="str">
        <f>N44</f>
        <v>Mercury</v>
      </c>
      <c r="O45" s="713">
        <f>O44</f>
        <v>4.333333333333333</v>
      </c>
      <c r="P45" s="580" t="s">
        <v>1515</v>
      </c>
      <c r="Q45" s="187">
        <f>3/4</f>
        <v>0.75</v>
      </c>
      <c r="R45" s="189" t="s">
        <v>1512</v>
      </c>
      <c r="S45" s="187">
        <f>9/4</f>
        <v>2.25</v>
      </c>
      <c r="T45" s="166" t="str">
        <f>T46</f>
        <v>Sun</v>
      </c>
      <c r="U45" s="717">
        <f>9/4</f>
        <v>2.25</v>
      </c>
      <c r="V45" s="973" t="s">
        <v>1514</v>
      </c>
      <c r="W45" s="974">
        <f>9/4</f>
        <v>2.25</v>
      </c>
      <c r="X45" s="973" t="s">
        <v>1514</v>
      </c>
      <c r="Y45" s="974">
        <f>9/3</f>
        <v>3</v>
      </c>
      <c r="Z45" s="1173" t="s">
        <v>1514</v>
      </c>
      <c r="AA45" s="1172">
        <f>AA44</f>
        <v>5</v>
      </c>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row>
    <row r="46" spans="1:250" x14ac:dyDescent="0.2">
      <c r="A46">
        <v>17</v>
      </c>
      <c r="B46" t="s">
        <v>1526</v>
      </c>
      <c r="C46" s="407">
        <f t="shared" si="0"/>
        <v>213.3333333333334</v>
      </c>
      <c r="D46" s="174" t="s">
        <v>1517</v>
      </c>
      <c r="E46" s="708">
        <f>17/3</f>
        <v>5.666666666666667</v>
      </c>
      <c r="F46" s="184" t="str">
        <f>F45</f>
        <v>Mercury</v>
      </c>
      <c r="G46" s="713">
        <f>G45</f>
        <v>2</v>
      </c>
      <c r="H46" s="174" t="s">
        <v>1513</v>
      </c>
      <c r="I46" s="175">
        <f>4/3</f>
        <v>1.3333333333333333</v>
      </c>
      <c r="J46" s="172" t="s">
        <v>1515</v>
      </c>
      <c r="K46" s="717">
        <f>13/4</f>
        <v>3.25</v>
      </c>
      <c r="L46" s="184" t="s">
        <v>1515</v>
      </c>
      <c r="M46" s="713">
        <f>13/3</f>
        <v>4.333333333333333</v>
      </c>
      <c r="N46" s="184" t="str">
        <f>N45</f>
        <v>Mercury</v>
      </c>
      <c r="O46" s="713">
        <f>O45</f>
        <v>4.333333333333333</v>
      </c>
      <c r="P46" s="174" t="str">
        <f>P47</f>
        <v>Sun</v>
      </c>
      <c r="Q46" s="175">
        <f>2/3</f>
        <v>0.66666666666666663</v>
      </c>
      <c r="R46" s="948" t="str">
        <f>R47</f>
        <v>Sun</v>
      </c>
      <c r="S46" s="175">
        <f>S47</f>
        <v>3</v>
      </c>
      <c r="T46" s="166" t="str">
        <f>T47</f>
        <v>Sun</v>
      </c>
      <c r="U46" s="717">
        <f>U47</f>
        <v>2.25</v>
      </c>
      <c r="V46" s="973" t="s">
        <v>1514</v>
      </c>
      <c r="W46" s="974">
        <f>9/4</f>
        <v>2.25</v>
      </c>
      <c r="X46" s="973" t="s">
        <v>1514</v>
      </c>
      <c r="Y46" s="974">
        <f>9/3</f>
        <v>3</v>
      </c>
      <c r="Z46" s="1175" t="s">
        <v>1513</v>
      </c>
      <c r="AA46" s="1174">
        <f>17/4</f>
        <v>4.25</v>
      </c>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row>
    <row r="47" spans="1:250" x14ac:dyDescent="0.2">
      <c r="A47">
        <v>18</v>
      </c>
      <c r="B47" t="s">
        <v>1594</v>
      </c>
      <c r="C47" s="407">
        <f t="shared" si="0"/>
        <v>226.66666666666674</v>
      </c>
      <c r="D47" s="176" t="s">
        <v>1517</v>
      </c>
      <c r="E47" s="709">
        <f>17/3</f>
        <v>5.666666666666667</v>
      </c>
      <c r="F47" s="178" t="s">
        <v>1519</v>
      </c>
      <c r="G47" s="714">
        <f>6/4</f>
        <v>1.5</v>
      </c>
      <c r="H47" s="174" t="s">
        <v>1513</v>
      </c>
      <c r="I47" s="175">
        <f>4/3</f>
        <v>1.3333333333333333</v>
      </c>
      <c r="J47" s="172" t="s">
        <v>1515</v>
      </c>
      <c r="K47" s="717">
        <f>13/4</f>
        <v>3.25</v>
      </c>
      <c r="L47" s="178" t="s">
        <v>1516</v>
      </c>
      <c r="M47" s="714">
        <f>14/4</f>
        <v>3.5</v>
      </c>
      <c r="N47" s="178" t="s">
        <v>1518</v>
      </c>
      <c r="O47" s="714">
        <f>11/4</f>
        <v>2.75</v>
      </c>
      <c r="P47" s="176" t="str">
        <f>P48</f>
        <v>Sun</v>
      </c>
      <c r="Q47" s="177">
        <f>Q46</f>
        <v>0.66666666666666663</v>
      </c>
      <c r="R47" s="949" t="str">
        <f>R48</f>
        <v>Sun</v>
      </c>
      <c r="S47" s="177">
        <f>S48</f>
        <v>3</v>
      </c>
      <c r="T47" s="166" t="str">
        <f>T48</f>
        <v>Sun</v>
      </c>
      <c r="U47" s="717">
        <f>U48</f>
        <v>2.25</v>
      </c>
      <c r="V47" s="973" t="s">
        <v>1514</v>
      </c>
      <c r="W47" s="974">
        <f>9/4</f>
        <v>2.25</v>
      </c>
      <c r="X47" s="973" t="s">
        <v>1514</v>
      </c>
      <c r="Y47" s="974">
        <f>9/3</f>
        <v>3</v>
      </c>
      <c r="Z47" s="1175" t="s">
        <v>1513</v>
      </c>
      <c r="AA47" s="1174">
        <f>AA46</f>
        <v>4.25</v>
      </c>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row>
    <row r="48" spans="1:250" x14ac:dyDescent="0.2">
      <c r="A48">
        <v>19</v>
      </c>
      <c r="B48" s="165" t="s">
        <v>1538</v>
      </c>
      <c r="C48" s="407">
        <f t="shared" si="0"/>
        <v>240.00000000000009</v>
      </c>
      <c r="D48" s="179" t="s">
        <v>1517</v>
      </c>
      <c r="E48" s="710">
        <f>17/3</f>
        <v>5.666666666666667</v>
      </c>
      <c r="F48" s="178" t="str">
        <f t="shared" ref="F48:G50" si="12">F47</f>
        <v>Venus</v>
      </c>
      <c r="G48" s="714">
        <f t="shared" si="12"/>
        <v>1.5</v>
      </c>
      <c r="H48" s="174" t="s">
        <v>1513</v>
      </c>
      <c r="I48" s="175">
        <f>4/3</f>
        <v>1.3333333333333333</v>
      </c>
      <c r="J48" s="172" t="s">
        <v>1516</v>
      </c>
      <c r="K48" s="717">
        <f>14/3</f>
        <v>4.666666666666667</v>
      </c>
      <c r="L48" s="178" t="s">
        <v>1516</v>
      </c>
      <c r="M48" s="714">
        <f>14/4</f>
        <v>3.5</v>
      </c>
      <c r="N48" s="178" t="str">
        <f t="shared" ref="N48:O50" si="13">N47</f>
        <v>Ketu</v>
      </c>
      <c r="O48" s="714">
        <f t="shared" si="13"/>
        <v>2.75</v>
      </c>
      <c r="P48" s="579" t="s">
        <v>1511</v>
      </c>
      <c r="Q48" s="180">
        <f>Q47</f>
        <v>0.66666666666666663</v>
      </c>
      <c r="R48" s="950" t="s">
        <v>1511</v>
      </c>
      <c r="S48" s="180">
        <f>9/3</f>
        <v>3</v>
      </c>
      <c r="T48" s="166" t="s">
        <v>1511</v>
      </c>
      <c r="U48" s="717">
        <f>9/4</f>
        <v>2.25</v>
      </c>
      <c r="V48" s="971" t="s">
        <v>1511</v>
      </c>
      <c r="W48" s="974">
        <f>9/3</f>
        <v>3</v>
      </c>
      <c r="X48" s="971" t="s">
        <v>1511</v>
      </c>
      <c r="Y48" s="974">
        <f>9/4</f>
        <v>2.25</v>
      </c>
      <c r="Z48" s="1175" t="s">
        <v>1513</v>
      </c>
      <c r="AA48" s="1174">
        <f>AA47</f>
        <v>4.25</v>
      </c>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row>
    <row r="49" spans="1:256" x14ac:dyDescent="0.2">
      <c r="A49">
        <v>20</v>
      </c>
      <c r="B49" s="165" t="s">
        <v>1595</v>
      </c>
      <c r="C49" s="407">
        <f t="shared" si="0"/>
        <v>253.33333333333343</v>
      </c>
      <c r="D49" s="188" t="s">
        <v>1516</v>
      </c>
      <c r="E49" s="711">
        <f>10/4</f>
        <v>2.5</v>
      </c>
      <c r="F49" s="178" t="str">
        <f t="shared" si="12"/>
        <v>Venus</v>
      </c>
      <c r="G49" s="714">
        <f t="shared" si="12"/>
        <v>1.5</v>
      </c>
      <c r="H49" s="188" t="s">
        <v>1517</v>
      </c>
      <c r="I49" s="182">
        <f>4/4</f>
        <v>1</v>
      </c>
      <c r="J49" s="172" t="s">
        <v>1516</v>
      </c>
      <c r="K49" s="717">
        <f>14/3</f>
        <v>4.666666666666667</v>
      </c>
      <c r="L49" s="178" t="s">
        <v>1516</v>
      </c>
      <c r="M49" s="714">
        <f>14/4</f>
        <v>3.5</v>
      </c>
      <c r="N49" s="178" t="str">
        <f t="shared" si="13"/>
        <v>Ketu</v>
      </c>
      <c r="O49" s="714">
        <f t="shared" si="13"/>
        <v>2.75</v>
      </c>
      <c r="P49" s="578" t="s">
        <v>1512</v>
      </c>
      <c r="Q49" s="182">
        <f>1/4</f>
        <v>0.25</v>
      </c>
      <c r="R49" s="188" t="str">
        <f t="shared" ref="R49:S51" si="14">R50</f>
        <v>Rahu</v>
      </c>
      <c r="S49" s="182">
        <f t="shared" si="14"/>
        <v>2.25</v>
      </c>
      <c r="T49" s="587" t="s">
        <v>1514</v>
      </c>
      <c r="U49" s="717">
        <f>9/3</f>
        <v>3</v>
      </c>
      <c r="V49" s="971" t="s">
        <v>1511</v>
      </c>
      <c r="W49" s="974">
        <f>9/3</f>
        <v>3</v>
      </c>
      <c r="X49" s="971" t="s">
        <v>1511</v>
      </c>
      <c r="Y49" s="974">
        <f>9/4</f>
        <v>2.25</v>
      </c>
      <c r="Z49" s="1175" t="s">
        <v>1513</v>
      </c>
      <c r="AA49" s="1174">
        <f>AA48</f>
        <v>4.25</v>
      </c>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row>
    <row r="50" spans="1:256" x14ac:dyDescent="0.2">
      <c r="A50">
        <v>21</v>
      </c>
      <c r="B50" t="s">
        <v>1089</v>
      </c>
      <c r="C50" s="407">
        <f t="shared" si="0"/>
        <v>266.66666666666674</v>
      </c>
      <c r="D50" s="169" t="s">
        <v>1516</v>
      </c>
      <c r="E50" s="707">
        <f>E49</f>
        <v>2.5</v>
      </c>
      <c r="F50" s="178" t="str">
        <f t="shared" si="12"/>
        <v>Venus</v>
      </c>
      <c r="G50" s="714">
        <f t="shared" si="12"/>
        <v>1.5</v>
      </c>
      <c r="H50" s="169" t="str">
        <f>H49</f>
        <v>Mercury</v>
      </c>
      <c r="I50" s="170">
        <f>I49</f>
        <v>1</v>
      </c>
      <c r="J50" s="172" t="s">
        <v>1516</v>
      </c>
      <c r="K50" s="717">
        <f>14/3</f>
        <v>4.666666666666667</v>
      </c>
      <c r="L50" s="178" t="s">
        <v>1516</v>
      </c>
      <c r="M50" s="714">
        <f>14/4</f>
        <v>3.5</v>
      </c>
      <c r="N50" s="178" t="str">
        <f t="shared" si="13"/>
        <v>Ketu</v>
      </c>
      <c r="O50" s="714">
        <f t="shared" si="13"/>
        <v>2.75</v>
      </c>
      <c r="P50" s="169" t="str">
        <f>P49</f>
        <v>Moon</v>
      </c>
      <c r="Q50" s="169">
        <f>Q49</f>
        <v>0.25</v>
      </c>
      <c r="R50" s="169" t="str">
        <f t="shared" si="14"/>
        <v>Rahu</v>
      </c>
      <c r="S50" s="170">
        <f t="shared" si="14"/>
        <v>2.25</v>
      </c>
      <c r="T50" s="587" t="str">
        <f>T49</f>
        <v>Rahu</v>
      </c>
      <c r="U50" s="717">
        <f>U49</f>
        <v>3</v>
      </c>
      <c r="V50" s="971" t="s">
        <v>1511</v>
      </c>
      <c r="W50" s="974">
        <f>9/3</f>
        <v>3</v>
      </c>
      <c r="X50" s="971" t="s">
        <v>1511</v>
      </c>
      <c r="Y50" s="974">
        <f>9/4</f>
        <v>2.25</v>
      </c>
      <c r="Z50" s="1173" t="s">
        <v>1516</v>
      </c>
      <c r="AA50" s="1172">
        <f>19/3</f>
        <v>6.333333333333333</v>
      </c>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row>
    <row r="51" spans="1:256" x14ac:dyDescent="0.2">
      <c r="A51" s="190">
        <v>22</v>
      </c>
      <c r="B51" s="1176" t="s">
        <v>1897</v>
      </c>
      <c r="C51" s="919">
        <f>C50+10</f>
        <v>276.66666666666674</v>
      </c>
      <c r="D51" s="188" t="s">
        <v>1516</v>
      </c>
      <c r="E51" s="711">
        <f>E50*15/19</f>
        <v>1.9736842105263157</v>
      </c>
      <c r="F51" s="184" t="str">
        <f>F52</f>
        <v>Saturn</v>
      </c>
      <c r="G51" s="184">
        <f>G52</f>
        <v>2</v>
      </c>
      <c r="H51" s="169" t="str">
        <f>H50</f>
        <v>Mercury</v>
      </c>
      <c r="I51" s="170">
        <f>I50</f>
        <v>1</v>
      </c>
      <c r="J51" s="190" t="s">
        <v>1518</v>
      </c>
      <c r="K51" s="718">
        <f>K52*15/19</f>
        <v>2.9605263157894739</v>
      </c>
      <c r="L51" s="192" t="s">
        <v>1518</v>
      </c>
      <c r="M51" s="715">
        <f>M52*15/19</f>
        <v>3.9473684210526314</v>
      </c>
      <c r="N51" s="184" t="str">
        <f>N52</f>
        <v>Jupiter</v>
      </c>
      <c r="O51" s="713">
        <f>O52</f>
        <v>3</v>
      </c>
      <c r="P51" s="169" t="str">
        <f>P50</f>
        <v>Moon</v>
      </c>
      <c r="Q51" s="169">
        <f>Q50</f>
        <v>0.25</v>
      </c>
      <c r="R51" s="169" t="str">
        <f t="shared" si="14"/>
        <v>Rahu</v>
      </c>
      <c r="S51" s="182">
        <f t="shared" si="14"/>
        <v>2.25</v>
      </c>
      <c r="T51" s="190" t="str">
        <f>T50</f>
        <v>Rahu</v>
      </c>
      <c r="U51" s="718">
        <f>U50</f>
        <v>3</v>
      </c>
      <c r="V51" s="975" t="s">
        <v>1512</v>
      </c>
      <c r="W51" s="976">
        <f>W52</f>
        <v>2.25</v>
      </c>
      <c r="X51" s="977" t="s">
        <v>1511</v>
      </c>
      <c r="Y51" s="976">
        <f>Y50</f>
        <v>2.25</v>
      </c>
      <c r="Z51" s="1173" t="s">
        <v>1516</v>
      </c>
      <c r="AA51" s="1172">
        <f>AA50</f>
        <v>6.333333333333333</v>
      </c>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row>
    <row r="52" spans="1:256" x14ac:dyDescent="0.2">
      <c r="A52">
        <v>24</v>
      </c>
      <c r="B52" t="s">
        <v>4153</v>
      </c>
      <c r="C52" s="407">
        <f>(C51+(13+1/3)/4)+(13+1/3)/15</f>
        <v>280.88888888888897</v>
      </c>
      <c r="D52" s="189" t="s">
        <v>1516</v>
      </c>
      <c r="E52" s="712">
        <f>E50</f>
        <v>2.5</v>
      </c>
      <c r="F52" s="184" t="str">
        <f>F53</f>
        <v>Saturn</v>
      </c>
      <c r="G52" s="184">
        <f>G53</f>
        <v>2</v>
      </c>
      <c r="H52" s="169" t="str">
        <f>H51</f>
        <v>Mercury</v>
      </c>
      <c r="I52" s="187">
        <f>I50</f>
        <v>1</v>
      </c>
      <c r="J52" s="172" t="s">
        <v>1518</v>
      </c>
      <c r="K52" s="717">
        <f>15/4</f>
        <v>3.75</v>
      </c>
      <c r="L52" s="184" t="s">
        <v>1518</v>
      </c>
      <c r="M52" s="713">
        <f>15/3</f>
        <v>5</v>
      </c>
      <c r="N52" s="184" t="str">
        <f>N53</f>
        <v>Jupiter</v>
      </c>
      <c r="O52" s="713">
        <f>O53</f>
        <v>3</v>
      </c>
      <c r="P52" s="188" t="str">
        <f>P51</f>
        <v>Moon</v>
      </c>
      <c r="Q52" s="1177">
        <f>Q50</f>
        <v>0.25</v>
      </c>
      <c r="R52" s="189" t="s">
        <v>1514</v>
      </c>
      <c r="S52" s="187">
        <f>9/4</f>
        <v>2.25</v>
      </c>
      <c r="T52" s="586" t="str">
        <f>T53</f>
        <v>Saturn</v>
      </c>
      <c r="U52" s="717">
        <f>U53</f>
        <v>2.25</v>
      </c>
      <c r="V52" s="973" t="s">
        <v>1512</v>
      </c>
      <c r="W52" s="974">
        <f>9/4</f>
        <v>2.25</v>
      </c>
      <c r="X52" s="973" t="s">
        <v>1512</v>
      </c>
      <c r="Y52" s="974">
        <f>9/3</f>
        <v>3</v>
      </c>
      <c r="Z52" s="1173" t="s">
        <v>1516</v>
      </c>
      <c r="AA52" s="1172">
        <f>AA51</f>
        <v>6.333333333333333</v>
      </c>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row>
    <row r="53" spans="1:256" x14ac:dyDescent="0.2">
      <c r="A53">
        <v>25</v>
      </c>
      <c r="B53" t="s">
        <v>1596</v>
      </c>
      <c r="C53" s="407">
        <f>C50+13+1/3+13+1/3</f>
        <v>293.33333333333337</v>
      </c>
      <c r="D53" s="174" t="s">
        <v>1515</v>
      </c>
      <c r="E53" s="708">
        <f>19/3</f>
        <v>6.333333333333333</v>
      </c>
      <c r="F53" s="184" t="s">
        <v>1516</v>
      </c>
      <c r="G53" s="713">
        <f>6/3</f>
        <v>2</v>
      </c>
      <c r="H53" s="174" t="s">
        <v>1516</v>
      </c>
      <c r="I53" s="175">
        <f>6/3</f>
        <v>2</v>
      </c>
      <c r="J53" s="172" t="s">
        <v>1518</v>
      </c>
      <c r="K53" s="717">
        <f>15/4</f>
        <v>3.75</v>
      </c>
      <c r="L53" s="184" t="s">
        <v>1518</v>
      </c>
      <c r="M53" s="713">
        <f>15/3</f>
        <v>5</v>
      </c>
      <c r="N53" s="184" t="s">
        <v>1515</v>
      </c>
      <c r="O53" s="713">
        <f>9/3</f>
        <v>3</v>
      </c>
      <c r="P53" s="174" t="str">
        <f t="shared" ref="P53:U54" si="15">P54</f>
        <v>Rahu</v>
      </c>
      <c r="Q53" s="175">
        <f t="shared" si="15"/>
        <v>2.6666666666666665</v>
      </c>
      <c r="R53" s="174" t="str">
        <f t="shared" si="15"/>
        <v>Saturn</v>
      </c>
      <c r="S53" s="175">
        <f t="shared" si="15"/>
        <v>3</v>
      </c>
      <c r="T53" s="172" t="str">
        <f t="shared" si="15"/>
        <v>Saturn</v>
      </c>
      <c r="U53" s="717">
        <f t="shared" si="15"/>
        <v>2.25</v>
      </c>
      <c r="V53" s="973" t="s">
        <v>1512</v>
      </c>
      <c r="W53" s="974">
        <f>9/4</f>
        <v>2.25</v>
      </c>
      <c r="X53" s="973" t="s">
        <v>1512</v>
      </c>
      <c r="Y53" s="974">
        <f>9/3</f>
        <v>3</v>
      </c>
      <c r="Z53" s="1175" t="s">
        <v>1512</v>
      </c>
      <c r="AA53" s="1174">
        <f>21/4</f>
        <v>5.25</v>
      </c>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row>
    <row r="54" spans="1:256" x14ac:dyDescent="0.2">
      <c r="A54">
        <v>26</v>
      </c>
      <c r="B54" t="s">
        <v>1597</v>
      </c>
      <c r="C54" s="407">
        <f>C53+13+1/3</f>
        <v>306.66666666666669</v>
      </c>
      <c r="D54" s="176" t="s">
        <v>1515</v>
      </c>
      <c r="E54" s="709">
        <f>19/3</f>
        <v>6.333333333333333</v>
      </c>
      <c r="F54" s="197" t="s">
        <v>1514</v>
      </c>
      <c r="G54" s="714">
        <f>6/4</f>
        <v>1.5</v>
      </c>
      <c r="H54" s="176" t="str">
        <f>H53</f>
        <v>Saturn</v>
      </c>
      <c r="I54" s="177">
        <f>I53</f>
        <v>2</v>
      </c>
      <c r="J54" s="172" t="s">
        <v>1518</v>
      </c>
      <c r="K54" s="717">
        <f>15/4</f>
        <v>3.75</v>
      </c>
      <c r="L54" s="197" t="s">
        <v>1512</v>
      </c>
      <c r="M54" s="714">
        <f>16/4</f>
        <v>4</v>
      </c>
      <c r="N54" s="197" t="s">
        <v>1511</v>
      </c>
      <c r="O54" s="714">
        <f>7/4</f>
        <v>1.75</v>
      </c>
      <c r="P54" s="176" t="str">
        <f t="shared" si="15"/>
        <v>Rahu</v>
      </c>
      <c r="Q54" s="177">
        <f t="shared" si="15"/>
        <v>2.6666666666666665</v>
      </c>
      <c r="R54" s="176" t="str">
        <f t="shared" si="15"/>
        <v>Saturn</v>
      </c>
      <c r="S54" s="177">
        <f t="shared" si="15"/>
        <v>3</v>
      </c>
      <c r="T54" s="172" t="str">
        <f t="shared" si="15"/>
        <v>Saturn</v>
      </c>
      <c r="U54" s="717">
        <f t="shared" si="15"/>
        <v>2.25</v>
      </c>
      <c r="V54" s="973" t="s">
        <v>1512</v>
      </c>
      <c r="W54" s="974">
        <f>9/4</f>
        <v>2.25</v>
      </c>
      <c r="X54" s="973" t="s">
        <v>1512</v>
      </c>
      <c r="Y54" s="974">
        <f>9/3</f>
        <v>3</v>
      </c>
      <c r="Z54" s="1175" t="s">
        <v>1512</v>
      </c>
      <c r="AA54" s="1174">
        <f>AA53</f>
        <v>5.25</v>
      </c>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row>
    <row r="55" spans="1:256" x14ac:dyDescent="0.2">
      <c r="A55">
        <v>27</v>
      </c>
      <c r="B55" t="s">
        <v>1598</v>
      </c>
      <c r="C55" s="407">
        <f>C54+13+1/3</f>
        <v>320</v>
      </c>
      <c r="D55" s="179" t="s">
        <v>1515</v>
      </c>
      <c r="E55" s="710">
        <f>19/3</f>
        <v>6.333333333333333</v>
      </c>
      <c r="F55" s="178" t="str">
        <f t="shared" ref="F55:G57" si="16">F54</f>
        <v>Rahu</v>
      </c>
      <c r="G55" s="714">
        <f t="shared" si="16"/>
        <v>1.5</v>
      </c>
      <c r="H55" s="176" t="str">
        <f>H54</f>
        <v>Saturn</v>
      </c>
      <c r="I55" s="180">
        <f>I54</f>
        <v>2</v>
      </c>
      <c r="J55" s="172" t="s">
        <v>1512</v>
      </c>
      <c r="K55" s="717">
        <f>16/3</f>
        <v>5.333333333333333</v>
      </c>
      <c r="L55" s="178" t="s">
        <v>1512</v>
      </c>
      <c r="M55" s="714">
        <f>16/4</f>
        <v>4</v>
      </c>
      <c r="N55" s="178" t="str">
        <f t="shared" ref="N55:O57" si="17">N54</f>
        <v>Sun</v>
      </c>
      <c r="O55" s="714">
        <f t="shared" si="17"/>
        <v>1.75</v>
      </c>
      <c r="P55" s="579" t="s">
        <v>1514</v>
      </c>
      <c r="Q55" s="180">
        <f>8/3</f>
        <v>2.6666666666666665</v>
      </c>
      <c r="R55" s="179" t="s">
        <v>1516</v>
      </c>
      <c r="S55" s="180">
        <v>3</v>
      </c>
      <c r="T55" s="586" t="s">
        <v>1516</v>
      </c>
      <c r="U55" s="717">
        <f>9/4</f>
        <v>2.25</v>
      </c>
      <c r="V55" s="973" t="s">
        <v>1513</v>
      </c>
      <c r="W55" s="974">
        <v>3</v>
      </c>
      <c r="X55" s="973" t="s">
        <v>1513</v>
      </c>
      <c r="Y55" s="974">
        <f>9/4</f>
        <v>2.25</v>
      </c>
      <c r="Z55" s="1175" t="s">
        <v>1512</v>
      </c>
      <c r="AA55" s="1174">
        <f>AA54</f>
        <v>5.25</v>
      </c>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row>
    <row r="56" spans="1:256" x14ac:dyDescent="0.2">
      <c r="A56">
        <v>28</v>
      </c>
      <c r="B56" s="165" t="s">
        <v>1599</v>
      </c>
      <c r="C56" s="407">
        <f>C55+13+1/3</f>
        <v>333.33333333333331</v>
      </c>
      <c r="D56" s="169" t="s">
        <v>1514</v>
      </c>
      <c r="E56" s="707">
        <f>12/4</f>
        <v>3</v>
      </c>
      <c r="F56" s="178" t="str">
        <f t="shared" si="16"/>
        <v>Rahu</v>
      </c>
      <c r="G56" s="714">
        <f t="shared" si="16"/>
        <v>1.5</v>
      </c>
      <c r="H56" s="169" t="s">
        <v>1519</v>
      </c>
      <c r="I56" s="170">
        <f>7/4</f>
        <v>1.75</v>
      </c>
      <c r="J56" s="172" t="s">
        <v>1512</v>
      </c>
      <c r="K56" s="717">
        <f>16/3</f>
        <v>5.333333333333333</v>
      </c>
      <c r="L56" s="178" t="s">
        <v>1512</v>
      </c>
      <c r="M56" s="714">
        <f>16/4</f>
        <v>4</v>
      </c>
      <c r="N56" s="178" t="str">
        <f t="shared" si="17"/>
        <v>Sun</v>
      </c>
      <c r="O56" s="714">
        <f t="shared" si="17"/>
        <v>1.75</v>
      </c>
      <c r="P56" s="169" t="str">
        <f t="shared" ref="P56:U56" si="18">P57</f>
        <v>Venus</v>
      </c>
      <c r="Q56" s="170">
        <f t="shared" si="18"/>
        <v>1.75</v>
      </c>
      <c r="R56" s="169" t="str">
        <f t="shared" si="18"/>
        <v>Venus</v>
      </c>
      <c r="S56" s="170">
        <f t="shared" si="18"/>
        <v>2.25</v>
      </c>
      <c r="T56" s="172" t="str">
        <f t="shared" si="18"/>
        <v>Venus</v>
      </c>
      <c r="U56" s="717">
        <f t="shared" si="18"/>
        <v>3</v>
      </c>
      <c r="V56" s="973" t="s">
        <v>1513</v>
      </c>
      <c r="W56" s="974">
        <v>3</v>
      </c>
      <c r="X56" s="973" t="s">
        <v>1513</v>
      </c>
      <c r="Y56" s="974">
        <f>9/4</f>
        <v>2.25</v>
      </c>
      <c r="Z56" s="1175" t="s">
        <v>1512</v>
      </c>
      <c r="AA56" s="1174">
        <f>AA55</f>
        <v>5.25</v>
      </c>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row>
    <row r="57" spans="1:256" x14ac:dyDescent="0.2">
      <c r="A57">
        <v>29</v>
      </c>
      <c r="B57" t="s">
        <v>1532</v>
      </c>
      <c r="C57" s="407">
        <f>C56+13+1/3</f>
        <v>346.66666666666663</v>
      </c>
      <c r="D57" s="169" t="s">
        <v>1514</v>
      </c>
      <c r="E57" s="707">
        <f>12/4</f>
        <v>3</v>
      </c>
      <c r="F57" s="178" t="str">
        <f t="shared" si="16"/>
        <v>Rahu</v>
      </c>
      <c r="G57" s="714">
        <f t="shared" si="16"/>
        <v>1.5</v>
      </c>
      <c r="H57" s="169" t="str">
        <f>H56</f>
        <v>Venus</v>
      </c>
      <c r="I57" s="170">
        <f>I56</f>
        <v>1.75</v>
      </c>
      <c r="J57" s="172" t="s">
        <v>1512</v>
      </c>
      <c r="K57" s="717">
        <f>16/3</f>
        <v>5.333333333333333</v>
      </c>
      <c r="L57" s="178" t="s">
        <v>1512</v>
      </c>
      <c r="M57" s="714">
        <f>16/4</f>
        <v>4</v>
      </c>
      <c r="N57" s="178" t="str">
        <f t="shared" si="17"/>
        <v>Sun</v>
      </c>
      <c r="O57" s="714">
        <f t="shared" si="17"/>
        <v>1.75</v>
      </c>
      <c r="P57" s="169" t="str">
        <f>P31</f>
        <v>Venus</v>
      </c>
      <c r="Q57" s="170">
        <f>Q31</f>
        <v>1.75</v>
      </c>
      <c r="R57" s="169" t="str">
        <f>R30</f>
        <v>Venus</v>
      </c>
      <c r="S57" s="170">
        <f>S30</f>
        <v>2.25</v>
      </c>
      <c r="T57" s="586" t="str">
        <f>T30</f>
        <v>Venus</v>
      </c>
      <c r="U57" s="717">
        <f>U30</f>
        <v>3</v>
      </c>
      <c r="V57" s="973" t="s">
        <v>1513</v>
      </c>
      <c r="W57" s="974">
        <v>3</v>
      </c>
      <c r="X57" s="973" t="s">
        <v>1513</v>
      </c>
      <c r="Y57" s="974">
        <f>9/4</f>
        <v>2.25</v>
      </c>
      <c r="Z57" s="1173" t="s">
        <v>1511</v>
      </c>
      <c r="AA57" s="1172">
        <f>7/3</f>
        <v>2.3333333333333335</v>
      </c>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row>
    <row r="58" spans="1:256" x14ac:dyDescent="0.2">
      <c r="A58"/>
      <c r="B58" s="165" t="s">
        <v>1600</v>
      </c>
      <c r="C58" s="168">
        <f>C57+13+1/3</f>
        <v>359.99999999999994</v>
      </c>
      <c r="D58" s="194">
        <v>108</v>
      </c>
      <c r="E58" s="196">
        <f>SUM(E30:E57)</f>
        <v>107.4736842105263</v>
      </c>
      <c r="F58" s="194">
        <v>60</v>
      </c>
      <c r="G58" s="196">
        <f>SUM(G30:G57)</f>
        <v>60</v>
      </c>
      <c r="H58" s="194">
        <v>108</v>
      </c>
      <c r="I58" s="585">
        <f>SUM(I30:I57)</f>
        <v>33</v>
      </c>
      <c r="J58" s="194">
        <v>116</v>
      </c>
      <c r="K58" s="585">
        <f>SUM(K30:K57)</f>
        <v>115.21052631578948</v>
      </c>
      <c r="L58" s="194">
        <v>116</v>
      </c>
      <c r="M58" s="196">
        <f>SUM(M30:M57)</f>
        <v>114.94736842105262</v>
      </c>
      <c r="N58" s="194">
        <v>60</v>
      </c>
      <c r="O58" s="196">
        <f>SUM(O30:O57)</f>
        <v>111.99999999999999</v>
      </c>
      <c r="P58" s="194">
        <f>Q58</f>
        <v>36.000000000000007</v>
      </c>
      <c r="Q58" s="585">
        <f>SUM(Q30:Q57)</f>
        <v>36.000000000000007</v>
      </c>
      <c r="R58" s="194">
        <v>72</v>
      </c>
      <c r="S58" s="196">
        <f>SUM(S30:S57)</f>
        <v>72</v>
      </c>
      <c r="T58" s="194">
        <v>72</v>
      </c>
      <c r="U58" s="196">
        <f>SUM(U30:U57)</f>
        <v>72</v>
      </c>
      <c r="V58" s="978">
        <v>72</v>
      </c>
      <c r="W58" s="979">
        <f>SUM(W30:W57)</f>
        <v>72</v>
      </c>
      <c r="X58" s="978">
        <v>72</v>
      </c>
      <c r="Y58" s="979">
        <f>SUM(Y30:Y57)</f>
        <v>72</v>
      </c>
      <c r="Z58" s="194">
        <v>60</v>
      </c>
      <c r="AA58" s="585">
        <f>SUM(AA30:AA57)</f>
        <v>111.99999999999999</v>
      </c>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row>
    <row r="59" spans="1:256" x14ac:dyDescent="0.2">
      <c r="A59">
        <f>DaysInYear</f>
        <v>365.25487268518202</v>
      </c>
      <c r="B59"/>
      <c r="C59" s="168"/>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x14ac:dyDescent="0.2">
      <c r="A60" s="198"/>
      <c r="B60" s="199" t="s">
        <v>1150</v>
      </c>
      <c r="C60" s="210">
        <f>DoB</f>
        <v>26133.384143518517</v>
      </c>
      <c r="D60" s="199" t="s">
        <v>3687</v>
      </c>
      <c r="E60" s="199"/>
      <c r="F60" s="199"/>
      <c r="G60" s="200"/>
      <c r="I60" s="198"/>
      <c r="J60" s="199"/>
      <c r="K60" s="199"/>
      <c r="L60" s="199"/>
      <c r="M60" s="199"/>
      <c r="N60" s="199"/>
      <c r="O60" s="200"/>
      <c r="Q60" s="198"/>
      <c r="R60" s="199"/>
      <c r="S60" s="199"/>
      <c r="T60" s="199"/>
      <c r="U60" s="199"/>
      <c r="V60" s="199"/>
      <c r="W60" s="200"/>
    </row>
    <row r="61" spans="1:256" x14ac:dyDescent="0.2">
      <c r="A61" s="201"/>
      <c r="B61" s="154" t="s">
        <v>1601</v>
      </c>
      <c r="C61" s="202">
        <v>14</v>
      </c>
      <c r="D61" s="154" t="s">
        <v>3266</v>
      </c>
      <c r="G61" s="203"/>
      <c r="I61" s="201"/>
      <c r="J61" s="164" t="s">
        <v>1602</v>
      </c>
      <c r="L61" s="164" t="s">
        <v>1141</v>
      </c>
      <c r="M61" s="164" t="s">
        <v>1490</v>
      </c>
      <c r="N61" s="164" t="s">
        <v>1150</v>
      </c>
      <c r="O61" s="203"/>
      <c r="Q61" s="201"/>
      <c r="R61" s="164" t="s">
        <v>1603</v>
      </c>
      <c r="T61" s="164" t="s">
        <v>1604</v>
      </c>
      <c r="U61" s="164" t="s">
        <v>1490</v>
      </c>
      <c r="V61" s="164" t="s">
        <v>1150</v>
      </c>
      <c r="W61" s="203"/>
    </row>
    <row r="62" spans="1:256" x14ac:dyDescent="0.2">
      <c r="A62" s="201"/>
      <c r="B62" s="154" t="s">
        <v>1605</v>
      </c>
      <c r="C62" s="202">
        <f>Moon</f>
        <v>53.015944444444443</v>
      </c>
      <c r="D62" s="154" t="s">
        <v>3688</v>
      </c>
      <c r="G62" s="203"/>
      <c r="I62" s="201"/>
      <c r="J62" s="154">
        <f>VLOOKUP("&gt;",MahaDasaTable,2,0)</f>
        <v>3</v>
      </c>
      <c r="K62" s="784">
        <f>VLOOKUP("&gt;",MahaDasaTable,3,0)</f>
        <v>1</v>
      </c>
      <c r="L62" s="204" t="str">
        <f>VLOOKUP("&gt;",MahaDasaTable,4,0)</f>
        <v>Saturn</v>
      </c>
      <c r="M62" s="205">
        <f>VLOOKUP("&gt;",MahaDasaTable,5,0)*M63</f>
        <v>6</v>
      </c>
      <c r="N62" s="204">
        <f>VLOOKUP("&gt;",MahaDasaTable,6,0)</f>
        <v>37838.929245174753</v>
      </c>
      <c r="O62" s="206"/>
      <c r="Q62" s="201"/>
      <c r="R62" s="154">
        <f>VLOOKUP("&gt;",I66:O95,2,0)</f>
        <v>13</v>
      </c>
      <c r="S62" s="154">
        <f>VLOOKUP("&gt;",I66:O95,3,0)</f>
        <v>0.16666666666666663</v>
      </c>
      <c r="T62" s="204" t="str">
        <f>VLOOKUP("&gt;",I66:O95,4,0)</f>
        <v>Jupiter</v>
      </c>
      <c r="U62" s="205">
        <f>VLOOKUP("&gt;",I66:O95,5,0)*U63</f>
        <v>0.49999999999999989</v>
      </c>
      <c r="V62" s="204">
        <f>VLOOKUP("&gt;",I66:O95,6,0)</f>
        <v>38752.06642688773</v>
      </c>
      <c r="W62" s="206">
        <f>VLOOKUP("&gt;",I66:O95,7,0)</f>
        <v>38797.723285973378</v>
      </c>
    </row>
    <row r="63" spans="1:256" ht="30" customHeight="1" x14ac:dyDescent="0.2">
      <c r="A63" s="201"/>
      <c r="B63" s="154" t="s">
        <v>1606</v>
      </c>
      <c r="C63" s="1526" t="str">
        <f>INDEX(C28:AL28,1,C61)</f>
        <v>Shatrimsha-A</v>
      </c>
      <c r="D63" s="1526"/>
      <c r="E63" s="154">
        <f>INDEX(DasaSpans,29,$C$61+1)</f>
        <v>36.000000000000007</v>
      </c>
      <c r="F63" s="154" t="s">
        <v>245</v>
      </c>
      <c r="G63" s="684"/>
      <c r="I63" s="201"/>
      <c r="J63" s="164" t="s">
        <v>1607</v>
      </c>
      <c r="K63" s="164" t="s">
        <v>1157</v>
      </c>
      <c r="M63" s="846">
        <f>COUNTIF($D$66:$D$93,L62)</f>
        <v>3</v>
      </c>
      <c r="N63" s="847" t="s">
        <v>3268</v>
      </c>
      <c r="O63" s="207"/>
      <c r="Q63" s="201"/>
      <c r="R63" s="164" t="s">
        <v>1608</v>
      </c>
      <c r="S63" s="164" t="s">
        <v>1157</v>
      </c>
      <c r="U63" s="846">
        <f>COUNTIF($D$66:$D$93,T62)</f>
        <v>4</v>
      </c>
      <c r="V63" s="847" t="s">
        <v>3268</v>
      </c>
      <c r="W63" s="207"/>
    </row>
    <row r="64" spans="1:256" x14ac:dyDescent="0.2">
      <c r="A64" s="201"/>
      <c r="B64" s="154" t="s">
        <v>3204</v>
      </c>
      <c r="C64" s="783">
        <v>1</v>
      </c>
      <c r="D64" s="154" t="s">
        <v>3265</v>
      </c>
      <c r="G64" s="203"/>
      <c r="I64" s="201"/>
      <c r="J64" s="202">
        <v>0</v>
      </c>
      <c r="K64" s="202">
        <v>1</v>
      </c>
      <c r="L64" s="154" t="s">
        <v>3267</v>
      </c>
      <c r="O64" s="203"/>
      <c r="Q64" s="201"/>
      <c r="R64" s="202">
        <v>0</v>
      </c>
      <c r="S64" s="202">
        <v>1</v>
      </c>
      <c r="W64" s="203"/>
    </row>
    <row r="65" spans="1:23" x14ac:dyDescent="0.2">
      <c r="A65" s="208"/>
      <c r="B65" s="981" t="s">
        <v>1505</v>
      </c>
      <c r="C65" s="981" t="s">
        <v>1609</v>
      </c>
      <c r="D65" s="981" t="s">
        <v>1141</v>
      </c>
      <c r="E65" s="981" t="s">
        <v>1504</v>
      </c>
      <c r="F65" s="981" t="s">
        <v>1610</v>
      </c>
      <c r="G65" s="982" t="s">
        <v>1611</v>
      </c>
      <c r="H65" s="983" t="s">
        <v>1612</v>
      </c>
      <c r="I65" s="201"/>
      <c r="J65" s="154" t="s">
        <v>1613</v>
      </c>
      <c r="K65" s="154" t="s">
        <v>1614</v>
      </c>
      <c r="L65" s="154" t="s">
        <v>1141</v>
      </c>
      <c r="M65" s="154" t="s">
        <v>1504</v>
      </c>
      <c r="N65" s="154" t="s">
        <v>1150</v>
      </c>
      <c r="O65" s="203" t="s">
        <v>1151</v>
      </c>
      <c r="Q65" s="201"/>
      <c r="R65" s="154" t="s">
        <v>1613</v>
      </c>
      <c r="W65" s="203"/>
    </row>
    <row r="66" spans="1:23" x14ac:dyDescent="0.2">
      <c r="A66" s="208"/>
      <c r="B66" s="955">
        <f>MATCH(C62,NakshatraSpan,1)</f>
        <v>4</v>
      </c>
      <c r="C66" s="956">
        <f>(1-(C62-INDEX(NakshatraSpan,B66))/(INDEX(NakshatraSpan,B66+1)-INDEX(NakshatraSpan,B66)))*C64</f>
        <v>2.3804166666667514E-2</v>
      </c>
      <c r="D66" s="955" t="str">
        <f t="shared" ref="D66:D97" si="19">INDEX(DasaSpans,B66,$C$61)</f>
        <v>Saturn</v>
      </c>
      <c r="E66" s="956">
        <f t="shared" ref="E66:E97" si="20">INDEX(DasaSpans,B66,$C$61+1)*C66</f>
        <v>4.7608333333335029E-2</v>
      </c>
      <c r="F66" s="984">
        <f>C60</f>
        <v>26133.384143518517</v>
      </c>
      <c r="G66" s="958">
        <f>F66+E66*Year+G63</f>
        <v>26150.77331924894</v>
      </c>
      <c r="H66" s="959">
        <f>SUM($E$66:E66)</f>
        <v>4.7608333333335029E-2</v>
      </c>
      <c r="I66" s="208"/>
      <c r="J66" s="154">
        <f>MOD(MOD(J62,28)+J64-1,28)+1</f>
        <v>3</v>
      </c>
      <c r="K66" s="209">
        <f>M62/INDEX(DasaSpans,29,$C$61)</f>
        <v>0.16666666666666663</v>
      </c>
      <c r="L66" s="154" t="str">
        <f t="shared" ref="L66:L97" si="21">INDEX(DasaSpans,J66,$C$61)</f>
        <v>Saturn</v>
      </c>
      <c r="M66" s="209">
        <f t="shared" ref="M66:M97" si="22">INDEX(DasaSpans,J66,$C$61+1)*K66</f>
        <v>0.33333333333333326</v>
      </c>
      <c r="N66" s="204">
        <f>N62</f>
        <v>37838.929245174753</v>
      </c>
      <c r="O66" s="211">
        <f t="shared" ref="O66:O97" si="23">N66+M66*Year</f>
        <v>37960.68086940315</v>
      </c>
      <c r="P66" s="154">
        <f>COUNTIF(L63:L70,L66)</f>
        <v>3</v>
      </c>
      <c r="Q66" s="201"/>
      <c r="R66" s="154">
        <f>MOD(MOD(R62,28)+R64-1,28)+1</f>
        <v>13</v>
      </c>
      <c r="S66" s="209">
        <f>U62/INDEX(DasaSpans,29,$C$61)</f>
        <v>1.3888888888888883E-2</v>
      </c>
      <c r="T66" s="154" t="str">
        <f t="shared" ref="T66:T95" si="24">INDEX(DasaSpans,R66,$C$61)</f>
        <v>Jupiter</v>
      </c>
      <c r="U66" s="720">
        <f t="shared" ref="U66:U95" si="25">INDEX(DasaSpans,R66,$C$61+1)*S66</f>
        <v>1.0416666666666663E-2</v>
      </c>
      <c r="V66" s="204">
        <f>V62</f>
        <v>38752.06642688773</v>
      </c>
      <c r="W66" s="211">
        <f t="shared" ref="W66:W95" si="26">V66+U66*Year</f>
        <v>38755.871165144868</v>
      </c>
    </row>
    <row r="67" spans="1:23" x14ac:dyDescent="0.2">
      <c r="A67" s="208"/>
      <c r="B67" s="955">
        <f t="shared" ref="B67:B98" si="27">MOD(B66,28)+1</f>
        <v>5</v>
      </c>
      <c r="C67" s="955">
        <f t="shared" ref="C67:C98" si="28">$C$64</f>
        <v>1</v>
      </c>
      <c r="D67" s="955" t="str">
        <f t="shared" si="19"/>
        <v>Saturn</v>
      </c>
      <c r="E67" s="956">
        <f>INDEX(DasaSpans,B67,$C$61+1)*C67</f>
        <v>2</v>
      </c>
      <c r="F67" s="957">
        <f t="shared" ref="F67:F98" si="29">G66</f>
        <v>26150.77331924894</v>
      </c>
      <c r="G67" s="958">
        <f t="shared" ref="G67:G97" si="30">F67+E67*Year</f>
        <v>26881.283064619303</v>
      </c>
      <c r="H67" s="959">
        <f>SUM($E$66:E67)</f>
        <v>2.047608333333335</v>
      </c>
      <c r="I67" s="208"/>
      <c r="J67" s="154">
        <f t="shared" ref="J67:J98" si="31">MOD(MOD(J66+28,28)+$K$64-1,28)+1</f>
        <v>4</v>
      </c>
      <c r="K67" s="209">
        <f t="shared" ref="K67:K98" si="32">K66</f>
        <v>0.16666666666666663</v>
      </c>
      <c r="L67" s="154" t="str">
        <f t="shared" si="21"/>
        <v>Saturn</v>
      </c>
      <c r="M67" s="209">
        <f t="shared" si="22"/>
        <v>0.33333333333333326</v>
      </c>
      <c r="N67" s="204">
        <f t="shared" ref="N67:N98" si="33">O66</f>
        <v>37960.68086940315</v>
      </c>
      <c r="O67" s="211">
        <f t="shared" si="23"/>
        <v>38082.432493631546</v>
      </c>
      <c r="P67" s="154">
        <f t="shared" ref="P67:P129" si="34">COUNTIF(L64:L71,L67)</f>
        <v>3</v>
      </c>
      <c r="Q67" s="201"/>
      <c r="R67" s="154">
        <f t="shared" ref="R67:R95" si="35">MOD(MOD(R66+28,28)+S$64-1,28)+1</f>
        <v>14</v>
      </c>
      <c r="S67" s="209">
        <f t="shared" ref="S67:S95" si="36">S66</f>
        <v>1.3888888888888883E-2</v>
      </c>
      <c r="T67" s="154" t="str">
        <f t="shared" si="24"/>
        <v>Jupiter</v>
      </c>
      <c r="U67" s="720">
        <f t="shared" si="25"/>
        <v>1.0416666666666663E-2</v>
      </c>
      <c r="V67" s="204">
        <f t="shared" ref="V67:V95" si="37">W66</f>
        <v>38755.871165144868</v>
      </c>
      <c r="W67" s="211">
        <f t="shared" si="26"/>
        <v>38759.675903402007</v>
      </c>
    </row>
    <row r="68" spans="1:23" x14ac:dyDescent="0.2">
      <c r="A68" s="208"/>
      <c r="B68" s="955">
        <f t="shared" si="27"/>
        <v>6</v>
      </c>
      <c r="C68" s="955">
        <f t="shared" si="28"/>
        <v>1</v>
      </c>
      <c r="D68" s="955" t="str">
        <f t="shared" si="19"/>
        <v>Mercury</v>
      </c>
      <c r="E68" s="956">
        <f t="shared" si="20"/>
        <v>1.25</v>
      </c>
      <c r="F68" s="957">
        <f t="shared" si="29"/>
        <v>26881.283064619303</v>
      </c>
      <c r="G68" s="958">
        <f t="shared" si="30"/>
        <v>27337.851655475781</v>
      </c>
      <c r="H68" s="959">
        <f>SUM($E$66:E68)</f>
        <v>3.297608333333335</v>
      </c>
      <c r="I68" s="208"/>
      <c r="J68" s="154">
        <f t="shared" si="31"/>
        <v>5</v>
      </c>
      <c r="K68" s="209">
        <f t="shared" si="32"/>
        <v>0.16666666666666663</v>
      </c>
      <c r="L68" s="154" t="str">
        <f t="shared" si="21"/>
        <v>Saturn</v>
      </c>
      <c r="M68" s="209">
        <f t="shared" si="22"/>
        <v>0.33333333333333326</v>
      </c>
      <c r="N68" s="204">
        <f t="shared" si="33"/>
        <v>38082.432493631546</v>
      </c>
      <c r="O68" s="211">
        <f t="shared" si="23"/>
        <v>38204.184117859942</v>
      </c>
      <c r="P68" s="154">
        <f t="shared" si="34"/>
        <v>3</v>
      </c>
      <c r="Q68" s="201"/>
      <c r="R68" s="154">
        <f t="shared" si="35"/>
        <v>15</v>
      </c>
      <c r="S68" s="209">
        <f t="shared" si="36"/>
        <v>1.3888888888888883E-2</v>
      </c>
      <c r="T68" s="154" t="str">
        <f t="shared" si="24"/>
        <v>Jupiter</v>
      </c>
      <c r="U68" s="720">
        <f t="shared" si="25"/>
        <v>1.0416666666666663E-2</v>
      </c>
      <c r="V68" s="204">
        <f t="shared" si="37"/>
        <v>38759.675903402007</v>
      </c>
      <c r="W68" s="211">
        <f t="shared" si="26"/>
        <v>38763.480641659145</v>
      </c>
    </row>
    <row r="69" spans="1:23" x14ac:dyDescent="0.2">
      <c r="A69" s="208"/>
      <c r="B69" s="981">
        <f t="shared" si="27"/>
        <v>7</v>
      </c>
      <c r="C69" s="955">
        <f t="shared" si="28"/>
        <v>1</v>
      </c>
      <c r="D69" s="955" t="str">
        <f t="shared" si="19"/>
        <v>Mercury</v>
      </c>
      <c r="E69" s="956">
        <f t="shared" si="20"/>
        <v>1.25</v>
      </c>
      <c r="F69" s="985">
        <f t="shared" si="29"/>
        <v>27337.851655475781</v>
      </c>
      <c r="G69" s="986">
        <f t="shared" si="30"/>
        <v>27794.420246332258</v>
      </c>
      <c r="H69" s="959">
        <f>SUM($E$66:E69)</f>
        <v>4.5476083333333346</v>
      </c>
      <c r="I69" s="208"/>
      <c r="J69" s="154">
        <f t="shared" si="31"/>
        <v>6</v>
      </c>
      <c r="K69" s="209">
        <f t="shared" si="32"/>
        <v>0.16666666666666663</v>
      </c>
      <c r="L69" s="154" t="str">
        <f t="shared" si="21"/>
        <v>Mercury</v>
      </c>
      <c r="M69" s="209">
        <f t="shared" si="22"/>
        <v>0.20833333333333329</v>
      </c>
      <c r="N69" s="204">
        <f t="shared" si="33"/>
        <v>38204.184117859942</v>
      </c>
      <c r="O69" s="211">
        <f t="shared" si="23"/>
        <v>38280.278883002691</v>
      </c>
      <c r="P69" s="154">
        <f t="shared" si="34"/>
        <v>4</v>
      </c>
      <c r="Q69" s="201"/>
      <c r="R69" s="154">
        <f t="shared" si="35"/>
        <v>16</v>
      </c>
      <c r="S69" s="209">
        <f t="shared" si="36"/>
        <v>1.3888888888888883E-2</v>
      </c>
      <c r="T69" s="154" t="str">
        <f t="shared" si="24"/>
        <v>Jupiter</v>
      </c>
      <c r="U69" s="720">
        <f t="shared" si="25"/>
        <v>1.0416666666666663E-2</v>
      </c>
      <c r="V69" s="204">
        <f t="shared" si="37"/>
        <v>38763.480641659145</v>
      </c>
      <c r="W69" s="211">
        <f t="shared" si="26"/>
        <v>38767.285379916284</v>
      </c>
    </row>
    <row r="70" spans="1:23" x14ac:dyDescent="0.2">
      <c r="A70" s="208"/>
      <c r="B70" s="955">
        <f t="shared" si="27"/>
        <v>8</v>
      </c>
      <c r="C70" s="955">
        <f t="shared" si="28"/>
        <v>1</v>
      </c>
      <c r="D70" s="955" t="str">
        <f t="shared" si="19"/>
        <v>Mercury</v>
      </c>
      <c r="E70" s="956">
        <f t="shared" si="20"/>
        <v>1.25</v>
      </c>
      <c r="F70" s="957">
        <f t="shared" si="29"/>
        <v>27794.420246332258</v>
      </c>
      <c r="G70" s="958">
        <f t="shared" si="30"/>
        <v>28250.988837188735</v>
      </c>
      <c r="H70" s="959">
        <f>SUM($E$66:E70)</f>
        <v>5.7976083333333346</v>
      </c>
      <c r="I70" s="208"/>
      <c r="J70" s="154">
        <f t="shared" si="31"/>
        <v>7</v>
      </c>
      <c r="K70" s="209">
        <f t="shared" si="32"/>
        <v>0.16666666666666663</v>
      </c>
      <c r="L70" s="154" t="str">
        <f t="shared" si="21"/>
        <v>Mercury</v>
      </c>
      <c r="M70" s="209">
        <f t="shared" si="22"/>
        <v>0.20833333333333329</v>
      </c>
      <c r="N70" s="204">
        <f t="shared" si="33"/>
        <v>38280.278883002691</v>
      </c>
      <c r="O70" s="211">
        <f t="shared" si="23"/>
        <v>38356.37364814544</v>
      </c>
      <c r="P70" s="154">
        <f t="shared" si="34"/>
        <v>4</v>
      </c>
      <c r="Q70" s="201"/>
      <c r="R70" s="154">
        <f t="shared" si="35"/>
        <v>17</v>
      </c>
      <c r="S70" s="209">
        <f t="shared" si="36"/>
        <v>1.3888888888888883E-2</v>
      </c>
      <c r="T70" s="154" t="str">
        <f t="shared" si="24"/>
        <v>Sun</v>
      </c>
      <c r="U70" s="720">
        <f t="shared" si="25"/>
        <v>9.2592592592592553E-3</v>
      </c>
      <c r="V70" s="204">
        <f t="shared" si="37"/>
        <v>38767.285379916284</v>
      </c>
      <c r="W70" s="211">
        <f t="shared" si="26"/>
        <v>38770.667369478186</v>
      </c>
    </row>
    <row r="71" spans="1:23" x14ac:dyDescent="0.2">
      <c r="A71" s="208"/>
      <c r="B71" s="955">
        <f t="shared" si="27"/>
        <v>9</v>
      </c>
      <c r="C71" s="955">
        <f t="shared" si="28"/>
        <v>1</v>
      </c>
      <c r="D71" s="955" t="str">
        <f t="shared" si="19"/>
        <v>Mercury</v>
      </c>
      <c r="E71" s="956">
        <f t="shared" si="20"/>
        <v>1.25</v>
      </c>
      <c r="F71" s="957">
        <f t="shared" si="29"/>
        <v>28250.988837188735</v>
      </c>
      <c r="G71" s="958">
        <f t="shared" si="30"/>
        <v>28707.557428045213</v>
      </c>
      <c r="H71" s="959">
        <f>SUM($E$66:E71)</f>
        <v>7.0476083333333346</v>
      </c>
      <c r="I71" s="208"/>
      <c r="J71" s="154">
        <f t="shared" si="31"/>
        <v>8</v>
      </c>
      <c r="K71" s="209">
        <f t="shared" si="32"/>
        <v>0.16666666666666663</v>
      </c>
      <c r="L71" s="154" t="str">
        <f t="shared" si="21"/>
        <v>Mercury</v>
      </c>
      <c r="M71" s="209">
        <f t="shared" si="22"/>
        <v>0.20833333333333329</v>
      </c>
      <c r="N71" s="204">
        <f t="shared" si="33"/>
        <v>38356.37364814544</v>
      </c>
      <c r="O71" s="211">
        <f t="shared" si="23"/>
        <v>38432.468413288188</v>
      </c>
      <c r="P71" s="154">
        <f t="shared" si="34"/>
        <v>4</v>
      </c>
      <c r="Q71" s="201"/>
      <c r="R71" s="154">
        <f t="shared" si="35"/>
        <v>18</v>
      </c>
      <c r="S71" s="209">
        <f t="shared" si="36"/>
        <v>1.3888888888888883E-2</v>
      </c>
      <c r="T71" s="154" t="str">
        <f t="shared" si="24"/>
        <v>Sun</v>
      </c>
      <c r="U71" s="720">
        <f t="shared" si="25"/>
        <v>9.2592592592592553E-3</v>
      </c>
      <c r="V71" s="204">
        <f t="shared" si="37"/>
        <v>38770.667369478186</v>
      </c>
      <c r="W71" s="211">
        <f t="shared" si="26"/>
        <v>38774.049359040087</v>
      </c>
    </row>
    <row r="72" spans="1:23" x14ac:dyDescent="0.2">
      <c r="A72" s="208"/>
      <c r="B72" s="955">
        <f t="shared" si="27"/>
        <v>10</v>
      </c>
      <c r="C72" s="955">
        <f t="shared" si="28"/>
        <v>1</v>
      </c>
      <c r="D72" s="955" t="str">
        <f t="shared" si="19"/>
        <v>Mars</v>
      </c>
      <c r="E72" s="956">
        <f t="shared" si="20"/>
        <v>1.3333333333333333</v>
      </c>
      <c r="F72" s="957">
        <f t="shared" si="29"/>
        <v>28707.557428045213</v>
      </c>
      <c r="G72" s="958">
        <f t="shared" si="30"/>
        <v>29194.563924958788</v>
      </c>
      <c r="H72" s="959">
        <f>SUM($E$66:E72)</f>
        <v>8.3809416666666685</v>
      </c>
      <c r="I72" s="208"/>
      <c r="J72" s="154">
        <f t="shared" si="31"/>
        <v>9</v>
      </c>
      <c r="K72" s="209">
        <f t="shared" si="32"/>
        <v>0.16666666666666663</v>
      </c>
      <c r="L72" s="154" t="str">
        <f t="shared" si="21"/>
        <v>Mercury</v>
      </c>
      <c r="M72" s="209">
        <f t="shared" si="22"/>
        <v>0.20833333333333329</v>
      </c>
      <c r="N72" s="204">
        <f t="shared" si="33"/>
        <v>38432.468413288188</v>
      </c>
      <c r="O72" s="211">
        <f t="shared" si="23"/>
        <v>38508.563178430937</v>
      </c>
      <c r="P72" s="154">
        <f t="shared" si="34"/>
        <v>4</v>
      </c>
      <c r="Q72" s="201"/>
      <c r="R72" s="154">
        <f t="shared" si="35"/>
        <v>19</v>
      </c>
      <c r="S72" s="209">
        <f t="shared" si="36"/>
        <v>1.3888888888888883E-2</v>
      </c>
      <c r="T72" s="154" t="str">
        <f t="shared" si="24"/>
        <v>Sun</v>
      </c>
      <c r="U72" s="720">
        <f t="shared" si="25"/>
        <v>9.2592592592592553E-3</v>
      </c>
      <c r="V72" s="204">
        <f t="shared" si="37"/>
        <v>38774.049359040087</v>
      </c>
      <c r="W72" s="211">
        <f t="shared" si="26"/>
        <v>38777.431348601989</v>
      </c>
    </row>
    <row r="73" spans="1:23" x14ac:dyDescent="0.2">
      <c r="A73" s="208"/>
      <c r="B73" s="955">
        <f t="shared" si="27"/>
        <v>11</v>
      </c>
      <c r="C73" s="955">
        <f t="shared" si="28"/>
        <v>1</v>
      </c>
      <c r="D73" s="955" t="str">
        <f t="shared" si="19"/>
        <v>Mars</v>
      </c>
      <c r="E73" s="956">
        <f t="shared" si="20"/>
        <v>1.3333333333333333</v>
      </c>
      <c r="F73" s="957">
        <f t="shared" si="29"/>
        <v>29194.563924958788</v>
      </c>
      <c r="G73" s="958">
        <f t="shared" si="30"/>
        <v>29681.570421872362</v>
      </c>
      <c r="H73" s="959">
        <f>SUM($E$66:E73)</f>
        <v>9.7142750000000024</v>
      </c>
      <c r="I73" s="208"/>
      <c r="J73" s="154">
        <f t="shared" si="31"/>
        <v>10</v>
      </c>
      <c r="K73" s="209">
        <f t="shared" si="32"/>
        <v>0.16666666666666663</v>
      </c>
      <c r="L73" s="154" t="str">
        <f t="shared" si="21"/>
        <v>Mars</v>
      </c>
      <c r="M73" s="209">
        <f t="shared" si="22"/>
        <v>0.22222222222222215</v>
      </c>
      <c r="N73" s="204">
        <f t="shared" si="33"/>
        <v>38508.563178430937</v>
      </c>
      <c r="O73" s="211">
        <f t="shared" si="23"/>
        <v>38589.730927916535</v>
      </c>
      <c r="P73" s="154">
        <f t="shared" si="34"/>
        <v>3</v>
      </c>
      <c r="Q73" s="201"/>
      <c r="R73" s="154">
        <f t="shared" si="35"/>
        <v>20</v>
      </c>
      <c r="S73" s="209">
        <f t="shared" si="36"/>
        <v>1.3888888888888883E-2</v>
      </c>
      <c r="T73" s="154" t="str">
        <f t="shared" si="24"/>
        <v>Moon</v>
      </c>
      <c r="U73" s="720">
        <f t="shared" si="25"/>
        <v>3.4722222222222207E-3</v>
      </c>
      <c r="V73" s="204">
        <f t="shared" si="37"/>
        <v>38777.431348601989</v>
      </c>
      <c r="W73" s="211">
        <f t="shared" si="26"/>
        <v>38778.6995946877</v>
      </c>
    </row>
    <row r="74" spans="1:23" x14ac:dyDescent="0.2">
      <c r="A74" s="208"/>
      <c r="B74" s="955">
        <f t="shared" si="27"/>
        <v>12</v>
      </c>
      <c r="C74" s="955">
        <f t="shared" si="28"/>
        <v>1</v>
      </c>
      <c r="D74" s="955" t="str">
        <f t="shared" si="19"/>
        <v>Mars</v>
      </c>
      <c r="E74" s="956">
        <f t="shared" si="20"/>
        <v>1.3333333333333333</v>
      </c>
      <c r="F74" s="957">
        <f t="shared" si="29"/>
        <v>29681.570421872362</v>
      </c>
      <c r="G74" s="958">
        <f t="shared" si="30"/>
        <v>30168.576918785937</v>
      </c>
      <c r="H74" s="959">
        <f>SUM($E$66:E74)</f>
        <v>11.047608333333336</v>
      </c>
      <c r="I74" s="208"/>
      <c r="J74" s="154">
        <f t="shared" si="31"/>
        <v>11</v>
      </c>
      <c r="K74" s="209">
        <f t="shared" si="32"/>
        <v>0.16666666666666663</v>
      </c>
      <c r="L74" s="154" t="str">
        <f t="shared" si="21"/>
        <v>Mars</v>
      </c>
      <c r="M74" s="209">
        <f t="shared" si="22"/>
        <v>0.22222222222222215</v>
      </c>
      <c r="N74" s="204">
        <f t="shared" si="33"/>
        <v>38589.730927916535</v>
      </c>
      <c r="O74" s="211">
        <f t="shared" si="23"/>
        <v>38670.898677402132</v>
      </c>
      <c r="P74" s="154">
        <f t="shared" si="34"/>
        <v>3</v>
      </c>
      <c r="Q74" s="201"/>
      <c r="R74" s="154">
        <f t="shared" si="35"/>
        <v>21</v>
      </c>
      <c r="S74" s="209">
        <f t="shared" si="36"/>
        <v>1.3888888888888883E-2</v>
      </c>
      <c r="T74" s="154" t="str">
        <f t="shared" si="24"/>
        <v>Moon</v>
      </c>
      <c r="U74" s="720">
        <f t="shared" si="25"/>
        <v>3.4722222222222207E-3</v>
      </c>
      <c r="V74" s="204">
        <f t="shared" si="37"/>
        <v>38778.6995946877</v>
      </c>
      <c r="W74" s="211">
        <f t="shared" si="26"/>
        <v>38779.96784077341</v>
      </c>
    </row>
    <row r="75" spans="1:23" x14ac:dyDescent="0.2">
      <c r="A75" s="208"/>
      <c r="B75" s="955">
        <f t="shared" si="27"/>
        <v>13</v>
      </c>
      <c r="C75" s="955">
        <f t="shared" si="28"/>
        <v>1</v>
      </c>
      <c r="D75" s="955" t="str">
        <f t="shared" si="19"/>
        <v>Jupiter</v>
      </c>
      <c r="E75" s="956">
        <f t="shared" si="20"/>
        <v>0.75</v>
      </c>
      <c r="F75" s="957">
        <f t="shared" si="29"/>
        <v>30168.576918785937</v>
      </c>
      <c r="G75" s="958">
        <f t="shared" si="30"/>
        <v>30442.518073299823</v>
      </c>
      <c r="H75" s="959">
        <f>SUM($E$66:E75)</f>
        <v>11.797608333333336</v>
      </c>
      <c r="I75" s="208"/>
      <c r="J75" s="154">
        <f t="shared" si="31"/>
        <v>12</v>
      </c>
      <c r="K75" s="209">
        <f t="shared" si="32"/>
        <v>0.16666666666666663</v>
      </c>
      <c r="L75" s="154" t="str">
        <f t="shared" si="21"/>
        <v>Mars</v>
      </c>
      <c r="M75" s="209">
        <f t="shared" si="22"/>
        <v>0.22222222222222215</v>
      </c>
      <c r="N75" s="204">
        <f t="shared" si="33"/>
        <v>38670.898677402132</v>
      </c>
      <c r="O75" s="211">
        <f t="shared" si="23"/>
        <v>38752.06642688773</v>
      </c>
      <c r="P75" s="154">
        <f t="shared" si="34"/>
        <v>3</v>
      </c>
      <c r="Q75" s="201"/>
      <c r="R75" s="154">
        <f t="shared" si="35"/>
        <v>22</v>
      </c>
      <c r="S75" s="209">
        <f t="shared" si="36"/>
        <v>1.3888888888888883E-2</v>
      </c>
      <c r="T75" s="154" t="str">
        <f t="shared" si="24"/>
        <v>Moon</v>
      </c>
      <c r="U75" s="720">
        <f t="shared" si="25"/>
        <v>3.4722222222222207E-3</v>
      </c>
      <c r="V75" s="204">
        <f t="shared" si="37"/>
        <v>38779.96784077341</v>
      </c>
      <c r="W75" s="211">
        <f t="shared" si="26"/>
        <v>38781.23608685912</v>
      </c>
    </row>
    <row r="76" spans="1:23" x14ac:dyDescent="0.2">
      <c r="A76" s="208"/>
      <c r="B76" s="955">
        <f t="shared" si="27"/>
        <v>14</v>
      </c>
      <c r="C76" s="955">
        <f t="shared" si="28"/>
        <v>1</v>
      </c>
      <c r="D76" s="955" t="str">
        <f t="shared" si="19"/>
        <v>Jupiter</v>
      </c>
      <c r="E76" s="956">
        <f t="shared" si="20"/>
        <v>0.75</v>
      </c>
      <c r="F76" s="957">
        <f t="shared" si="29"/>
        <v>30442.518073299823</v>
      </c>
      <c r="G76" s="958">
        <f t="shared" si="30"/>
        <v>30716.45922781371</v>
      </c>
      <c r="H76" s="959">
        <f>SUM($E$66:E76)</f>
        <v>12.547608333333336</v>
      </c>
      <c r="I76" s="208" t="s">
        <v>1169</v>
      </c>
      <c r="J76" s="154">
        <f t="shared" si="31"/>
        <v>13</v>
      </c>
      <c r="K76" s="209">
        <f t="shared" si="32"/>
        <v>0.16666666666666663</v>
      </c>
      <c r="L76" s="154" t="str">
        <f t="shared" si="21"/>
        <v>Jupiter</v>
      </c>
      <c r="M76" s="209">
        <f t="shared" si="22"/>
        <v>0.12499999999999997</v>
      </c>
      <c r="N76" s="204">
        <f t="shared" si="33"/>
        <v>38752.06642688773</v>
      </c>
      <c r="O76" s="211">
        <f t="shared" si="23"/>
        <v>38797.723285973378</v>
      </c>
      <c r="P76" s="154">
        <f t="shared" si="34"/>
        <v>4</v>
      </c>
      <c r="Q76" s="201"/>
      <c r="R76" s="154">
        <f t="shared" si="35"/>
        <v>23</v>
      </c>
      <c r="S76" s="209">
        <f t="shared" si="36"/>
        <v>1.3888888888888883E-2</v>
      </c>
      <c r="T76" s="154" t="str">
        <f t="shared" si="24"/>
        <v>Moon</v>
      </c>
      <c r="U76" s="720">
        <f t="shared" si="25"/>
        <v>3.4722222222222207E-3</v>
      </c>
      <c r="V76" s="204">
        <f t="shared" si="37"/>
        <v>38781.23608685912</v>
      </c>
      <c r="W76" s="211">
        <f t="shared" si="26"/>
        <v>38782.504332944831</v>
      </c>
    </row>
    <row r="77" spans="1:23" x14ac:dyDescent="0.2">
      <c r="A77" s="208"/>
      <c r="B77" s="955">
        <f t="shared" si="27"/>
        <v>15</v>
      </c>
      <c r="C77" s="955">
        <f t="shared" si="28"/>
        <v>1</v>
      </c>
      <c r="D77" s="955" t="str">
        <f t="shared" si="19"/>
        <v>Jupiter</v>
      </c>
      <c r="E77" s="956">
        <f t="shared" si="20"/>
        <v>0.75</v>
      </c>
      <c r="F77" s="957">
        <f t="shared" si="29"/>
        <v>30716.45922781371</v>
      </c>
      <c r="G77" s="958">
        <f t="shared" si="30"/>
        <v>30990.400382327596</v>
      </c>
      <c r="H77" s="959">
        <f>SUM($E$66:E77)</f>
        <v>13.297608333333336</v>
      </c>
      <c r="I77" s="208"/>
      <c r="J77" s="154">
        <f t="shared" si="31"/>
        <v>14</v>
      </c>
      <c r="K77" s="209">
        <f t="shared" si="32"/>
        <v>0.16666666666666663</v>
      </c>
      <c r="L77" s="154" t="str">
        <f t="shared" si="21"/>
        <v>Jupiter</v>
      </c>
      <c r="M77" s="209">
        <f t="shared" si="22"/>
        <v>0.12499999999999997</v>
      </c>
      <c r="N77" s="204">
        <f t="shared" si="33"/>
        <v>38797.723285973378</v>
      </c>
      <c r="O77" s="211">
        <f t="shared" si="23"/>
        <v>38843.380145059025</v>
      </c>
      <c r="P77" s="154">
        <f t="shared" si="34"/>
        <v>4</v>
      </c>
      <c r="Q77" s="201"/>
      <c r="R77" s="154">
        <f t="shared" si="35"/>
        <v>24</v>
      </c>
      <c r="S77" s="209">
        <f t="shared" si="36"/>
        <v>1.3888888888888883E-2</v>
      </c>
      <c r="T77" s="154" t="str">
        <f t="shared" si="24"/>
        <v>Rahu</v>
      </c>
      <c r="U77" s="720">
        <f t="shared" si="25"/>
        <v>3.7037037037037021E-2</v>
      </c>
      <c r="V77" s="204">
        <f t="shared" si="37"/>
        <v>38782.504332944831</v>
      </c>
      <c r="W77" s="211">
        <f t="shared" si="26"/>
        <v>38796.03229119243</v>
      </c>
    </row>
    <row r="78" spans="1:23" x14ac:dyDescent="0.2">
      <c r="A78" s="208"/>
      <c r="B78" s="955">
        <f t="shared" si="27"/>
        <v>16</v>
      </c>
      <c r="C78" s="955">
        <f t="shared" si="28"/>
        <v>1</v>
      </c>
      <c r="D78" s="955" t="str">
        <f t="shared" si="19"/>
        <v>Jupiter</v>
      </c>
      <c r="E78" s="956">
        <f t="shared" si="20"/>
        <v>0.75</v>
      </c>
      <c r="F78" s="957">
        <f t="shared" si="29"/>
        <v>30990.400382327596</v>
      </c>
      <c r="G78" s="958">
        <f t="shared" si="30"/>
        <v>31264.341536841483</v>
      </c>
      <c r="H78" s="959">
        <f>SUM($E$66:E78)</f>
        <v>14.047608333333336</v>
      </c>
      <c r="I78" s="208"/>
      <c r="J78" s="154">
        <f t="shared" si="31"/>
        <v>15</v>
      </c>
      <c r="K78" s="209">
        <f t="shared" si="32"/>
        <v>0.16666666666666663</v>
      </c>
      <c r="L78" s="154" t="str">
        <f>INDEX(DasaSpans,J78,$C$61)</f>
        <v>Jupiter</v>
      </c>
      <c r="M78" s="209">
        <f t="shared" si="22"/>
        <v>0.12499999999999997</v>
      </c>
      <c r="N78" s="204">
        <f t="shared" si="33"/>
        <v>38843.380145059025</v>
      </c>
      <c r="O78" s="211">
        <f t="shared" si="23"/>
        <v>38889.037004144673</v>
      </c>
      <c r="P78" s="154">
        <f t="shared" si="34"/>
        <v>4</v>
      </c>
      <c r="Q78" s="201"/>
      <c r="R78" s="154">
        <f t="shared" si="35"/>
        <v>25</v>
      </c>
      <c r="S78" s="209">
        <f t="shared" si="36"/>
        <v>1.3888888888888883E-2</v>
      </c>
      <c r="T78" s="154" t="str">
        <f t="shared" si="24"/>
        <v>Rahu</v>
      </c>
      <c r="U78" s="720">
        <f t="shared" si="25"/>
        <v>3.7037037037037021E-2</v>
      </c>
      <c r="V78" s="204">
        <f t="shared" si="37"/>
        <v>38796.03229119243</v>
      </c>
      <c r="W78" s="211">
        <f t="shared" si="26"/>
        <v>38809.56024944003</v>
      </c>
    </row>
    <row r="79" spans="1:23" x14ac:dyDescent="0.2">
      <c r="A79" s="208"/>
      <c r="B79" s="955">
        <f t="shared" si="27"/>
        <v>17</v>
      </c>
      <c r="C79" s="955">
        <f t="shared" si="28"/>
        <v>1</v>
      </c>
      <c r="D79" s="955" t="str">
        <f t="shared" si="19"/>
        <v>Sun</v>
      </c>
      <c r="E79" s="956">
        <f t="shared" si="20"/>
        <v>0.66666666666666663</v>
      </c>
      <c r="F79" s="957">
        <f t="shared" si="29"/>
        <v>31264.341536841483</v>
      </c>
      <c r="G79" s="958">
        <f t="shared" si="30"/>
        <v>31507.844785298272</v>
      </c>
      <c r="H79" s="959">
        <f>SUM($E$66:E79)</f>
        <v>14.714275000000002</v>
      </c>
      <c r="I79" s="208"/>
      <c r="J79" s="154">
        <f t="shared" si="31"/>
        <v>16</v>
      </c>
      <c r="K79" s="209">
        <f t="shared" si="32"/>
        <v>0.16666666666666663</v>
      </c>
      <c r="L79" s="154" t="str">
        <f t="shared" si="21"/>
        <v>Jupiter</v>
      </c>
      <c r="M79" s="209">
        <f t="shared" si="22"/>
        <v>0.12499999999999997</v>
      </c>
      <c r="N79" s="204">
        <f t="shared" si="33"/>
        <v>38889.037004144673</v>
      </c>
      <c r="O79" s="211">
        <f t="shared" si="23"/>
        <v>38934.693863230321</v>
      </c>
      <c r="P79" s="154">
        <f t="shared" si="34"/>
        <v>4</v>
      </c>
      <c r="Q79" s="201"/>
      <c r="R79" s="154">
        <f t="shared" si="35"/>
        <v>26</v>
      </c>
      <c r="S79" s="209">
        <f t="shared" si="36"/>
        <v>1.3888888888888883E-2</v>
      </c>
      <c r="T79" s="154" t="str">
        <f t="shared" si="24"/>
        <v>Rahu</v>
      </c>
      <c r="U79" s="720">
        <f t="shared" si="25"/>
        <v>3.7037037037037021E-2</v>
      </c>
      <c r="V79" s="204">
        <f t="shared" si="37"/>
        <v>38809.56024944003</v>
      </c>
      <c r="W79" s="211">
        <f t="shared" si="26"/>
        <v>38823.08820768763</v>
      </c>
    </row>
    <row r="80" spans="1:23" x14ac:dyDescent="0.2">
      <c r="A80" s="208"/>
      <c r="B80" s="955">
        <f t="shared" si="27"/>
        <v>18</v>
      </c>
      <c r="C80" s="955">
        <f t="shared" si="28"/>
        <v>1</v>
      </c>
      <c r="D80" s="955" t="str">
        <f t="shared" si="19"/>
        <v>Sun</v>
      </c>
      <c r="E80" s="956">
        <f t="shared" si="20"/>
        <v>0.66666666666666663</v>
      </c>
      <c r="F80" s="957">
        <f t="shared" si="29"/>
        <v>31507.844785298272</v>
      </c>
      <c r="G80" s="958">
        <f t="shared" si="30"/>
        <v>31751.348033755061</v>
      </c>
      <c r="H80" s="959">
        <f>SUM($E$66:E80)</f>
        <v>15.380941666666669</v>
      </c>
      <c r="I80" s="208"/>
      <c r="J80" s="154">
        <f t="shared" si="31"/>
        <v>17</v>
      </c>
      <c r="K80" s="209">
        <f t="shared" si="32"/>
        <v>0.16666666666666663</v>
      </c>
      <c r="L80" s="154" t="str">
        <f t="shared" si="21"/>
        <v>Sun</v>
      </c>
      <c r="M80" s="209">
        <f t="shared" si="22"/>
        <v>0.11111111111111108</v>
      </c>
      <c r="N80" s="204">
        <f t="shared" si="33"/>
        <v>38934.693863230321</v>
      </c>
      <c r="O80" s="211">
        <f t="shared" si="23"/>
        <v>38975.27773797312</v>
      </c>
      <c r="P80" s="154">
        <f t="shared" si="34"/>
        <v>3</v>
      </c>
      <c r="Q80" s="201"/>
      <c r="R80" s="154">
        <f t="shared" si="35"/>
        <v>27</v>
      </c>
      <c r="S80" s="209">
        <f t="shared" si="36"/>
        <v>1.3888888888888883E-2</v>
      </c>
      <c r="T80" s="154" t="str">
        <f t="shared" si="24"/>
        <v>Venus</v>
      </c>
      <c r="U80" s="720">
        <f t="shared" si="25"/>
        <v>2.4305555555555546E-2</v>
      </c>
      <c r="V80" s="204">
        <f t="shared" si="37"/>
        <v>38823.08820768763</v>
      </c>
      <c r="W80" s="211">
        <f t="shared" si="26"/>
        <v>38831.965930287617</v>
      </c>
    </row>
    <row r="81" spans="1:23" x14ac:dyDescent="0.2">
      <c r="A81" s="208"/>
      <c r="B81" s="955">
        <f t="shared" si="27"/>
        <v>19</v>
      </c>
      <c r="C81" s="955">
        <f t="shared" si="28"/>
        <v>1</v>
      </c>
      <c r="D81" s="955" t="str">
        <f t="shared" si="19"/>
        <v>Sun</v>
      </c>
      <c r="E81" s="956">
        <f t="shared" si="20"/>
        <v>0.66666666666666663</v>
      </c>
      <c r="F81" s="957">
        <f t="shared" si="29"/>
        <v>31751.348033755061</v>
      </c>
      <c r="G81" s="958">
        <f t="shared" si="30"/>
        <v>31994.85128221185</v>
      </c>
      <c r="H81" s="959">
        <f>SUM($E$66:E81)</f>
        <v>16.047608333333336</v>
      </c>
      <c r="I81" s="208"/>
      <c r="J81" s="154">
        <f t="shared" si="31"/>
        <v>18</v>
      </c>
      <c r="K81" s="209">
        <f t="shared" si="32"/>
        <v>0.16666666666666663</v>
      </c>
      <c r="L81" s="154" t="str">
        <f t="shared" si="21"/>
        <v>Sun</v>
      </c>
      <c r="M81" s="209">
        <f t="shared" si="22"/>
        <v>0.11111111111111108</v>
      </c>
      <c r="N81" s="204">
        <f t="shared" si="33"/>
        <v>38975.27773797312</v>
      </c>
      <c r="O81" s="211">
        <f t="shared" si="23"/>
        <v>39015.861612715918</v>
      </c>
      <c r="P81" s="154">
        <f t="shared" si="34"/>
        <v>3</v>
      </c>
      <c r="Q81" s="201"/>
      <c r="R81" s="154">
        <f t="shared" si="35"/>
        <v>28</v>
      </c>
      <c r="S81" s="209">
        <f t="shared" si="36"/>
        <v>1.3888888888888883E-2</v>
      </c>
      <c r="T81" s="154" t="str">
        <f t="shared" si="24"/>
        <v>Venus</v>
      </c>
      <c r="U81" s="720">
        <f t="shared" si="25"/>
        <v>2.4305555555555546E-2</v>
      </c>
      <c r="V81" s="204">
        <f t="shared" si="37"/>
        <v>38831.965930287617</v>
      </c>
      <c r="W81" s="211">
        <f t="shared" si="26"/>
        <v>38840.843652887605</v>
      </c>
    </row>
    <row r="82" spans="1:23" x14ac:dyDescent="0.2">
      <c r="A82" s="208"/>
      <c r="B82" s="955">
        <f t="shared" si="27"/>
        <v>20</v>
      </c>
      <c r="C82" s="955">
        <f t="shared" si="28"/>
        <v>1</v>
      </c>
      <c r="D82" s="955" t="str">
        <f t="shared" si="19"/>
        <v>Moon</v>
      </c>
      <c r="E82" s="956">
        <f t="shared" si="20"/>
        <v>0.25</v>
      </c>
      <c r="F82" s="957">
        <f t="shared" si="29"/>
        <v>31994.85128221185</v>
      </c>
      <c r="G82" s="958">
        <f t="shared" si="30"/>
        <v>32086.165000383146</v>
      </c>
      <c r="H82" s="959">
        <f>SUM($E$66:E82)</f>
        <v>16.297608333333336</v>
      </c>
      <c r="I82" s="208"/>
      <c r="J82" s="154">
        <f t="shared" si="31"/>
        <v>19</v>
      </c>
      <c r="K82" s="209">
        <f t="shared" si="32"/>
        <v>0.16666666666666663</v>
      </c>
      <c r="L82" s="154" t="str">
        <f t="shared" si="21"/>
        <v>Sun</v>
      </c>
      <c r="M82" s="209">
        <f t="shared" si="22"/>
        <v>0.11111111111111108</v>
      </c>
      <c r="N82" s="204">
        <f t="shared" si="33"/>
        <v>39015.861612715918</v>
      </c>
      <c r="O82" s="211">
        <f t="shared" si="23"/>
        <v>39056.445487458717</v>
      </c>
      <c r="P82" s="154">
        <f t="shared" si="34"/>
        <v>3</v>
      </c>
      <c r="Q82" s="201"/>
      <c r="R82" s="154">
        <f t="shared" si="35"/>
        <v>1</v>
      </c>
      <c r="S82" s="209">
        <f t="shared" si="36"/>
        <v>1.3888888888888883E-2</v>
      </c>
      <c r="T82" s="154" t="str">
        <f t="shared" si="24"/>
        <v>Venus</v>
      </c>
      <c r="U82" s="720">
        <f t="shared" si="25"/>
        <v>2.4305555555555546E-2</v>
      </c>
      <c r="V82" s="204">
        <f t="shared" si="37"/>
        <v>38840.843652887605</v>
      </c>
      <c r="W82" s="211">
        <f t="shared" si="26"/>
        <v>38849.721375487592</v>
      </c>
    </row>
    <row r="83" spans="1:23" x14ac:dyDescent="0.2">
      <c r="A83" s="208"/>
      <c r="B83" s="955">
        <f t="shared" si="27"/>
        <v>21</v>
      </c>
      <c r="C83" s="955">
        <f t="shared" si="28"/>
        <v>1</v>
      </c>
      <c r="D83" s="955" t="str">
        <f t="shared" si="19"/>
        <v>Moon</v>
      </c>
      <c r="E83" s="956">
        <f t="shared" si="20"/>
        <v>0.25</v>
      </c>
      <c r="F83" s="957">
        <f t="shared" si="29"/>
        <v>32086.165000383146</v>
      </c>
      <c r="G83" s="958">
        <f t="shared" si="30"/>
        <v>32177.478718554441</v>
      </c>
      <c r="H83" s="959">
        <f>SUM($E$66:E83)</f>
        <v>16.547608333333336</v>
      </c>
      <c r="I83" s="208"/>
      <c r="J83" s="154">
        <f t="shared" si="31"/>
        <v>20</v>
      </c>
      <c r="K83" s="209">
        <f t="shared" si="32"/>
        <v>0.16666666666666663</v>
      </c>
      <c r="L83" s="154" t="str">
        <f t="shared" si="21"/>
        <v>Moon</v>
      </c>
      <c r="M83" s="209">
        <f t="shared" si="22"/>
        <v>4.1666666666666657E-2</v>
      </c>
      <c r="N83" s="204">
        <f t="shared" si="33"/>
        <v>39056.445487458717</v>
      </c>
      <c r="O83" s="211">
        <f t="shared" si="23"/>
        <v>39071.664440487264</v>
      </c>
      <c r="P83" s="154">
        <f t="shared" si="34"/>
        <v>4</v>
      </c>
      <c r="Q83" s="201"/>
      <c r="R83" s="154">
        <f t="shared" si="35"/>
        <v>2</v>
      </c>
      <c r="S83" s="209">
        <f t="shared" si="36"/>
        <v>1.3888888888888883E-2</v>
      </c>
      <c r="T83" s="154" t="str">
        <f t="shared" si="24"/>
        <v>Venus</v>
      </c>
      <c r="U83" s="720">
        <f t="shared" si="25"/>
        <v>2.4305555555555546E-2</v>
      </c>
      <c r="V83" s="204">
        <f t="shared" si="37"/>
        <v>38849.721375487592</v>
      </c>
      <c r="W83" s="211">
        <f t="shared" si="26"/>
        <v>38858.599098087579</v>
      </c>
    </row>
    <row r="84" spans="1:23" x14ac:dyDescent="0.2">
      <c r="A84" s="208"/>
      <c r="B84" s="955">
        <f t="shared" si="27"/>
        <v>22</v>
      </c>
      <c r="C84" s="955">
        <f t="shared" si="28"/>
        <v>1</v>
      </c>
      <c r="D84" s="955" t="str">
        <f t="shared" si="19"/>
        <v>Moon</v>
      </c>
      <c r="E84" s="956">
        <f t="shared" si="20"/>
        <v>0.25</v>
      </c>
      <c r="F84" s="957">
        <f t="shared" si="29"/>
        <v>32177.478718554441</v>
      </c>
      <c r="G84" s="958">
        <f t="shared" si="30"/>
        <v>32268.792436725736</v>
      </c>
      <c r="H84" s="959">
        <f>SUM($E$66:E84)</f>
        <v>16.797608333333336</v>
      </c>
      <c r="I84" s="208"/>
      <c r="J84" s="154">
        <f t="shared" si="31"/>
        <v>21</v>
      </c>
      <c r="K84" s="209">
        <f t="shared" si="32"/>
        <v>0.16666666666666663</v>
      </c>
      <c r="L84" s="154" t="str">
        <f t="shared" si="21"/>
        <v>Moon</v>
      </c>
      <c r="M84" s="209">
        <f t="shared" si="22"/>
        <v>4.1666666666666657E-2</v>
      </c>
      <c r="N84" s="204">
        <f t="shared" si="33"/>
        <v>39071.664440487264</v>
      </c>
      <c r="O84" s="211">
        <f t="shared" si="23"/>
        <v>39086.883393515811</v>
      </c>
      <c r="P84" s="154">
        <f t="shared" si="34"/>
        <v>4</v>
      </c>
      <c r="Q84" s="201"/>
      <c r="R84" s="154">
        <f t="shared" si="35"/>
        <v>3</v>
      </c>
      <c r="S84" s="209">
        <f t="shared" si="36"/>
        <v>1.3888888888888883E-2</v>
      </c>
      <c r="T84" s="154" t="str">
        <f t="shared" si="24"/>
        <v>Saturn</v>
      </c>
      <c r="U84" s="720">
        <f t="shared" si="25"/>
        <v>2.7777777777777766E-2</v>
      </c>
      <c r="V84" s="204">
        <f t="shared" si="37"/>
        <v>38858.599098087579</v>
      </c>
      <c r="W84" s="211">
        <f t="shared" si="26"/>
        <v>38868.745066773277</v>
      </c>
    </row>
    <row r="85" spans="1:23" x14ac:dyDescent="0.2">
      <c r="A85" s="208"/>
      <c r="B85" s="955">
        <f t="shared" si="27"/>
        <v>23</v>
      </c>
      <c r="C85" s="955">
        <f t="shared" si="28"/>
        <v>1</v>
      </c>
      <c r="D85" s="955" t="str">
        <f t="shared" si="19"/>
        <v>Moon</v>
      </c>
      <c r="E85" s="956">
        <f t="shared" si="20"/>
        <v>0.25</v>
      </c>
      <c r="F85" s="957">
        <f t="shared" si="29"/>
        <v>32268.792436725736</v>
      </c>
      <c r="G85" s="958">
        <f t="shared" si="30"/>
        <v>32360.106154897032</v>
      </c>
      <c r="H85" s="959">
        <f>SUM($E$66:E85)</f>
        <v>17.047608333333336</v>
      </c>
      <c r="I85" s="208" t="s">
        <v>1169</v>
      </c>
      <c r="J85" s="154">
        <f t="shared" si="31"/>
        <v>22</v>
      </c>
      <c r="K85" s="951">
        <f t="shared" si="32"/>
        <v>0.16666666666666663</v>
      </c>
      <c r="L85" s="952" t="str">
        <f t="shared" si="21"/>
        <v>Moon</v>
      </c>
      <c r="M85" s="951">
        <f t="shared" si="22"/>
        <v>4.1666666666666657E-2</v>
      </c>
      <c r="N85" s="953">
        <f t="shared" si="33"/>
        <v>39086.883393515811</v>
      </c>
      <c r="O85" s="954">
        <f t="shared" si="23"/>
        <v>39102.102346544358</v>
      </c>
      <c r="P85" s="154">
        <f t="shared" si="34"/>
        <v>4</v>
      </c>
      <c r="Q85" s="201"/>
      <c r="R85" s="154">
        <f t="shared" si="35"/>
        <v>4</v>
      </c>
      <c r="S85" s="209">
        <f t="shared" si="36"/>
        <v>1.3888888888888883E-2</v>
      </c>
      <c r="T85" s="154" t="str">
        <f t="shared" si="24"/>
        <v>Saturn</v>
      </c>
      <c r="U85" s="720">
        <f t="shared" si="25"/>
        <v>2.7777777777777766E-2</v>
      </c>
      <c r="V85" s="204">
        <f t="shared" si="37"/>
        <v>38868.745066773277</v>
      </c>
      <c r="W85" s="211">
        <f t="shared" si="26"/>
        <v>38878.891035458975</v>
      </c>
    </row>
    <row r="86" spans="1:23" x14ac:dyDescent="0.2">
      <c r="A86" s="208"/>
      <c r="B86" s="955">
        <f t="shared" si="27"/>
        <v>24</v>
      </c>
      <c r="C86" s="955">
        <f t="shared" si="28"/>
        <v>1</v>
      </c>
      <c r="D86" s="955" t="str">
        <f t="shared" si="19"/>
        <v>Rahu</v>
      </c>
      <c r="E86" s="956">
        <f t="shared" si="20"/>
        <v>2.6666666666666665</v>
      </c>
      <c r="F86" s="957">
        <f t="shared" si="29"/>
        <v>32360.106154897032</v>
      </c>
      <c r="G86" s="958">
        <f t="shared" si="30"/>
        <v>33334.119148724181</v>
      </c>
      <c r="H86" s="959">
        <f>SUM($E$66:E86)</f>
        <v>19.714275000000004</v>
      </c>
      <c r="I86" s="208"/>
      <c r="J86" s="154">
        <f t="shared" si="31"/>
        <v>23</v>
      </c>
      <c r="K86" s="951">
        <f t="shared" si="32"/>
        <v>0.16666666666666663</v>
      </c>
      <c r="L86" s="952" t="str">
        <f t="shared" si="21"/>
        <v>Moon</v>
      </c>
      <c r="M86" s="951">
        <f t="shared" si="22"/>
        <v>4.1666666666666657E-2</v>
      </c>
      <c r="N86" s="953">
        <f t="shared" si="33"/>
        <v>39102.102346544358</v>
      </c>
      <c r="O86" s="954">
        <f t="shared" si="23"/>
        <v>39117.321299572905</v>
      </c>
      <c r="P86" s="154">
        <f t="shared" si="34"/>
        <v>4</v>
      </c>
      <c r="Q86" s="201"/>
      <c r="R86" s="154">
        <f t="shared" si="35"/>
        <v>5</v>
      </c>
      <c r="S86" s="209">
        <f t="shared" si="36"/>
        <v>1.3888888888888883E-2</v>
      </c>
      <c r="T86" s="154" t="str">
        <f t="shared" si="24"/>
        <v>Saturn</v>
      </c>
      <c r="U86" s="720">
        <f t="shared" si="25"/>
        <v>2.7777777777777766E-2</v>
      </c>
      <c r="V86" s="204">
        <f t="shared" si="37"/>
        <v>38878.891035458975</v>
      </c>
      <c r="W86" s="211">
        <f t="shared" si="26"/>
        <v>38889.037004144673</v>
      </c>
    </row>
    <row r="87" spans="1:23" x14ac:dyDescent="0.2">
      <c r="A87" s="208"/>
      <c r="B87" s="955">
        <f t="shared" si="27"/>
        <v>25</v>
      </c>
      <c r="C87" s="955">
        <f t="shared" si="28"/>
        <v>1</v>
      </c>
      <c r="D87" s="955" t="str">
        <f t="shared" si="19"/>
        <v>Rahu</v>
      </c>
      <c r="E87" s="956">
        <f t="shared" si="20"/>
        <v>2.6666666666666665</v>
      </c>
      <c r="F87" s="957">
        <f t="shared" si="29"/>
        <v>33334.119148724181</v>
      </c>
      <c r="G87" s="958">
        <f t="shared" si="30"/>
        <v>34308.132142551331</v>
      </c>
      <c r="H87" s="959">
        <f>SUM($E$66:E87)</f>
        <v>22.380941666666672</v>
      </c>
      <c r="I87" s="208"/>
      <c r="J87" s="154">
        <f t="shared" si="31"/>
        <v>24</v>
      </c>
      <c r="K87" s="951">
        <f t="shared" si="32"/>
        <v>0.16666666666666663</v>
      </c>
      <c r="L87" s="952" t="str">
        <f t="shared" si="21"/>
        <v>Rahu</v>
      </c>
      <c r="M87" s="951">
        <f t="shared" si="22"/>
        <v>0.44444444444444431</v>
      </c>
      <c r="N87" s="953">
        <f t="shared" si="33"/>
        <v>39117.321299572905</v>
      </c>
      <c r="O87" s="954">
        <f t="shared" si="23"/>
        <v>39279.6567985441</v>
      </c>
      <c r="P87" s="154">
        <f t="shared" si="34"/>
        <v>3</v>
      </c>
      <c r="Q87" s="201"/>
      <c r="R87" s="154">
        <f t="shared" si="35"/>
        <v>6</v>
      </c>
      <c r="S87" s="209">
        <f t="shared" si="36"/>
        <v>1.3888888888888883E-2</v>
      </c>
      <c r="T87" s="154" t="str">
        <f t="shared" si="24"/>
        <v>Mercury</v>
      </c>
      <c r="U87" s="720">
        <f t="shared" si="25"/>
        <v>1.7361111111111105E-2</v>
      </c>
      <c r="V87" s="204">
        <f t="shared" si="37"/>
        <v>38889.037004144673</v>
      </c>
      <c r="W87" s="211">
        <f t="shared" si="26"/>
        <v>38895.378234573232</v>
      </c>
    </row>
    <row r="88" spans="1:23" x14ac:dyDescent="0.2">
      <c r="A88" s="208"/>
      <c r="B88" s="955">
        <f t="shared" si="27"/>
        <v>26</v>
      </c>
      <c r="C88" s="955">
        <f t="shared" si="28"/>
        <v>1</v>
      </c>
      <c r="D88" s="955" t="str">
        <f t="shared" si="19"/>
        <v>Rahu</v>
      </c>
      <c r="E88" s="956">
        <f t="shared" si="20"/>
        <v>2.6666666666666665</v>
      </c>
      <c r="F88" s="957">
        <f t="shared" si="29"/>
        <v>34308.132142551331</v>
      </c>
      <c r="G88" s="958">
        <f t="shared" si="30"/>
        <v>35282.14513637848</v>
      </c>
      <c r="H88" s="959">
        <f>SUM($E$66:E88)</f>
        <v>25.04760833333334</v>
      </c>
      <c r="I88" s="208" t="s">
        <v>1169</v>
      </c>
      <c r="J88" s="154">
        <f t="shared" si="31"/>
        <v>25</v>
      </c>
      <c r="K88" s="209">
        <f t="shared" si="32"/>
        <v>0.16666666666666663</v>
      </c>
      <c r="L88" s="154" t="str">
        <f t="shared" si="21"/>
        <v>Rahu</v>
      </c>
      <c r="M88" s="209">
        <f t="shared" si="22"/>
        <v>0.44444444444444431</v>
      </c>
      <c r="N88" s="204">
        <f t="shared" si="33"/>
        <v>39279.6567985441</v>
      </c>
      <c r="O88" s="211">
        <f t="shared" si="23"/>
        <v>39441.992297515295</v>
      </c>
      <c r="P88" s="154">
        <f t="shared" si="34"/>
        <v>3</v>
      </c>
      <c r="Q88" s="201"/>
      <c r="R88" s="154">
        <f t="shared" si="35"/>
        <v>7</v>
      </c>
      <c r="S88" s="209">
        <f t="shared" si="36"/>
        <v>1.3888888888888883E-2</v>
      </c>
      <c r="T88" s="154" t="str">
        <f t="shared" si="24"/>
        <v>Mercury</v>
      </c>
      <c r="U88" s="720">
        <f t="shared" si="25"/>
        <v>1.7361111111111105E-2</v>
      </c>
      <c r="V88" s="204">
        <f t="shared" si="37"/>
        <v>38895.378234573232</v>
      </c>
      <c r="W88" s="211">
        <f t="shared" si="26"/>
        <v>38901.719465001792</v>
      </c>
    </row>
    <row r="89" spans="1:23" x14ac:dyDescent="0.2">
      <c r="A89" s="208"/>
      <c r="B89" s="955">
        <f t="shared" si="27"/>
        <v>27</v>
      </c>
      <c r="C89" s="955">
        <f t="shared" si="28"/>
        <v>1</v>
      </c>
      <c r="D89" s="955" t="str">
        <f t="shared" si="19"/>
        <v>Venus</v>
      </c>
      <c r="E89" s="956">
        <f t="shared" si="20"/>
        <v>1.75</v>
      </c>
      <c r="F89" s="957">
        <f t="shared" si="29"/>
        <v>35282.14513637848</v>
      </c>
      <c r="G89" s="958">
        <f t="shared" si="30"/>
        <v>35921.341163577548</v>
      </c>
      <c r="H89" s="959">
        <f>SUM($E$66:E89)</f>
        <v>26.79760833333334</v>
      </c>
      <c r="I89" s="208"/>
      <c r="J89" s="154">
        <f t="shared" si="31"/>
        <v>26</v>
      </c>
      <c r="K89" s="209">
        <f t="shared" si="32"/>
        <v>0.16666666666666663</v>
      </c>
      <c r="L89" s="154" t="str">
        <f t="shared" si="21"/>
        <v>Rahu</v>
      </c>
      <c r="M89" s="209">
        <f t="shared" si="22"/>
        <v>0.44444444444444431</v>
      </c>
      <c r="N89" s="204">
        <f t="shared" si="33"/>
        <v>39441.992297515295</v>
      </c>
      <c r="O89" s="211">
        <f t="shared" si="23"/>
        <v>39604.32779648649</v>
      </c>
      <c r="P89" s="154">
        <f t="shared" si="34"/>
        <v>3</v>
      </c>
      <c r="Q89" s="201"/>
      <c r="R89" s="154">
        <f t="shared" si="35"/>
        <v>8</v>
      </c>
      <c r="S89" s="209">
        <f t="shared" si="36"/>
        <v>1.3888888888888883E-2</v>
      </c>
      <c r="T89" s="154" t="str">
        <f t="shared" si="24"/>
        <v>Mercury</v>
      </c>
      <c r="U89" s="720">
        <f t="shared" si="25"/>
        <v>1.7361111111111105E-2</v>
      </c>
      <c r="V89" s="204">
        <f t="shared" si="37"/>
        <v>38901.719465001792</v>
      </c>
      <c r="W89" s="211">
        <f t="shared" si="26"/>
        <v>38908.060695430351</v>
      </c>
    </row>
    <row r="90" spans="1:23" x14ac:dyDescent="0.2">
      <c r="A90" s="208"/>
      <c r="B90" s="955">
        <f t="shared" si="27"/>
        <v>28</v>
      </c>
      <c r="C90" s="955">
        <f t="shared" si="28"/>
        <v>1</v>
      </c>
      <c r="D90" s="955" t="str">
        <f t="shared" si="19"/>
        <v>Venus</v>
      </c>
      <c r="E90" s="956">
        <f t="shared" si="20"/>
        <v>1.75</v>
      </c>
      <c r="F90" s="957">
        <f t="shared" si="29"/>
        <v>35921.341163577548</v>
      </c>
      <c r="G90" s="958">
        <f t="shared" si="30"/>
        <v>36560.537190776617</v>
      </c>
      <c r="H90" s="959">
        <f>SUM($E$66:E90)</f>
        <v>28.54760833333334</v>
      </c>
      <c r="I90" s="208"/>
      <c r="J90" s="154">
        <f t="shared" si="31"/>
        <v>27</v>
      </c>
      <c r="K90" s="209">
        <f t="shared" si="32"/>
        <v>0.16666666666666663</v>
      </c>
      <c r="L90" s="154" t="str">
        <f t="shared" si="21"/>
        <v>Venus</v>
      </c>
      <c r="M90" s="209">
        <f t="shared" si="22"/>
        <v>0.29166666666666663</v>
      </c>
      <c r="N90" s="204">
        <f t="shared" si="33"/>
        <v>39604.32779648649</v>
      </c>
      <c r="O90" s="211">
        <f t="shared" si="23"/>
        <v>39710.860467686332</v>
      </c>
      <c r="P90" s="154">
        <f t="shared" si="34"/>
        <v>4</v>
      </c>
      <c r="Q90" s="201"/>
      <c r="R90" s="154">
        <f t="shared" si="35"/>
        <v>9</v>
      </c>
      <c r="S90" s="209">
        <f t="shared" si="36"/>
        <v>1.3888888888888883E-2</v>
      </c>
      <c r="T90" s="154" t="str">
        <f t="shared" si="24"/>
        <v>Mercury</v>
      </c>
      <c r="U90" s="720">
        <f t="shared" si="25"/>
        <v>1.7361111111111105E-2</v>
      </c>
      <c r="V90" s="204">
        <f t="shared" si="37"/>
        <v>38908.060695430351</v>
      </c>
      <c r="W90" s="211">
        <f t="shared" si="26"/>
        <v>38914.401925858911</v>
      </c>
    </row>
    <row r="91" spans="1:23" x14ac:dyDescent="0.2">
      <c r="A91" s="208"/>
      <c r="B91" s="955">
        <f t="shared" si="27"/>
        <v>1</v>
      </c>
      <c r="C91" s="955">
        <f t="shared" si="28"/>
        <v>1</v>
      </c>
      <c r="D91" s="955" t="str">
        <f t="shared" si="19"/>
        <v>Venus</v>
      </c>
      <c r="E91" s="956">
        <f t="shared" si="20"/>
        <v>1.75</v>
      </c>
      <c r="F91" s="957">
        <f t="shared" si="29"/>
        <v>36560.537190776617</v>
      </c>
      <c r="G91" s="958">
        <f t="shared" si="30"/>
        <v>37199.733217975685</v>
      </c>
      <c r="H91" s="959">
        <f>SUM($E$66:E91)</f>
        <v>30.29760833333334</v>
      </c>
      <c r="I91" s="208"/>
      <c r="J91" s="154">
        <f t="shared" si="31"/>
        <v>28</v>
      </c>
      <c r="K91" s="209">
        <f t="shared" si="32"/>
        <v>0.16666666666666663</v>
      </c>
      <c r="L91" s="154" t="str">
        <f t="shared" si="21"/>
        <v>Venus</v>
      </c>
      <c r="M91" s="209">
        <f t="shared" si="22"/>
        <v>0.29166666666666663</v>
      </c>
      <c r="N91" s="204">
        <f t="shared" si="33"/>
        <v>39710.860467686332</v>
      </c>
      <c r="O91" s="211">
        <f t="shared" si="23"/>
        <v>39817.393138886175</v>
      </c>
      <c r="P91" s="154">
        <f t="shared" si="34"/>
        <v>4</v>
      </c>
      <c r="Q91" s="201"/>
      <c r="R91" s="154">
        <f t="shared" si="35"/>
        <v>10</v>
      </c>
      <c r="S91" s="209">
        <f t="shared" si="36"/>
        <v>1.3888888888888883E-2</v>
      </c>
      <c r="T91" s="154" t="str">
        <f t="shared" si="24"/>
        <v>Mars</v>
      </c>
      <c r="U91" s="720">
        <f t="shared" si="25"/>
        <v>1.8518518518518511E-2</v>
      </c>
      <c r="V91" s="204">
        <f t="shared" si="37"/>
        <v>38914.401925858911</v>
      </c>
      <c r="W91" s="211">
        <f t="shared" si="26"/>
        <v>38921.165904982707</v>
      </c>
    </row>
    <row r="92" spans="1:23" x14ac:dyDescent="0.2">
      <c r="A92" s="208"/>
      <c r="B92" s="955">
        <f t="shared" si="27"/>
        <v>2</v>
      </c>
      <c r="C92" s="955">
        <f t="shared" si="28"/>
        <v>1</v>
      </c>
      <c r="D92" s="955" t="str">
        <f t="shared" si="19"/>
        <v>Venus</v>
      </c>
      <c r="E92" s="956">
        <f t="shared" si="20"/>
        <v>1.75</v>
      </c>
      <c r="F92" s="957">
        <f t="shared" si="29"/>
        <v>37199.733217975685</v>
      </c>
      <c r="G92" s="958">
        <f t="shared" si="30"/>
        <v>37838.929245174753</v>
      </c>
      <c r="H92" s="959">
        <f>SUM($E$66:E92)</f>
        <v>32.047608333333343</v>
      </c>
      <c r="I92" s="208"/>
      <c r="J92" s="154">
        <f t="shared" si="31"/>
        <v>1</v>
      </c>
      <c r="K92" s="209">
        <f t="shared" si="32"/>
        <v>0.16666666666666663</v>
      </c>
      <c r="L92" s="154" t="str">
        <f t="shared" si="21"/>
        <v>Venus</v>
      </c>
      <c r="M92" s="209">
        <f t="shared" si="22"/>
        <v>0.29166666666666663</v>
      </c>
      <c r="N92" s="204">
        <f t="shared" si="33"/>
        <v>39817.393138886175</v>
      </c>
      <c r="O92" s="211">
        <f t="shared" si="23"/>
        <v>39923.925810086017</v>
      </c>
      <c r="P92" s="154">
        <f t="shared" si="34"/>
        <v>4</v>
      </c>
      <c r="Q92" s="201"/>
      <c r="R92" s="154">
        <f t="shared" si="35"/>
        <v>11</v>
      </c>
      <c r="S92" s="209">
        <f t="shared" si="36"/>
        <v>1.3888888888888883E-2</v>
      </c>
      <c r="T92" s="154" t="str">
        <f t="shared" si="24"/>
        <v>Mars</v>
      </c>
      <c r="U92" s="720">
        <f t="shared" si="25"/>
        <v>1.8518518518518511E-2</v>
      </c>
      <c r="V92" s="204">
        <f t="shared" si="37"/>
        <v>38921.165904982707</v>
      </c>
      <c r="W92" s="211">
        <f t="shared" si="26"/>
        <v>38927.929884106503</v>
      </c>
    </row>
    <row r="93" spans="1:23" x14ac:dyDescent="0.2">
      <c r="A93" s="208" t="s">
        <v>1169</v>
      </c>
      <c r="B93" s="955">
        <f t="shared" si="27"/>
        <v>3</v>
      </c>
      <c r="C93" s="955">
        <f t="shared" si="28"/>
        <v>1</v>
      </c>
      <c r="D93" s="955" t="str">
        <f t="shared" si="19"/>
        <v>Saturn</v>
      </c>
      <c r="E93" s="956">
        <f t="shared" si="20"/>
        <v>2</v>
      </c>
      <c r="F93" s="957">
        <f>G92</f>
        <v>37838.929245174753</v>
      </c>
      <c r="G93" s="958">
        <f t="shared" si="30"/>
        <v>38569.438990545117</v>
      </c>
      <c r="H93" s="959">
        <f>SUM($E$66:E93)</f>
        <v>34.047608333333343</v>
      </c>
      <c r="I93" s="208"/>
      <c r="J93" s="154">
        <f t="shared" si="31"/>
        <v>2</v>
      </c>
      <c r="K93" s="209">
        <f t="shared" si="32"/>
        <v>0.16666666666666663</v>
      </c>
      <c r="L93" s="154" t="str">
        <f t="shared" si="21"/>
        <v>Venus</v>
      </c>
      <c r="M93" s="209">
        <f t="shared" si="22"/>
        <v>0.29166666666666663</v>
      </c>
      <c r="N93" s="204">
        <f t="shared" si="33"/>
        <v>39923.925810086017</v>
      </c>
      <c r="O93" s="211">
        <f t="shared" si="23"/>
        <v>40030.458481285859</v>
      </c>
      <c r="P93" s="154">
        <f t="shared" si="34"/>
        <v>4</v>
      </c>
      <c r="Q93" s="201"/>
      <c r="R93" s="154">
        <f t="shared" si="35"/>
        <v>12</v>
      </c>
      <c r="S93" s="209">
        <f t="shared" si="36"/>
        <v>1.3888888888888883E-2</v>
      </c>
      <c r="T93" s="154" t="str">
        <f t="shared" si="24"/>
        <v>Mars</v>
      </c>
      <c r="U93" s="720">
        <f t="shared" si="25"/>
        <v>1.8518518518518511E-2</v>
      </c>
      <c r="V93" s="204">
        <f t="shared" si="37"/>
        <v>38927.929884106503</v>
      </c>
      <c r="W93" s="211">
        <f t="shared" si="26"/>
        <v>38934.693863230299</v>
      </c>
    </row>
    <row r="94" spans="1:23" x14ac:dyDescent="0.2">
      <c r="A94" s="208"/>
      <c r="B94" s="955">
        <f t="shared" si="27"/>
        <v>4</v>
      </c>
      <c r="C94" s="955">
        <f t="shared" si="28"/>
        <v>1</v>
      </c>
      <c r="D94" s="955" t="str">
        <f t="shared" si="19"/>
        <v>Saturn</v>
      </c>
      <c r="E94" s="956">
        <f t="shared" si="20"/>
        <v>2</v>
      </c>
      <c r="F94" s="957">
        <f t="shared" si="29"/>
        <v>38569.438990545117</v>
      </c>
      <c r="G94" s="958">
        <f t="shared" si="30"/>
        <v>39299.948735915481</v>
      </c>
      <c r="H94" s="959">
        <f>SUM($E$66:E94)</f>
        <v>36.047608333333343</v>
      </c>
      <c r="I94" s="208"/>
      <c r="J94" s="154">
        <f t="shared" si="31"/>
        <v>3</v>
      </c>
      <c r="K94" s="209">
        <f t="shared" si="32"/>
        <v>0.16666666666666663</v>
      </c>
      <c r="L94" s="154" t="str">
        <f t="shared" si="21"/>
        <v>Saturn</v>
      </c>
      <c r="M94" s="209">
        <f t="shared" si="22"/>
        <v>0.33333333333333326</v>
      </c>
      <c r="N94" s="204">
        <f t="shared" si="33"/>
        <v>40030.458481285859</v>
      </c>
      <c r="O94" s="211">
        <f t="shared" si="23"/>
        <v>40152.210105514256</v>
      </c>
      <c r="P94" s="154">
        <f t="shared" si="34"/>
        <v>3</v>
      </c>
      <c r="Q94" s="201"/>
      <c r="R94" s="154">
        <f t="shared" si="35"/>
        <v>13</v>
      </c>
      <c r="S94" s="209">
        <f t="shared" si="36"/>
        <v>1.3888888888888883E-2</v>
      </c>
      <c r="T94" s="154" t="str">
        <f t="shared" si="24"/>
        <v>Jupiter</v>
      </c>
      <c r="U94" s="720">
        <f t="shared" si="25"/>
        <v>1.0416666666666663E-2</v>
      </c>
      <c r="V94" s="204">
        <f t="shared" si="37"/>
        <v>38934.693863230299</v>
      </c>
      <c r="W94" s="211">
        <f t="shared" si="26"/>
        <v>38938.498601487438</v>
      </c>
    </row>
    <row r="95" spans="1:23" x14ac:dyDescent="0.2">
      <c r="A95" s="212"/>
      <c r="B95" s="987">
        <f t="shared" si="27"/>
        <v>5</v>
      </c>
      <c r="C95" s="955">
        <f t="shared" si="28"/>
        <v>1</v>
      </c>
      <c r="D95" s="955" t="str">
        <f t="shared" si="19"/>
        <v>Saturn</v>
      </c>
      <c r="E95" s="956">
        <f t="shared" si="20"/>
        <v>2</v>
      </c>
      <c r="F95" s="988">
        <f t="shared" si="29"/>
        <v>39299.948735915481</v>
      </c>
      <c r="G95" s="989">
        <f t="shared" si="30"/>
        <v>40030.458481285845</v>
      </c>
      <c r="H95" s="959">
        <f>SUM($E$66:E95)</f>
        <v>38.047608333333343</v>
      </c>
      <c r="I95" s="212" t="s">
        <v>1169</v>
      </c>
      <c r="J95" s="213">
        <f t="shared" si="31"/>
        <v>4</v>
      </c>
      <c r="K95" s="683">
        <f t="shared" si="32"/>
        <v>0.16666666666666663</v>
      </c>
      <c r="L95" s="213" t="str">
        <f t="shared" si="21"/>
        <v>Saturn</v>
      </c>
      <c r="M95" s="209">
        <f t="shared" si="22"/>
        <v>0.33333333333333326</v>
      </c>
      <c r="N95" s="214">
        <f t="shared" si="33"/>
        <v>40152.210105514256</v>
      </c>
      <c r="O95" s="215">
        <f t="shared" si="23"/>
        <v>40273.961729742652</v>
      </c>
      <c r="P95" s="154">
        <f t="shared" si="34"/>
        <v>3</v>
      </c>
      <c r="Q95" s="216"/>
      <c r="R95" s="213">
        <f t="shared" si="35"/>
        <v>14</v>
      </c>
      <c r="S95" s="683">
        <f t="shared" si="36"/>
        <v>1.3888888888888883E-2</v>
      </c>
      <c r="T95" s="213" t="str">
        <f t="shared" si="24"/>
        <v>Jupiter</v>
      </c>
      <c r="U95" s="721">
        <f t="shared" si="25"/>
        <v>1.0416666666666663E-2</v>
      </c>
      <c r="V95" s="214">
        <f t="shared" si="37"/>
        <v>38938.498601487438</v>
      </c>
      <c r="W95" s="215">
        <f t="shared" si="26"/>
        <v>38942.303339744576</v>
      </c>
    </row>
    <row r="96" spans="1:23" x14ac:dyDescent="0.2">
      <c r="A96" s="212"/>
      <c r="B96" s="987">
        <f t="shared" si="27"/>
        <v>6</v>
      </c>
      <c r="C96" s="955">
        <f t="shared" si="28"/>
        <v>1</v>
      </c>
      <c r="D96" s="955" t="str">
        <f t="shared" si="19"/>
        <v>Mercury</v>
      </c>
      <c r="E96" s="956">
        <f t="shared" si="20"/>
        <v>1.25</v>
      </c>
      <c r="F96" s="988">
        <f t="shared" si="29"/>
        <v>40030.458481285845</v>
      </c>
      <c r="G96" s="989">
        <f t="shared" si="30"/>
        <v>40487.027072142322</v>
      </c>
      <c r="H96" s="959">
        <f>SUM($E$66:E96)</f>
        <v>39.297608333333343</v>
      </c>
      <c r="I96" s="208"/>
      <c r="J96" s="154">
        <f t="shared" si="31"/>
        <v>5</v>
      </c>
      <c r="K96" s="209">
        <f t="shared" si="32"/>
        <v>0.16666666666666663</v>
      </c>
      <c r="L96" s="154" t="str">
        <f t="shared" si="21"/>
        <v>Saturn</v>
      </c>
      <c r="M96" s="209">
        <f t="shared" si="22"/>
        <v>0.33333333333333326</v>
      </c>
      <c r="N96" s="204">
        <f t="shared" si="33"/>
        <v>40273.961729742652</v>
      </c>
      <c r="O96" s="211">
        <f t="shared" si="23"/>
        <v>40395.713353971048</v>
      </c>
      <c r="P96" s="154">
        <f t="shared" si="34"/>
        <v>3</v>
      </c>
    </row>
    <row r="97" spans="1:16" x14ac:dyDescent="0.2">
      <c r="A97" s="212"/>
      <c r="B97" s="987">
        <f t="shared" si="27"/>
        <v>7</v>
      </c>
      <c r="C97" s="955">
        <f t="shared" si="28"/>
        <v>1</v>
      </c>
      <c r="D97" s="955" t="str">
        <f t="shared" si="19"/>
        <v>Mercury</v>
      </c>
      <c r="E97" s="956">
        <f t="shared" si="20"/>
        <v>1.25</v>
      </c>
      <c r="F97" s="988">
        <f t="shared" si="29"/>
        <v>40487.027072142322</v>
      </c>
      <c r="G97" s="989">
        <f t="shared" si="30"/>
        <v>40943.5956629988</v>
      </c>
      <c r="H97" s="959">
        <f>SUM($E$66:E97)</f>
        <v>40.547608333333343</v>
      </c>
      <c r="I97" s="212" t="s">
        <v>1169</v>
      </c>
      <c r="J97" s="213">
        <f t="shared" si="31"/>
        <v>6</v>
      </c>
      <c r="K97" s="683">
        <f t="shared" si="32"/>
        <v>0.16666666666666663</v>
      </c>
      <c r="L97" s="213" t="str">
        <f t="shared" si="21"/>
        <v>Mercury</v>
      </c>
      <c r="M97" s="209">
        <f t="shared" si="22"/>
        <v>0.20833333333333329</v>
      </c>
      <c r="N97" s="214">
        <f t="shared" si="33"/>
        <v>40395.713353971048</v>
      </c>
      <c r="O97" s="215">
        <f t="shared" si="23"/>
        <v>40471.808119113797</v>
      </c>
      <c r="P97" s="154">
        <f t="shared" si="34"/>
        <v>4</v>
      </c>
    </row>
    <row r="98" spans="1:16" x14ac:dyDescent="0.2">
      <c r="A98" s="212"/>
      <c r="B98" s="987">
        <f t="shared" si="27"/>
        <v>8</v>
      </c>
      <c r="C98" s="955">
        <f t="shared" si="28"/>
        <v>1</v>
      </c>
      <c r="D98" s="955" t="str">
        <f t="shared" ref="D98:D128" si="38">INDEX(DasaSpans,B98,$C$61)</f>
        <v>Mercury</v>
      </c>
      <c r="E98" s="956">
        <f t="shared" ref="E98:E128" si="39">INDEX(DasaSpans,B98,$C$61+1)*C98</f>
        <v>1.25</v>
      </c>
      <c r="F98" s="988">
        <f t="shared" si="29"/>
        <v>40943.5956629988</v>
      </c>
      <c r="G98" s="989">
        <f t="shared" ref="G98:G128" si="40">F98+E98*Year</f>
        <v>41400.164253855277</v>
      </c>
      <c r="H98" s="959">
        <f>SUM($E$66:E98)</f>
        <v>41.797608333333343</v>
      </c>
      <c r="I98" s="208"/>
      <c r="J98" s="154">
        <f t="shared" si="31"/>
        <v>7</v>
      </c>
      <c r="K98" s="209">
        <f t="shared" si="32"/>
        <v>0.16666666666666663</v>
      </c>
      <c r="L98" s="154" t="str">
        <f t="shared" ref="L98:L129" si="41">INDEX(DasaSpans,J98,$C$61)</f>
        <v>Mercury</v>
      </c>
      <c r="M98" s="209">
        <f t="shared" ref="M98:M129" si="42">INDEX(DasaSpans,J98,$C$61+1)*K98</f>
        <v>0.20833333333333329</v>
      </c>
      <c r="N98" s="204">
        <f t="shared" si="33"/>
        <v>40471.808119113797</v>
      </c>
      <c r="O98" s="211">
        <f t="shared" ref="O98:O129" si="43">N98+M98*Year</f>
        <v>40547.902884256546</v>
      </c>
      <c r="P98" s="154">
        <f t="shared" si="34"/>
        <v>4</v>
      </c>
    </row>
    <row r="99" spans="1:16" x14ac:dyDescent="0.2">
      <c r="A99" s="212"/>
      <c r="B99" s="987">
        <f t="shared" ref="B99:B128" si="44">MOD(B98,28)+1</f>
        <v>9</v>
      </c>
      <c r="C99" s="955">
        <f t="shared" ref="C99:C128" si="45">$C$64</f>
        <v>1</v>
      </c>
      <c r="D99" s="955" t="str">
        <f t="shared" si="38"/>
        <v>Mercury</v>
      </c>
      <c r="E99" s="956">
        <f t="shared" si="39"/>
        <v>1.25</v>
      </c>
      <c r="F99" s="988">
        <f t="shared" ref="F99:F128" si="46">G98</f>
        <v>41400.164253855277</v>
      </c>
      <c r="G99" s="989">
        <f t="shared" si="40"/>
        <v>41856.732844711754</v>
      </c>
      <c r="H99" s="959">
        <f>SUM($E$66:E99)</f>
        <v>43.047608333333343</v>
      </c>
      <c r="I99" s="212" t="s">
        <v>1169</v>
      </c>
      <c r="J99" s="213">
        <f t="shared" ref="J99:J129" si="47">MOD(MOD(J98+28,28)+$K$64-1,28)+1</f>
        <v>8</v>
      </c>
      <c r="K99" s="683">
        <f t="shared" ref="K99:K129" si="48">K98</f>
        <v>0.16666666666666663</v>
      </c>
      <c r="L99" s="213" t="str">
        <f t="shared" si="41"/>
        <v>Mercury</v>
      </c>
      <c r="M99" s="209">
        <f t="shared" si="42"/>
        <v>0.20833333333333329</v>
      </c>
      <c r="N99" s="214">
        <f t="shared" ref="N99:N129" si="49">O98</f>
        <v>40547.902884256546</v>
      </c>
      <c r="O99" s="215">
        <f t="shared" si="43"/>
        <v>40623.997649399294</v>
      </c>
      <c r="P99" s="154">
        <f t="shared" si="34"/>
        <v>4</v>
      </c>
    </row>
    <row r="100" spans="1:16" x14ac:dyDescent="0.2">
      <c r="A100" s="212"/>
      <c r="B100" s="987">
        <f t="shared" si="44"/>
        <v>10</v>
      </c>
      <c r="C100" s="955">
        <f t="shared" si="45"/>
        <v>1</v>
      </c>
      <c r="D100" s="955" t="str">
        <f t="shared" si="38"/>
        <v>Mars</v>
      </c>
      <c r="E100" s="956">
        <f t="shared" si="39"/>
        <v>1.3333333333333333</v>
      </c>
      <c r="F100" s="988">
        <f t="shared" si="46"/>
        <v>41856.732844711754</v>
      </c>
      <c r="G100" s="989">
        <f t="shared" si="40"/>
        <v>42343.739341625333</v>
      </c>
      <c r="H100" s="959">
        <f>SUM($E$66:E100)</f>
        <v>44.380941666666679</v>
      </c>
      <c r="I100" s="208"/>
      <c r="J100" s="154">
        <f t="shared" si="47"/>
        <v>9</v>
      </c>
      <c r="K100" s="209">
        <f t="shared" si="48"/>
        <v>0.16666666666666663</v>
      </c>
      <c r="L100" s="154" t="str">
        <f t="shared" si="41"/>
        <v>Mercury</v>
      </c>
      <c r="M100" s="209">
        <f t="shared" si="42"/>
        <v>0.20833333333333329</v>
      </c>
      <c r="N100" s="204">
        <f t="shared" si="49"/>
        <v>40623.997649399294</v>
      </c>
      <c r="O100" s="211">
        <f t="shared" si="43"/>
        <v>40700.092414542043</v>
      </c>
      <c r="P100" s="154">
        <f t="shared" si="34"/>
        <v>4</v>
      </c>
    </row>
    <row r="101" spans="1:16" x14ac:dyDescent="0.2">
      <c r="A101" s="212"/>
      <c r="B101" s="987">
        <f t="shared" si="44"/>
        <v>11</v>
      </c>
      <c r="C101" s="955">
        <f t="shared" si="45"/>
        <v>1</v>
      </c>
      <c r="D101" s="955" t="str">
        <f t="shared" si="38"/>
        <v>Mars</v>
      </c>
      <c r="E101" s="956">
        <f t="shared" si="39"/>
        <v>1.3333333333333333</v>
      </c>
      <c r="F101" s="988">
        <f t="shared" si="46"/>
        <v>42343.739341625333</v>
      </c>
      <c r="G101" s="989">
        <f t="shared" si="40"/>
        <v>42830.745838538911</v>
      </c>
      <c r="H101" s="959">
        <f>SUM($E$66:E101)</f>
        <v>45.714275000000015</v>
      </c>
      <c r="I101" s="212" t="s">
        <v>1169</v>
      </c>
      <c r="J101" s="213">
        <f t="shared" si="47"/>
        <v>10</v>
      </c>
      <c r="K101" s="683">
        <f t="shared" si="48"/>
        <v>0.16666666666666663</v>
      </c>
      <c r="L101" s="213" t="str">
        <f t="shared" si="41"/>
        <v>Mars</v>
      </c>
      <c r="M101" s="209">
        <f t="shared" si="42"/>
        <v>0.22222222222222215</v>
      </c>
      <c r="N101" s="214">
        <f t="shared" si="49"/>
        <v>40700.092414542043</v>
      </c>
      <c r="O101" s="215">
        <f t="shared" si="43"/>
        <v>40781.260164027641</v>
      </c>
      <c r="P101" s="154">
        <f t="shared" si="34"/>
        <v>3</v>
      </c>
    </row>
    <row r="102" spans="1:16" x14ac:dyDescent="0.2">
      <c r="A102" s="212"/>
      <c r="B102" s="987">
        <f t="shared" si="44"/>
        <v>12</v>
      </c>
      <c r="C102" s="955">
        <f t="shared" si="45"/>
        <v>1</v>
      </c>
      <c r="D102" s="955" t="str">
        <f t="shared" si="38"/>
        <v>Mars</v>
      </c>
      <c r="E102" s="956">
        <f t="shared" si="39"/>
        <v>1.3333333333333333</v>
      </c>
      <c r="F102" s="988">
        <f t="shared" si="46"/>
        <v>42830.745838538911</v>
      </c>
      <c r="G102" s="989">
        <f t="shared" si="40"/>
        <v>43317.752335452489</v>
      </c>
      <c r="H102" s="959">
        <f>SUM($E$66:E102)</f>
        <v>47.047608333333351</v>
      </c>
      <c r="I102" s="208"/>
      <c r="J102" s="154">
        <f t="shared" si="47"/>
        <v>11</v>
      </c>
      <c r="K102" s="209">
        <f t="shared" si="48"/>
        <v>0.16666666666666663</v>
      </c>
      <c r="L102" s="154" t="str">
        <f t="shared" si="41"/>
        <v>Mars</v>
      </c>
      <c r="M102" s="209">
        <f t="shared" si="42"/>
        <v>0.22222222222222215</v>
      </c>
      <c r="N102" s="204">
        <f t="shared" si="49"/>
        <v>40781.260164027641</v>
      </c>
      <c r="O102" s="211">
        <f t="shared" si="43"/>
        <v>40862.427913513238</v>
      </c>
      <c r="P102" s="154">
        <f t="shared" si="34"/>
        <v>3</v>
      </c>
    </row>
    <row r="103" spans="1:16" x14ac:dyDescent="0.2">
      <c r="A103" s="212"/>
      <c r="B103" s="987">
        <f t="shared" si="44"/>
        <v>13</v>
      </c>
      <c r="C103" s="955">
        <f t="shared" si="45"/>
        <v>1</v>
      </c>
      <c r="D103" s="955" t="str">
        <f t="shared" si="38"/>
        <v>Jupiter</v>
      </c>
      <c r="E103" s="956">
        <f t="shared" si="39"/>
        <v>0.75</v>
      </c>
      <c r="F103" s="988">
        <f t="shared" si="46"/>
        <v>43317.752335452489</v>
      </c>
      <c r="G103" s="989">
        <f t="shared" si="40"/>
        <v>43591.693489966376</v>
      </c>
      <c r="H103" s="959">
        <f>SUM($E$66:E103)</f>
        <v>47.797608333333351</v>
      </c>
      <c r="I103" s="212" t="s">
        <v>1169</v>
      </c>
      <c r="J103" s="213">
        <f t="shared" si="47"/>
        <v>12</v>
      </c>
      <c r="K103" s="683">
        <f t="shared" si="48"/>
        <v>0.16666666666666663</v>
      </c>
      <c r="L103" s="213" t="str">
        <f t="shared" si="41"/>
        <v>Mars</v>
      </c>
      <c r="M103" s="209">
        <f t="shared" si="42"/>
        <v>0.22222222222222215</v>
      </c>
      <c r="N103" s="214">
        <f t="shared" si="49"/>
        <v>40862.427913513238</v>
      </c>
      <c r="O103" s="215">
        <f t="shared" si="43"/>
        <v>40943.595662998836</v>
      </c>
      <c r="P103" s="154">
        <f t="shared" si="34"/>
        <v>3</v>
      </c>
    </row>
    <row r="104" spans="1:16" x14ac:dyDescent="0.2">
      <c r="A104" s="212"/>
      <c r="B104" s="987">
        <f t="shared" si="44"/>
        <v>14</v>
      </c>
      <c r="C104" s="955">
        <f t="shared" si="45"/>
        <v>1</v>
      </c>
      <c r="D104" s="955" t="str">
        <f t="shared" si="38"/>
        <v>Jupiter</v>
      </c>
      <c r="E104" s="956">
        <f t="shared" si="39"/>
        <v>0.75</v>
      </c>
      <c r="F104" s="988">
        <f t="shared" si="46"/>
        <v>43591.693489966376</v>
      </c>
      <c r="G104" s="989">
        <f t="shared" si="40"/>
        <v>43865.634644480262</v>
      </c>
      <c r="H104" s="959">
        <f>SUM($E$66:E104)</f>
        <v>48.547608333333351</v>
      </c>
      <c r="I104" s="208"/>
      <c r="J104" s="154">
        <f t="shared" si="47"/>
        <v>13</v>
      </c>
      <c r="K104" s="209">
        <f t="shared" si="48"/>
        <v>0.16666666666666663</v>
      </c>
      <c r="L104" s="154" t="str">
        <f t="shared" si="41"/>
        <v>Jupiter</v>
      </c>
      <c r="M104" s="209">
        <f t="shared" si="42"/>
        <v>0.12499999999999997</v>
      </c>
      <c r="N104" s="204">
        <f t="shared" si="49"/>
        <v>40943.595662998836</v>
      </c>
      <c r="O104" s="211">
        <f t="shared" si="43"/>
        <v>40989.252522084484</v>
      </c>
      <c r="P104" s="154">
        <f t="shared" si="34"/>
        <v>4</v>
      </c>
    </row>
    <row r="105" spans="1:16" x14ac:dyDescent="0.2">
      <c r="A105" s="212"/>
      <c r="B105" s="987">
        <f t="shared" si="44"/>
        <v>15</v>
      </c>
      <c r="C105" s="955">
        <f t="shared" si="45"/>
        <v>1</v>
      </c>
      <c r="D105" s="955" t="str">
        <f t="shared" si="38"/>
        <v>Jupiter</v>
      </c>
      <c r="E105" s="956">
        <f t="shared" si="39"/>
        <v>0.75</v>
      </c>
      <c r="F105" s="988">
        <f t="shared" si="46"/>
        <v>43865.634644480262</v>
      </c>
      <c r="G105" s="989">
        <f t="shared" si="40"/>
        <v>44139.575798994148</v>
      </c>
      <c r="H105" s="959">
        <f>SUM($E$66:E105)</f>
        <v>49.297608333333351</v>
      </c>
      <c r="I105" s="212" t="s">
        <v>1169</v>
      </c>
      <c r="J105" s="213">
        <f t="shared" si="47"/>
        <v>14</v>
      </c>
      <c r="K105" s="683">
        <f t="shared" si="48"/>
        <v>0.16666666666666663</v>
      </c>
      <c r="L105" s="213" t="str">
        <f t="shared" si="41"/>
        <v>Jupiter</v>
      </c>
      <c r="M105" s="209">
        <f t="shared" si="42"/>
        <v>0.12499999999999997</v>
      </c>
      <c r="N105" s="214">
        <f t="shared" si="49"/>
        <v>40989.252522084484</v>
      </c>
      <c r="O105" s="215">
        <f t="shared" si="43"/>
        <v>41034.909381170131</v>
      </c>
      <c r="P105" s="154">
        <f t="shared" si="34"/>
        <v>4</v>
      </c>
    </row>
    <row r="106" spans="1:16" x14ac:dyDescent="0.2">
      <c r="A106" s="212"/>
      <c r="B106" s="987">
        <f t="shared" si="44"/>
        <v>16</v>
      </c>
      <c r="C106" s="955">
        <f t="shared" si="45"/>
        <v>1</v>
      </c>
      <c r="D106" s="955" t="str">
        <f t="shared" si="38"/>
        <v>Jupiter</v>
      </c>
      <c r="E106" s="956">
        <f t="shared" si="39"/>
        <v>0.75</v>
      </c>
      <c r="F106" s="988">
        <f t="shared" si="46"/>
        <v>44139.575798994148</v>
      </c>
      <c r="G106" s="989">
        <f t="shared" si="40"/>
        <v>44413.516953508035</v>
      </c>
      <c r="H106" s="959">
        <f>SUM($E$66:E106)</f>
        <v>50.047608333333351</v>
      </c>
      <c r="I106" s="208"/>
      <c r="J106" s="154">
        <f t="shared" si="47"/>
        <v>15</v>
      </c>
      <c r="K106" s="209">
        <f t="shared" si="48"/>
        <v>0.16666666666666663</v>
      </c>
      <c r="L106" s="154" t="str">
        <f t="shared" si="41"/>
        <v>Jupiter</v>
      </c>
      <c r="M106" s="209">
        <f t="shared" si="42"/>
        <v>0.12499999999999997</v>
      </c>
      <c r="N106" s="204">
        <f t="shared" si="49"/>
        <v>41034.909381170131</v>
      </c>
      <c r="O106" s="211">
        <f t="shared" si="43"/>
        <v>41080.566240255779</v>
      </c>
      <c r="P106" s="154">
        <f t="shared" si="34"/>
        <v>4</v>
      </c>
    </row>
    <row r="107" spans="1:16" x14ac:dyDescent="0.2">
      <c r="A107" s="212"/>
      <c r="B107" s="987">
        <f t="shared" si="44"/>
        <v>17</v>
      </c>
      <c r="C107" s="955">
        <f t="shared" si="45"/>
        <v>1</v>
      </c>
      <c r="D107" s="955" t="str">
        <f t="shared" si="38"/>
        <v>Sun</v>
      </c>
      <c r="E107" s="956">
        <f t="shared" si="39"/>
        <v>0.66666666666666663</v>
      </c>
      <c r="F107" s="988">
        <f t="shared" si="46"/>
        <v>44413.516953508035</v>
      </c>
      <c r="G107" s="989">
        <f t="shared" si="40"/>
        <v>44657.02020196482</v>
      </c>
      <c r="H107" s="959">
        <f>SUM($E$66:E107)</f>
        <v>50.714275000000015</v>
      </c>
      <c r="I107" s="212" t="s">
        <v>1169</v>
      </c>
      <c r="J107" s="213">
        <f t="shared" si="47"/>
        <v>16</v>
      </c>
      <c r="K107" s="683">
        <f t="shared" si="48"/>
        <v>0.16666666666666663</v>
      </c>
      <c r="L107" s="213" t="str">
        <f t="shared" si="41"/>
        <v>Jupiter</v>
      </c>
      <c r="M107" s="209">
        <f t="shared" si="42"/>
        <v>0.12499999999999997</v>
      </c>
      <c r="N107" s="214">
        <f t="shared" si="49"/>
        <v>41080.566240255779</v>
      </c>
      <c r="O107" s="215">
        <f t="shared" si="43"/>
        <v>41126.223099341427</v>
      </c>
      <c r="P107" s="154">
        <f t="shared" si="34"/>
        <v>4</v>
      </c>
    </row>
    <row r="108" spans="1:16" x14ac:dyDescent="0.2">
      <c r="A108" s="212"/>
      <c r="B108" s="987">
        <f t="shared" si="44"/>
        <v>18</v>
      </c>
      <c r="C108" s="955">
        <f t="shared" si="45"/>
        <v>1</v>
      </c>
      <c r="D108" s="955" t="str">
        <f t="shared" si="38"/>
        <v>Sun</v>
      </c>
      <c r="E108" s="956">
        <f t="shared" si="39"/>
        <v>0.66666666666666663</v>
      </c>
      <c r="F108" s="988">
        <f t="shared" si="46"/>
        <v>44657.02020196482</v>
      </c>
      <c r="G108" s="989">
        <f t="shared" si="40"/>
        <v>44900.523450421606</v>
      </c>
      <c r="H108" s="959">
        <f>SUM($E$66:E108)</f>
        <v>51.380941666666679</v>
      </c>
      <c r="I108" s="208"/>
      <c r="J108" s="154">
        <f t="shared" si="47"/>
        <v>17</v>
      </c>
      <c r="K108" s="209">
        <f t="shared" si="48"/>
        <v>0.16666666666666663</v>
      </c>
      <c r="L108" s="154" t="str">
        <f t="shared" si="41"/>
        <v>Sun</v>
      </c>
      <c r="M108" s="209">
        <f t="shared" si="42"/>
        <v>0.11111111111111108</v>
      </c>
      <c r="N108" s="204">
        <f t="shared" si="49"/>
        <v>41126.223099341427</v>
      </c>
      <c r="O108" s="211">
        <f t="shared" si="43"/>
        <v>41166.806974084226</v>
      </c>
      <c r="P108" s="154">
        <f t="shared" si="34"/>
        <v>3</v>
      </c>
    </row>
    <row r="109" spans="1:16" x14ac:dyDescent="0.2">
      <c r="A109" s="212"/>
      <c r="B109" s="987">
        <f t="shared" si="44"/>
        <v>19</v>
      </c>
      <c r="C109" s="955">
        <f t="shared" si="45"/>
        <v>1</v>
      </c>
      <c r="D109" s="955" t="str">
        <f t="shared" si="38"/>
        <v>Sun</v>
      </c>
      <c r="E109" s="956">
        <f t="shared" si="39"/>
        <v>0.66666666666666663</v>
      </c>
      <c r="F109" s="988">
        <f t="shared" si="46"/>
        <v>44900.523450421606</v>
      </c>
      <c r="G109" s="989">
        <f t="shared" si="40"/>
        <v>45144.026698878391</v>
      </c>
      <c r="H109" s="959">
        <f>SUM($E$66:E109)</f>
        <v>52.047608333333343</v>
      </c>
      <c r="I109" s="212" t="s">
        <v>1169</v>
      </c>
      <c r="J109" s="213">
        <f t="shared" si="47"/>
        <v>18</v>
      </c>
      <c r="K109" s="683">
        <f t="shared" si="48"/>
        <v>0.16666666666666663</v>
      </c>
      <c r="L109" s="213" t="str">
        <f t="shared" si="41"/>
        <v>Sun</v>
      </c>
      <c r="M109" s="209">
        <f t="shared" si="42"/>
        <v>0.11111111111111108</v>
      </c>
      <c r="N109" s="214">
        <f t="shared" si="49"/>
        <v>41166.806974084226</v>
      </c>
      <c r="O109" s="215">
        <f t="shared" si="43"/>
        <v>41207.390848827024</v>
      </c>
      <c r="P109" s="154">
        <f t="shared" si="34"/>
        <v>3</v>
      </c>
    </row>
    <row r="110" spans="1:16" x14ac:dyDescent="0.2">
      <c r="A110" s="212"/>
      <c r="B110" s="987">
        <f t="shared" si="44"/>
        <v>20</v>
      </c>
      <c r="C110" s="955">
        <f t="shared" si="45"/>
        <v>1</v>
      </c>
      <c r="D110" s="955" t="str">
        <f t="shared" si="38"/>
        <v>Moon</v>
      </c>
      <c r="E110" s="956">
        <f t="shared" si="39"/>
        <v>0.25</v>
      </c>
      <c r="F110" s="988">
        <f t="shared" si="46"/>
        <v>45144.026698878391</v>
      </c>
      <c r="G110" s="989">
        <f t="shared" si="40"/>
        <v>45235.340417049687</v>
      </c>
      <c r="H110" s="959">
        <f>SUM($E$66:E110)</f>
        <v>52.297608333333343</v>
      </c>
      <c r="I110" s="208"/>
      <c r="J110" s="154">
        <f t="shared" si="47"/>
        <v>19</v>
      </c>
      <c r="K110" s="209">
        <f t="shared" si="48"/>
        <v>0.16666666666666663</v>
      </c>
      <c r="L110" s="154" t="str">
        <f t="shared" si="41"/>
        <v>Sun</v>
      </c>
      <c r="M110" s="209">
        <f t="shared" si="42"/>
        <v>0.11111111111111108</v>
      </c>
      <c r="N110" s="204">
        <f t="shared" si="49"/>
        <v>41207.390848827024</v>
      </c>
      <c r="O110" s="211">
        <f t="shared" si="43"/>
        <v>41247.974723569823</v>
      </c>
      <c r="P110" s="154">
        <f t="shared" si="34"/>
        <v>3</v>
      </c>
    </row>
    <row r="111" spans="1:16" x14ac:dyDescent="0.2">
      <c r="A111" s="212"/>
      <c r="B111" s="987">
        <f t="shared" si="44"/>
        <v>21</v>
      </c>
      <c r="C111" s="955">
        <f t="shared" si="45"/>
        <v>1</v>
      </c>
      <c r="D111" s="955" t="str">
        <f t="shared" si="38"/>
        <v>Moon</v>
      </c>
      <c r="E111" s="956">
        <f t="shared" si="39"/>
        <v>0.25</v>
      </c>
      <c r="F111" s="988">
        <f t="shared" si="46"/>
        <v>45235.340417049687</v>
      </c>
      <c r="G111" s="989">
        <f t="shared" si="40"/>
        <v>45326.654135220982</v>
      </c>
      <c r="H111" s="959">
        <f>SUM($E$66:E111)</f>
        <v>52.547608333333343</v>
      </c>
      <c r="I111" s="212" t="s">
        <v>1169</v>
      </c>
      <c r="J111" s="213">
        <f t="shared" si="47"/>
        <v>20</v>
      </c>
      <c r="K111" s="683">
        <f t="shared" si="48"/>
        <v>0.16666666666666663</v>
      </c>
      <c r="L111" s="213" t="str">
        <f t="shared" si="41"/>
        <v>Moon</v>
      </c>
      <c r="M111" s="209">
        <f t="shared" si="42"/>
        <v>4.1666666666666657E-2</v>
      </c>
      <c r="N111" s="214">
        <f t="shared" si="49"/>
        <v>41247.974723569823</v>
      </c>
      <c r="O111" s="215">
        <f t="shared" si="43"/>
        <v>41263.19367659837</v>
      </c>
      <c r="P111" s="154">
        <f t="shared" si="34"/>
        <v>4</v>
      </c>
    </row>
    <row r="112" spans="1:16" x14ac:dyDescent="0.2">
      <c r="A112" s="212"/>
      <c r="B112" s="987">
        <f t="shared" si="44"/>
        <v>22</v>
      </c>
      <c r="C112" s="955">
        <f t="shared" si="45"/>
        <v>1</v>
      </c>
      <c r="D112" s="955" t="str">
        <f t="shared" si="38"/>
        <v>Moon</v>
      </c>
      <c r="E112" s="956">
        <f t="shared" si="39"/>
        <v>0.25</v>
      </c>
      <c r="F112" s="988">
        <f t="shared" si="46"/>
        <v>45326.654135220982</v>
      </c>
      <c r="G112" s="989">
        <f t="shared" si="40"/>
        <v>45417.967853392278</v>
      </c>
      <c r="H112" s="959">
        <f>SUM($E$66:E112)</f>
        <v>52.797608333333343</v>
      </c>
      <c r="I112" s="208"/>
      <c r="J112" s="154">
        <f t="shared" si="47"/>
        <v>21</v>
      </c>
      <c r="K112" s="209">
        <f t="shared" si="48"/>
        <v>0.16666666666666663</v>
      </c>
      <c r="L112" s="154" t="str">
        <f t="shared" si="41"/>
        <v>Moon</v>
      </c>
      <c r="M112" s="209">
        <f t="shared" si="42"/>
        <v>4.1666666666666657E-2</v>
      </c>
      <c r="N112" s="204">
        <f t="shared" si="49"/>
        <v>41263.19367659837</v>
      </c>
      <c r="O112" s="211">
        <f t="shared" si="43"/>
        <v>41278.412629626917</v>
      </c>
      <c r="P112" s="154">
        <f t="shared" si="34"/>
        <v>4</v>
      </c>
    </row>
    <row r="113" spans="1:16" x14ac:dyDescent="0.2">
      <c r="A113" s="212"/>
      <c r="B113" s="987">
        <f t="shared" si="44"/>
        <v>23</v>
      </c>
      <c r="C113" s="955">
        <f t="shared" si="45"/>
        <v>1</v>
      </c>
      <c r="D113" s="955" t="str">
        <f t="shared" si="38"/>
        <v>Moon</v>
      </c>
      <c r="E113" s="956">
        <f t="shared" si="39"/>
        <v>0.25</v>
      </c>
      <c r="F113" s="988">
        <f t="shared" si="46"/>
        <v>45417.967853392278</v>
      </c>
      <c r="G113" s="989">
        <f t="shared" si="40"/>
        <v>45509.281571563573</v>
      </c>
      <c r="H113" s="959">
        <f>SUM($E$66:E113)</f>
        <v>53.047608333333343</v>
      </c>
      <c r="I113" s="212" t="s">
        <v>1169</v>
      </c>
      <c r="J113" s="213">
        <f t="shared" si="47"/>
        <v>22</v>
      </c>
      <c r="K113" s="683">
        <f t="shared" si="48"/>
        <v>0.16666666666666663</v>
      </c>
      <c r="L113" s="213" t="str">
        <f t="shared" si="41"/>
        <v>Moon</v>
      </c>
      <c r="M113" s="209">
        <f t="shared" si="42"/>
        <v>4.1666666666666657E-2</v>
      </c>
      <c r="N113" s="214">
        <f t="shared" si="49"/>
        <v>41278.412629626917</v>
      </c>
      <c r="O113" s="215">
        <f t="shared" si="43"/>
        <v>41293.631582655464</v>
      </c>
      <c r="P113" s="154">
        <f t="shared" si="34"/>
        <v>4</v>
      </c>
    </row>
    <row r="114" spans="1:16" x14ac:dyDescent="0.2">
      <c r="A114" s="212"/>
      <c r="B114" s="987">
        <f t="shared" si="44"/>
        <v>24</v>
      </c>
      <c r="C114" s="955">
        <f t="shared" si="45"/>
        <v>1</v>
      </c>
      <c r="D114" s="955" t="str">
        <f t="shared" si="38"/>
        <v>Rahu</v>
      </c>
      <c r="E114" s="956">
        <f t="shared" si="39"/>
        <v>2.6666666666666665</v>
      </c>
      <c r="F114" s="988">
        <f t="shared" si="46"/>
        <v>45509.281571563573</v>
      </c>
      <c r="G114" s="989">
        <f t="shared" si="40"/>
        <v>46483.294565390723</v>
      </c>
      <c r="H114" s="959">
        <f>SUM($E$66:E114)</f>
        <v>55.714275000000008</v>
      </c>
      <c r="I114" s="208"/>
      <c r="J114" s="154">
        <f t="shared" si="47"/>
        <v>23</v>
      </c>
      <c r="K114" s="209">
        <f t="shared" si="48"/>
        <v>0.16666666666666663</v>
      </c>
      <c r="L114" s="154" t="str">
        <f t="shared" si="41"/>
        <v>Moon</v>
      </c>
      <c r="M114" s="209">
        <f t="shared" si="42"/>
        <v>4.1666666666666657E-2</v>
      </c>
      <c r="N114" s="204">
        <f t="shared" si="49"/>
        <v>41293.631582655464</v>
      </c>
      <c r="O114" s="211">
        <f t="shared" si="43"/>
        <v>41308.850535684011</v>
      </c>
      <c r="P114" s="154">
        <f t="shared" si="34"/>
        <v>4</v>
      </c>
    </row>
    <row r="115" spans="1:16" x14ac:dyDescent="0.2">
      <c r="A115" s="212"/>
      <c r="B115" s="987">
        <f t="shared" si="44"/>
        <v>25</v>
      </c>
      <c r="C115" s="955">
        <f t="shared" si="45"/>
        <v>1</v>
      </c>
      <c r="D115" s="955" t="str">
        <f t="shared" si="38"/>
        <v>Rahu</v>
      </c>
      <c r="E115" s="956">
        <f t="shared" si="39"/>
        <v>2.6666666666666665</v>
      </c>
      <c r="F115" s="988">
        <f t="shared" si="46"/>
        <v>46483.294565390723</v>
      </c>
      <c r="G115" s="989">
        <f t="shared" si="40"/>
        <v>47457.307559217872</v>
      </c>
      <c r="H115" s="959">
        <f>SUM($E$66:E115)</f>
        <v>58.380941666666672</v>
      </c>
      <c r="I115" s="212" t="s">
        <v>1169</v>
      </c>
      <c r="J115" s="213">
        <f t="shared" si="47"/>
        <v>24</v>
      </c>
      <c r="K115" s="683">
        <f t="shared" si="48"/>
        <v>0.16666666666666663</v>
      </c>
      <c r="L115" s="213" t="str">
        <f t="shared" si="41"/>
        <v>Rahu</v>
      </c>
      <c r="M115" s="209">
        <f t="shared" si="42"/>
        <v>0.44444444444444431</v>
      </c>
      <c r="N115" s="214">
        <f t="shared" si="49"/>
        <v>41308.850535684011</v>
      </c>
      <c r="O115" s="215">
        <f t="shared" si="43"/>
        <v>41471.186034655206</v>
      </c>
      <c r="P115" s="154">
        <f t="shared" si="34"/>
        <v>3</v>
      </c>
    </row>
    <row r="116" spans="1:16" x14ac:dyDescent="0.2">
      <c r="A116" s="212"/>
      <c r="B116" s="987">
        <f t="shared" si="44"/>
        <v>26</v>
      </c>
      <c r="C116" s="955">
        <f t="shared" si="45"/>
        <v>1</v>
      </c>
      <c r="D116" s="955" t="str">
        <f t="shared" si="38"/>
        <v>Rahu</v>
      </c>
      <c r="E116" s="956">
        <f t="shared" si="39"/>
        <v>2.6666666666666665</v>
      </c>
      <c r="F116" s="988">
        <f t="shared" si="46"/>
        <v>47457.307559217872</v>
      </c>
      <c r="G116" s="989">
        <f t="shared" si="40"/>
        <v>48431.320553045021</v>
      </c>
      <c r="H116" s="959">
        <f>SUM($E$66:E116)</f>
        <v>61.047608333333336</v>
      </c>
      <c r="I116" s="208"/>
      <c r="J116" s="154">
        <f t="shared" si="47"/>
        <v>25</v>
      </c>
      <c r="K116" s="209">
        <f t="shared" si="48"/>
        <v>0.16666666666666663</v>
      </c>
      <c r="L116" s="154" t="str">
        <f t="shared" si="41"/>
        <v>Rahu</v>
      </c>
      <c r="M116" s="209">
        <f t="shared" si="42"/>
        <v>0.44444444444444431</v>
      </c>
      <c r="N116" s="204">
        <f t="shared" si="49"/>
        <v>41471.186034655206</v>
      </c>
      <c r="O116" s="211">
        <f t="shared" si="43"/>
        <v>41633.521533626401</v>
      </c>
      <c r="P116" s="154">
        <f t="shared" si="34"/>
        <v>3</v>
      </c>
    </row>
    <row r="117" spans="1:16" x14ac:dyDescent="0.2">
      <c r="A117" s="212"/>
      <c r="B117" s="987">
        <f t="shared" si="44"/>
        <v>27</v>
      </c>
      <c r="C117" s="955">
        <f t="shared" si="45"/>
        <v>1</v>
      </c>
      <c r="D117" s="955" t="str">
        <f t="shared" si="38"/>
        <v>Venus</v>
      </c>
      <c r="E117" s="956">
        <f t="shared" si="39"/>
        <v>1.75</v>
      </c>
      <c r="F117" s="988">
        <f t="shared" si="46"/>
        <v>48431.320553045021</v>
      </c>
      <c r="G117" s="989">
        <f t="shared" si="40"/>
        <v>49070.51658024409</v>
      </c>
      <c r="H117" s="959">
        <f>SUM($E$66:E117)</f>
        <v>62.797608333333336</v>
      </c>
      <c r="I117" s="212" t="s">
        <v>1169</v>
      </c>
      <c r="J117" s="213">
        <f t="shared" si="47"/>
        <v>26</v>
      </c>
      <c r="K117" s="683">
        <f t="shared" si="48"/>
        <v>0.16666666666666663</v>
      </c>
      <c r="L117" s="213" t="str">
        <f t="shared" si="41"/>
        <v>Rahu</v>
      </c>
      <c r="M117" s="209">
        <f t="shared" si="42"/>
        <v>0.44444444444444431</v>
      </c>
      <c r="N117" s="214">
        <f t="shared" si="49"/>
        <v>41633.521533626401</v>
      </c>
      <c r="O117" s="215">
        <f t="shared" si="43"/>
        <v>41795.857032597596</v>
      </c>
      <c r="P117" s="154">
        <f t="shared" si="34"/>
        <v>3</v>
      </c>
    </row>
    <row r="118" spans="1:16" x14ac:dyDescent="0.2">
      <c r="A118" s="212"/>
      <c r="B118" s="987">
        <f t="shared" si="44"/>
        <v>28</v>
      </c>
      <c r="C118" s="955">
        <f t="shared" si="45"/>
        <v>1</v>
      </c>
      <c r="D118" s="955" t="str">
        <f t="shared" si="38"/>
        <v>Venus</v>
      </c>
      <c r="E118" s="956">
        <f t="shared" si="39"/>
        <v>1.75</v>
      </c>
      <c r="F118" s="988">
        <f t="shared" si="46"/>
        <v>49070.51658024409</v>
      </c>
      <c r="G118" s="989">
        <f t="shared" si="40"/>
        <v>49709.712607443158</v>
      </c>
      <c r="H118" s="959">
        <f>SUM($E$66:E118)</f>
        <v>64.547608333333329</v>
      </c>
      <c r="I118" s="208"/>
      <c r="J118" s="154">
        <f t="shared" si="47"/>
        <v>27</v>
      </c>
      <c r="K118" s="209">
        <f t="shared" si="48"/>
        <v>0.16666666666666663</v>
      </c>
      <c r="L118" s="154" t="str">
        <f t="shared" si="41"/>
        <v>Venus</v>
      </c>
      <c r="M118" s="209">
        <f t="shared" si="42"/>
        <v>0.29166666666666663</v>
      </c>
      <c r="N118" s="204">
        <f t="shared" si="49"/>
        <v>41795.857032597596</v>
      </c>
      <c r="O118" s="211">
        <f t="shared" si="43"/>
        <v>41902.389703797438</v>
      </c>
      <c r="P118" s="154">
        <f t="shared" si="34"/>
        <v>4</v>
      </c>
    </row>
    <row r="119" spans="1:16" x14ac:dyDescent="0.2">
      <c r="A119" s="212"/>
      <c r="B119" s="987">
        <f t="shared" si="44"/>
        <v>1</v>
      </c>
      <c r="C119" s="955">
        <f t="shared" si="45"/>
        <v>1</v>
      </c>
      <c r="D119" s="955" t="str">
        <f t="shared" si="38"/>
        <v>Venus</v>
      </c>
      <c r="E119" s="956">
        <f t="shared" si="39"/>
        <v>1.75</v>
      </c>
      <c r="F119" s="988">
        <f t="shared" si="46"/>
        <v>49709.712607443158</v>
      </c>
      <c r="G119" s="989">
        <f t="shared" si="40"/>
        <v>50348.908634642226</v>
      </c>
      <c r="H119" s="959">
        <f>SUM($E$66:E119)</f>
        <v>66.297608333333329</v>
      </c>
      <c r="I119" s="212" t="s">
        <v>1169</v>
      </c>
      <c r="J119" s="213">
        <f t="shared" si="47"/>
        <v>28</v>
      </c>
      <c r="K119" s="683">
        <f t="shared" si="48"/>
        <v>0.16666666666666663</v>
      </c>
      <c r="L119" s="213" t="str">
        <f t="shared" si="41"/>
        <v>Venus</v>
      </c>
      <c r="M119" s="209">
        <f t="shared" si="42"/>
        <v>0.29166666666666663</v>
      </c>
      <c r="N119" s="214">
        <f t="shared" si="49"/>
        <v>41902.389703797438</v>
      </c>
      <c r="O119" s="215">
        <f t="shared" si="43"/>
        <v>42008.922374997281</v>
      </c>
      <c r="P119" s="154">
        <f t="shared" si="34"/>
        <v>4</v>
      </c>
    </row>
    <row r="120" spans="1:16" x14ac:dyDescent="0.2">
      <c r="A120" s="212"/>
      <c r="B120" s="987">
        <f t="shared" si="44"/>
        <v>2</v>
      </c>
      <c r="C120" s="955">
        <f t="shared" si="45"/>
        <v>1</v>
      </c>
      <c r="D120" s="955" t="str">
        <f t="shared" si="38"/>
        <v>Venus</v>
      </c>
      <c r="E120" s="956">
        <f t="shared" si="39"/>
        <v>1.75</v>
      </c>
      <c r="F120" s="988">
        <f t="shared" si="46"/>
        <v>50348.908634642226</v>
      </c>
      <c r="G120" s="989">
        <f t="shared" si="40"/>
        <v>50988.104661841295</v>
      </c>
      <c r="H120" s="959">
        <f>SUM($E$66:E120)</f>
        <v>68.047608333333329</v>
      </c>
      <c r="I120" s="208"/>
      <c r="J120" s="154">
        <f t="shared" si="47"/>
        <v>1</v>
      </c>
      <c r="K120" s="209">
        <f t="shared" si="48"/>
        <v>0.16666666666666663</v>
      </c>
      <c r="L120" s="154" t="str">
        <f t="shared" si="41"/>
        <v>Venus</v>
      </c>
      <c r="M120" s="209">
        <f t="shared" si="42"/>
        <v>0.29166666666666663</v>
      </c>
      <c r="N120" s="204">
        <f t="shared" si="49"/>
        <v>42008.922374997281</v>
      </c>
      <c r="O120" s="211">
        <f t="shared" si="43"/>
        <v>42115.455046197123</v>
      </c>
      <c r="P120" s="154">
        <f t="shared" si="34"/>
        <v>4</v>
      </c>
    </row>
    <row r="121" spans="1:16" x14ac:dyDescent="0.2">
      <c r="A121" s="212"/>
      <c r="B121" s="987">
        <f t="shared" si="44"/>
        <v>3</v>
      </c>
      <c r="C121" s="955">
        <f t="shared" si="45"/>
        <v>1</v>
      </c>
      <c r="D121" s="955" t="str">
        <f t="shared" si="38"/>
        <v>Saturn</v>
      </c>
      <c r="E121" s="956">
        <f t="shared" si="39"/>
        <v>2</v>
      </c>
      <c r="F121" s="988">
        <f t="shared" si="46"/>
        <v>50988.104661841295</v>
      </c>
      <c r="G121" s="989">
        <f t="shared" si="40"/>
        <v>51718.614407211659</v>
      </c>
      <c r="H121" s="959">
        <f>SUM($E$66:E121)</f>
        <v>70.047608333333329</v>
      </c>
      <c r="I121" s="212" t="s">
        <v>1169</v>
      </c>
      <c r="J121" s="213">
        <f t="shared" si="47"/>
        <v>2</v>
      </c>
      <c r="K121" s="683">
        <f t="shared" si="48"/>
        <v>0.16666666666666663</v>
      </c>
      <c r="L121" s="213" t="str">
        <f t="shared" si="41"/>
        <v>Venus</v>
      </c>
      <c r="M121" s="209">
        <f t="shared" si="42"/>
        <v>0.29166666666666663</v>
      </c>
      <c r="N121" s="214">
        <f t="shared" si="49"/>
        <v>42115.455046197123</v>
      </c>
      <c r="O121" s="215">
        <f t="shared" si="43"/>
        <v>42221.987717396965</v>
      </c>
      <c r="P121" s="154">
        <f t="shared" si="34"/>
        <v>4</v>
      </c>
    </row>
    <row r="122" spans="1:16" x14ac:dyDescent="0.2">
      <c r="A122" s="212"/>
      <c r="B122" s="987">
        <f t="shared" si="44"/>
        <v>4</v>
      </c>
      <c r="C122" s="955">
        <f t="shared" si="45"/>
        <v>1</v>
      </c>
      <c r="D122" s="955" t="str">
        <f t="shared" si="38"/>
        <v>Saturn</v>
      </c>
      <c r="E122" s="956">
        <f t="shared" si="39"/>
        <v>2</v>
      </c>
      <c r="F122" s="988">
        <f t="shared" si="46"/>
        <v>51718.614407211659</v>
      </c>
      <c r="G122" s="989">
        <f t="shared" si="40"/>
        <v>52449.124152582022</v>
      </c>
      <c r="H122" s="959">
        <f>SUM($E$66:E122)</f>
        <v>72.047608333333329</v>
      </c>
      <c r="I122" s="208"/>
      <c r="J122" s="154">
        <f t="shared" si="47"/>
        <v>3</v>
      </c>
      <c r="K122" s="209">
        <f t="shared" si="48"/>
        <v>0.16666666666666663</v>
      </c>
      <c r="L122" s="154" t="str">
        <f t="shared" si="41"/>
        <v>Saturn</v>
      </c>
      <c r="M122" s="209">
        <f t="shared" si="42"/>
        <v>0.33333333333333326</v>
      </c>
      <c r="N122" s="204">
        <f t="shared" si="49"/>
        <v>42221.987717396965</v>
      </c>
      <c r="O122" s="211">
        <f t="shared" si="43"/>
        <v>42343.739341625362</v>
      </c>
      <c r="P122" s="154">
        <f t="shared" si="34"/>
        <v>3</v>
      </c>
    </row>
    <row r="123" spans="1:16" x14ac:dyDescent="0.2">
      <c r="A123" s="212"/>
      <c r="B123" s="987">
        <f t="shared" si="44"/>
        <v>5</v>
      </c>
      <c r="C123" s="955">
        <f t="shared" si="45"/>
        <v>1</v>
      </c>
      <c r="D123" s="955" t="str">
        <f t="shared" si="38"/>
        <v>Saturn</v>
      </c>
      <c r="E123" s="956">
        <f t="shared" si="39"/>
        <v>2</v>
      </c>
      <c r="F123" s="988">
        <f t="shared" si="46"/>
        <v>52449.124152582022</v>
      </c>
      <c r="G123" s="989">
        <f t="shared" si="40"/>
        <v>53179.633897952386</v>
      </c>
      <c r="H123" s="959">
        <f>SUM($E$66:E123)</f>
        <v>74.047608333333329</v>
      </c>
      <c r="I123" s="212" t="s">
        <v>1169</v>
      </c>
      <c r="J123" s="213">
        <f t="shared" si="47"/>
        <v>4</v>
      </c>
      <c r="K123" s="683">
        <f t="shared" si="48"/>
        <v>0.16666666666666663</v>
      </c>
      <c r="L123" s="213" t="str">
        <f t="shared" si="41"/>
        <v>Saturn</v>
      </c>
      <c r="M123" s="209">
        <f t="shared" si="42"/>
        <v>0.33333333333333326</v>
      </c>
      <c r="N123" s="214">
        <f t="shared" si="49"/>
        <v>42343.739341625362</v>
      </c>
      <c r="O123" s="215">
        <f t="shared" si="43"/>
        <v>42465.490965853758</v>
      </c>
      <c r="P123" s="154">
        <f t="shared" si="34"/>
        <v>3</v>
      </c>
    </row>
    <row r="124" spans="1:16" x14ac:dyDescent="0.2">
      <c r="A124" s="212"/>
      <c r="B124" s="987">
        <f t="shared" si="44"/>
        <v>6</v>
      </c>
      <c r="C124" s="955">
        <f t="shared" si="45"/>
        <v>1</v>
      </c>
      <c r="D124" s="955" t="str">
        <f t="shared" si="38"/>
        <v>Mercury</v>
      </c>
      <c r="E124" s="956">
        <f t="shared" si="39"/>
        <v>1.25</v>
      </c>
      <c r="F124" s="988">
        <f t="shared" si="46"/>
        <v>53179.633897952386</v>
      </c>
      <c r="G124" s="989">
        <f t="shared" si="40"/>
        <v>53636.202488808864</v>
      </c>
      <c r="H124" s="959">
        <f>SUM($E$66:E124)</f>
        <v>75.297608333333329</v>
      </c>
      <c r="I124" s="208"/>
      <c r="J124" s="154">
        <f t="shared" si="47"/>
        <v>5</v>
      </c>
      <c r="K124" s="209">
        <f t="shared" si="48"/>
        <v>0.16666666666666663</v>
      </c>
      <c r="L124" s="154" t="str">
        <f t="shared" si="41"/>
        <v>Saturn</v>
      </c>
      <c r="M124" s="209">
        <f t="shared" si="42"/>
        <v>0.33333333333333326</v>
      </c>
      <c r="N124" s="204">
        <f t="shared" si="49"/>
        <v>42465.490965853758</v>
      </c>
      <c r="O124" s="211">
        <f t="shared" si="43"/>
        <v>42587.242590082154</v>
      </c>
      <c r="P124" s="154">
        <f t="shared" si="34"/>
        <v>3</v>
      </c>
    </row>
    <row r="125" spans="1:16" x14ac:dyDescent="0.2">
      <c r="A125" s="212"/>
      <c r="B125" s="987">
        <f t="shared" si="44"/>
        <v>7</v>
      </c>
      <c r="C125" s="955">
        <f t="shared" si="45"/>
        <v>1</v>
      </c>
      <c r="D125" s="955" t="str">
        <f t="shared" si="38"/>
        <v>Mercury</v>
      </c>
      <c r="E125" s="956">
        <f t="shared" si="39"/>
        <v>1.25</v>
      </c>
      <c r="F125" s="988">
        <f t="shared" si="46"/>
        <v>53636.202488808864</v>
      </c>
      <c r="G125" s="989">
        <f t="shared" si="40"/>
        <v>54092.771079665341</v>
      </c>
      <c r="H125" s="959">
        <f>SUM($E$66:E125)</f>
        <v>76.547608333333329</v>
      </c>
      <c r="I125" s="212" t="s">
        <v>1169</v>
      </c>
      <c r="J125" s="213">
        <f t="shared" si="47"/>
        <v>6</v>
      </c>
      <c r="K125" s="683">
        <f t="shared" si="48"/>
        <v>0.16666666666666663</v>
      </c>
      <c r="L125" s="213" t="str">
        <f t="shared" si="41"/>
        <v>Mercury</v>
      </c>
      <c r="M125" s="209">
        <f t="shared" si="42"/>
        <v>0.20833333333333329</v>
      </c>
      <c r="N125" s="214">
        <f t="shared" si="49"/>
        <v>42587.242590082154</v>
      </c>
      <c r="O125" s="215">
        <f t="shared" si="43"/>
        <v>42663.337355224903</v>
      </c>
      <c r="P125" s="154">
        <f t="shared" si="34"/>
        <v>4</v>
      </c>
    </row>
    <row r="126" spans="1:16" x14ac:dyDescent="0.2">
      <c r="A126" s="212"/>
      <c r="B126" s="987">
        <f t="shared" si="44"/>
        <v>8</v>
      </c>
      <c r="C126" s="955">
        <f t="shared" si="45"/>
        <v>1</v>
      </c>
      <c r="D126" s="955" t="str">
        <f t="shared" si="38"/>
        <v>Mercury</v>
      </c>
      <c r="E126" s="956">
        <f t="shared" si="39"/>
        <v>1.25</v>
      </c>
      <c r="F126" s="988">
        <f t="shared" si="46"/>
        <v>54092.771079665341</v>
      </c>
      <c r="G126" s="989">
        <f t="shared" si="40"/>
        <v>54549.339670521818</v>
      </c>
      <c r="H126" s="959">
        <f>SUM($E$66:E126)</f>
        <v>77.797608333333329</v>
      </c>
      <c r="I126" s="208"/>
      <c r="J126" s="154">
        <f t="shared" si="47"/>
        <v>7</v>
      </c>
      <c r="K126" s="209">
        <f t="shared" si="48"/>
        <v>0.16666666666666663</v>
      </c>
      <c r="L126" s="154" t="str">
        <f t="shared" si="41"/>
        <v>Mercury</v>
      </c>
      <c r="M126" s="209">
        <f t="shared" si="42"/>
        <v>0.20833333333333329</v>
      </c>
      <c r="N126" s="204">
        <f t="shared" si="49"/>
        <v>42663.337355224903</v>
      </c>
      <c r="O126" s="211">
        <f t="shared" si="43"/>
        <v>42739.432120367652</v>
      </c>
      <c r="P126" s="154">
        <f t="shared" si="34"/>
        <v>4</v>
      </c>
    </row>
    <row r="127" spans="1:16" x14ac:dyDescent="0.2">
      <c r="A127" s="212"/>
      <c r="B127" s="987">
        <f t="shared" si="44"/>
        <v>9</v>
      </c>
      <c r="C127" s="955">
        <f t="shared" si="45"/>
        <v>1</v>
      </c>
      <c r="D127" s="955" t="str">
        <f t="shared" si="38"/>
        <v>Mercury</v>
      </c>
      <c r="E127" s="956">
        <f t="shared" si="39"/>
        <v>1.25</v>
      </c>
      <c r="F127" s="988">
        <f t="shared" si="46"/>
        <v>54549.339670521818</v>
      </c>
      <c r="G127" s="989">
        <f t="shared" si="40"/>
        <v>55005.908261378296</v>
      </c>
      <c r="H127" s="959">
        <f>SUM($E$66:E127)</f>
        <v>79.047608333333329</v>
      </c>
      <c r="I127" s="212" t="s">
        <v>1169</v>
      </c>
      <c r="J127" s="213">
        <f t="shared" si="47"/>
        <v>8</v>
      </c>
      <c r="K127" s="683">
        <f t="shared" si="48"/>
        <v>0.16666666666666663</v>
      </c>
      <c r="L127" s="213" t="str">
        <f t="shared" si="41"/>
        <v>Mercury</v>
      </c>
      <c r="M127" s="209">
        <f t="shared" si="42"/>
        <v>0.20833333333333329</v>
      </c>
      <c r="N127" s="214">
        <f t="shared" si="49"/>
        <v>42739.432120367652</v>
      </c>
      <c r="O127" s="215">
        <f t="shared" si="43"/>
        <v>42815.5268855104</v>
      </c>
      <c r="P127" s="154">
        <f t="shared" si="34"/>
        <v>4</v>
      </c>
    </row>
    <row r="128" spans="1:16" x14ac:dyDescent="0.2">
      <c r="A128" s="212"/>
      <c r="B128" s="987">
        <f t="shared" si="44"/>
        <v>10</v>
      </c>
      <c r="C128" s="955">
        <f t="shared" si="45"/>
        <v>1</v>
      </c>
      <c r="D128" s="955" t="str">
        <f t="shared" si="38"/>
        <v>Mars</v>
      </c>
      <c r="E128" s="956">
        <f t="shared" si="39"/>
        <v>1.3333333333333333</v>
      </c>
      <c r="F128" s="988">
        <f t="shared" si="46"/>
        <v>55005.908261378296</v>
      </c>
      <c r="G128" s="989">
        <f t="shared" si="40"/>
        <v>55492.914758291874</v>
      </c>
      <c r="H128" s="959">
        <f>SUM($E$66:E128)</f>
        <v>80.380941666666658</v>
      </c>
      <c r="I128" s="208"/>
      <c r="J128" s="154">
        <f t="shared" si="47"/>
        <v>9</v>
      </c>
      <c r="K128" s="209">
        <f t="shared" si="48"/>
        <v>0.16666666666666663</v>
      </c>
      <c r="L128" s="154" t="str">
        <f t="shared" si="41"/>
        <v>Mercury</v>
      </c>
      <c r="M128" s="209">
        <f t="shared" si="42"/>
        <v>0.20833333333333329</v>
      </c>
      <c r="N128" s="204">
        <f t="shared" si="49"/>
        <v>42815.5268855104</v>
      </c>
      <c r="O128" s="211">
        <f t="shared" si="43"/>
        <v>42891.621650653149</v>
      </c>
      <c r="P128" s="154">
        <f t="shared" si="34"/>
        <v>4</v>
      </c>
    </row>
    <row r="129" spans="9:16" x14ac:dyDescent="0.2">
      <c r="I129" s="212" t="s">
        <v>1169</v>
      </c>
      <c r="J129" s="213">
        <f t="shared" si="47"/>
        <v>10</v>
      </c>
      <c r="K129" s="683">
        <f t="shared" si="48"/>
        <v>0.16666666666666663</v>
      </c>
      <c r="L129" s="213" t="str">
        <f t="shared" si="41"/>
        <v>Mars</v>
      </c>
      <c r="M129" s="209">
        <f t="shared" si="42"/>
        <v>0.22222222222222215</v>
      </c>
      <c r="N129" s="214">
        <f t="shared" si="49"/>
        <v>42891.621650653149</v>
      </c>
      <c r="O129" s="215">
        <f t="shared" si="43"/>
        <v>42972.789400138747</v>
      </c>
      <c r="P129" s="154">
        <f t="shared" si="34"/>
        <v>1</v>
      </c>
    </row>
    <row r="130" spans="9:16" x14ac:dyDescent="0.2">
      <c r="I130" s="208"/>
      <c r="K130" s="209"/>
      <c r="M130" s="209"/>
      <c r="N130" s="204"/>
      <c r="O130" s="211"/>
    </row>
    <row r="131" spans="9:16" x14ac:dyDescent="0.2">
      <c r="I131" s="212"/>
      <c r="J131" s="213"/>
      <c r="K131" s="683"/>
      <c r="L131" s="213"/>
      <c r="M131" s="209"/>
      <c r="N131" s="214"/>
      <c r="O131" s="215"/>
    </row>
  </sheetData>
  <sheetProtection selectLockedCells="1" selectUnlockedCells="1"/>
  <mergeCells count="16">
    <mergeCell ref="Z28:AA28"/>
    <mergeCell ref="R28:S28"/>
    <mergeCell ref="J28:K28"/>
    <mergeCell ref="V28:W28"/>
    <mergeCell ref="X28:Y28"/>
    <mergeCell ref="T28:U28"/>
    <mergeCell ref="P28:Q28"/>
    <mergeCell ref="L28:M28"/>
    <mergeCell ref="N28:O28"/>
    <mergeCell ref="C63:D63"/>
    <mergeCell ref="H28:I28"/>
    <mergeCell ref="D28:E28"/>
    <mergeCell ref="F28:G28"/>
    <mergeCell ref="D26:I26"/>
    <mergeCell ref="D27:E27"/>
    <mergeCell ref="F27:G27"/>
  </mergeCells>
  <phoneticPr fontId="107" type="noConversion"/>
  <conditionalFormatting sqref="D66:D128">
    <cfRule type="cellIs" dxfId="518" priority="1" stopIfTrue="1" operator="equal">
      <formula>A2</formula>
    </cfRule>
  </conditionalFormatting>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49"/>
  <sheetViews>
    <sheetView zoomScaleNormal="100" workbookViewId="0" xr3:uid="{44B22561-5205-5C8A-B808-2C70100D228F}">
      <selection activeCell="I28" sqref="I28"/>
    </sheetView>
  </sheetViews>
  <sheetFormatPr defaultColWidth="9.14453125" defaultRowHeight="15" x14ac:dyDescent="0.2"/>
  <cols>
    <col min="1" max="1" width="6.58984375" style="1431" bestFit="1" customWidth="1"/>
    <col min="2" max="2" width="7.3984375" style="1431" bestFit="1" customWidth="1"/>
    <col min="3" max="3" width="8.203125" style="1431" bestFit="1" customWidth="1"/>
    <col min="4" max="7" width="8.203125" style="1431" customWidth="1"/>
    <col min="8" max="11" width="4.83984375" style="1431" customWidth="1"/>
    <col min="12" max="12" width="5.109375" style="1431" customWidth="1"/>
    <col min="13" max="14" width="11.296875" style="1431" bestFit="1" customWidth="1"/>
    <col min="15" max="24" width="10.35546875" style="1431" bestFit="1" customWidth="1"/>
    <col min="25" max="16384" width="9.14453125" style="1431"/>
  </cols>
  <sheetData>
    <row r="1" spans="1:25" x14ac:dyDescent="0.2">
      <c r="A1" s="1430" t="s">
        <v>4703</v>
      </c>
      <c r="B1" s="1430" t="s">
        <v>1141</v>
      </c>
      <c r="C1" s="1430" t="s">
        <v>1504</v>
      </c>
      <c r="D1" s="1430" t="s">
        <v>2097</v>
      </c>
      <c r="E1" s="1430" t="s">
        <v>4704</v>
      </c>
      <c r="F1" s="1442" t="s">
        <v>4742</v>
      </c>
      <c r="G1" s="1438" t="s">
        <v>4719</v>
      </c>
      <c r="H1" s="1438" t="s">
        <v>4718</v>
      </c>
      <c r="M1" s="1431" t="s">
        <v>1086</v>
      </c>
      <c r="N1" s="1431" t="s">
        <v>4705</v>
      </c>
      <c r="O1" s="1431">
        <v>4</v>
      </c>
    </row>
    <row r="2" spans="1:25" ht="15.75" thickBot="1" x14ac:dyDescent="0.25">
      <c r="A2" s="1436">
        <v>1</v>
      </c>
      <c r="B2" s="1436" t="s">
        <v>1956</v>
      </c>
      <c r="C2" s="1436">
        <v>7</v>
      </c>
      <c r="D2" s="1438" t="s">
        <v>4726</v>
      </c>
      <c r="E2" s="1438" t="s">
        <v>4727</v>
      </c>
      <c r="F2" s="1438">
        <f>SUM(C2:C10)</f>
        <v>100</v>
      </c>
      <c r="G2" s="1430" t="s">
        <v>4706</v>
      </c>
      <c r="H2" s="1440" t="s">
        <v>4706</v>
      </c>
      <c r="N2" s="1431" t="s">
        <v>2097</v>
      </c>
      <c r="O2" s="1431">
        <v>4</v>
      </c>
    </row>
    <row r="3" spans="1:25" ht="15.75" thickBot="1" x14ac:dyDescent="0.25">
      <c r="A3" s="1436">
        <v>2</v>
      </c>
      <c r="B3" s="1436" t="s">
        <v>1953</v>
      </c>
      <c r="C3" s="1436">
        <v>16</v>
      </c>
      <c r="D3" s="1430" t="s">
        <v>1059</v>
      </c>
      <c r="E3" s="1430"/>
      <c r="F3" s="1438"/>
      <c r="G3" s="1430"/>
      <c r="H3" s="1440" t="s">
        <v>4706</v>
      </c>
      <c r="I3" s="1432" t="s">
        <v>1952</v>
      </c>
      <c r="J3" s="1432" t="s">
        <v>1956</v>
      </c>
      <c r="K3" s="1432" t="s">
        <v>1953</v>
      </c>
      <c r="L3" s="1432" t="s">
        <v>1965</v>
      </c>
      <c r="N3" s="1431" t="s">
        <v>4707</v>
      </c>
      <c r="O3" s="1431" t="str">
        <f>IF(INT(MOD((O1-1)/3,2)),"Apasavya","Savya")</f>
        <v>Apasavya</v>
      </c>
      <c r="P3" s="1431">
        <v>-1</v>
      </c>
    </row>
    <row r="4" spans="1:25" ht="15.75" thickBot="1" x14ac:dyDescent="0.25">
      <c r="A4" s="1436">
        <v>3</v>
      </c>
      <c r="B4" s="1436" t="s">
        <v>1965</v>
      </c>
      <c r="C4" s="1436">
        <v>9</v>
      </c>
      <c r="D4" s="1430" t="s">
        <v>4708</v>
      </c>
      <c r="E4" s="1430" t="s">
        <v>1953</v>
      </c>
      <c r="F4" s="1438">
        <f>SUM(C20:C28)</f>
        <v>83</v>
      </c>
      <c r="G4" s="1430" t="s">
        <v>4709</v>
      </c>
      <c r="H4" s="1440" t="s">
        <v>4706</v>
      </c>
      <c r="I4" s="1432" t="s">
        <v>1974</v>
      </c>
      <c r="J4" s="1531" t="s">
        <v>3489</v>
      </c>
      <c r="K4" s="1532"/>
      <c r="L4" s="1432" t="s">
        <v>1949</v>
      </c>
      <c r="N4" s="1431" t="s">
        <v>4710</v>
      </c>
      <c r="O4" s="1431">
        <f>MOD(O1-1,2)+1</f>
        <v>2</v>
      </c>
    </row>
    <row r="5" spans="1:25" ht="15.75" thickBot="1" x14ac:dyDescent="0.25">
      <c r="A5" s="1436">
        <v>4</v>
      </c>
      <c r="B5" s="1436" t="s">
        <v>1968</v>
      </c>
      <c r="C5" s="1436">
        <v>21</v>
      </c>
      <c r="D5" s="1438" t="s">
        <v>4732</v>
      </c>
      <c r="E5" s="1438" t="s">
        <v>4733</v>
      </c>
      <c r="F5" s="1438">
        <f t="shared" ref="F5:F23" si="0">SUM(C5:C13)</f>
        <v>86</v>
      </c>
      <c r="G5" s="1430" t="s">
        <v>4706</v>
      </c>
      <c r="H5" s="1440" t="s">
        <v>4706</v>
      </c>
      <c r="I5" s="1432" t="s">
        <v>1962</v>
      </c>
      <c r="J5" s="1533"/>
      <c r="K5" s="1534"/>
      <c r="L5" s="1432" t="s">
        <v>1968</v>
      </c>
      <c r="N5" s="1431" t="s">
        <v>4711</v>
      </c>
      <c r="O5" s="1431">
        <v>21</v>
      </c>
    </row>
    <row r="6" spans="1:25" ht="15.75" thickBot="1" x14ac:dyDescent="0.25">
      <c r="A6" s="1436">
        <v>5</v>
      </c>
      <c r="B6" s="1436" t="s">
        <v>1949</v>
      </c>
      <c r="C6" s="1436">
        <v>5</v>
      </c>
      <c r="D6" s="1430" t="s">
        <v>1059</v>
      </c>
      <c r="E6" s="1430"/>
      <c r="F6" s="1438"/>
      <c r="G6" s="1430"/>
      <c r="H6" s="1440" t="s">
        <v>4706</v>
      </c>
      <c r="I6" s="1432" t="s">
        <v>1948</v>
      </c>
      <c r="J6" s="1432" t="s">
        <v>2007</v>
      </c>
      <c r="K6" s="1432" t="s">
        <v>1971</v>
      </c>
      <c r="L6" s="1432" t="s">
        <v>1959</v>
      </c>
      <c r="N6" s="1431" t="s">
        <v>4712</v>
      </c>
      <c r="O6" s="1433">
        <v>26133</v>
      </c>
      <c r="P6" s="1433"/>
      <c r="Q6" s="1433"/>
      <c r="R6" s="1433"/>
    </row>
    <row r="7" spans="1:25" ht="15.75" thickBot="1" x14ac:dyDescent="0.25">
      <c r="A7" s="1436">
        <v>6</v>
      </c>
      <c r="B7" s="1436" t="s">
        <v>1959</v>
      </c>
      <c r="C7" s="1436">
        <v>9</v>
      </c>
      <c r="D7" s="1438" t="s">
        <v>4738</v>
      </c>
      <c r="E7" s="1438" t="s">
        <v>4739</v>
      </c>
      <c r="F7" s="1438">
        <f>SUM(C23:C31)</f>
        <v>85</v>
      </c>
      <c r="G7" s="1430" t="s">
        <v>4709</v>
      </c>
      <c r="H7" s="1440" t="s">
        <v>4706</v>
      </c>
      <c r="I7" s="1430"/>
      <c r="J7" s="1430"/>
      <c r="K7" s="1430"/>
      <c r="L7" s="1430"/>
      <c r="N7" s="1431" t="s">
        <v>4713</v>
      </c>
      <c r="O7" s="1431">
        <v>3</v>
      </c>
    </row>
    <row r="8" spans="1:25" ht="15.75" thickBot="1" x14ac:dyDescent="0.25">
      <c r="A8" s="1436">
        <v>7</v>
      </c>
      <c r="B8" s="1436" t="s">
        <v>1971</v>
      </c>
      <c r="C8" s="1436">
        <v>16</v>
      </c>
      <c r="D8" s="1438" t="s">
        <v>4722</v>
      </c>
      <c r="E8" s="1438" t="s">
        <v>1971</v>
      </c>
      <c r="F8" s="1438">
        <f t="shared" si="0"/>
        <v>83</v>
      </c>
      <c r="G8" s="1430" t="s">
        <v>4706</v>
      </c>
      <c r="H8" s="1440" t="s">
        <v>4706</v>
      </c>
      <c r="I8" s="1435" t="s">
        <v>1952</v>
      </c>
      <c r="J8" s="1435" t="s">
        <v>1956</v>
      </c>
      <c r="K8" s="1435" t="s">
        <v>1953</v>
      </c>
      <c r="L8" s="1435" t="s">
        <v>1965</v>
      </c>
      <c r="N8" s="1431" t="s">
        <v>1629</v>
      </c>
      <c r="O8" s="1431">
        <f>(200-O7*60)/200</f>
        <v>0.1</v>
      </c>
    </row>
    <row r="9" spans="1:25" ht="15.75" thickBot="1" x14ac:dyDescent="0.25">
      <c r="A9" s="1436">
        <v>8</v>
      </c>
      <c r="B9" s="1436" t="s">
        <v>2007</v>
      </c>
      <c r="C9" s="1436">
        <v>7</v>
      </c>
      <c r="D9" s="1430" t="s">
        <v>1059</v>
      </c>
      <c r="E9" s="1430"/>
      <c r="F9" s="1438"/>
      <c r="G9" s="1430"/>
      <c r="H9" s="1440" t="s">
        <v>4706</v>
      </c>
      <c r="I9" s="1435" t="s">
        <v>1974</v>
      </c>
      <c r="J9" s="1535" t="s">
        <v>3488</v>
      </c>
      <c r="K9" s="1536"/>
      <c r="L9" s="1435" t="s">
        <v>1968</v>
      </c>
    </row>
    <row r="10" spans="1:25" ht="15.75" thickBot="1" x14ac:dyDescent="0.25">
      <c r="A10" s="1436">
        <v>9</v>
      </c>
      <c r="B10" s="1436" t="s">
        <v>1948</v>
      </c>
      <c r="C10" s="1436">
        <v>10</v>
      </c>
      <c r="D10" s="1430" t="s">
        <v>4714</v>
      </c>
      <c r="E10" s="1430" t="s">
        <v>1949</v>
      </c>
      <c r="F10" s="1438">
        <f>SUM(C26:C34)</f>
        <v>100</v>
      </c>
      <c r="G10" s="1430" t="s">
        <v>4709</v>
      </c>
      <c r="H10" s="1440" t="s">
        <v>4706</v>
      </c>
      <c r="I10" s="1435" t="s">
        <v>1962</v>
      </c>
      <c r="J10" s="1537"/>
      <c r="K10" s="1538"/>
      <c r="L10" s="1435" t="s">
        <v>1949</v>
      </c>
    </row>
    <row r="11" spans="1:25" ht="15.75" thickBot="1" x14ac:dyDescent="0.25">
      <c r="A11" s="1436">
        <v>10</v>
      </c>
      <c r="B11" s="1436" t="s">
        <v>1962</v>
      </c>
      <c r="C11" s="1436">
        <v>4</v>
      </c>
      <c r="D11" s="1438" t="s">
        <v>4728</v>
      </c>
      <c r="E11" s="1438" t="s">
        <v>4729</v>
      </c>
      <c r="F11" s="1438">
        <f t="shared" si="0"/>
        <v>85</v>
      </c>
      <c r="G11" s="1430" t="s">
        <v>4706</v>
      </c>
      <c r="H11" s="1440" t="s">
        <v>4706</v>
      </c>
      <c r="I11" s="1435" t="s">
        <v>1948</v>
      </c>
      <c r="J11" s="1435" t="s">
        <v>2007</v>
      </c>
      <c r="K11" s="1435" t="s">
        <v>1971</v>
      </c>
      <c r="L11" s="1435" t="s">
        <v>1959</v>
      </c>
    </row>
    <row r="12" spans="1:25" x14ac:dyDescent="0.2">
      <c r="A12" s="1436">
        <v>11</v>
      </c>
      <c r="B12" s="1436" t="s">
        <v>1974</v>
      </c>
      <c r="C12" s="1436">
        <v>4</v>
      </c>
      <c r="D12" s="1430" t="s">
        <v>1059</v>
      </c>
      <c r="E12" s="1430"/>
      <c r="F12" s="1438"/>
      <c r="G12" s="1430"/>
      <c r="H12" s="1440" t="s">
        <v>4706</v>
      </c>
    </row>
    <row r="13" spans="1:25" x14ac:dyDescent="0.2">
      <c r="A13" s="1436">
        <v>12</v>
      </c>
      <c r="B13" s="1436" t="s">
        <v>1952</v>
      </c>
      <c r="C13" s="1436">
        <v>10</v>
      </c>
      <c r="D13" s="1430" t="s">
        <v>4716</v>
      </c>
      <c r="E13" s="1430" t="s">
        <v>1956</v>
      </c>
      <c r="F13" s="1438">
        <f>SUM(C29:C37)</f>
        <v>86</v>
      </c>
      <c r="G13" s="1430" t="s">
        <v>4709</v>
      </c>
      <c r="H13" s="1440" t="s">
        <v>4706</v>
      </c>
      <c r="J13" s="1431" t="s">
        <v>4703</v>
      </c>
      <c r="K13" s="1431" t="s">
        <v>1141</v>
      </c>
      <c r="L13" s="1437" t="s">
        <v>4721</v>
      </c>
      <c r="M13" s="1437" t="s">
        <v>4720</v>
      </c>
      <c r="N13" s="1441" t="s">
        <v>2029</v>
      </c>
      <c r="O13" s="1433" t="s">
        <v>4715</v>
      </c>
      <c r="P13" s="1431">
        <v>1</v>
      </c>
      <c r="Q13" s="1431">
        <v>2</v>
      </c>
      <c r="R13" s="1431">
        <v>3</v>
      </c>
      <c r="S13" s="1431">
        <v>4</v>
      </c>
      <c r="T13" s="1431">
        <v>5</v>
      </c>
      <c r="U13" s="1431">
        <v>6</v>
      </c>
      <c r="V13" s="1431">
        <v>7</v>
      </c>
      <c r="W13" s="1431">
        <v>8</v>
      </c>
      <c r="X13" s="1431">
        <v>9</v>
      </c>
    </row>
    <row r="14" spans="1:25" x14ac:dyDescent="0.2">
      <c r="A14" s="1434">
        <v>13</v>
      </c>
      <c r="B14" s="1434" t="s">
        <v>2007</v>
      </c>
      <c r="C14" s="1434">
        <v>7</v>
      </c>
      <c r="D14" s="1438" t="s">
        <v>4723</v>
      </c>
      <c r="E14" s="1438" t="s">
        <v>1949</v>
      </c>
      <c r="F14" s="1438">
        <f t="shared" si="0"/>
        <v>100</v>
      </c>
      <c r="G14" s="1430" t="s">
        <v>4706</v>
      </c>
      <c r="H14" s="1439" t="s">
        <v>4709</v>
      </c>
      <c r="J14" s="1431">
        <f>O5</f>
        <v>21</v>
      </c>
      <c r="K14" s="1431" t="str">
        <f t="shared" ref="K14" si="1">VLOOKUP(J14,Kalachakra,2)</f>
        <v>Pi</v>
      </c>
      <c r="L14" s="1431">
        <f t="shared" ref="L14" si="2">VLOOKUP(J14,Kalachakra,3)</f>
        <v>10</v>
      </c>
      <c r="M14" s="1431" t="str">
        <f>VLOOKUP(J14,Kalachakra,7)</f>
        <v>A</v>
      </c>
      <c r="N14" s="1433">
        <f>O14-365.2425*L14</f>
        <v>22845.817500000001</v>
      </c>
      <c r="O14" s="1433">
        <f>O6+L14*365.2425*O8</f>
        <v>26498.2425</v>
      </c>
      <c r="P14" s="1431" t="str">
        <f>VLOOKUP(MOD((MATCH($K14,KC[Dasa],0)-1)*9+P$13-1,24)+1,KC[],2)</f>
        <v>Cn</v>
      </c>
      <c r="Q14" s="1431" t="str">
        <f>VLOOKUP(MOD((MATCH($K14,KC[Dasa],0)-1)*9+Q$13-1,24)+1,KC[],2)</f>
        <v>Le</v>
      </c>
      <c r="R14" s="1431" t="str">
        <f>VLOOKUP(MOD((MATCH($K14,KC[Dasa],0)-1)*9+R$13-1,24)+1,KC[],2)</f>
        <v>Vi</v>
      </c>
      <c r="S14" s="1431" t="str">
        <f>VLOOKUP(MOD((MATCH($K14,KC[Dasa],0)-1)*9+S$13-1,24)+1,KC[],2)</f>
        <v>Li</v>
      </c>
      <c r="T14" s="1431" t="str">
        <f>VLOOKUP(MOD((MATCH($K14,KC[Dasa],0)-1)*9+T$13-1,24)+1,KC[],2)</f>
        <v>Sc</v>
      </c>
      <c r="U14" s="1431" t="str">
        <f>VLOOKUP(MOD((MATCH($K14,KC[Dasa],0)-1)*9+U$13-1,24)+1,KC[],2)</f>
        <v>Sg</v>
      </c>
      <c r="V14" s="1431" t="str">
        <f>VLOOKUP(MOD((MATCH($K14,KC[Dasa],0)-1)*9+V$13-1,24)+1,KC[],2)</f>
        <v>Cp</v>
      </c>
      <c r="W14" s="1431" t="str">
        <f>VLOOKUP(MOD((MATCH($K14,KC[Dasa],0)-1)*9+W$13-1,24)+1,KC[],2)</f>
        <v>Aq</v>
      </c>
      <c r="X14" s="1431" t="str">
        <f>VLOOKUP(MOD((MATCH($K14,KC[Dasa],0)-1)*9+X$13-1,24)+1,KC[],2)</f>
        <v>Pi</v>
      </c>
    </row>
    <row r="15" spans="1:25" x14ac:dyDescent="0.2">
      <c r="A15" s="1434">
        <v>14</v>
      </c>
      <c r="B15" s="1434" t="s">
        <v>1971</v>
      </c>
      <c r="C15" s="1434">
        <v>16</v>
      </c>
      <c r="D15" s="1430" t="s">
        <v>1059</v>
      </c>
      <c r="E15" s="1430"/>
      <c r="F15" s="1438"/>
      <c r="G15" s="1430"/>
      <c r="H15" s="1439" t="s">
        <v>4709</v>
      </c>
      <c r="P15" s="1433">
        <f>$N14+365.2425*VLOOKUP(MOD((MATCH($K14,KC[Dasa],0)-1)*9+P$13-1,24)+1,KC[],3)*$L14/$L$31</f>
        <v>23612.82675</v>
      </c>
      <c r="Q15" s="1433">
        <f>P15+365.2425*VLOOKUP(MOD((MATCH($K14,KC[Dasa],0)-1)*9+Q$13-1,24)+1,KC[],3)*$L14/$L$31</f>
        <v>23795.448</v>
      </c>
      <c r="R15" s="1433">
        <f>Q15+365.2425*VLOOKUP(MOD((MATCH($K14,KC[Dasa],0)-1)*9+R$13-1,24)+1,KC[],3)*$L14/$L$31</f>
        <v>24124.166250000002</v>
      </c>
      <c r="S15" s="1433">
        <f>R15+365.2425*VLOOKUP(MOD((MATCH($K14,KC[Dasa],0)-1)*9+S$13-1,24)+1,KC[],3)*$L14/$L$31</f>
        <v>24708.554250000001</v>
      </c>
      <c r="T15" s="1433">
        <f>S15+365.2425*VLOOKUP(MOD((MATCH($K14,KC[Dasa],0)-1)*9+T$13-1,24)+1,KC[],3)*$L14/$L$31</f>
        <v>24964.224000000002</v>
      </c>
      <c r="U15" s="1433">
        <f>T15+365.2425*VLOOKUP(MOD((MATCH($K14,KC[Dasa],0)-1)*9+U$13-1,24)+1,KC[],3)*$L14/$L$31</f>
        <v>25329.466500000002</v>
      </c>
      <c r="V15" s="1433">
        <f>U15+365.2425*VLOOKUP(MOD((MATCH($K14,KC[Dasa],0)-1)*9+V$13-1,24)+1,KC[],3)*$L14/$L$31</f>
        <v>25475.563500000004</v>
      </c>
      <c r="W15" s="1433">
        <f>V15+365.2425*VLOOKUP(MOD((MATCH($K14,KC[Dasa],0)-1)*9+W$13-1,24)+1,KC[],3)*$L14/$L$31</f>
        <v>25621.660500000005</v>
      </c>
      <c r="X15" s="1433">
        <f>W15+365.2425*VLOOKUP(MOD((MATCH($K14,KC[Dasa],0)-1)*9+X$13-1,24)+1,KC[],3)*$L14/$L$31</f>
        <v>25986.903000000006</v>
      </c>
      <c r="Y15" s="1433"/>
    </row>
    <row r="16" spans="1:25" x14ac:dyDescent="0.2">
      <c r="A16" s="1434">
        <v>15</v>
      </c>
      <c r="B16" s="1434" t="s">
        <v>1959</v>
      </c>
      <c r="C16" s="1434">
        <v>9</v>
      </c>
      <c r="D16" s="1438" t="s">
        <v>4737</v>
      </c>
      <c r="E16" s="1438" t="s">
        <v>4736</v>
      </c>
      <c r="F16" s="1438">
        <f>SUM(C32:C40)</f>
        <v>83</v>
      </c>
      <c r="G16" s="1430" t="s">
        <v>4709</v>
      </c>
      <c r="H16" s="1439" t="s">
        <v>4709</v>
      </c>
      <c r="J16" s="1431">
        <f>J14+$P$3</f>
        <v>20</v>
      </c>
      <c r="K16" s="1431" t="str">
        <f>VLOOKUP(J16,Kalachakra,2)</f>
        <v>Ar</v>
      </c>
      <c r="L16" s="1431">
        <f>VLOOKUP(J16,Kalachakra,3)</f>
        <v>7</v>
      </c>
      <c r="M16" s="1431">
        <f>VLOOKUP(J16,Kalachakra,7)</f>
        <v>0</v>
      </c>
      <c r="N16" s="1433">
        <f t="shared" ref="N16" si="3">O16-365.2425*L16</f>
        <v>26498.2425</v>
      </c>
      <c r="O16" s="1433">
        <f>O14+L16*365.2425</f>
        <v>29054.940000000002</v>
      </c>
      <c r="P16" s="1431" t="str">
        <f>VLOOKUP(MOD((MATCH($K16,KC[Dasa],0)-1)*9+P$13-1,24)+1,KC[],2)</f>
        <v>Ar</v>
      </c>
      <c r="Q16" s="1431" t="str">
        <f>VLOOKUP(MOD((MATCH($K16,KC[Dasa],0)-1)*9+Q$13-1,24)+1,KC[],2)</f>
        <v>Ta</v>
      </c>
      <c r="R16" s="1431" t="str">
        <f>VLOOKUP(MOD((MATCH($K16,KC[Dasa],0)-1)*9+R$13-1,24)+1,KC[],2)</f>
        <v>Ge</v>
      </c>
      <c r="S16" s="1431" t="str">
        <f>VLOOKUP(MOD((MATCH($K16,KC[Dasa],0)-1)*9+S$13-1,24)+1,KC[],2)</f>
        <v>Cn</v>
      </c>
      <c r="T16" s="1431" t="str">
        <f>VLOOKUP(MOD((MATCH($K16,KC[Dasa],0)-1)*9+T$13-1,24)+1,KC[],2)</f>
        <v>Le</v>
      </c>
      <c r="U16" s="1431" t="str">
        <f>VLOOKUP(MOD((MATCH($K16,KC[Dasa],0)-1)*9+U$13-1,24)+1,KC[],2)</f>
        <v>Vi</v>
      </c>
      <c r="V16" s="1431" t="str">
        <f>VLOOKUP(MOD((MATCH($K16,KC[Dasa],0)-1)*9+V$13-1,24)+1,KC[],2)</f>
        <v>Li</v>
      </c>
      <c r="W16" s="1431" t="str">
        <f>VLOOKUP(MOD((MATCH($K16,KC[Dasa],0)-1)*9+W$13-1,24)+1,KC[],2)</f>
        <v>Sc</v>
      </c>
      <c r="X16" s="1431" t="str">
        <f>VLOOKUP(MOD((MATCH($K16,KC[Dasa],0)-1)*9+X$13-1,24)+1,KC[],2)</f>
        <v>Sg</v>
      </c>
    </row>
    <row r="17" spans="1:24" x14ac:dyDescent="0.2">
      <c r="A17" s="1434">
        <v>16</v>
      </c>
      <c r="B17" s="1434" t="s">
        <v>1968</v>
      </c>
      <c r="C17" s="1434">
        <v>21</v>
      </c>
      <c r="D17" s="1438" t="s">
        <v>4724</v>
      </c>
      <c r="E17" s="1438" t="s">
        <v>2007</v>
      </c>
      <c r="F17" s="1438">
        <f t="shared" si="0"/>
        <v>86</v>
      </c>
      <c r="G17" s="1430" t="s">
        <v>4706</v>
      </c>
      <c r="H17" s="1439" t="s">
        <v>4709</v>
      </c>
      <c r="R17" s="1433"/>
      <c r="S17" s="1433"/>
      <c r="T17" s="1433"/>
      <c r="U17" s="1433"/>
      <c r="V17" s="1433"/>
      <c r="W17" s="1433"/>
    </row>
    <row r="18" spans="1:24" x14ac:dyDescent="0.2">
      <c r="A18" s="1434">
        <v>17</v>
      </c>
      <c r="B18" s="1434" t="s">
        <v>1949</v>
      </c>
      <c r="C18" s="1434">
        <v>5</v>
      </c>
      <c r="D18" s="1430" t="s">
        <v>1059</v>
      </c>
      <c r="E18" s="1430"/>
      <c r="F18" s="1438"/>
      <c r="G18" s="1430"/>
      <c r="H18" s="1439" t="s">
        <v>4709</v>
      </c>
      <c r="J18" s="1431">
        <f>J16+$P$3</f>
        <v>19</v>
      </c>
      <c r="K18" s="1431" t="str">
        <f>VLOOKUP(J18,Kalachakra,2)</f>
        <v>Ta</v>
      </c>
      <c r="L18" s="1431">
        <f>VLOOKUP(J18,Kalachakra,3)</f>
        <v>16</v>
      </c>
      <c r="M18" s="1431" t="str">
        <f>VLOOKUP(J18,Kalachakra,7)</f>
        <v>S</v>
      </c>
      <c r="N18" s="1433">
        <f>O18-365.2425*L18</f>
        <v>29054.94</v>
      </c>
      <c r="O18" s="1433">
        <f>O16+L18*365.2425</f>
        <v>34898.82</v>
      </c>
      <c r="P18" s="1431" t="str">
        <f>VLOOKUP(MOD((MATCH($K18,KC[Dasa],0)-1)*9+P$13-1,24)+1,KC[],2)</f>
        <v>Cp</v>
      </c>
      <c r="Q18" s="1431" t="str">
        <f>VLOOKUP(MOD((MATCH($K18,KC[Dasa],0)-1)*9+Q$13-1,24)+1,KC[],2)</f>
        <v>Aq</v>
      </c>
      <c r="R18" s="1431" t="str">
        <f>VLOOKUP(MOD((MATCH($K18,KC[Dasa],0)-1)*9+R$13-1,24)+1,KC[],2)</f>
        <v>Pi</v>
      </c>
      <c r="S18" s="1431" t="str">
        <f>VLOOKUP(MOD((MATCH($K18,KC[Dasa],0)-1)*9+S$13-1,24)+1,KC[],2)</f>
        <v>Sc</v>
      </c>
      <c r="T18" s="1431" t="str">
        <f>VLOOKUP(MOD((MATCH($K18,KC[Dasa],0)-1)*9+T$13-1,24)+1,KC[],2)</f>
        <v>Li</v>
      </c>
      <c r="U18" s="1431" t="str">
        <f>VLOOKUP(MOD((MATCH($K18,KC[Dasa],0)-1)*9+U$13-1,24)+1,KC[],2)</f>
        <v>Vi</v>
      </c>
      <c r="V18" s="1431" t="str">
        <f>VLOOKUP(MOD((MATCH($K18,KC[Dasa],0)-1)*9+V$13-1,24)+1,KC[],2)</f>
        <v>Cn</v>
      </c>
      <c r="W18" s="1431" t="str">
        <f>VLOOKUP(MOD((MATCH($K18,KC[Dasa],0)-1)*9+W$13-1,24)+1,KC[],2)</f>
        <v>Le</v>
      </c>
      <c r="X18" s="1431" t="str">
        <f>VLOOKUP(MOD((MATCH($K18,KC[Dasa],0)-1)*9+X$13-1,24)+1,KC[],2)</f>
        <v>Ge</v>
      </c>
    </row>
    <row r="19" spans="1:24" x14ac:dyDescent="0.2">
      <c r="A19" s="1434">
        <v>18</v>
      </c>
      <c r="B19" s="1434" t="s">
        <v>1965</v>
      </c>
      <c r="C19" s="1434">
        <v>9</v>
      </c>
      <c r="D19" s="1430" t="s">
        <v>4717</v>
      </c>
      <c r="E19" s="1430" t="s">
        <v>1965</v>
      </c>
      <c r="F19" s="1438">
        <f>SUM(C35:C43)</f>
        <v>85</v>
      </c>
      <c r="G19" s="1430" t="s">
        <v>4709</v>
      </c>
      <c r="H19" s="1439" t="s">
        <v>4709</v>
      </c>
    </row>
    <row r="20" spans="1:24" x14ac:dyDescent="0.2">
      <c r="A20" s="1434">
        <v>19</v>
      </c>
      <c r="B20" s="1434" t="s">
        <v>1953</v>
      </c>
      <c r="C20" s="1434">
        <v>16</v>
      </c>
      <c r="D20" s="1438" t="s">
        <v>4730</v>
      </c>
      <c r="E20" s="1438" t="s">
        <v>4731</v>
      </c>
      <c r="F20" s="1438">
        <f t="shared" si="0"/>
        <v>83</v>
      </c>
      <c r="G20" s="1430" t="s">
        <v>4706</v>
      </c>
      <c r="H20" s="1439" t="s">
        <v>4709</v>
      </c>
      <c r="J20" s="1431">
        <f>J18+$P$3</f>
        <v>18</v>
      </c>
      <c r="K20" s="1431" t="str">
        <f>VLOOKUP(J20,Kalachakra,2)</f>
        <v>Ge</v>
      </c>
      <c r="L20" s="1431">
        <f>VLOOKUP(J20,Kalachakra,3)</f>
        <v>9</v>
      </c>
      <c r="M20" s="1431" t="str">
        <f>VLOOKUP(J20,Kalachakra,7)</f>
        <v>A</v>
      </c>
      <c r="N20" s="1433">
        <f>O20-365.2425*L20</f>
        <v>34898.82</v>
      </c>
      <c r="O20" s="1433">
        <f>O18+L20*365.2425</f>
        <v>38186.002500000002</v>
      </c>
    </row>
    <row r="21" spans="1:24" x14ac:dyDescent="0.2">
      <c r="A21" s="1434">
        <v>20</v>
      </c>
      <c r="B21" s="1434" t="s">
        <v>1956</v>
      </c>
      <c r="C21" s="1434">
        <v>7</v>
      </c>
      <c r="D21" s="1430" t="s">
        <v>1059</v>
      </c>
      <c r="E21" s="1430"/>
      <c r="F21" s="1438"/>
      <c r="G21" s="1430"/>
      <c r="H21" s="1439" t="s">
        <v>4709</v>
      </c>
    </row>
    <row r="22" spans="1:24" x14ac:dyDescent="0.2">
      <c r="A22" s="1434">
        <v>21</v>
      </c>
      <c r="B22" s="1434" t="s">
        <v>1952</v>
      </c>
      <c r="C22" s="1434">
        <v>10</v>
      </c>
      <c r="D22" s="1438" t="s">
        <v>4740</v>
      </c>
      <c r="E22" s="1438" t="s">
        <v>4741</v>
      </c>
      <c r="F22" s="1438">
        <f>SUM(C38:C46)</f>
        <v>100</v>
      </c>
      <c r="G22" s="1430" t="s">
        <v>4709</v>
      </c>
      <c r="H22" s="1439" t="s">
        <v>4709</v>
      </c>
      <c r="J22" s="1431">
        <f>J20+$P$3</f>
        <v>17</v>
      </c>
      <c r="K22" s="1431" t="str">
        <f>VLOOKUP(J22,Kalachakra,2)</f>
        <v>Le</v>
      </c>
      <c r="L22" s="1431">
        <f>VLOOKUP(J22,Kalachakra,3)</f>
        <v>5</v>
      </c>
      <c r="M22" s="1431">
        <f>VLOOKUP(J22,Kalachakra,7)</f>
        <v>0</v>
      </c>
      <c r="N22" s="1433">
        <f>O22-365.2425*L22</f>
        <v>38186.002500000002</v>
      </c>
      <c r="O22" s="1433">
        <f>O20+L22*365.2425</f>
        <v>40012.215000000004</v>
      </c>
    </row>
    <row r="23" spans="1:24" x14ac:dyDescent="0.2">
      <c r="A23" s="1434">
        <v>22</v>
      </c>
      <c r="B23" s="1434" t="s">
        <v>1974</v>
      </c>
      <c r="C23" s="1434">
        <v>4</v>
      </c>
      <c r="D23" s="1438" t="s">
        <v>4725</v>
      </c>
      <c r="E23" s="1438" t="s">
        <v>1959</v>
      </c>
      <c r="F23" s="1438">
        <f t="shared" si="0"/>
        <v>85</v>
      </c>
      <c r="G23" s="1430" t="s">
        <v>4706</v>
      </c>
      <c r="H23" s="1439" t="s">
        <v>4709</v>
      </c>
    </row>
    <row r="24" spans="1:24" x14ac:dyDescent="0.2">
      <c r="A24" s="1434">
        <v>23</v>
      </c>
      <c r="B24" s="1434" t="s">
        <v>1962</v>
      </c>
      <c r="C24" s="1434">
        <v>4</v>
      </c>
      <c r="D24" s="1430" t="s">
        <v>1059</v>
      </c>
      <c r="E24" s="1430"/>
      <c r="F24" s="1438"/>
      <c r="G24" s="1430"/>
      <c r="H24" s="1439" t="s">
        <v>4709</v>
      </c>
      <c r="J24" s="1431">
        <f>J22+$P$3</f>
        <v>16</v>
      </c>
      <c r="K24" s="1431" t="str">
        <f>VLOOKUP(J24,Kalachakra,2)</f>
        <v>Cn</v>
      </c>
      <c r="L24" s="1431">
        <f>VLOOKUP(J24,Kalachakra,3)</f>
        <v>21</v>
      </c>
      <c r="M24" s="1431" t="str">
        <f>VLOOKUP(J24,Kalachakra,7)</f>
        <v>S</v>
      </c>
      <c r="N24" s="1433">
        <f>O24-365.2425*L24</f>
        <v>40012.215000000004</v>
      </c>
      <c r="O24" s="1433">
        <f>O22+L24*365.2425</f>
        <v>47682.307500000003</v>
      </c>
      <c r="Q24" s="1433"/>
    </row>
    <row r="25" spans="1:24" x14ac:dyDescent="0.2">
      <c r="A25" s="1434">
        <v>24</v>
      </c>
      <c r="B25" s="1434" t="s">
        <v>1948</v>
      </c>
      <c r="C25" s="1434">
        <v>10</v>
      </c>
      <c r="D25" s="1438" t="s">
        <v>4734</v>
      </c>
      <c r="E25" s="1438" t="s">
        <v>4735</v>
      </c>
      <c r="F25" s="1438">
        <f>SUM(C41:C49)</f>
        <v>86</v>
      </c>
      <c r="G25" s="1430" t="s">
        <v>4709</v>
      </c>
      <c r="H25" s="1439" t="s">
        <v>4709</v>
      </c>
    </row>
    <row r="26" spans="1:24" x14ac:dyDescent="0.2">
      <c r="A26" s="1443">
        <v>25</v>
      </c>
      <c r="B26" s="1443" t="s">
        <v>1956</v>
      </c>
      <c r="C26" s="1443">
        <v>7</v>
      </c>
      <c r="D26" s="1443" t="s">
        <v>4726</v>
      </c>
      <c r="E26" s="1443" t="s">
        <v>4727</v>
      </c>
      <c r="F26" s="1443">
        <f>SUM(C26:C34)</f>
        <v>100</v>
      </c>
      <c r="G26" s="1443" t="s">
        <v>4706</v>
      </c>
      <c r="H26" s="1443" t="s">
        <v>4706</v>
      </c>
      <c r="J26" s="1431">
        <f>J24+$P$3</f>
        <v>15</v>
      </c>
      <c r="K26" s="1431" t="str">
        <f>VLOOKUP(J26,Kalachakra,2)</f>
        <v>Vi</v>
      </c>
      <c r="L26" s="1431">
        <f>VLOOKUP(J26,Kalachakra,3)</f>
        <v>9</v>
      </c>
      <c r="M26" s="1431" t="str">
        <f>VLOOKUP(J26,Kalachakra,7)</f>
        <v>A</v>
      </c>
      <c r="N26" s="1433">
        <f>O26-365.2425*L26</f>
        <v>47682.307500000003</v>
      </c>
      <c r="O26" s="1433">
        <f>O24+L26*365.2425</f>
        <v>50969.490000000005</v>
      </c>
    </row>
    <row r="27" spans="1:24" x14ac:dyDescent="0.2">
      <c r="A27" s="1443">
        <v>26</v>
      </c>
      <c r="B27" s="1443" t="s">
        <v>1953</v>
      </c>
      <c r="C27" s="1443">
        <v>16</v>
      </c>
      <c r="D27" s="1443" t="s">
        <v>1059</v>
      </c>
      <c r="E27" s="1443"/>
      <c r="F27" s="1443"/>
      <c r="G27" s="1443"/>
      <c r="H27" s="1443" t="s">
        <v>4706</v>
      </c>
    </row>
    <row r="28" spans="1:24" x14ac:dyDescent="0.2">
      <c r="A28" s="1443">
        <v>27</v>
      </c>
      <c r="B28" s="1443" t="s">
        <v>1965</v>
      </c>
      <c r="C28" s="1443">
        <v>9</v>
      </c>
      <c r="D28" s="1443" t="s">
        <v>4708</v>
      </c>
      <c r="E28" s="1443" t="s">
        <v>1953</v>
      </c>
      <c r="F28" s="1443">
        <f t="shared" ref="F28:F29" si="4">SUM(C28:C36)</f>
        <v>85</v>
      </c>
      <c r="G28" s="1443" t="s">
        <v>4709</v>
      </c>
      <c r="H28" s="1443" t="s">
        <v>4706</v>
      </c>
      <c r="J28" s="1431">
        <f>J26+$P$3</f>
        <v>14</v>
      </c>
      <c r="K28" s="1431" t="str">
        <f>VLOOKUP(J28,Kalachakra,2)</f>
        <v>Li</v>
      </c>
      <c r="L28" s="1431">
        <f>VLOOKUP(J28,Kalachakra,3)</f>
        <v>16</v>
      </c>
      <c r="M28" s="1431">
        <f>VLOOKUP(J28,Kalachakra,7)</f>
        <v>0</v>
      </c>
      <c r="N28" s="1433">
        <f>O28-365.2425*L28</f>
        <v>50969.490000000005</v>
      </c>
      <c r="O28" s="1433">
        <f>O26+L28*365.2425</f>
        <v>56813.37</v>
      </c>
    </row>
    <row r="29" spans="1:24" x14ac:dyDescent="0.2">
      <c r="A29" s="1443">
        <v>28</v>
      </c>
      <c r="B29" s="1443" t="s">
        <v>1968</v>
      </c>
      <c r="C29" s="1443">
        <v>21</v>
      </c>
      <c r="D29" s="1443" t="s">
        <v>4732</v>
      </c>
      <c r="E29" s="1443" t="s">
        <v>4733</v>
      </c>
      <c r="F29" s="1443">
        <f t="shared" si="4"/>
        <v>86</v>
      </c>
      <c r="G29" s="1443" t="s">
        <v>4706</v>
      </c>
      <c r="H29" s="1443" t="s">
        <v>4706</v>
      </c>
    </row>
    <row r="30" spans="1:24" x14ac:dyDescent="0.2">
      <c r="A30" s="1443">
        <v>29</v>
      </c>
      <c r="B30" s="1443" t="s">
        <v>1949</v>
      </c>
      <c r="C30" s="1443">
        <v>5</v>
      </c>
      <c r="D30" s="1443" t="s">
        <v>1059</v>
      </c>
      <c r="E30" s="1443"/>
      <c r="F30" s="1443"/>
      <c r="G30" s="1443"/>
      <c r="H30" s="1443" t="s">
        <v>4706</v>
      </c>
      <c r="J30" s="1431">
        <f>J28+$P$3</f>
        <v>13</v>
      </c>
      <c r="K30" s="1431" t="str">
        <f>VLOOKUP(J30,Kalachakra,2)</f>
        <v>Sc</v>
      </c>
      <c r="L30" s="1431">
        <f>VLOOKUP(J30,Kalachakra,3)</f>
        <v>7</v>
      </c>
      <c r="M30" s="1431" t="str">
        <f>VLOOKUP(J30,Kalachakra,7)</f>
        <v>S</v>
      </c>
      <c r="N30" s="1433">
        <f>O30-365.2425*L30</f>
        <v>56813.37</v>
      </c>
      <c r="O30" s="1433">
        <f>O28+L30*365.2425</f>
        <v>59370.067500000005</v>
      </c>
    </row>
    <row r="31" spans="1:24" x14ac:dyDescent="0.2">
      <c r="A31" s="1443">
        <v>30</v>
      </c>
      <c r="B31" s="1443" t="s">
        <v>1959</v>
      </c>
      <c r="C31" s="1443">
        <v>9</v>
      </c>
      <c r="D31" s="1443" t="s">
        <v>4738</v>
      </c>
      <c r="E31" s="1443" t="s">
        <v>4739</v>
      </c>
      <c r="F31" s="1443">
        <f t="shared" ref="F31:F32" si="5">SUM(C31:C39)</f>
        <v>83</v>
      </c>
      <c r="G31" s="1443" t="s">
        <v>4709</v>
      </c>
      <c r="H31" s="1443" t="s">
        <v>4706</v>
      </c>
      <c r="L31" s="1431">
        <f>SUM(L14:L30)</f>
        <v>100</v>
      </c>
      <c r="M31" s="1433"/>
      <c r="N31" s="1433"/>
    </row>
    <row r="32" spans="1:24" x14ac:dyDescent="0.2">
      <c r="A32" s="1443">
        <v>31</v>
      </c>
      <c r="B32" s="1443" t="s">
        <v>1971</v>
      </c>
      <c r="C32" s="1443">
        <v>16</v>
      </c>
      <c r="D32" s="1443" t="s">
        <v>4722</v>
      </c>
      <c r="E32" s="1443" t="s">
        <v>1971</v>
      </c>
      <c r="F32" s="1443">
        <f t="shared" si="5"/>
        <v>83</v>
      </c>
      <c r="G32" s="1443" t="s">
        <v>4706</v>
      </c>
      <c r="H32" s="1443" t="s">
        <v>4706</v>
      </c>
    </row>
    <row r="33" spans="1:8" x14ac:dyDescent="0.2">
      <c r="A33" s="1443">
        <v>32</v>
      </c>
      <c r="B33" s="1443" t="s">
        <v>2007</v>
      </c>
      <c r="C33" s="1443">
        <v>7</v>
      </c>
      <c r="D33" s="1443" t="s">
        <v>1059</v>
      </c>
      <c r="E33" s="1443"/>
      <c r="F33" s="1443"/>
      <c r="G33" s="1443"/>
      <c r="H33" s="1443" t="s">
        <v>4706</v>
      </c>
    </row>
    <row r="34" spans="1:8" x14ac:dyDescent="0.2">
      <c r="A34" s="1443">
        <v>33</v>
      </c>
      <c r="B34" s="1443" t="s">
        <v>1948</v>
      </c>
      <c r="C34" s="1443">
        <v>10</v>
      </c>
      <c r="D34" s="1443" t="s">
        <v>4714</v>
      </c>
      <c r="E34" s="1443" t="s">
        <v>1949</v>
      </c>
      <c r="F34" s="1443">
        <f t="shared" ref="F34:F35" si="6">SUM(C34:C42)</f>
        <v>86</v>
      </c>
      <c r="G34" s="1443" t="s">
        <v>4709</v>
      </c>
      <c r="H34" s="1443" t="s">
        <v>4706</v>
      </c>
    </row>
    <row r="35" spans="1:8" x14ac:dyDescent="0.2">
      <c r="A35" s="1443">
        <v>34</v>
      </c>
      <c r="B35" s="1443" t="s">
        <v>1962</v>
      </c>
      <c r="C35" s="1443">
        <v>4</v>
      </c>
      <c r="D35" s="1443" t="s">
        <v>4728</v>
      </c>
      <c r="E35" s="1443" t="s">
        <v>4729</v>
      </c>
      <c r="F35" s="1443">
        <f t="shared" si="6"/>
        <v>85</v>
      </c>
      <c r="G35" s="1443" t="s">
        <v>4706</v>
      </c>
      <c r="H35" s="1443" t="s">
        <v>4706</v>
      </c>
    </row>
    <row r="36" spans="1:8" x14ac:dyDescent="0.2">
      <c r="A36" s="1443">
        <v>35</v>
      </c>
      <c r="B36" s="1443" t="s">
        <v>1974</v>
      </c>
      <c r="C36" s="1443">
        <v>4</v>
      </c>
      <c r="D36" s="1443" t="s">
        <v>1059</v>
      </c>
      <c r="E36" s="1443"/>
      <c r="F36" s="1443"/>
      <c r="G36" s="1443"/>
      <c r="H36" s="1443" t="s">
        <v>4706</v>
      </c>
    </row>
    <row r="37" spans="1:8" x14ac:dyDescent="0.2">
      <c r="A37" s="1443">
        <v>36</v>
      </c>
      <c r="B37" s="1443" t="s">
        <v>1952</v>
      </c>
      <c r="C37" s="1443">
        <v>10</v>
      </c>
      <c r="D37" s="1443" t="s">
        <v>4716</v>
      </c>
      <c r="E37" s="1443" t="s">
        <v>1956</v>
      </c>
      <c r="F37" s="1443">
        <f t="shared" ref="F37:F49" si="7">SUM(C37:C45)</f>
        <v>100</v>
      </c>
      <c r="G37" s="1443" t="s">
        <v>4709</v>
      </c>
      <c r="H37" s="1443" t="s">
        <v>4706</v>
      </c>
    </row>
    <row r="38" spans="1:8" x14ac:dyDescent="0.2">
      <c r="A38" s="1443">
        <v>37</v>
      </c>
      <c r="B38" s="1443" t="s">
        <v>2007</v>
      </c>
      <c r="C38" s="1443">
        <v>7</v>
      </c>
      <c r="D38" s="1443" t="s">
        <v>4723</v>
      </c>
      <c r="E38" s="1443" t="s">
        <v>1949</v>
      </c>
      <c r="F38" s="1443">
        <f t="shared" si="7"/>
        <v>100</v>
      </c>
      <c r="G38" s="1443" t="s">
        <v>4706</v>
      </c>
      <c r="H38" s="1443" t="s">
        <v>4709</v>
      </c>
    </row>
    <row r="39" spans="1:8" x14ac:dyDescent="0.2">
      <c r="A39" s="1443">
        <v>38</v>
      </c>
      <c r="B39" s="1443" t="s">
        <v>1971</v>
      </c>
      <c r="C39" s="1443">
        <v>16</v>
      </c>
      <c r="D39" s="1443" t="s">
        <v>1059</v>
      </c>
      <c r="E39" s="1443"/>
      <c r="F39" s="1443">
        <f t="shared" si="7"/>
        <v>97</v>
      </c>
      <c r="G39" s="1443"/>
      <c r="H39" s="1443" t="s">
        <v>4709</v>
      </c>
    </row>
    <row r="40" spans="1:8" x14ac:dyDescent="0.2">
      <c r="A40" s="1443">
        <v>39</v>
      </c>
      <c r="B40" s="1443" t="s">
        <v>1959</v>
      </c>
      <c r="C40" s="1443">
        <v>9</v>
      </c>
      <c r="D40" s="1443" t="s">
        <v>4737</v>
      </c>
      <c r="E40" s="1443" t="s">
        <v>4736</v>
      </c>
      <c r="F40" s="1443">
        <f t="shared" si="7"/>
        <v>85</v>
      </c>
      <c r="G40" s="1443" t="s">
        <v>4709</v>
      </c>
      <c r="H40" s="1443" t="s">
        <v>4709</v>
      </c>
    </row>
    <row r="41" spans="1:8" x14ac:dyDescent="0.2">
      <c r="A41" s="1443">
        <v>40</v>
      </c>
      <c r="B41" s="1443" t="s">
        <v>1968</v>
      </c>
      <c r="C41" s="1443">
        <v>21</v>
      </c>
      <c r="D41" s="1443" t="s">
        <v>4724</v>
      </c>
      <c r="E41" s="1443" t="s">
        <v>2007</v>
      </c>
      <c r="F41" s="1443">
        <f t="shared" si="7"/>
        <v>86</v>
      </c>
      <c r="G41" s="1443" t="s">
        <v>4706</v>
      </c>
      <c r="H41" s="1443" t="s">
        <v>4709</v>
      </c>
    </row>
    <row r="42" spans="1:8" x14ac:dyDescent="0.2">
      <c r="A42" s="1443">
        <v>41</v>
      </c>
      <c r="B42" s="1443" t="s">
        <v>1949</v>
      </c>
      <c r="C42" s="1443">
        <v>5</v>
      </c>
      <c r="D42" s="1443" t="s">
        <v>1059</v>
      </c>
      <c r="E42" s="1443"/>
      <c r="F42" s="1443">
        <f t="shared" si="7"/>
        <v>65</v>
      </c>
      <c r="G42" s="1443"/>
      <c r="H42" s="1443" t="s">
        <v>4709</v>
      </c>
    </row>
    <row r="43" spans="1:8" x14ac:dyDescent="0.2">
      <c r="A43" s="1443">
        <v>42</v>
      </c>
      <c r="B43" s="1443" t="s">
        <v>1965</v>
      </c>
      <c r="C43" s="1443">
        <v>9</v>
      </c>
      <c r="D43" s="1443" t="s">
        <v>4717</v>
      </c>
      <c r="E43" s="1443" t="s">
        <v>1965</v>
      </c>
      <c r="F43" s="1443">
        <f t="shared" si="7"/>
        <v>60</v>
      </c>
      <c r="G43" s="1443" t="s">
        <v>4709</v>
      </c>
      <c r="H43" s="1443" t="s">
        <v>4709</v>
      </c>
    </row>
    <row r="44" spans="1:8" x14ac:dyDescent="0.2">
      <c r="A44" s="1443">
        <v>43</v>
      </c>
      <c r="B44" s="1443" t="s">
        <v>1953</v>
      </c>
      <c r="C44" s="1443">
        <v>16</v>
      </c>
      <c r="D44" s="1443" t="s">
        <v>4730</v>
      </c>
      <c r="E44" s="1443" t="s">
        <v>4731</v>
      </c>
      <c r="F44" s="1443">
        <f t="shared" si="7"/>
        <v>51</v>
      </c>
      <c r="G44" s="1443" t="s">
        <v>4706</v>
      </c>
      <c r="H44" s="1443" t="s">
        <v>4709</v>
      </c>
    </row>
    <row r="45" spans="1:8" x14ac:dyDescent="0.2">
      <c r="A45" s="1443">
        <v>44</v>
      </c>
      <c r="B45" s="1443" t="s">
        <v>1956</v>
      </c>
      <c r="C45" s="1443">
        <v>7</v>
      </c>
      <c r="D45" s="1443" t="s">
        <v>1059</v>
      </c>
      <c r="E45" s="1443"/>
      <c r="F45" s="1443">
        <f t="shared" si="7"/>
        <v>35</v>
      </c>
      <c r="G45" s="1443"/>
      <c r="H45" s="1443" t="s">
        <v>4709</v>
      </c>
    </row>
    <row r="46" spans="1:8" x14ac:dyDescent="0.2">
      <c r="A46" s="1443">
        <v>45</v>
      </c>
      <c r="B46" s="1443" t="s">
        <v>1952</v>
      </c>
      <c r="C46" s="1443">
        <v>10</v>
      </c>
      <c r="D46" s="1443" t="s">
        <v>4740</v>
      </c>
      <c r="E46" s="1443" t="s">
        <v>4741</v>
      </c>
      <c r="F46" s="1443">
        <f t="shared" si="7"/>
        <v>28</v>
      </c>
      <c r="G46" s="1443" t="s">
        <v>4709</v>
      </c>
      <c r="H46" s="1443" t="s">
        <v>4709</v>
      </c>
    </row>
    <row r="47" spans="1:8" x14ac:dyDescent="0.2">
      <c r="A47" s="1443">
        <v>46</v>
      </c>
      <c r="B47" s="1443" t="s">
        <v>1974</v>
      </c>
      <c r="C47" s="1443">
        <v>4</v>
      </c>
      <c r="D47" s="1443" t="s">
        <v>4725</v>
      </c>
      <c r="E47" s="1443" t="s">
        <v>1959</v>
      </c>
      <c r="F47" s="1443">
        <f t="shared" si="7"/>
        <v>18</v>
      </c>
      <c r="G47" s="1443" t="s">
        <v>4706</v>
      </c>
      <c r="H47" s="1443" t="s">
        <v>4709</v>
      </c>
    </row>
    <row r="48" spans="1:8" x14ac:dyDescent="0.2">
      <c r="A48" s="1443">
        <v>47</v>
      </c>
      <c r="B48" s="1443" t="s">
        <v>1962</v>
      </c>
      <c r="C48" s="1443">
        <v>4</v>
      </c>
      <c r="D48" s="1443" t="s">
        <v>1059</v>
      </c>
      <c r="E48" s="1443"/>
      <c r="F48" s="1443">
        <f t="shared" si="7"/>
        <v>14</v>
      </c>
      <c r="G48" s="1443"/>
      <c r="H48" s="1443" t="s">
        <v>4709</v>
      </c>
    </row>
    <row r="49" spans="1:8" x14ac:dyDescent="0.2">
      <c r="A49" s="1443">
        <v>48</v>
      </c>
      <c r="B49" s="1443" t="s">
        <v>1948</v>
      </c>
      <c r="C49" s="1443">
        <v>10</v>
      </c>
      <c r="D49" s="1443" t="s">
        <v>4734</v>
      </c>
      <c r="E49" s="1443" t="s">
        <v>4735</v>
      </c>
      <c r="F49" s="1443">
        <f t="shared" si="7"/>
        <v>10</v>
      </c>
      <c r="G49" s="1443" t="s">
        <v>4709</v>
      </c>
      <c r="H49" s="1443" t="s">
        <v>4709</v>
      </c>
    </row>
  </sheetData>
  <mergeCells count="2">
    <mergeCell ref="J4:K5"/>
    <mergeCell ref="J9:K10"/>
  </mergeCells>
  <pageMargins left="0.7" right="0.7" top="0.75" bottom="0.75" header="0.3" footer="0.3"/>
  <pageSetup paperSize="9"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AY309"/>
  <sheetViews>
    <sheetView topLeftCell="A295" zoomScaleNormal="100" zoomScaleSheetLayoutView="75" workbookViewId="0" xr3:uid="{7BE570AB-09E9-518F-B8F7-3F91B7162CA9}">
      <selection activeCell="N307" sqref="N307"/>
    </sheetView>
  </sheetViews>
  <sheetFormatPr defaultColWidth="9.14453125" defaultRowHeight="15" x14ac:dyDescent="0.2"/>
  <cols>
    <col min="1" max="1" width="28.65234375" bestFit="1" customWidth="1"/>
    <col min="2" max="2" width="9.953125" style="527" customWidth="1"/>
    <col min="3" max="3" width="8.875" style="105" bestFit="1" customWidth="1"/>
    <col min="4" max="15" width="8.203125" style="527" customWidth="1"/>
    <col min="16" max="16" width="7.3984375" style="100" customWidth="1"/>
    <col min="17" max="17" width="9.28125" style="100" customWidth="1"/>
    <col min="18" max="22" width="6.45703125" style="527" customWidth="1"/>
    <col min="23" max="23" width="3.8984375" style="527" customWidth="1"/>
    <col min="24" max="24" width="10.625" style="527" customWidth="1"/>
    <col min="25" max="25" width="8.203125" style="527" bestFit="1" customWidth="1"/>
    <col min="26" max="26" width="2.41796875" style="527" customWidth="1"/>
    <col min="27" max="27" width="2.15234375" style="527" customWidth="1"/>
    <col min="28" max="28" width="2.95703125" style="527" customWidth="1"/>
    <col min="29" max="34" width="2.15234375" style="527" customWidth="1"/>
    <col min="35" max="36" width="2.95703125" style="527" customWidth="1"/>
    <col min="37" max="37" width="2.95703125" style="1016" customWidth="1"/>
    <col min="38" max="38" width="2.15234375" style="1020" customWidth="1"/>
    <col min="39" max="46" width="2.15234375" style="1016" customWidth="1"/>
    <col min="47" max="48" width="2.95703125" style="1016" customWidth="1"/>
    <col min="49" max="49" width="2.95703125" style="1021" customWidth="1"/>
    <col min="50" max="50" width="8.609375" style="527" bestFit="1" customWidth="1"/>
    <col min="51" max="16384" width="9.14453125" style="527"/>
  </cols>
  <sheetData>
    <row r="1" spans="1:49" x14ac:dyDescent="0.2">
      <c r="A1" s="528"/>
      <c r="B1"/>
      <c r="C1" s="219"/>
      <c r="AL1" s="1017"/>
      <c r="AM1" s="1018"/>
      <c r="AN1" s="1018"/>
      <c r="AO1" s="1018"/>
      <c r="AP1" s="1018"/>
      <c r="AQ1" s="1018"/>
      <c r="AR1" s="1018"/>
      <c r="AS1" s="1018"/>
      <c r="AT1" s="1018"/>
      <c r="AU1" s="1018"/>
      <c r="AV1" s="1018"/>
      <c r="AW1" s="1019"/>
    </row>
    <row r="2" spans="1:49" ht="14.25" x14ac:dyDescent="0.2">
      <c r="A2" s="528"/>
      <c r="E2" s="527" t="s">
        <v>3487</v>
      </c>
      <c r="K2" s="527" t="s">
        <v>3486</v>
      </c>
      <c r="P2" s="527"/>
      <c r="Q2" s="527"/>
    </row>
    <row r="3" spans="1:49" x14ac:dyDescent="0.2">
      <c r="A3" s="528"/>
      <c r="B3" t="s">
        <v>1650</v>
      </c>
      <c r="C3" t="s">
        <v>1438</v>
      </c>
      <c r="E3" s="527" t="s">
        <v>1653</v>
      </c>
      <c r="F3" s="527" t="s">
        <v>1662</v>
      </c>
      <c r="G3" s="527" t="s">
        <v>1666</v>
      </c>
      <c r="H3"/>
      <c r="K3" s="527" t="s">
        <v>1439</v>
      </c>
      <c r="L3" s="527" t="s">
        <v>1440</v>
      </c>
      <c r="P3" s="527"/>
      <c r="Q3" s="527"/>
    </row>
    <row r="4" spans="1:49" x14ac:dyDescent="0.2">
      <c r="A4" s="528"/>
      <c r="B4" t="s">
        <v>1511</v>
      </c>
      <c r="C4">
        <f ca="1">E4</f>
        <v>4</v>
      </c>
      <c r="E4" s="527">
        <f t="shared" ref="E4:E11" ca="1" si="0">ROUNDUP(INDIRECT(B4)/30,0)</f>
        <v>4</v>
      </c>
      <c r="F4" s="527">
        <f t="shared" ref="F4:F11" ca="1" si="1">ROUNDUP(MOD(INDIRECT(B4)*9,360)/30,0)</f>
        <v>4</v>
      </c>
      <c r="G4" s="527">
        <f t="shared" ref="G4:G11" ca="1" si="2">ROUNDUP(MOD((E4-1)*30+INDIRECT(B4)*12,360)/30,0)</f>
        <v>4</v>
      </c>
      <c r="H4"/>
      <c r="K4" s="527">
        <v>6</v>
      </c>
      <c r="L4" s="527">
        <v>5</v>
      </c>
      <c r="P4" s="527"/>
      <c r="Q4" s="527"/>
    </row>
    <row r="5" spans="1:49" x14ac:dyDescent="0.2">
      <c r="A5" s="528"/>
      <c r="B5" t="s">
        <v>1512</v>
      </c>
      <c r="C5">
        <f t="shared" ref="C5:C11" ca="1" si="3">E5</f>
        <v>2</v>
      </c>
      <c r="E5" s="527">
        <f t="shared" ca="1" si="0"/>
        <v>2</v>
      </c>
      <c r="F5" s="527">
        <f t="shared" ca="1" si="1"/>
        <v>4</v>
      </c>
      <c r="G5" s="527">
        <f t="shared" ca="1" si="2"/>
        <v>11</v>
      </c>
      <c r="H5"/>
      <c r="K5" s="527">
        <v>8</v>
      </c>
      <c r="L5" s="527">
        <v>12</v>
      </c>
      <c r="P5" s="527"/>
      <c r="Q5" s="527"/>
    </row>
    <row r="6" spans="1:49" x14ac:dyDescent="0.2">
      <c r="A6" s="528"/>
      <c r="B6" t="s">
        <v>1513</v>
      </c>
      <c r="C6">
        <f t="shared" ca="1" si="3"/>
        <v>10</v>
      </c>
      <c r="E6" s="527">
        <f t="shared" ca="1" si="0"/>
        <v>10</v>
      </c>
      <c r="F6" s="527">
        <f t="shared" ca="1" si="1"/>
        <v>6</v>
      </c>
      <c r="G6" s="527">
        <f t="shared" ca="1" si="2"/>
        <v>9</v>
      </c>
      <c r="H6"/>
      <c r="K6" s="527">
        <v>4</v>
      </c>
      <c r="L6" s="527">
        <v>4</v>
      </c>
    </row>
    <row r="7" spans="1:49" x14ac:dyDescent="0.2">
      <c r="A7" s="528"/>
      <c r="B7" t="s">
        <v>1517</v>
      </c>
      <c r="C7">
        <f t="shared" ca="1" si="3"/>
        <v>4</v>
      </c>
      <c r="E7" s="527">
        <f t="shared" ca="1" si="0"/>
        <v>4</v>
      </c>
      <c r="F7" s="527">
        <f t="shared" ca="1" si="1"/>
        <v>12</v>
      </c>
      <c r="G7" s="527">
        <f t="shared" ca="1" si="2"/>
        <v>2</v>
      </c>
      <c r="H7"/>
      <c r="K7" s="527">
        <v>6</v>
      </c>
      <c r="L7" s="527">
        <v>4</v>
      </c>
      <c r="X7" s="527">
        <f ca="1">VLOOKUP("Saturn",AllPAV,4,FALSE)</f>
        <v>2</v>
      </c>
    </row>
    <row r="8" spans="1:49" x14ac:dyDescent="0.2">
      <c r="A8" s="528"/>
      <c r="B8" t="s">
        <v>1515</v>
      </c>
      <c r="C8">
        <f t="shared" ca="1" si="3"/>
        <v>8</v>
      </c>
      <c r="E8" s="527">
        <f t="shared" ca="1" si="0"/>
        <v>8</v>
      </c>
      <c r="F8" s="527">
        <f t="shared" ca="1" si="1"/>
        <v>4</v>
      </c>
      <c r="G8" s="527">
        <f t="shared" ca="1" si="2"/>
        <v>9</v>
      </c>
      <c r="H8"/>
      <c r="K8" s="527">
        <v>3</v>
      </c>
      <c r="L8" s="527">
        <v>7</v>
      </c>
    </row>
    <row r="9" spans="1:49" x14ac:dyDescent="0.2">
      <c r="A9" s="528"/>
      <c r="B9" t="s">
        <v>1519</v>
      </c>
      <c r="C9">
        <f t="shared" ca="1" si="3"/>
        <v>3</v>
      </c>
      <c r="E9" s="527">
        <f t="shared" ca="1" si="0"/>
        <v>3</v>
      </c>
      <c r="F9" s="527">
        <f t="shared" ca="1" si="1"/>
        <v>1</v>
      </c>
      <c r="G9" s="527">
        <f t="shared" ca="1" si="2"/>
        <v>11</v>
      </c>
      <c r="H9"/>
      <c r="K9" s="527">
        <v>6</v>
      </c>
      <c r="L9" s="527">
        <v>8</v>
      </c>
    </row>
    <row r="10" spans="1:49" x14ac:dyDescent="0.2">
      <c r="A10" s="528"/>
      <c r="B10" t="s">
        <v>1516</v>
      </c>
      <c r="C10">
        <f t="shared" ca="1" si="3"/>
        <v>2</v>
      </c>
      <c r="E10" s="527">
        <f t="shared" ca="1" si="0"/>
        <v>2</v>
      </c>
      <c r="F10" s="527">
        <f t="shared" ca="1" si="1"/>
        <v>12</v>
      </c>
      <c r="G10" s="527">
        <f t="shared" ca="1" si="2"/>
        <v>5</v>
      </c>
      <c r="H10"/>
      <c r="K10" s="527">
        <v>5</v>
      </c>
      <c r="L10" s="527">
        <v>6</v>
      </c>
    </row>
    <row r="11" spans="1:49" x14ac:dyDescent="0.2">
      <c r="A11" s="528"/>
      <c r="B11" t="s">
        <v>1722</v>
      </c>
      <c r="C11">
        <f t="shared" ca="1" si="3"/>
        <v>5</v>
      </c>
      <c r="E11" s="527">
        <f t="shared" ca="1" si="0"/>
        <v>5</v>
      </c>
      <c r="F11" s="527">
        <f t="shared" ca="1" si="1"/>
        <v>6</v>
      </c>
      <c r="G11" s="527">
        <f t="shared" ca="1" si="2"/>
        <v>11</v>
      </c>
      <c r="H11"/>
      <c r="K11" s="527">
        <v>5</v>
      </c>
      <c r="L11" s="527">
        <v>11</v>
      </c>
    </row>
    <row r="12" spans="1:49" x14ac:dyDescent="0.2">
      <c r="A12" s="528"/>
      <c r="B12" t="s">
        <v>1514</v>
      </c>
      <c r="C12">
        <f ca="1">E12</f>
        <v>10</v>
      </c>
      <c r="E12" s="527">
        <f ca="1">ROUNDUP(INDIRECT(B12)/30,0)</f>
        <v>10</v>
      </c>
      <c r="F12" s="527">
        <f ca="1">ROUNDUP(MOD(INDIRECT(B12)*9,360)/30,0)</f>
        <v>4</v>
      </c>
      <c r="G12" s="527">
        <f ca="1">ROUNDUP(MOD((E12-1)*30+INDIRECT(B12)*12,360)/30,0)</f>
        <v>6</v>
      </c>
      <c r="H12"/>
      <c r="K12" s="527">
        <v>5</v>
      </c>
      <c r="L12" s="527">
        <v>11</v>
      </c>
    </row>
    <row r="13" spans="1:49" ht="14.25" x14ac:dyDescent="0.2">
      <c r="A13" s="528"/>
    </row>
    <row r="14" spans="1:49" ht="14.25" x14ac:dyDescent="0.2">
      <c r="A14" s="528" t="s">
        <v>1650</v>
      </c>
    </row>
    <row r="15" spans="1:49" s="530" customFormat="1" thickBot="1" x14ac:dyDescent="0.25">
      <c r="A15" s="529" t="str">
        <f>B15</f>
        <v>Sarva</v>
      </c>
      <c r="B15" s="1542" t="s">
        <v>1441</v>
      </c>
      <c r="C15" s="1542"/>
      <c r="D15" s="1223">
        <f ca="1">Lagnahouse</f>
        <v>5</v>
      </c>
      <c r="E15" s="1223"/>
      <c r="F15" s="1223"/>
      <c r="G15" s="1223"/>
      <c r="H15" s="1223"/>
      <c r="I15" s="1223"/>
      <c r="J15" s="1223"/>
      <c r="K15" s="1223"/>
      <c r="L15" s="1223"/>
      <c r="M15" s="1223"/>
      <c r="N15" s="1223"/>
      <c r="O15" s="1223"/>
      <c r="P15" s="531"/>
      <c r="Q15" s="531"/>
      <c r="S15" s="532"/>
      <c r="T15" s="532"/>
      <c r="U15" s="532"/>
      <c r="V15" s="532"/>
      <c r="AL15" s="1022"/>
      <c r="AW15" s="1023"/>
    </row>
    <row r="16" spans="1:49" x14ac:dyDescent="0.2">
      <c r="A16" s="533" t="str">
        <f t="shared" ref="A16:A27" si="4">A15</f>
        <v>Sarva</v>
      </c>
      <c r="B16"/>
      <c r="C16" t="s">
        <v>1438</v>
      </c>
      <c r="D16" s="1062">
        <v>1</v>
      </c>
      <c r="E16" s="1063">
        <v>2</v>
      </c>
      <c r="F16" s="1063">
        <v>3</v>
      </c>
      <c r="G16" s="620">
        <v>4</v>
      </c>
      <c r="H16" s="1062">
        <v>5</v>
      </c>
      <c r="I16" s="1063">
        <v>6</v>
      </c>
      <c r="J16" s="1063">
        <v>7</v>
      </c>
      <c r="K16" s="620">
        <v>8</v>
      </c>
      <c r="L16" s="1062">
        <v>9</v>
      </c>
      <c r="M16" s="1063">
        <v>10</v>
      </c>
      <c r="N16" s="1063">
        <v>11</v>
      </c>
      <c r="O16" s="620">
        <v>12</v>
      </c>
      <c r="P16"/>
      <c r="Q16" t="s">
        <v>1442</v>
      </c>
      <c r="S16" s="1540">
        <f ca="1">O25</f>
        <v>36</v>
      </c>
      <c r="T16" s="1540">
        <f ca="1">D25</f>
        <v>33</v>
      </c>
      <c r="U16" s="1540">
        <f ca="1">E25</f>
        <v>37</v>
      </c>
      <c r="V16" s="1540">
        <f ca="1">F25</f>
        <v>30</v>
      </c>
    </row>
    <row r="17" spans="1:49" x14ac:dyDescent="0.2">
      <c r="A17" s="533" t="str">
        <f t="shared" si="4"/>
        <v>Sarva</v>
      </c>
      <c r="B17" t="str">
        <f>B161</f>
        <v>Saturn</v>
      </c>
      <c r="C17">
        <f t="shared" ref="C17:C24" ca="1" si="5">INDIRECT(B17&amp;"house")</f>
        <v>2</v>
      </c>
      <c r="D17" s="671">
        <f t="shared" ref="D17:O17" ca="1" si="6">D161</f>
        <v>4</v>
      </c>
      <c r="E17" s="296">
        <f t="shared" ca="1" si="6"/>
        <v>5</v>
      </c>
      <c r="F17" s="296">
        <f t="shared" ca="1" si="6"/>
        <v>3</v>
      </c>
      <c r="G17" s="1065">
        <f t="shared" ca="1" si="6"/>
        <v>3</v>
      </c>
      <c r="H17" s="671">
        <f t="shared" ca="1" si="6"/>
        <v>2</v>
      </c>
      <c r="I17" s="296">
        <f t="shared" ca="1" si="6"/>
        <v>2</v>
      </c>
      <c r="J17" s="296">
        <f t="shared" ca="1" si="6"/>
        <v>6</v>
      </c>
      <c r="K17" s="1065">
        <f t="shared" ca="1" si="6"/>
        <v>3</v>
      </c>
      <c r="L17" s="671">
        <f t="shared" ca="1" si="6"/>
        <v>2</v>
      </c>
      <c r="M17" s="296">
        <f t="shared" ca="1" si="6"/>
        <v>2</v>
      </c>
      <c r="N17" s="296">
        <f t="shared" ca="1" si="6"/>
        <v>2</v>
      </c>
      <c r="O17" s="1065">
        <f t="shared" ca="1" si="6"/>
        <v>5</v>
      </c>
      <c r="P17">
        <f t="shared" ref="P17:P25" ca="1" si="7">SUM(D17:O17)</f>
        <v>39</v>
      </c>
      <c r="Q17">
        <v>5</v>
      </c>
      <c r="R17" s="527">
        <f ca="1">Q17*E83*E28</f>
        <v>0</v>
      </c>
      <c r="S17" s="1540"/>
      <c r="T17" s="1540"/>
      <c r="U17" s="1540"/>
      <c r="V17" s="1540"/>
    </row>
    <row r="18" spans="1:49" x14ac:dyDescent="0.2">
      <c r="A18" s="533" t="str">
        <f t="shared" si="4"/>
        <v>Sarva</v>
      </c>
      <c r="B18" t="str">
        <f>B175</f>
        <v>Venus</v>
      </c>
      <c r="C18">
        <f t="shared" ca="1" si="5"/>
        <v>3</v>
      </c>
      <c r="D18" s="671">
        <f t="shared" ref="D18:O18" ca="1" si="8">D175</f>
        <v>4</v>
      </c>
      <c r="E18" s="296">
        <f t="shared" ca="1" si="8"/>
        <v>3</v>
      </c>
      <c r="F18" s="296">
        <f t="shared" ca="1" si="8"/>
        <v>6</v>
      </c>
      <c r="G18" s="1065">
        <f t="shared" ca="1" si="8"/>
        <v>4</v>
      </c>
      <c r="H18" s="671">
        <f t="shared" ca="1" si="8"/>
        <v>5</v>
      </c>
      <c r="I18" s="296">
        <f t="shared" ca="1" si="8"/>
        <v>7</v>
      </c>
      <c r="J18" s="296">
        <f t="shared" ca="1" si="8"/>
        <v>2</v>
      </c>
      <c r="K18" s="1065">
        <f t="shared" ca="1" si="8"/>
        <v>3</v>
      </c>
      <c r="L18" s="671">
        <f t="shared" ca="1" si="8"/>
        <v>5</v>
      </c>
      <c r="M18" s="296">
        <f t="shared" ca="1" si="8"/>
        <v>3</v>
      </c>
      <c r="N18" s="296">
        <f t="shared" ca="1" si="8"/>
        <v>3</v>
      </c>
      <c r="O18" s="1065">
        <f t="shared" ca="1" si="8"/>
        <v>7</v>
      </c>
      <c r="P18">
        <f t="shared" ca="1" si="7"/>
        <v>52</v>
      </c>
      <c r="Q18">
        <v>7</v>
      </c>
      <c r="S18" s="1540"/>
      <c r="T18" s="1540"/>
      <c r="U18" s="1540"/>
      <c r="V18" s="1540"/>
    </row>
    <row r="19" spans="1:49" x14ac:dyDescent="0.2">
      <c r="A19" s="533" t="str">
        <f t="shared" si="4"/>
        <v>Sarva</v>
      </c>
      <c r="B19" t="str">
        <f>B189</f>
        <v>Jupiter</v>
      </c>
      <c r="C19">
        <f t="shared" ca="1" si="5"/>
        <v>8</v>
      </c>
      <c r="D19" s="671">
        <f t="shared" ref="D19:O19" ca="1" si="9">D189</f>
        <v>6</v>
      </c>
      <c r="E19" s="296">
        <f t="shared" ca="1" si="9"/>
        <v>4</v>
      </c>
      <c r="F19" s="296">
        <f t="shared" ca="1" si="9"/>
        <v>3</v>
      </c>
      <c r="G19" s="1065">
        <f t="shared" ca="1" si="9"/>
        <v>5</v>
      </c>
      <c r="H19" s="671">
        <f t="shared" ca="1" si="9"/>
        <v>5</v>
      </c>
      <c r="I19" s="296">
        <f t="shared" ca="1" si="9"/>
        <v>5</v>
      </c>
      <c r="J19" s="296">
        <f t="shared" ca="1" si="9"/>
        <v>5</v>
      </c>
      <c r="K19" s="1065">
        <f t="shared" ca="1" si="9"/>
        <v>6</v>
      </c>
      <c r="L19" s="671">
        <f t="shared" ca="1" si="9"/>
        <v>3</v>
      </c>
      <c r="M19" s="296">
        <f t="shared" ca="1" si="9"/>
        <v>5</v>
      </c>
      <c r="N19" s="296">
        <f t="shared" ca="1" si="9"/>
        <v>5</v>
      </c>
      <c r="O19" s="1065">
        <f t="shared" ca="1" si="9"/>
        <v>4</v>
      </c>
      <c r="P19">
        <f t="shared" ca="1" si="7"/>
        <v>56</v>
      </c>
      <c r="Q19">
        <v>10</v>
      </c>
      <c r="S19" s="1540">
        <f ca="1">N25</f>
        <v>31</v>
      </c>
      <c r="T19" s="1541" t="str">
        <f ca="1">C15&amp;"  Ashtakavarga  "&amp;P25</f>
        <v xml:space="preserve">  Ashtakavarga  386</v>
      </c>
      <c r="U19" s="1541"/>
      <c r="V19" s="1540">
        <f ca="1">G25</f>
        <v>30</v>
      </c>
    </row>
    <row r="20" spans="1:49" x14ac:dyDescent="0.2">
      <c r="A20" s="533" t="str">
        <f t="shared" si="4"/>
        <v>Sarva</v>
      </c>
      <c r="B20" t="str">
        <f>B203</f>
        <v>Mercury</v>
      </c>
      <c r="C20">
        <f t="shared" ca="1" si="5"/>
        <v>4</v>
      </c>
      <c r="D20" s="671">
        <f t="shared" ref="D20:O20" ca="1" si="10">D203</f>
        <v>4</v>
      </c>
      <c r="E20" s="296">
        <f t="shared" ca="1" si="10"/>
        <v>4</v>
      </c>
      <c r="F20" s="296">
        <f t="shared" ca="1" si="10"/>
        <v>7</v>
      </c>
      <c r="G20" s="1065">
        <f t="shared" ca="1" si="10"/>
        <v>3</v>
      </c>
      <c r="H20" s="671">
        <f t="shared" ca="1" si="10"/>
        <v>5</v>
      </c>
      <c r="I20" s="296">
        <f t="shared" ca="1" si="10"/>
        <v>5</v>
      </c>
      <c r="J20" s="296">
        <f t="shared" ca="1" si="10"/>
        <v>4</v>
      </c>
      <c r="K20" s="1065">
        <f t="shared" ca="1" si="10"/>
        <v>5</v>
      </c>
      <c r="L20" s="671">
        <f t="shared" ca="1" si="10"/>
        <v>4</v>
      </c>
      <c r="M20" s="296">
        <f t="shared" ca="1" si="10"/>
        <v>4</v>
      </c>
      <c r="N20" s="296">
        <f t="shared" ca="1" si="10"/>
        <v>4</v>
      </c>
      <c r="O20" s="1065">
        <f t="shared" ca="1" si="10"/>
        <v>5</v>
      </c>
      <c r="P20">
        <f t="shared" ca="1" si="7"/>
        <v>54</v>
      </c>
      <c r="Q20">
        <v>5</v>
      </c>
      <c r="S20" s="1540"/>
      <c r="T20" s="1540"/>
      <c r="U20" s="1541"/>
      <c r="V20" s="1540"/>
    </row>
    <row r="21" spans="1:49" x14ac:dyDescent="0.2">
      <c r="A21" s="533" t="str">
        <f t="shared" si="4"/>
        <v>Sarva</v>
      </c>
      <c r="B21" t="str">
        <f>B217</f>
        <v>Mars</v>
      </c>
      <c r="C21">
        <f t="shared" ca="1" si="5"/>
        <v>10</v>
      </c>
      <c r="D21" s="671">
        <f t="shared" ref="D21:O21" ca="1" si="11">D217</f>
        <v>4</v>
      </c>
      <c r="E21" s="296">
        <f t="shared" ca="1" si="11"/>
        <v>5</v>
      </c>
      <c r="F21" s="296">
        <f t="shared" ca="1" si="11"/>
        <v>1</v>
      </c>
      <c r="G21" s="1065">
        <f t="shared" ca="1" si="11"/>
        <v>2</v>
      </c>
      <c r="H21" s="671">
        <f t="shared" ca="1" si="11"/>
        <v>4</v>
      </c>
      <c r="I21" s="296">
        <f t="shared" ca="1" si="11"/>
        <v>3</v>
      </c>
      <c r="J21" s="296">
        <f t="shared" ca="1" si="11"/>
        <v>4</v>
      </c>
      <c r="K21" s="1065">
        <f t="shared" ca="1" si="11"/>
        <v>5</v>
      </c>
      <c r="L21" s="671">
        <f t="shared" ca="1" si="11"/>
        <v>3</v>
      </c>
      <c r="M21" s="296">
        <f t="shared" ca="1" si="11"/>
        <v>4</v>
      </c>
      <c r="N21" s="296">
        <f t="shared" ca="1" si="11"/>
        <v>2</v>
      </c>
      <c r="O21" s="1065">
        <f t="shared" ca="1" si="11"/>
        <v>2</v>
      </c>
      <c r="P21">
        <f t="shared" ca="1" si="7"/>
        <v>39</v>
      </c>
      <c r="Q21">
        <v>8</v>
      </c>
      <c r="S21" s="1540"/>
      <c r="T21" s="1540"/>
      <c r="U21" s="1541"/>
      <c r="V21" s="1540"/>
    </row>
    <row r="22" spans="1:49" x14ac:dyDescent="0.2">
      <c r="A22" s="533" t="str">
        <f t="shared" si="4"/>
        <v>Sarva</v>
      </c>
      <c r="B22" t="str">
        <f>B231</f>
        <v>Moon</v>
      </c>
      <c r="C22">
        <f t="shared" ca="1" si="5"/>
        <v>2</v>
      </c>
      <c r="D22" s="671">
        <f t="shared" ref="D22:O22" ca="1" si="12">D231</f>
        <v>3</v>
      </c>
      <c r="E22" s="296">
        <f t="shared" ca="1" si="12"/>
        <v>6</v>
      </c>
      <c r="F22" s="296">
        <f t="shared" ca="1" si="12"/>
        <v>3</v>
      </c>
      <c r="G22" s="1065">
        <f t="shared" ca="1" si="12"/>
        <v>3</v>
      </c>
      <c r="H22" s="671">
        <f t="shared" ca="1" si="12"/>
        <v>2</v>
      </c>
      <c r="I22" s="296">
        <f t="shared" ca="1" si="12"/>
        <v>5</v>
      </c>
      <c r="J22" s="296">
        <f t="shared" ca="1" si="12"/>
        <v>6</v>
      </c>
      <c r="K22" s="1065">
        <f t="shared" ca="1" si="12"/>
        <v>4</v>
      </c>
      <c r="L22" s="671">
        <f t="shared" ca="1" si="12"/>
        <v>3</v>
      </c>
      <c r="M22" s="296">
        <f t="shared" ca="1" si="12"/>
        <v>4</v>
      </c>
      <c r="N22" s="296">
        <f t="shared" ca="1" si="12"/>
        <v>6</v>
      </c>
      <c r="O22" s="1065">
        <f t="shared" ca="1" si="12"/>
        <v>4</v>
      </c>
      <c r="P22">
        <f t="shared" ca="1" si="7"/>
        <v>49</v>
      </c>
      <c r="Q22">
        <v>5</v>
      </c>
      <c r="S22" s="1540">
        <f ca="1">M25</f>
        <v>29</v>
      </c>
      <c r="T22" s="1541"/>
      <c r="U22" s="1541"/>
      <c r="V22" s="1540">
        <f ca="1">H25</f>
        <v>30</v>
      </c>
    </row>
    <row r="23" spans="1:49" x14ac:dyDescent="0.2">
      <c r="A23" s="533" t="str">
        <f t="shared" si="4"/>
        <v>Sarva</v>
      </c>
      <c r="B23" t="str">
        <f>B245</f>
        <v>Sun</v>
      </c>
      <c r="C23">
        <f t="shared" ca="1" si="5"/>
        <v>4</v>
      </c>
      <c r="D23" s="671">
        <f t="shared" ref="D23:O23" ca="1" si="13">D245</f>
        <v>4</v>
      </c>
      <c r="E23" s="296">
        <f t="shared" ca="1" si="13"/>
        <v>5</v>
      </c>
      <c r="F23" s="296">
        <f t="shared" ca="1" si="13"/>
        <v>3</v>
      </c>
      <c r="G23" s="1065">
        <f t="shared" ca="1" si="13"/>
        <v>5</v>
      </c>
      <c r="H23" s="671">
        <f t="shared" ca="1" si="13"/>
        <v>3</v>
      </c>
      <c r="I23" s="296">
        <f t="shared" ca="1" si="13"/>
        <v>3</v>
      </c>
      <c r="J23" s="296">
        <f t="shared" ca="1" si="13"/>
        <v>4</v>
      </c>
      <c r="K23" s="1065">
        <f t="shared" ca="1" si="13"/>
        <v>5</v>
      </c>
      <c r="L23" s="671">
        <f t="shared" ca="1" si="13"/>
        <v>3</v>
      </c>
      <c r="M23" s="296">
        <f t="shared" ca="1" si="13"/>
        <v>4</v>
      </c>
      <c r="N23" s="296">
        <f t="shared" ca="1" si="13"/>
        <v>4</v>
      </c>
      <c r="O23" s="1065">
        <f t="shared" ca="1" si="13"/>
        <v>5</v>
      </c>
      <c r="P23">
        <f t="shared" ca="1" si="7"/>
        <v>48</v>
      </c>
      <c r="Q23">
        <v>5</v>
      </c>
      <c r="S23" s="1540"/>
      <c r="T23" s="1540"/>
      <c r="U23" s="1541"/>
      <c r="V23" s="1540"/>
    </row>
    <row r="24" spans="1:49" x14ac:dyDescent="0.2">
      <c r="A24" s="533" t="str">
        <f t="shared" si="4"/>
        <v>Sarva</v>
      </c>
      <c r="B24" t="str">
        <f>B259</f>
        <v>Lagna</v>
      </c>
      <c r="C24">
        <f t="shared" ca="1" si="5"/>
        <v>5</v>
      </c>
      <c r="D24" s="671">
        <f t="shared" ref="D24:O24" ca="1" si="14">D259</f>
        <v>4</v>
      </c>
      <c r="E24" s="296">
        <f t="shared" ca="1" si="14"/>
        <v>5</v>
      </c>
      <c r="F24" s="296">
        <f t="shared" ca="1" si="14"/>
        <v>4</v>
      </c>
      <c r="G24" s="1065">
        <f t="shared" ca="1" si="14"/>
        <v>5</v>
      </c>
      <c r="H24" s="671">
        <f t="shared" ca="1" si="14"/>
        <v>4</v>
      </c>
      <c r="I24" s="296">
        <f t="shared" ca="1" si="14"/>
        <v>3</v>
      </c>
      <c r="J24" s="296">
        <f t="shared" ca="1" si="14"/>
        <v>7</v>
      </c>
      <c r="K24" s="1065">
        <f t="shared" ca="1" si="14"/>
        <v>2</v>
      </c>
      <c r="L24" s="671">
        <f t="shared" ca="1" si="14"/>
        <v>3</v>
      </c>
      <c r="M24" s="296">
        <f t="shared" ca="1" si="14"/>
        <v>3</v>
      </c>
      <c r="N24" s="296">
        <f t="shared" ca="1" si="14"/>
        <v>5</v>
      </c>
      <c r="O24" s="1065">
        <f t="shared" ca="1" si="14"/>
        <v>4</v>
      </c>
      <c r="P24">
        <f t="shared" ca="1" si="7"/>
        <v>49</v>
      </c>
      <c r="Q24">
        <v>5</v>
      </c>
      <c r="S24" s="1540"/>
      <c r="T24" s="1540"/>
      <c r="U24" s="1541"/>
      <c r="V24" s="1540"/>
    </row>
    <row r="25" spans="1:49" x14ac:dyDescent="0.2">
      <c r="A25" s="533" t="str">
        <f t="shared" si="4"/>
        <v>Sarva</v>
      </c>
      <c r="B25" t="s">
        <v>1443</v>
      </c>
      <c r="C25"/>
      <c r="D25" s="671">
        <f t="shared" ref="D25:O25" ca="1" si="15">SUM(D17:D24)</f>
        <v>33</v>
      </c>
      <c r="E25" s="296">
        <f t="shared" ca="1" si="15"/>
        <v>37</v>
      </c>
      <c r="F25" s="296">
        <f t="shared" ca="1" si="15"/>
        <v>30</v>
      </c>
      <c r="G25" s="1065">
        <f t="shared" ca="1" si="15"/>
        <v>30</v>
      </c>
      <c r="H25" s="671">
        <f t="shared" ca="1" si="15"/>
        <v>30</v>
      </c>
      <c r="I25" s="296">
        <f t="shared" ca="1" si="15"/>
        <v>33</v>
      </c>
      <c r="J25" s="296">
        <f t="shared" ca="1" si="15"/>
        <v>38</v>
      </c>
      <c r="K25" s="1065">
        <f t="shared" ca="1" si="15"/>
        <v>33</v>
      </c>
      <c r="L25" s="671">
        <f t="shared" ca="1" si="15"/>
        <v>26</v>
      </c>
      <c r="M25" s="296">
        <f t="shared" ca="1" si="15"/>
        <v>29</v>
      </c>
      <c r="N25" s="296">
        <f t="shared" ca="1" si="15"/>
        <v>31</v>
      </c>
      <c r="O25" s="1065">
        <f t="shared" ca="1" si="15"/>
        <v>36</v>
      </c>
      <c r="P25">
        <f t="shared" ca="1" si="7"/>
        <v>386</v>
      </c>
      <c r="Q25"/>
      <c r="S25" s="1540">
        <f ca="1">L25</f>
        <v>26</v>
      </c>
      <c r="T25" s="1540">
        <f ca="1">K25</f>
        <v>33</v>
      </c>
      <c r="U25" s="1540">
        <f ca="1">J25</f>
        <v>38</v>
      </c>
      <c r="V25" s="1540">
        <f ca="1">I25</f>
        <v>33</v>
      </c>
    </row>
    <row r="26" spans="1:49" ht="14.25" x14ac:dyDescent="0.2">
      <c r="A26" s="533" t="str">
        <f t="shared" si="4"/>
        <v>Sarva</v>
      </c>
      <c r="B26" s="527" t="s">
        <v>1444</v>
      </c>
      <c r="C26" s="544"/>
      <c r="D26" s="1020">
        <f t="shared" ref="D26:P26" ca="1" si="16">SUM(D17:D23)</f>
        <v>29</v>
      </c>
      <c r="E26" s="1016">
        <f t="shared" ca="1" si="16"/>
        <v>32</v>
      </c>
      <c r="F26" s="1016">
        <f t="shared" ca="1" si="16"/>
        <v>26</v>
      </c>
      <c r="G26" s="1021">
        <f t="shared" ca="1" si="16"/>
        <v>25</v>
      </c>
      <c r="H26" s="1020">
        <f t="shared" ca="1" si="16"/>
        <v>26</v>
      </c>
      <c r="I26" s="1016">
        <f t="shared" ca="1" si="16"/>
        <v>30</v>
      </c>
      <c r="J26" s="1016">
        <f t="shared" ca="1" si="16"/>
        <v>31</v>
      </c>
      <c r="K26" s="1021">
        <f t="shared" ca="1" si="16"/>
        <v>31</v>
      </c>
      <c r="L26" s="1020">
        <f t="shared" ca="1" si="16"/>
        <v>23</v>
      </c>
      <c r="M26" s="1016">
        <f t="shared" ca="1" si="16"/>
        <v>26</v>
      </c>
      <c r="N26" s="1016">
        <f t="shared" ca="1" si="16"/>
        <v>26</v>
      </c>
      <c r="O26" s="1021">
        <f t="shared" ca="1" si="16"/>
        <v>32</v>
      </c>
      <c r="P26" s="527">
        <f t="shared" ca="1" si="16"/>
        <v>337</v>
      </c>
      <c r="S26" s="1540"/>
      <c r="T26" s="1540"/>
      <c r="U26" s="1540"/>
      <c r="V26" s="1540"/>
    </row>
    <row r="27" spans="1:49" ht="14.25" x14ac:dyDescent="0.2">
      <c r="A27" s="533" t="str">
        <f t="shared" si="4"/>
        <v>Sarva</v>
      </c>
      <c r="B27" s="527" t="s">
        <v>1445</v>
      </c>
      <c r="C27" s="544"/>
      <c r="D27" s="1020">
        <f t="shared" ref="D27:O27" ca="1" si="17">IF(ISNA(MATCH(D16,$C17:$C23,0)),0,1)</f>
        <v>0</v>
      </c>
      <c r="E27" s="1016">
        <f t="shared" ca="1" si="17"/>
        <v>1</v>
      </c>
      <c r="F27" s="1016">
        <f t="shared" ca="1" si="17"/>
        <v>1</v>
      </c>
      <c r="G27" s="1021">
        <f t="shared" ca="1" si="17"/>
        <v>1</v>
      </c>
      <c r="H27" s="1020">
        <f t="shared" ca="1" si="17"/>
        <v>0</v>
      </c>
      <c r="I27" s="1016">
        <f t="shared" ca="1" si="17"/>
        <v>0</v>
      </c>
      <c r="J27" s="1016">
        <f t="shared" ca="1" si="17"/>
        <v>0</v>
      </c>
      <c r="K27" s="1021">
        <f t="shared" ca="1" si="17"/>
        <v>1</v>
      </c>
      <c r="L27" s="1020">
        <f t="shared" ca="1" si="17"/>
        <v>0</v>
      </c>
      <c r="M27" s="1016">
        <f t="shared" ca="1" si="17"/>
        <v>1</v>
      </c>
      <c r="N27" s="1016">
        <f t="shared" ca="1" si="17"/>
        <v>0</v>
      </c>
      <c r="O27" s="1021">
        <f t="shared" ca="1" si="17"/>
        <v>0</v>
      </c>
      <c r="S27" s="1540"/>
      <c r="T27" s="1540"/>
      <c r="U27" s="1540"/>
      <c r="V27" s="1540"/>
    </row>
    <row r="28" spans="1:49" thickBot="1" x14ac:dyDescent="0.25">
      <c r="A28" s="533" t="str">
        <f>A$27</f>
        <v>Sarva</v>
      </c>
      <c r="B28" s="527" t="s">
        <v>1446</v>
      </c>
      <c r="D28" s="1224">
        <v>7</v>
      </c>
      <c r="E28" s="1225">
        <v>10</v>
      </c>
      <c r="F28" s="1225">
        <v>8</v>
      </c>
      <c r="G28" s="1226">
        <v>4</v>
      </c>
      <c r="H28" s="1224">
        <v>10</v>
      </c>
      <c r="I28" s="1225">
        <v>5</v>
      </c>
      <c r="J28" s="1225">
        <v>7</v>
      </c>
      <c r="K28" s="1226">
        <v>8</v>
      </c>
      <c r="L28" s="1224">
        <v>9</v>
      </c>
      <c r="M28" s="1225">
        <v>5</v>
      </c>
      <c r="N28" s="1225">
        <v>11</v>
      </c>
      <c r="O28" s="1226">
        <v>12</v>
      </c>
      <c r="S28" s="538"/>
      <c r="T28" s="538"/>
      <c r="U28" s="538"/>
      <c r="V28" s="538"/>
    </row>
    <row r="29" spans="1:49" s="1469" customFormat="1" ht="14.25" x14ac:dyDescent="0.2">
      <c r="A29" s="533" t="str">
        <f>B29</f>
        <v>Longevity</v>
      </c>
      <c r="B29" s="1548" t="s">
        <v>4761</v>
      </c>
      <c r="C29" s="1548"/>
      <c r="D29" s="1548"/>
      <c r="E29" s="1548"/>
      <c r="F29" s="1548"/>
      <c r="G29" s="1548"/>
      <c r="H29" s="1548"/>
      <c r="I29" s="1548"/>
      <c r="J29" s="1548"/>
      <c r="K29" s="1548"/>
      <c r="L29" s="1548"/>
      <c r="M29" s="1548"/>
      <c r="N29" s="1548"/>
      <c r="O29" s="1548"/>
      <c r="P29" s="100"/>
      <c r="Q29" s="100"/>
      <c r="S29" s="1468"/>
      <c r="T29" s="1468"/>
      <c r="U29" s="1468"/>
      <c r="V29" s="1468"/>
      <c r="AK29" s="1016"/>
      <c r="AL29" s="1020"/>
      <c r="AM29" s="1016"/>
      <c r="AN29" s="1016"/>
      <c r="AO29" s="1016"/>
      <c r="AP29" s="1016"/>
      <c r="AQ29" s="1016"/>
      <c r="AR29" s="1016"/>
      <c r="AS29" s="1016"/>
      <c r="AT29" s="1016"/>
      <c r="AU29" s="1016"/>
      <c r="AV29" s="1016"/>
      <c r="AW29" s="1021"/>
    </row>
    <row r="30" spans="1:49" s="1469" customFormat="1" ht="14.25" x14ac:dyDescent="0.2">
      <c r="A30" s="533" t="str">
        <f>A29</f>
        <v>Longevity</v>
      </c>
      <c r="B30" s="1469" t="str">
        <f>B17</f>
        <v>Saturn</v>
      </c>
      <c r="C30" s="105"/>
      <c r="D30" s="1016">
        <f t="shared" ref="D30:O30" ca="1" si="18">CHOOSE(D17+1,2,1.5,1,0.5,7.5,2*Year,4*Year,6*Year,8*Year)</f>
        <v>7.5</v>
      </c>
      <c r="E30" s="1016">
        <f t="shared" ca="1" si="18"/>
        <v>730.50974537036404</v>
      </c>
      <c r="F30" s="1016">
        <f t="shared" ca="1" si="18"/>
        <v>0.5</v>
      </c>
      <c r="G30" s="1016">
        <f t="shared" ca="1" si="18"/>
        <v>0.5</v>
      </c>
      <c r="H30" s="1016">
        <f t="shared" ca="1" si="18"/>
        <v>1</v>
      </c>
      <c r="I30" s="1016">
        <f t="shared" ca="1" si="18"/>
        <v>1</v>
      </c>
      <c r="J30" s="1016">
        <f t="shared" ca="1" si="18"/>
        <v>1461.0194907407281</v>
      </c>
      <c r="K30" s="1016">
        <f t="shared" ca="1" si="18"/>
        <v>0.5</v>
      </c>
      <c r="L30" s="1016">
        <f t="shared" ca="1" si="18"/>
        <v>1</v>
      </c>
      <c r="M30" s="1016">
        <f t="shared" ca="1" si="18"/>
        <v>1</v>
      </c>
      <c r="N30" s="1016">
        <f t="shared" ca="1" si="18"/>
        <v>1</v>
      </c>
      <c r="O30" s="1016">
        <f t="shared" ca="1" si="18"/>
        <v>730.50974537036404</v>
      </c>
      <c r="P30" s="100">
        <f t="shared" ref="P30:P37" ca="1" si="19">SUM(D30:O30)/Year</f>
        <v>8.0383293996794034</v>
      </c>
      <c r="Q30" s="100"/>
      <c r="S30" s="1468"/>
      <c r="T30" s="1468"/>
      <c r="U30" s="1468"/>
      <c r="V30" s="1468"/>
      <c r="AK30" s="1016"/>
      <c r="AL30" s="1020"/>
      <c r="AM30" s="1016"/>
      <c r="AN30" s="1016"/>
      <c r="AO30" s="1016"/>
      <c r="AP30" s="1016"/>
      <c r="AQ30" s="1016"/>
      <c r="AR30" s="1016"/>
      <c r="AS30" s="1016"/>
      <c r="AT30" s="1016"/>
      <c r="AU30" s="1016"/>
      <c r="AV30" s="1016"/>
      <c r="AW30" s="1021"/>
    </row>
    <row r="31" spans="1:49" s="1469" customFormat="1" ht="14.25" x14ac:dyDescent="0.2">
      <c r="A31" s="533" t="str">
        <f t="shared" ref="A31:A39" si="20">A30</f>
        <v>Longevity</v>
      </c>
      <c r="B31" s="1469" t="str">
        <f t="shared" ref="B31:B37" si="21">B18</f>
        <v>Venus</v>
      </c>
      <c r="C31" s="105"/>
      <c r="D31" s="1016">
        <f t="shared" ref="D31:O31" ca="1" si="22">CHOOSE(D18+1,2,1.5,1,0.5,7.5,2*Year,4*Year,6*Year,8*Year)</f>
        <v>7.5</v>
      </c>
      <c r="E31" s="1016">
        <f t="shared" ca="1" si="22"/>
        <v>0.5</v>
      </c>
      <c r="F31" s="1016">
        <f t="shared" ca="1" si="22"/>
        <v>1461.0194907407281</v>
      </c>
      <c r="G31" s="1016">
        <f t="shared" ca="1" si="22"/>
        <v>7.5</v>
      </c>
      <c r="H31" s="1016">
        <f t="shared" ca="1" si="22"/>
        <v>730.50974537036404</v>
      </c>
      <c r="I31" s="1016">
        <f t="shared" ca="1" si="22"/>
        <v>2191.5292361110924</v>
      </c>
      <c r="J31" s="1016">
        <f t="shared" ca="1" si="22"/>
        <v>1</v>
      </c>
      <c r="K31" s="1016">
        <f t="shared" ca="1" si="22"/>
        <v>0.5</v>
      </c>
      <c r="L31" s="1016">
        <f t="shared" ca="1" si="22"/>
        <v>730.50974537036404</v>
      </c>
      <c r="M31" s="1016">
        <f t="shared" ca="1" si="22"/>
        <v>0.5</v>
      </c>
      <c r="N31" s="1016">
        <f t="shared" ca="1" si="22"/>
        <v>0.5</v>
      </c>
      <c r="O31" s="1016">
        <f t="shared" ca="1" si="22"/>
        <v>2191.5292361110924</v>
      </c>
      <c r="P31" s="100">
        <f t="shared" ca="1" si="19"/>
        <v>20.049280656730662</v>
      </c>
      <c r="Q31" s="100"/>
      <c r="S31" s="1468"/>
      <c r="T31" s="1468"/>
      <c r="U31" s="1468"/>
      <c r="V31" s="1468"/>
      <c r="AK31" s="1016"/>
      <c r="AL31" s="1020"/>
      <c r="AM31" s="1016"/>
      <c r="AN31" s="1016"/>
      <c r="AO31" s="1016"/>
      <c r="AP31" s="1016"/>
      <c r="AQ31" s="1016"/>
      <c r="AR31" s="1016"/>
      <c r="AS31" s="1016"/>
      <c r="AT31" s="1016"/>
      <c r="AU31" s="1016"/>
      <c r="AV31" s="1016"/>
      <c r="AW31" s="1021"/>
    </row>
    <row r="32" spans="1:49" s="1469" customFormat="1" ht="14.25" x14ac:dyDescent="0.2">
      <c r="A32" s="533" t="str">
        <f t="shared" si="20"/>
        <v>Longevity</v>
      </c>
      <c r="B32" s="1469" t="str">
        <f t="shared" si="21"/>
        <v>Jupiter</v>
      </c>
      <c r="C32" s="105"/>
      <c r="D32" s="1016">
        <f t="shared" ref="D32:O32" ca="1" si="23">CHOOSE(D19+1,2,1.5,1,0.5,7.5,2*Year,4*Year,6*Year,8*Year)</f>
        <v>1461.0194907407281</v>
      </c>
      <c r="E32" s="1016">
        <f t="shared" ca="1" si="23"/>
        <v>7.5</v>
      </c>
      <c r="F32" s="1016">
        <f t="shared" ca="1" si="23"/>
        <v>0.5</v>
      </c>
      <c r="G32" s="1016">
        <f t="shared" ca="1" si="23"/>
        <v>730.50974537036404</v>
      </c>
      <c r="H32" s="1016">
        <f t="shared" ca="1" si="23"/>
        <v>730.50974537036404</v>
      </c>
      <c r="I32" s="1016">
        <f t="shared" ca="1" si="23"/>
        <v>730.50974537036404</v>
      </c>
      <c r="J32" s="1016">
        <f t="shared" ca="1" si="23"/>
        <v>730.50974537036404</v>
      </c>
      <c r="K32" s="1016">
        <f t="shared" ca="1" si="23"/>
        <v>1461.0194907407281</v>
      </c>
      <c r="L32" s="1016">
        <f t="shared" ca="1" si="23"/>
        <v>0.5</v>
      </c>
      <c r="M32" s="1016">
        <f t="shared" ca="1" si="23"/>
        <v>730.50974537036404</v>
      </c>
      <c r="N32" s="1016">
        <f t="shared" ca="1" si="23"/>
        <v>730.50974537036404</v>
      </c>
      <c r="O32" s="1016">
        <f t="shared" ca="1" si="23"/>
        <v>7.5</v>
      </c>
      <c r="P32" s="100">
        <f t="shared" ca="1" si="19"/>
        <v>20.043805028205032</v>
      </c>
      <c r="Q32" s="100"/>
      <c r="S32" s="1468"/>
      <c r="T32" s="1468"/>
      <c r="U32" s="1468"/>
      <c r="V32" s="1468"/>
      <c r="AK32" s="1016"/>
      <c r="AL32" s="1020"/>
      <c r="AM32" s="1016"/>
      <c r="AN32" s="1016"/>
      <c r="AO32" s="1016"/>
      <c r="AP32" s="1016"/>
      <c r="AQ32" s="1016"/>
      <c r="AR32" s="1016"/>
      <c r="AS32" s="1016"/>
      <c r="AT32" s="1016"/>
      <c r="AU32" s="1016"/>
      <c r="AV32" s="1016"/>
      <c r="AW32" s="1021"/>
    </row>
    <row r="33" spans="1:49" s="1469" customFormat="1" ht="14.25" x14ac:dyDescent="0.2">
      <c r="A33" s="533" t="str">
        <f t="shared" si="20"/>
        <v>Longevity</v>
      </c>
      <c r="B33" s="1469" t="str">
        <f t="shared" si="21"/>
        <v>Mercury</v>
      </c>
      <c r="C33" s="105"/>
      <c r="D33" s="1016">
        <f t="shared" ref="D33:O33" ca="1" si="24">CHOOSE(D20+1,2,1.5,1,0.5,7.5,2*Year,4*Year,6*Year,8*Year)</f>
        <v>7.5</v>
      </c>
      <c r="E33" s="1016">
        <f t="shared" ca="1" si="24"/>
        <v>7.5</v>
      </c>
      <c r="F33" s="1016">
        <f t="shared" ca="1" si="24"/>
        <v>2191.5292361110924</v>
      </c>
      <c r="G33" s="1016">
        <f t="shared" ca="1" si="24"/>
        <v>0.5</v>
      </c>
      <c r="H33" s="1016">
        <f t="shared" ca="1" si="24"/>
        <v>730.50974537036404</v>
      </c>
      <c r="I33" s="1016">
        <f t="shared" ca="1" si="24"/>
        <v>730.50974537036404</v>
      </c>
      <c r="J33" s="1016">
        <f t="shared" ca="1" si="24"/>
        <v>7.5</v>
      </c>
      <c r="K33" s="1016">
        <f t="shared" ca="1" si="24"/>
        <v>730.50974537036404</v>
      </c>
      <c r="L33" s="1016">
        <f t="shared" ca="1" si="24"/>
        <v>7.5</v>
      </c>
      <c r="M33" s="1016">
        <f t="shared" ca="1" si="24"/>
        <v>7.5</v>
      </c>
      <c r="N33" s="1016">
        <f t="shared" ca="1" si="24"/>
        <v>7.5</v>
      </c>
      <c r="O33" s="1016">
        <f t="shared" ca="1" si="24"/>
        <v>730.50974537036404</v>
      </c>
      <c r="P33" s="100">
        <f t="shared" ca="1" si="19"/>
        <v>14.12457054895806</v>
      </c>
      <c r="Q33" s="100"/>
      <c r="S33" s="1468"/>
      <c r="T33" s="1468"/>
      <c r="U33" s="1468"/>
      <c r="V33" s="1468"/>
      <c r="AK33" s="1016"/>
      <c r="AL33" s="1020"/>
      <c r="AM33" s="1016"/>
      <c r="AN33" s="1016"/>
      <c r="AO33" s="1016"/>
      <c r="AP33" s="1016"/>
      <c r="AQ33" s="1016"/>
      <c r="AR33" s="1016"/>
      <c r="AS33" s="1016"/>
      <c r="AT33" s="1016"/>
      <c r="AU33" s="1016"/>
      <c r="AV33" s="1016"/>
      <c r="AW33" s="1021"/>
    </row>
    <row r="34" spans="1:49" s="1469" customFormat="1" ht="14.25" x14ac:dyDescent="0.2">
      <c r="A34" s="533" t="str">
        <f t="shared" si="20"/>
        <v>Longevity</v>
      </c>
      <c r="B34" s="1469" t="str">
        <f t="shared" si="21"/>
        <v>Mars</v>
      </c>
      <c r="C34" s="105"/>
      <c r="D34" s="1016">
        <f t="shared" ref="D34:O34" ca="1" si="25">CHOOSE(D21+1,2,1.5,1,0.5,7.5,2*Year,4*Year,6*Year,8*Year)</f>
        <v>7.5</v>
      </c>
      <c r="E34" s="1016">
        <f t="shared" ca="1" si="25"/>
        <v>730.50974537036404</v>
      </c>
      <c r="F34" s="1016">
        <f t="shared" ca="1" si="25"/>
        <v>1.5</v>
      </c>
      <c r="G34" s="1016">
        <f t="shared" ca="1" si="25"/>
        <v>1</v>
      </c>
      <c r="H34" s="1016">
        <f t="shared" ca="1" si="25"/>
        <v>7.5</v>
      </c>
      <c r="I34" s="1016">
        <f t="shared" ca="1" si="25"/>
        <v>0.5</v>
      </c>
      <c r="J34" s="1016">
        <f t="shared" ca="1" si="25"/>
        <v>7.5</v>
      </c>
      <c r="K34" s="1016">
        <f t="shared" ca="1" si="25"/>
        <v>730.50974537036404</v>
      </c>
      <c r="L34" s="1016">
        <f t="shared" ca="1" si="25"/>
        <v>0.5</v>
      </c>
      <c r="M34" s="1016">
        <f t="shared" ca="1" si="25"/>
        <v>7.5</v>
      </c>
      <c r="N34" s="1016">
        <f t="shared" ca="1" si="25"/>
        <v>1</v>
      </c>
      <c r="O34" s="1016">
        <f t="shared" ca="1" si="25"/>
        <v>1</v>
      </c>
      <c r="P34" s="100">
        <f t="shared" ca="1" si="19"/>
        <v>4.0971924063299161</v>
      </c>
      <c r="Q34" s="100"/>
      <c r="S34" s="1468"/>
      <c r="T34" s="1468"/>
      <c r="U34" s="1468"/>
      <c r="V34" s="1468"/>
      <c r="AK34" s="1016"/>
      <c r="AL34" s="1020"/>
      <c r="AM34" s="1016"/>
      <c r="AN34" s="1016"/>
      <c r="AO34" s="1016"/>
      <c r="AP34" s="1016"/>
      <c r="AQ34" s="1016"/>
      <c r="AR34" s="1016"/>
      <c r="AS34" s="1016"/>
      <c r="AT34" s="1016"/>
      <c r="AU34" s="1016"/>
      <c r="AV34" s="1016"/>
      <c r="AW34" s="1021"/>
    </row>
    <row r="35" spans="1:49" s="1469" customFormat="1" ht="14.25" x14ac:dyDescent="0.2">
      <c r="A35" s="533" t="str">
        <f t="shared" si="20"/>
        <v>Longevity</v>
      </c>
      <c r="B35" s="1469" t="str">
        <f t="shared" si="21"/>
        <v>Moon</v>
      </c>
      <c r="C35" s="105"/>
      <c r="D35" s="1016">
        <f t="shared" ref="D35:O35" ca="1" si="26">CHOOSE(D22+1,2,1.5,1,0.5,7.5,2*Year,4*Year,6*Year,8*Year)</f>
        <v>0.5</v>
      </c>
      <c r="E35" s="1016">
        <f t="shared" ca="1" si="26"/>
        <v>1461.0194907407281</v>
      </c>
      <c r="F35" s="1016">
        <f t="shared" ca="1" si="26"/>
        <v>0.5</v>
      </c>
      <c r="G35" s="1016">
        <f t="shared" ca="1" si="26"/>
        <v>0.5</v>
      </c>
      <c r="H35" s="1016">
        <f t="shared" ca="1" si="26"/>
        <v>1</v>
      </c>
      <c r="I35" s="1016">
        <f t="shared" ca="1" si="26"/>
        <v>730.50974537036404</v>
      </c>
      <c r="J35" s="1016">
        <f t="shared" ca="1" si="26"/>
        <v>1461.0194907407281</v>
      </c>
      <c r="K35" s="1016">
        <f t="shared" ca="1" si="26"/>
        <v>7.5</v>
      </c>
      <c r="L35" s="1016">
        <f t="shared" ca="1" si="26"/>
        <v>0.5</v>
      </c>
      <c r="M35" s="1016">
        <f t="shared" ca="1" si="26"/>
        <v>7.5</v>
      </c>
      <c r="N35" s="1016">
        <f t="shared" ca="1" si="26"/>
        <v>1461.0194907407281</v>
      </c>
      <c r="O35" s="1016">
        <f t="shared" ca="1" si="26"/>
        <v>7.5</v>
      </c>
      <c r="P35" s="100">
        <f t="shared" ca="1" si="19"/>
        <v>14.069814263701771</v>
      </c>
      <c r="Q35" s="100"/>
      <c r="S35" s="1468"/>
      <c r="T35" s="1468"/>
      <c r="U35" s="1468"/>
      <c r="V35" s="1468"/>
      <c r="AK35" s="1016"/>
      <c r="AL35" s="1020"/>
      <c r="AM35" s="1016"/>
      <c r="AN35" s="1016"/>
      <c r="AO35" s="1016"/>
      <c r="AP35" s="1016"/>
      <c r="AQ35" s="1016"/>
      <c r="AR35" s="1016"/>
      <c r="AS35" s="1016"/>
      <c r="AT35" s="1016"/>
      <c r="AU35" s="1016"/>
      <c r="AV35" s="1016"/>
      <c r="AW35" s="1021"/>
    </row>
    <row r="36" spans="1:49" s="1469" customFormat="1" ht="14.25" x14ac:dyDescent="0.2">
      <c r="A36" s="533" t="str">
        <f t="shared" si="20"/>
        <v>Longevity</v>
      </c>
      <c r="B36" s="1469" t="str">
        <f t="shared" si="21"/>
        <v>Sun</v>
      </c>
      <c r="C36" s="105"/>
      <c r="D36" s="1016">
        <f t="shared" ref="D36:O36" ca="1" si="27">CHOOSE(D23+1,2,1.5,1,0.5,7.5,2*Year,4*Year,6*Year,8*Year)</f>
        <v>7.5</v>
      </c>
      <c r="E36" s="1016">
        <f t="shared" ca="1" si="27"/>
        <v>730.50974537036404</v>
      </c>
      <c r="F36" s="1016">
        <f t="shared" ca="1" si="27"/>
        <v>0.5</v>
      </c>
      <c r="G36" s="1016">
        <f t="shared" ca="1" si="27"/>
        <v>730.50974537036404</v>
      </c>
      <c r="H36" s="1016">
        <f t="shared" ca="1" si="27"/>
        <v>0.5</v>
      </c>
      <c r="I36" s="1016">
        <f t="shared" ca="1" si="27"/>
        <v>0.5</v>
      </c>
      <c r="J36" s="1016">
        <f t="shared" ca="1" si="27"/>
        <v>7.5</v>
      </c>
      <c r="K36" s="1016">
        <f t="shared" ca="1" si="27"/>
        <v>730.50974537036404</v>
      </c>
      <c r="L36" s="1016">
        <f t="shared" ca="1" si="27"/>
        <v>0.5</v>
      </c>
      <c r="M36" s="1016">
        <f t="shared" ca="1" si="27"/>
        <v>7.5</v>
      </c>
      <c r="N36" s="1016">
        <f t="shared" ca="1" si="27"/>
        <v>7.5</v>
      </c>
      <c r="O36" s="1016">
        <f t="shared" ca="1" si="27"/>
        <v>730.50974537036404</v>
      </c>
      <c r="P36" s="100">
        <f t="shared" ca="1" si="19"/>
        <v>8.0876100564100657</v>
      </c>
      <c r="Q36" s="100"/>
      <c r="S36" s="1468"/>
      <c r="T36" s="1468"/>
      <c r="U36" s="1468"/>
      <c r="V36" s="1468"/>
      <c r="AK36" s="1016"/>
      <c r="AL36" s="1020"/>
      <c r="AM36" s="1016"/>
      <c r="AN36" s="1016"/>
      <c r="AO36" s="1016"/>
      <c r="AP36" s="1016"/>
      <c r="AQ36" s="1016"/>
      <c r="AR36" s="1016"/>
      <c r="AS36" s="1016"/>
      <c r="AT36" s="1016"/>
      <c r="AU36" s="1016"/>
      <c r="AV36" s="1016"/>
      <c r="AW36" s="1021"/>
    </row>
    <row r="37" spans="1:49" s="1469" customFormat="1" ht="14.25" x14ac:dyDescent="0.2">
      <c r="A37" s="533" t="str">
        <f t="shared" si="20"/>
        <v>Longevity</v>
      </c>
      <c r="B37" s="1469" t="str">
        <f t="shared" si="21"/>
        <v>Lagna</v>
      </c>
      <c r="C37" s="105"/>
      <c r="D37" s="1016">
        <f t="shared" ref="D37:O37" ca="1" si="28">CHOOSE(D24+1,2,1.5,1,0.5,7.5,2*Year,4*Year,6*Year,8*Year)</f>
        <v>7.5</v>
      </c>
      <c r="E37" s="1016">
        <f t="shared" ca="1" si="28"/>
        <v>730.50974537036404</v>
      </c>
      <c r="F37" s="1016">
        <f t="shared" ca="1" si="28"/>
        <v>7.5</v>
      </c>
      <c r="G37" s="1016">
        <f t="shared" ca="1" si="28"/>
        <v>730.50974537036404</v>
      </c>
      <c r="H37" s="1016">
        <f t="shared" ca="1" si="28"/>
        <v>7.5</v>
      </c>
      <c r="I37" s="1016">
        <f t="shared" ca="1" si="28"/>
        <v>0.5</v>
      </c>
      <c r="J37" s="1016">
        <f t="shared" ca="1" si="28"/>
        <v>2191.5292361110924</v>
      </c>
      <c r="K37" s="1016">
        <f t="shared" ca="1" si="28"/>
        <v>1</v>
      </c>
      <c r="L37" s="1016">
        <f t="shared" ca="1" si="28"/>
        <v>0.5</v>
      </c>
      <c r="M37" s="1016">
        <f t="shared" ca="1" si="28"/>
        <v>0.5</v>
      </c>
      <c r="N37" s="1016">
        <f t="shared" ca="1" si="28"/>
        <v>730.50974537036404</v>
      </c>
      <c r="O37" s="1016">
        <f t="shared" ca="1" si="28"/>
        <v>7.5</v>
      </c>
      <c r="P37" s="100">
        <f t="shared" ca="1" si="19"/>
        <v>12.088978963541473</v>
      </c>
      <c r="Q37" s="100"/>
      <c r="S37" s="1468"/>
      <c r="T37" s="1468"/>
      <c r="U37" s="1468"/>
      <c r="V37" s="1468"/>
      <c r="AK37" s="1016"/>
      <c r="AL37" s="1020"/>
      <c r="AM37" s="1016"/>
      <c r="AN37" s="1016"/>
      <c r="AO37" s="1016"/>
      <c r="AP37" s="1016"/>
      <c r="AQ37" s="1016"/>
      <c r="AR37" s="1016"/>
      <c r="AS37" s="1016"/>
      <c r="AT37" s="1016"/>
      <c r="AU37" s="1016"/>
      <c r="AV37" s="1016"/>
      <c r="AW37" s="1021"/>
    </row>
    <row r="38" spans="1:49" s="1469" customFormat="1" ht="14.25" x14ac:dyDescent="0.2">
      <c r="A38" s="533" t="str">
        <f t="shared" si="20"/>
        <v>Longevity</v>
      </c>
      <c r="C38" s="105"/>
      <c r="D38" s="1016"/>
      <c r="E38" s="1016"/>
      <c r="F38" s="1016"/>
      <c r="G38" s="1016"/>
      <c r="H38" s="1016"/>
      <c r="I38" s="1016"/>
      <c r="J38" s="1016"/>
      <c r="K38" s="1016"/>
      <c r="L38" s="1016"/>
      <c r="M38" s="1016"/>
      <c r="N38" s="1016"/>
      <c r="O38" s="1016"/>
      <c r="P38" s="100">
        <f ca="1">SUM(P30:P37)</f>
        <v>100.59958132355639</v>
      </c>
      <c r="Q38" s="100"/>
      <c r="S38" s="1468"/>
      <c r="T38" s="1468"/>
      <c r="U38" s="1468"/>
      <c r="V38" s="1468"/>
      <c r="AK38" s="1016"/>
      <c r="AL38" s="1020"/>
      <c r="AM38" s="1016"/>
      <c r="AN38" s="1016"/>
      <c r="AO38" s="1016"/>
      <c r="AP38" s="1016"/>
      <c r="AQ38" s="1016"/>
      <c r="AR38" s="1016"/>
      <c r="AS38" s="1016"/>
      <c r="AT38" s="1016"/>
      <c r="AU38" s="1016"/>
      <c r="AV38" s="1016"/>
      <c r="AW38" s="1021"/>
    </row>
    <row r="39" spans="1:49" s="1469" customFormat="1" ht="14.25" x14ac:dyDescent="0.2">
      <c r="A39" s="533" t="str">
        <f t="shared" si="20"/>
        <v>Longevity</v>
      </c>
      <c r="C39" s="105"/>
      <c r="D39" s="1016"/>
      <c r="E39" s="1016"/>
      <c r="F39" s="1016"/>
      <c r="G39" s="1016"/>
      <c r="H39" s="1016"/>
      <c r="I39" s="1016"/>
      <c r="J39" s="1016"/>
      <c r="K39" s="1016"/>
      <c r="L39" s="1016"/>
      <c r="M39" s="1016"/>
      <c r="N39" s="1016"/>
      <c r="O39" s="1016"/>
      <c r="P39" s="100"/>
      <c r="Q39" s="100"/>
      <c r="S39" s="1468"/>
      <c r="T39" s="1468"/>
      <c r="U39" s="1468"/>
      <c r="V39" s="1468"/>
      <c r="AK39" s="1016"/>
      <c r="AL39" s="1020"/>
      <c r="AM39" s="1016"/>
      <c r="AN39" s="1016"/>
      <c r="AO39" s="1016"/>
      <c r="AP39" s="1016"/>
      <c r="AQ39" s="1016"/>
      <c r="AR39" s="1016"/>
      <c r="AS39" s="1016"/>
      <c r="AT39" s="1016"/>
      <c r="AU39" s="1016"/>
      <c r="AV39" s="1016"/>
      <c r="AW39" s="1021"/>
    </row>
    <row r="40" spans="1:49" ht="18.75" thickBot="1" x14ac:dyDescent="0.3">
      <c r="A40" s="533" t="str">
        <f>B40</f>
        <v>Trikona Shodana Selected</v>
      </c>
      <c r="B40" s="1545" t="s">
        <v>4293</v>
      </c>
      <c r="C40" s="1545"/>
      <c r="D40" s="1547"/>
      <c r="E40" s="1547"/>
      <c r="F40" s="1547"/>
      <c r="G40" s="1547"/>
      <c r="H40" s="1547"/>
      <c r="I40" s="1547"/>
      <c r="J40" s="1547"/>
      <c r="K40" s="1547"/>
      <c r="L40" s="1547"/>
      <c r="M40" s="1547"/>
      <c r="N40" s="1547"/>
      <c r="O40" s="1547"/>
      <c r="P40" s="100">
        <v>0</v>
      </c>
      <c r="Q40" s="100" t="s">
        <v>4294</v>
      </c>
      <c r="S40" s="538"/>
      <c r="T40" s="538"/>
      <c r="U40" s="538"/>
      <c r="V40" s="538"/>
    </row>
    <row r="41" spans="1:49" thickTop="1" x14ac:dyDescent="0.2">
      <c r="A41" s="533" t="str">
        <f t="shared" ref="A41:A72" si="29">A40</f>
        <v>Trikona Shodana Selected</v>
      </c>
      <c r="B41" s="527" t="str">
        <f t="shared" ref="B41:B48" si="30">"TS"&amp;B17</f>
        <v>TSSaturn</v>
      </c>
      <c r="D41" s="1227">
        <f t="shared" ref="D41:O41" ca="1" si="31">IF(ShodhanaMinimum,D63,D52)</f>
        <v>2</v>
      </c>
      <c r="E41" s="1228">
        <f t="shared" ca="1" si="31"/>
        <v>3</v>
      </c>
      <c r="F41" s="1229">
        <f t="shared" ca="1" si="31"/>
        <v>1</v>
      </c>
      <c r="G41" s="1230">
        <f t="shared" ca="1" si="31"/>
        <v>0</v>
      </c>
      <c r="H41" s="1227">
        <f t="shared" ca="1" si="31"/>
        <v>0</v>
      </c>
      <c r="I41" s="1228">
        <f t="shared" ca="1" si="31"/>
        <v>0</v>
      </c>
      <c r="J41" s="1229">
        <f t="shared" ca="1" si="31"/>
        <v>4</v>
      </c>
      <c r="K41" s="1230">
        <f t="shared" ca="1" si="31"/>
        <v>0</v>
      </c>
      <c r="L41" s="1227">
        <f t="shared" ca="1" si="31"/>
        <v>0</v>
      </c>
      <c r="M41" s="1228">
        <f t="shared" ca="1" si="31"/>
        <v>0</v>
      </c>
      <c r="N41" s="1229">
        <f t="shared" ca="1" si="31"/>
        <v>0</v>
      </c>
      <c r="O41" s="1230">
        <f t="shared" ca="1" si="31"/>
        <v>2</v>
      </c>
    </row>
    <row r="42" spans="1:49" ht="14.25" x14ac:dyDescent="0.2">
      <c r="A42" s="533" t="str">
        <f t="shared" si="29"/>
        <v>Trikona Shodana Selected</v>
      </c>
      <c r="B42" s="527" t="str">
        <f t="shared" si="30"/>
        <v>TSVenus</v>
      </c>
      <c r="D42" s="1231">
        <f t="shared" ref="D42:O42" ca="1" si="32">IF(ShodhanaMinimum,D64,D53)</f>
        <v>0</v>
      </c>
      <c r="E42" s="1232">
        <f t="shared" ca="1" si="32"/>
        <v>0</v>
      </c>
      <c r="F42" s="1233">
        <f t="shared" ca="1" si="32"/>
        <v>4</v>
      </c>
      <c r="G42" s="1234">
        <f t="shared" ca="1" si="32"/>
        <v>1</v>
      </c>
      <c r="H42" s="1231">
        <f t="shared" ca="1" si="32"/>
        <v>1</v>
      </c>
      <c r="I42" s="1232">
        <f t="shared" ca="1" si="32"/>
        <v>4</v>
      </c>
      <c r="J42" s="1233">
        <f t="shared" ca="1" si="32"/>
        <v>0</v>
      </c>
      <c r="K42" s="1234">
        <f t="shared" ca="1" si="32"/>
        <v>0</v>
      </c>
      <c r="L42" s="1231">
        <f t="shared" ca="1" si="32"/>
        <v>1</v>
      </c>
      <c r="M42" s="1232">
        <f t="shared" ca="1" si="32"/>
        <v>0</v>
      </c>
      <c r="N42" s="1233">
        <f t="shared" ca="1" si="32"/>
        <v>1</v>
      </c>
      <c r="O42" s="1234">
        <f t="shared" ca="1" si="32"/>
        <v>4</v>
      </c>
    </row>
    <row r="43" spans="1:49" ht="14.25" x14ac:dyDescent="0.2">
      <c r="A43" s="533" t="str">
        <f t="shared" si="29"/>
        <v>Trikona Shodana Selected</v>
      </c>
      <c r="B43" s="527" t="str">
        <f t="shared" si="30"/>
        <v>TSJupiter</v>
      </c>
      <c r="D43" s="1231">
        <f t="shared" ref="D43:O43" ca="1" si="33">IF(ShodhanaMinimum,D65,D54)</f>
        <v>3</v>
      </c>
      <c r="E43" s="1232">
        <f t="shared" ca="1" si="33"/>
        <v>0</v>
      </c>
      <c r="F43" s="1233">
        <f t="shared" ca="1" si="33"/>
        <v>0</v>
      </c>
      <c r="G43" s="1234">
        <f t="shared" ca="1" si="33"/>
        <v>1</v>
      </c>
      <c r="H43" s="1231">
        <f t="shared" ca="1" si="33"/>
        <v>2</v>
      </c>
      <c r="I43" s="1232">
        <f t="shared" ca="1" si="33"/>
        <v>1</v>
      </c>
      <c r="J43" s="1233">
        <f t="shared" ca="1" si="33"/>
        <v>2</v>
      </c>
      <c r="K43" s="1234">
        <f t="shared" ca="1" si="33"/>
        <v>2</v>
      </c>
      <c r="L43" s="1231">
        <f t="shared" ca="1" si="33"/>
        <v>0</v>
      </c>
      <c r="M43" s="1232">
        <f t="shared" ca="1" si="33"/>
        <v>1</v>
      </c>
      <c r="N43" s="1233">
        <f t="shared" ca="1" si="33"/>
        <v>2</v>
      </c>
      <c r="O43" s="1234">
        <f t="shared" ca="1" si="33"/>
        <v>0</v>
      </c>
    </row>
    <row r="44" spans="1:49" x14ac:dyDescent="0.2">
      <c r="A44" s="533" t="str">
        <f t="shared" si="29"/>
        <v>Trikona Shodana Selected</v>
      </c>
      <c r="B44" s="527" t="str">
        <f t="shared" si="30"/>
        <v>TSMercury</v>
      </c>
      <c r="D44" s="1231">
        <f t="shared" ref="D44:O44" ca="1" si="34">IF(ShodhanaMinimum,D66,D55)</f>
        <v>0</v>
      </c>
      <c r="E44" s="1232">
        <f t="shared" ca="1" si="34"/>
        <v>0</v>
      </c>
      <c r="F44" s="1233">
        <f t="shared" ca="1" si="34"/>
        <v>3</v>
      </c>
      <c r="G44" s="1234">
        <f t="shared" ca="1" si="34"/>
        <v>0</v>
      </c>
      <c r="H44" s="1231">
        <f t="shared" ca="1" si="34"/>
        <v>1</v>
      </c>
      <c r="I44" s="1232">
        <f t="shared" ca="1" si="34"/>
        <v>1</v>
      </c>
      <c r="J44" s="1233">
        <f t="shared" ca="1" si="34"/>
        <v>0</v>
      </c>
      <c r="K44" s="1234">
        <f t="shared" ca="1" si="34"/>
        <v>2</v>
      </c>
      <c r="L44" s="1231">
        <f t="shared" ca="1" si="34"/>
        <v>0</v>
      </c>
      <c r="M44" s="1232">
        <f t="shared" ca="1" si="34"/>
        <v>0</v>
      </c>
      <c r="N44" s="1233">
        <f t="shared" ca="1" si="34"/>
        <v>0</v>
      </c>
      <c r="O44" s="1234">
        <f t="shared" ca="1" si="34"/>
        <v>2</v>
      </c>
      <c r="Q44"/>
      <c r="R44"/>
      <c r="S44"/>
      <c r="T44"/>
      <c r="U44"/>
      <c r="V44"/>
      <c r="W44"/>
      <c r="X44"/>
      <c r="Y44"/>
      <c r="Z44"/>
      <c r="AA44"/>
      <c r="AB44"/>
      <c r="AC44"/>
      <c r="AD44"/>
    </row>
    <row r="45" spans="1:49" x14ac:dyDescent="0.2">
      <c r="A45" s="533" t="str">
        <f t="shared" si="29"/>
        <v>Trikona Shodana Selected</v>
      </c>
      <c r="B45" s="527" t="str">
        <f t="shared" si="30"/>
        <v>TSMars</v>
      </c>
      <c r="D45" s="1231">
        <f t="shared" ref="D45:O45" ca="1" si="35">IF(ShodhanaMinimum,D67,D56)</f>
        <v>1</v>
      </c>
      <c r="E45" s="1232">
        <f t="shared" ca="1" si="35"/>
        <v>2</v>
      </c>
      <c r="F45" s="1233">
        <f t="shared" ca="1" si="35"/>
        <v>0</v>
      </c>
      <c r="G45" s="1234">
        <f t="shared" ca="1" si="35"/>
        <v>0</v>
      </c>
      <c r="H45" s="1231">
        <f t="shared" ca="1" si="35"/>
        <v>1</v>
      </c>
      <c r="I45" s="1232">
        <f t="shared" ca="1" si="35"/>
        <v>0</v>
      </c>
      <c r="J45" s="1233">
        <f t="shared" ca="1" si="35"/>
        <v>3</v>
      </c>
      <c r="K45" s="1234">
        <f t="shared" ca="1" si="35"/>
        <v>3</v>
      </c>
      <c r="L45" s="1231">
        <f t="shared" ca="1" si="35"/>
        <v>0</v>
      </c>
      <c r="M45" s="1232">
        <f t="shared" ca="1" si="35"/>
        <v>1</v>
      </c>
      <c r="N45" s="1233">
        <f t="shared" ca="1" si="35"/>
        <v>1</v>
      </c>
      <c r="O45" s="1234">
        <f t="shared" ca="1" si="35"/>
        <v>0</v>
      </c>
      <c r="Q45"/>
      <c r="R45"/>
      <c r="S45"/>
      <c r="T45"/>
      <c r="U45"/>
      <c r="V45"/>
      <c r="W45"/>
      <c r="X45"/>
      <c r="Y45"/>
      <c r="Z45"/>
      <c r="AA45"/>
      <c r="AB45"/>
      <c r="AC45"/>
      <c r="AD45"/>
    </row>
    <row r="46" spans="1:49" x14ac:dyDescent="0.2">
      <c r="A46" s="533" t="str">
        <f t="shared" si="29"/>
        <v>Trikona Shodana Selected</v>
      </c>
      <c r="B46" s="527" t="str">
        <f t="shared" si="30"/>
        <v>TSMoon</v>
      </c>
      <c r="C46" s="219"/>
      <c r="D46" s="1231">
        <f t="shared" ref="D46:O46" ca="1" si="36">IF(ShodhanaMinimum,D68,D57)</f>
        <v>1</v>
      </c>
      <c r="E46" s="1232">
        <f t="shared" ca="1" si="36"/>
        <v>2</v>
      </c>
      <c r="F46" s="1233">
        <f t="shared" ca="1" si="36"/>
        <v>0</v>
      </c>
      <c r="G46" s="1234">
        <f t="shared" ca="1" si="36"/>
        <v>0</v>
      </c>
      <c r="H46" s="1231">
        <f t="shared" ca="1" si="36"/>
        <v>0</v>
      </c>
      <c r="I46" s="1232">
        <f t="shared" ca="1" si="36"/>
        <v>1</v>
      </c>
      <c r="J46" s="1233">
        <f t="shared" ca="1" si="36"/>
        <v>3</v>
      </c>
      <c r="K46" s="1234">
        <f t="shared" ca="1" si="36"/>
        <v>1</v>
      </c>
      <c r="L46" s="1231">
        <f t="shared" ca="1" si="36"/>
        <v>1</v>
      </c>
      <c r="M46" s="1232">
        <f t="shared" ca="1" si="36"/>
        <v>0</v>
      </c>
      <c r="N46" s="1233">
        <f t="shared" ca="1" si="36"/>
        <v>3</v>
      </c>
      <c r="O46" s="1234">
        <f t="shared" ca="1" si="36"/>
        <v>1</v>
      </c>
      <c r="Q46"/>
      <c r="R46"/>
      <c r="S46"/>
      <c r="T46"/>
      <c r="U46"/>
      <c r="V46"/>
      <c r="W46"/>
      <c r="X46"/>
      <c r="Y46"/>
      <c r="Z46"/>
      <c r="AA46"/>
      <c r="AB46"/>
      <c r="AC46"/>
      <c r="AD46"/>
    </row>
    <row r="47" spans="1:49" x14ac:dyDescent="0.2">
      <c r="A47" s="533" t="str">
        <f t="shared" si="29"/>
        <v>Trikona Shodana Selected</v>
      </c>
      <c r="B47" s="527" t="str">
        <f t="shared" si="30"/>
        <v>TSSun</v>
      </c>
      <c r="D47" s="1231">
        <f t="shared" ref="D47:O47" ca="1" si="37">IF(ShodhanaMinimum,D69,D58)</f>
        <v>1</v>
      </c>
      <c r="E47" s="1232">
        <f t="shared" ca="1" si="37"/>
        <v>2</v>
      </c>
      <c r="F47" s="1233">
        <f t="shared" ca="1" si="37"/>
        <v>0</v>
      </c>
      <c r="G47" s="1234">
        <f t="shared" ca="1" si="37"/>
        <v>0</v>
      </c>
      <c r="H47" s="1231">
        <f t="shared" ca="1" si="37"/>
        <v>0</v>
      </c>
      <c r="I47" s="1232">
        <f t="shared" ca="1" si="37"/>
        <v>0</v>
      </c>
      <c r="J47" s="1233">
        <f t="shared" ca="1" si="37"/>
        <v>1</v>
      </c>
      <c r="K47" s="1234">
        <f t="shared" ca="1" si="37"/>
        <v>0</v>
      </c>
      <c r="L47" s="1231">
        <f t="shared" ca="1" si="37"/>
        <v>0</v>
      </c>
      <c r="M47" s="1232">
        <f t="shared" ca="1" si="37"/>
        <v>1</v>
      </c>
      <c r="N47" s="1233">
        <f t="shared" ca="1" si="37"/>
        <v>1</v>
      </c>
      <c r="O47" s="1234">
        <f t="shared" ca="1" si="37"/>
        <v>0</v>
      </c>
      <c r="Q47"/>
      <c r="R47"/>
      <c r="S47"/>
      <c r="T47"/>
      <c r="U47"/>
      <c r="V47"/>
      <c r="W47"/>
      <c r="X47"/>
      <c r="Y47"/>
      <c r="Z47"/>
      <c r="AA47"/>
      <c r="AB47"/>
      <c r="AC47"/>
      <c r="AD47"/>
    </row>
    <row r="48" spans="1:49" x14ac:dyDescent="0.2">
      <c r="A48" s="533" t="str">
        <f t="shared" si="29"/>
        <v>Trikona Shodana Selected</v>
      </c>
      <c r="B48" s="527" t="str">
        <f t="shared" si="30"/>
        <v>TSLagna</v>
      </c>
      <c r="D48" s="1231">
        <f t="shared" ref="D48:O48" ca="1" si="38">IF(ShodhanaMinimum,D70,D59)</f>
        <v>1</v>
      </c>
      <c r="E48" s="1232">
        <f t="shared" ca="1" si="38"/>
        <v>2</v>
      </c>
      <c r="F48" s="1233">
        <f t="shared" ca="1" si="38"/>
        <v>0</v>
      </c>
      <c r="G48" s="1234">
        <f t="shared" ca="1" si="38"/>
        <v>3</v>
      </c>
      <c r="H48" s="1231">
        <f t="shared" ca="1" si="38"/>
        <v>1</v>
      </c>
      <c r="I48" s="1232">
        <f t="shared" ca="1" si="38"/>
        <v>0</v>
      </c>
      <c r="J48" s="1233">
        <f t="shared" ca="1" si="38"/>
        <v>3</v>
      </c>
      <c r="K48" s="1234">
        <f t="shared" ca="1" si="38"/>
        <v>0</v>
      </c>
      <c r="L48" s="1231">
        <f t="shared" ca="1" si="38"/>
        <v>0</v>
      </c>
      <c r="M48" s="1232">
        <f t="shared" ca="1" si="38"/>
        <v>0</v>
      </c>
      <c r="N48" s="1233">
        <f t="shared" ca="1" si="38"/>
        <v>1</v>
      </c>
      <c r="O48" s="1234">
        <f t="shared" ca="1" si="38"/>
        <v>2</v>
      </c>
      <c r="Q48"/>
      <c r="R48"/>
      <c r="S48"/>
      <c r="T48"/>
      <c r="U48"/>
      <c r="V48"/>
      <c r="W48"/>
      <c r="X48"/>
      <c r="Y48"/>
      <c r="Z48"/>
      <c r="AA48"/>
      <c r="AB48"/>
      <c r="AC48"/>
      <c r="AD48"/>
    </row>
    <row r="49" spans="1:49" x14ac:dyDescent="0.2">
      <c r="A49" s="533" t="str">
        <f t="shared" si="29"/>
        <v>Trikona Shodana Selected</v>
      </c>
      <c r="D49" s="1231"/>
      <c r="E49" s="1232"/>
      <c r="F49" s="1233"/>
      <c r="G49" s="1234"/>
      <c r="H49" s="1231"/>
      <c r="I49" s="1232"/>
      <c r="J49" s="1233"/>
      <c r="K49" s="1234"/>
      <c r="L49" s="1231"/>
      <c r="M49" s="1232"/>
      <c r="N49" s="1233"/>
      <c r="O49" s="1234"/>
      <c r="Q49"/>
      <c r="R49"/>
      <c r="S49"/>
      <c r="T49"/>
      <c r="U49"/>
      <c r="V49"/>
      <c r="W49"/>
      <c r="X49"/>
      <c r="Y49"/>
      <c r="Z49"/>
      <c r="AA49"/>
      <c r="AB49"/>
      <c r="AC49"/>
      <c r="AD49"/>
    </row>
    <row r="50" spans="1:49" ht="15.75" thickBot="1" x14ac:dyDescent="0.25">
      <c r="A50" s="533" t="str">
        <f t="shared" si="29"/>
        <v>Trikona Shodana Selected</v>
      </c>
      <c r="D50" s="1235"/>
      <c r="E50" s="1236"/>
      <c r="F50" s="1237"/>
      <c r="G50" s="1238"/>
      <c r="H50" s="1235"/>
      <c r="I50" s="1236"/>
      <c r="J50" s="1237"/>
      <c r="K50" s="1238"/>
      <c r="L50" s="1235"/>
      <c r="M50" s="1236"/>
      <c r="N50" s="1237"/>
      <c r="O50" s="1238"/>
      <c r="Q50"/>
      <c r="R50"/>
      <c r="S50"/>
      <c r="T50"/>
      <c r="U50"/>
      <c r="V50"/>
      <c r="W50"/>
      <c r="X50"/>
      <c r="Y50"/>
      <c r="Z50"/>
      <c r="AA50"/>
      <c r="AB50"/>
      <c r="AC50"/>
      <c r="AD50"/>
    </row>
    <row r="51" spans="1:49" s="1221" customFormat="1" ht="18.75" thickBot="1" x14ac:dyDescent="0.3">
      <c r="A51" s="533" t="str">
        <f>B51</f>
        <v>Trikona Shodana Subtraction</v>
      </c>
      <c r="B51" s="1545" t="s">
        <v>4291</v>
      </c>
      <c r="C51" s="1545"/>
      <c r="D51" s="1545"/>
      <c r="E51" s="1545"/>
      <c r="F51" s="1545"/>
      <c r="G51" s="1545"/>
      <c r="H51" s="1545"/>
      <c r="I51" s="1545"/>
      <c r="J51" s="1545"/>
      <c r="K51" s="1545"/>
      <c r="L51" s="1545"/>
      <c r="M51" s="1545"/>
      <c r="N51" s="1545"/>
      <c r="O51" s="1545"/>
      <c r="Q51"/>
      <c r="R51"/>
      <c r="S51"/>
      <c r="T51"/>
      <c r="U51"/>
      <c r="V51"/>
      <c r="W51"/>
      <c r="X51"/>
      <c r="Y51"/>
      <c r="Z51"/>
      <c r="AA51"/>
      <c r="AB51"/>
      <c r="AC51"/>
      <c r="AD51"/>
      <c r="AK51" s="1016"/>
      <c r="AL51" s="1020"/>
      <c r="AM51" s="1016"/>
      <c r="AN51" s="1016"/>
      <c r="AO51" s="1016"/>
      <c r="AP51" s="1016"/>
      <c r="AQ51" s="1016"/>
      <c r="AR51" s="1016"/>
      <c r="AS51" s="1016"/>
      <c r="AT51" s="1016"/>
      <c r="AU51" s="1016"/>
      <c r="AV51" s="1016"/>
      <c r="AW51" s="1021"/>
    </row>
    <row r="52" spans="1:49" s="1221" customFormat="1" ht="15.75" thickTop="1" x14ac:dyDescent="0.2">
      <c r="A52" s="533" t="str">
        <f t="shared" si="29"/>
        <v>Trikona Shodana Subtraction</v>
      </c>
      <c r="B52" s="1221" t="str">
        <f t="shared" ref="B52:B59" si="39">"TS"&amp;B17</f>
        <v>TSSaturn</v>
      </c>
      <c r="C52" s="105"/>
      <c r="D52" s="545">
        <f ca="1">D17-MIN(D17,H17,L17)</f>
        <v>2</v>
      </c>
      <c r="E52" s="546">
        <f ca="1">E17-MIN(E17,I17,M17)</f>
        <v>3</v>
      </c>
      <c r="F52" s="547">
        <f ca="1">F17-MIN(F17,J17,N17)</f>
        <v>1</v>
      </c>
      <c r="G52" s="548">
        <f ca="1">G17-MIN(G17,K17,O17)</f>
        <v>0</v>
      </c>
      <c r="H52" s="545">
        <f ca="1">H17-MIN(D17,H17,L17)</f>
        <v>0</v>
      </c>
      <c r="I52" s="546">
        <f ca="1">I17-MIN(E17,I17,M17)</f>
        <v>0</v>
      </c>
      <c r="J52" s="547">
        <f ca="1">J17-MIN(F17,J17,N17)</f>
        <v>4</v>
      </c>
      <c r="K52" s="548">
        <f ca="1">K17-MIN(G17,K17,O17)</f>
        <v>0</v>
      </c>
      <c r="L52" s="545">
        <f ca="1">L17-MIN(D17,H17,L17)</f>
        <v>0</v>
      </c>
      <c r="M52" s="546">
        <f ca="1">M17-MIN(E17,I17,M17)</f>
        <v>0</v>
      </c>
      <c r="N52" s="547">
        <f ca="1">N17-MIN(F17,J17,N17)</f>
        <v>0</v>
      </c>
      <c r="O52" s="548">
        <f ca="1">O17-MIN(G17,K17,O17)</f>
        <v>2</v>
      </c>
      <c r="P52" s="100"/>
      <c r="Q52"/>
      <c r="R52"/>
      <c r="S52"/>
      <c r="T52"/>
      <c r="U52"/>
      <c r="V52"/>
      <c r="W52"/>
      <c r="X52"/>
      <c r="Y52"/>
      <c r="Z52"/>
      <c r="AA52"/>
      <c r="AB52"/>
      <c r="AC52"/>
      <c r="AD52"/>
      <c r="AK52" s="1016"/>
      <c r="AL52" s="1020"/>
      <c r="AM52" s="1016"/>
      <c r="AN52" s="1016"/>
      <c r="AO52" s="1016"/>
      <c r="AP52" s="1016"/>
      <c r="AQ52" s="1016"/>
      <c r="AR52" s="1016"/>
      <c r="AS52" s="1016"/>
      <c r="AT52" s="1016"/>
      <c r="AU52" s="1016"/>
      <c r="AV52" s="1016"/>
      <c r="AW52" s="1021"/>
    </row>
    <row r="53" spans="1:49" s="1221" customFormat="1" x14ac:dyDescent="0.2">
      <c r="A53" s="533" t="str">
        <f t="shared" si="29"/>
        <v>Trikona Shodana Subtraction</v>
      </c>
      <c r="B53" s="1239" t="str">
        <f t="shared" si="39"/>
        <v>TSVenus</v>
      </c>
      <c r="C53" s="105"/>
      <c r="D53" s="545">
        <f t="shared" ref="D53:G53" ca="1" si="40">D18-MIN(D18,H18,L18)</f>
        <v>0</v>
      </c>
      <c r="E53" s="546">
        <f t="shared" ca="1" si="40"/>
        <v>0</v>
      </c>
      <c r="F53" s="547">
        <f t="shared" ca="1" si="40"/>
        <v>4</v>
      </c>
      <c r="G53" s="548">
        <f t="shared" ca="1" si="40"/>
        <v>1</v>
      </c>
      <c r="H53" s="545">
        <f t="shared" ref="H53:K53" ca="1" si="41">H18-MIN(D18,H18,L18)</f>
        <v>1</v>
      </c>
      <c r="I53" s="546">
        <f t="shared" ca="1" si="41"/>
        <v>4</v>
      </c>
      <c r="J53" s="547">
        <f t="shared" ca="1" si="41"/>
        <v>0</v>
      </c>
      <c r="K53" s="548">
        <f t="shared" ca="1" si="41"/>
        <v>0</v>
      </c>
      <c r="L53" s="545">
        <f t="shared" ref="L53:O53" ca="1" si="42">L18-MIN(D18,H18,L18)</f>
        <v>1</v>
      </c>
      <c r="M53" s="546">
        <f t="shared" ca="1" si="42"/>
        <v>0</v>
      </c>
      <c r="N53" s="547">
        <f t="shared" ca="1" si="42"/>
        <v>1</v>
      </c>
      <c r="O53" s="548">
        <f t="shared" ca="1" si="42"/>
        <v>4</v>
      </c>
      <c r="P53" s="100"/>
      <c r="Q53" s="100"/>
      <c r="R53"/>
      <c r="S53" s="1222"/>
      <c r="T53" s="1222"/>
      <c r="U53" s="1222"/>
      <c r="V53" s="1222"/>
      <c r="AK53" s="1016"/>
      <c r="AL53" s="1020"/>
      <c r="AM53" s="1016"/>
      <c r="AN53" s="1016"/>
      <c r="AO53" s="1016"/>
      <c r="AP53" s="1016"/>
      <c r="AQ53" s="1016"/>
      <c r="AR53" s="1016"/>
      <c r="AS53" s="1016"/>
      <c r="AT53" s="1016"/>
      <c r="AU53" s="1016"/>
      <c r="AV53" s="1016"/>
      <c r="AW53" s="1021"/>
    </row>
    <row r="54" spans="1:49" s="1221" customFormat="1" x14ac:dyDescent="0.2">
      <c r="A54" s="533" t="str">
        <f t="shared" si="29"/>
        <v>Trikona Shodana Subtraction</v>
      </c>
      <c r="B54" s="1239" t="str">
        <f t="shared" si="39"/>
        <v>TSJupiter</v>
      </c>
      <c r="C54" s="105"/>
      <c r="D54" s="545">
        <f t="shared" ref="D54:G54" ca="1" si="43">D19-MIN(D19,H19,L19)</f>
        <v>3</v>
      </c>
      <c r="E54" s="546">
        <f t="shared" ca="1" si="43"/>
        <v>0</v>
      </c>
      <c r="F54" s="547">
        <f t="shared" ca="1" si="43"/>
        <v>0</v>
      </c>
      <c r="G54" s="548">
        <f t="shared" ca="1" si="43"/>
        <v>1</v>
      </c>
      <c r="H54" s="545">
        <f t="shared" ref="H54:K54" ca="1" si="44">H19-MIN(D19,H19,L19)</f>
        <v>2</v>
      </c>
      <c r="I54" s="546">
        <f t="shared" ca="1" si="44"/>
        <v>1</v>
      </c>
      <c r="J54" s="547">
        <f t="shared" ca="1" si="44"/>
        <v>2</v>
      </c>
      <c r="K54" s="548">
        <f t="shared" ca="1" si="44"/>
        <v>2</v>
      </c>
      <c r="L54" s="545">
        <f t="shared" ref="L54:O54" ca="1" si="45">L19-MIN(D19,H19,L19)</f>
        <v>0</v>
      </c>
      <c r="M54" s="546">
        <f t="shared" ca="1" si="45"/>
        <v>1</v>
      </c>
      <c r="N54" s="547">
        <f t="shared" ca="1" si="45"/>
        <v>2</v>
      </c>
      <c r="O54" s="548">
        <f t="shared" ca="1" si="45"/>
        <v>0</v>
      </c>
      <c r="P54" s="100"/>
      <c r="Q54" s="100"/>
      <c r="R54"/>
      <c r="S54" s="1222"/>
      <c r="T54" s="1222"/>
      <c r="U54" s="1222"/>
      <c r="V54" s="1222"/>
      <c r="AK54" s="1016"/>
      <c r="AL54" s="1020"/>
      <c r="AM54" s="1016"/>
      <c r="AN54" s="1016"/>
      <c r="AO54" s="1016"/>
      <c r="AP54" s="1016"/>
      <c r="AQ54" s="1016"/>
      <c r="AR54" s="1016"/>
      <c r="AS54" s="1016"/>
      <c r="AT54" s="1016"/>
      <c r="AU54" s="1016"/>
      <c r="AV54" s="1016"/>
      <c r="AW54" s="1021"/>
    </row>
    <row r="55" spans="1:49" s="1221" customFormat="1" x14ac:dyDescent="0.2">
      <c r="A55" s="533" t="str">
        <f t="shared" si="29"/>
        <v>Trikona Shodana Subtraction</v>
      </c>
      <c r="B55" s="1239" t="str">
        <f t="shared" si="39"/>
        <v>TSMercury</v>
      </c>
      <c r="C55" s="105"/>
      <c r="D55" s="545">
        <f t="shared" ref="D55:G55" ca="1" si="46">D20-MIN(D20,H20,L20)</f>
        <v>0</v>
      </c>
      <c r="E55" s="546">
        <f t="shared" ca="1" si="46"/>
        <v>0</v>
      </c>
      <c r="F55" s="547">
        <f t="shared" ca="1" si="46"/>
        <v>3</v>
      </c>
      <c r="G55" s="548">
        <f t="shared" ca="1" si="46"/>
        <v>0</v>
      </c>
      <c r="H55" s="545">
        <f t="shared" ref="H55:K55" ca="1" si="47">H20-MIN(D20,H20,L20)</f>
        <v>1</v>
      </c>
      <c r="I55" s="546">
        <f t="shared" ca="1" si="47"/>
        <v>1</v>
      </c>
      <c r="J55" s="547">
        <f t="shared" ca="1" si="47"/>
        <v>0</v>
      </c>
      <c r="K55" s="548">
        <f t="shared" ca="1" si="47"/>
        <v>2</v>
      </c>
      <c r="L55" s="545">
        <f t="shared" ref="L55:O55" ca="1" si="48">L20-MIN(D20,H20,L20)</f>
        <v>0</v>
      </c>
      <c r="M55" s="546">
        <f t="shared" ca="1" si="48"/>
        <v>0</v>
      </c>
      <c r="N55" s="547">
        <f t="shared" ca="1" si="48"/>
        <v>0</v>
      </c>
      <c r="O55" s="548">
        <f t="shared" ca="1" si="48"/>
        <v>2</v>
      </c>
      <c r="P55" s="100"/>
      <c r="Q55" s="100"/>
      <c r="R55"/>
      <c r="S55" s="1222"/>
      <c r="T55" s="1222"/>
      <c r="U55" s="1222"/>
      <c r="V55" s="1222"/>
      <c r="AK55" s="1016"/>
      <c r="AL55" s="1020"/>
      <c r="AM55" s="1016"/>
      <c r="AN55" s="1016"/>
      <c r="AO55" s="1016"/>
      <c r="AP55" s="1016"/>
      <c r="AQ55" s="1016"/>
      <c r="AR55" s="1016"/>
      <c r="AS55" s="1016"/>
      <c r="AT55" s="1016"/>
      <c r="AU55" s="1016"/>
      <c r="AV55" s="1016"/>
      <c r="AW55" s="1021"/>
    </row>
    <row r="56" spans="1:49" s="1221" customFormat="1" x14ac:dyDescent="0.2">
      <c r="A56" s="533" t="str">
        <f t="shared" si="29"/>
        <v>Trikona Shodana Subtraction</v>
      </c>
      <c r="B56" s="1239" t="str">
        <f t="shared" si="39"/>
        <v>TSMars</v>
      </c>
      <c r="C56" s="105"/>
      <c r="D56" s="545">
        <f t="shared" ref="D56:G56" ca="1" si="49">D21-MIN(D21,H21,L21)</f>
        <v>1</v>
      </c>
      <c r="E56" s="546">
        <f t="shared" ca="1" si="49"/>
        <v>2</v>
      </c>
      <c r="F56" s="547">
        <f t="shared" ca="1" si="49"/>
        <v>0</v>
      </c>
      <c r="G56" s="548">
        <f t="shared" ca="1" si="49"/>
        <v>0</v>
      </c>
      <c r="H56" s="545">
        <f t="shared" ref="H56:K56" ca="1" si="50">H21-MIN(D21,H21,L21)</f>
        <v>1</v>
      </c>
      <c r="I56" s="546">
        <f t="shared" ca="1" si="50"/>
        <v>0</v>
      </c>
      <c r="J56" s="547">
        <f t="shared" ca="1" si="50"/>
        <v>3</v>
      </c>
      <c r="K56" s="548">
        <f t="shared" ca="1" si="50"/>
        <v>3</v>
      </c>
      <c r="L56" s="545">
        <f t="shared" ref="L56:O56" ca="1" si="51">L21-MIN(D21,H21,L21)</f>
        <v>0</v>
      </c>
      <c r="M56" s="546">
        <f t="shared" ca="1" si="51"/>
        <v>1</v>
      </c>
      <c r="N56" s="547">
        <f t="shared" ca="1" si="51"/>
        <v>1</v>
      </c>
      <c r="O56" s="548">
        <f t="shared" ca="1" si="51"/>
        <v>0</v>
      </c>
      <c r="P56" s="100"/>
      <c r="Q56" s="100"/>
      <c r="R56"/>
      <c r="S56" s="1222"/>
      <c r="T56" s="1222"/>
      <c r="U56" s="1222"/>
      <c r="V56" s="1222"/>
      <c r="AK56" s="1016"/>
      <c r="AL56" s="1020"/>
      <c r="AM56" s="1016"/>
      <c r="AN56" s="1016"/>
      <c r="AO56" s="1016"/>
      <c r="AP56" s="1016"/>
      <c r="AQ56" s="1016"/>
      <c r="AR56" s="1016"/>
      <c r="AS56" s="1016"/>
      <c r="AT56" s="1016"/>
      <c r="AU56" s="1016"/>
      <c r="AV56" s="1016"/>
      <c r="AW56" s="1021"/>
    </row>
    <row r="57" spans="1:49" s="1221" customFormat="1" x14ac:dyDescent="0.2">
      <c r="A57" s="533" t="str">
        <f t="shared" si="29"/>
        <v>Trikona Shodana Subtraction</v>
      </c>
      <c r="B57" s="1239" t="str">
        <f t="shared" si="39"/>
        <v>TSMoon</v>
      </c>
      <c r="C57" s="219"/>
      <c r="D57" s="545">
        <f t="shared" ref="D57:G57" ca="1" si="52">D22-MIN(D22,H22,L22)</f>
        <v>1</v>
      </c>
      <c r="E57" s="546">
        <f t="shared" ca="1" si="52"/>
        <v>2</v>
      </c>
      <c r="F57" s="547">
        <f t="shared" ca="1" si="52"/>
        <v>0</v>
      </c>
      <c r="G57" s="548">
        <f t="shared" ca="1" si="52"/>
        <v>0</v>
      </c>
      <c r="H57" s="545">
        <f t="shared" ref="H57:K57" ca="1" si="53">H22-MIN(D22,H22,L22)</f>
        <v>0</v>
      </c>
      <c r="I57" s="546">
        <f t="shared" ca="1" si="53"/>
        <v>1</v>
      </c>
      <c r="J57" s="547">
        <f t="shared" ca="1" si="53"/>
        <v>3</v>
      </c>
      <c r="K57" s="548">
        <f t="shared" ca="1" si="53"/>
        <v>1</v>
      </c>
      <c r="L57" s="545">
        <f t="shared" ref="L57:O57" ca="1" si="54">L22-MIN(D22,H22,L22)</f>
        <v>1</v>
      </c>
      <c r="M57" s="546">
        <f t="shared" ca="1" si="54"/>
        <v>0</v>
      </c>
      <c r="N57" s="547">
        <f t="shared" ca="1" si="54"/>
        <v>3</v>
      </c>
      <c r="O57" s="548">
        <f t="shared" ca="1" si="54"/>
        <v>1</v>
      </c>
      <c r="P57" s="100"/>
      <c r="Q57" s="100"/>
      <c r="R57"/>
      <c r="S57" s="1222"/>
      <c r="T57" s="1222"/>
      <c r="U57" s="1222"/>
      <c r="V57" s="1222"/>
      <c r="AK57" s="1016"/>
      <c r="AL57" s="1020"/>
      <c r="AM57" s="1016"/>
      <c r="AN57" s="1016"/>
      <c r="AO57" s="1016"/>
      <c r="AP57" s="1016"/>
      <c r="AQ57" s="1016"/>
      <c r="AR57" s="1016"/>
      <c r="AS57" s="1016"/>
      <c r="AT57" s="1016"/>
      <c r="AU57" s="1016"/>
      <c r="AV57" s="1016"/>
      <c r="AW57" s="1021"/>
    </row>
    <row r="58" spans="1:49" s="1221" customFormat="1" x14ac:dyDescent="0.2">
      <c r="A58" s="533" t="str">
        <f t="shared" si="29"/>
        <v>Trikona Shodana Subtraction</v>
      </c>
      <c r="B58" s="1239" t="str">
        <f t="shared" si="39"/>
        <v>TSSun</v>
      </c>
      <c r="C58" s="105"/>
      <c r="D58" s="545">
        <f t="shared" ref="D58:G58" ca="1" si="55">D23-MIN(D23,H23,L23)</f>
        <v>1</v>
      </c>
      <c r="E58" s="546">
        <f t="shared" ca="1" si="55"/>
        <v>2</v>
      </c>
      <c r="F58" s="547">
        <f t="shared" ca="1" si="55"/>
        <v>0</v>
      </c>
      <c r="G58" s="548">
        <f t="shared" ca="1" si="55"/>
        <v>0</v>
      </c>
      <c r="H58" s="545">
        <f t="shared" ref="H58:K58" ca="1" si="56">H23-MIN(D23,H23,L23)</f>
        <v>0</v>
      </c>
      <c r="I58" s="546">
        <f t="shared" ca="1" si="56"/>
        <v>0</v>
      </c>
      <c r="J58" s="547">
        <f t="shared" ca="1" si="56"/>
        <v>1</v>
      </c>
      <c r="K58" s="548">
        <f t="shared" ca="1" si="56"/>
        <v>0</v>
      </c>
      <c r="L58" s="545">
        <f t="shared" ref="L58:O58" ca="1" si="57">L23-MIN(D23,H23,L23)</f>
        <v>0</v>
      </c>
      <c r="M58" s="546">
        <f t="shared" ca="1" si="57"/>
        <v>1</v>
      </c>
      <c r="N58" s="547">
        <f t="shared" ca="1" si="57"/>
        <v>1</v>
      </c>
      <c r="O58" s="548">
        <f t="shared" ca="1" si="57"/>
        <v>0</v>
      </c>
      <c r="P58" s="100"/>
      <c r="Q58" s="100"/>
      <c r="R58"/>
      <c r="S58" s="1222"/>
      <c r="T58" s="1222"/>
      <c r="U58" s="1222"/>
      <c r="V58" s="1222"/>
      <c r="AK58" s="1016"/>
      <c r="AL58" s="1020"/>
      <c r="AM58" s="1016"/>
      <c r="AN58" s="1016"/>
      <c r="AO58" s="1016"/>
      <c r="AP58" s="1016"/>
      <c r="AQ58" s="1016"/>
      <c r="AR58" s="1016"/>
      <c r="AS58" s="1016"/>
      <c r="AT58" s="1016"/>
      <c r="AU58" s="1016"/>
      <c r="AV58" s="1016"/>
      <c r="AW58" s="1021"/>
    </row>
    <row r="59" spans="1:49" s="1221" customFormat="1" x14ac:dyDescent="0.2">
      <c r="A59" s="533" t="str">
        <f t="shared" si="29"/>
        <v>Trikona Shodana Subtraction</v>
      </c>
      <c r="B59" s="1239" t="str">
        <f t="shared" si="39"/>
        <v>TSLagna</v>
      </c>
      <c r="C59" s="105"/>
      <c r="D59" s="545">
        <f t="shared" ref="D59:G59" ca="1" si="58">D24-MIN(D24,H24,L24)</f>
        <v>1</v>
      </c>
      <c r="E59" s="546">
        <f t="shared" ca="1" si="58"/>
        <v>2</v>
      </c>
      <c r="F59" s="547">
        <f t="shared" ca="1" si="58"/>
        <v>0</v>
      </c>
      <c r="G59" s="548">
        <f t="shared" ca="1" si="58"/>
        <v>3</v>
      </c>
      <c r="H59" s="545">
        <f t="shared" ref="H59:K59" ca="1" si="59">H24-MIN(D24,H24,L24)</f>
        <v>1</v>
      </c>
      <c r="I59" s="546">
        <f t="shared" ca="1" si="59"/>
        <v>0</v>
      </c>
      <c r="J59" s="547">
        <f t="shared" ca="1" si="59"/>
        <v>3</v>
      </c>
      <c r="K59" s="548">
        <f t="shared" ca="1" si="59"/>
        <v>0</v>
      </c>
      <c r="L59" s="545">
        <f t="shared" ref="L59:O59" ca="1" si="60">L24-MIN(D24,H24,L24)</f>
        <v>0</v>
      </c>
      <c r="M59" s="546">
        <f t="shared" ca="1" si="60"/>
        <v>0</v>
      </c>
      <c r="N59" s="547">
        <f t="shared" ca="1" si="60"/>
        <v>1</v>
      </c>
      <c r="O59" s="548">
        <f t="shared" ca="1" si="60"/>
        <v>2</v>
      </c>
      <c r="P59" s="100"/>
      <c r="Q59" s="100"/>
      <c r="R59"/>
      <c r="S59" s="1222"/>
      <c r="T59" s="1222"/>
      <c r="U59" s="1222"/>
      <c r="V59" s="1222"/>
      <c r="AK59" s="1016"/>
      <c r="AL59" s="1020"/>
      <c r="AM59" s="1016"/>
      <c r="AN59" s="1016"/>
      <c r="AO59" s="1016"/>
      <c r="AP59" s="1016"/>
      <c r="AQ59" s="1016"/>
      <c r="AR59" s="1016"/>
      <c r="AS59" s="1016"/>
      <c r="AT59" s="1016"/>
      <c r="AU59" s="1016"/>
      <c r="AV59" s="1016"/>
      <c r="AW59" s="1021"/>
    </row>
    <row r="60" spans="1:49" s="1221" customFormat="1" x14ac:dyDescent="0.2">
      <c r="A60" s="533" t="str">
        <f t="shared" si="29"/>
        <v>Trikona Shodana Subtraction</v>
      </c>
      <c r="C60" s="105"/>
      <c r="D60" s="545"/>
      <c r="E60" s="546"/>
      <c r="F60" s="547"/>
      <c r="G60" s="548"/>
      <c r="H60" s="545"/>
      <c r="I60" s="546"/>
      <c r="J60" s="547"/>
      <c r="K60" s="548"/>
      <c r="L60" s="545"/>
      <c r="M60" s="546"/>
      <c r="N60" s="547"/>
      <c r="O60" s="548"/>
      <c r="P60" s="100"/>
      <c r="Q60" s="100"/>
      <c r="R60"/>
      <c r="S60" s="1222"/>
      <c r="T60" s="1222"/>
      <c r="U60" s="1222"/>
      <c r="V60" s="1222"/>
      <c r="AK60" s="1016"/>
      <c r="AL60" s="1020"/>
      <c r="AM60" s="1016"/>
      <c r="AN60" s="1016"/>
      <c r="AO60" s="1016"/>
      <c r="AP60" s="1016"/>
      <c r="AQ60" s="1016"/>
      <c r="AR60" s="1016"/>
      <c r="AS60" s="1016"/>
      <c r="AT60" s="1016"/>
      <c r="AU60" s="1016"/>
      <c r="AV60" s="1016"/>
      <c r="AW60" s="1021"/>
    </row>
    <row r="61" spans="1:49" s="1221" customFormat="1" ht="14.25" x14ac:dyDescent="0.2">
      <c r="A61" s="533" t="str">
        <f t="shared" si="29"/>
        <v>Trikona Shodana Subtraction</v>
      </c>
      <c r="C61" s="105"/>
      <c r="D61" s="545"/>
      <c r="E61" s="546"/>
      <c r="F61" s="547"/>
      <c r="G61" s="548"/>
      <c r="H61" s="545"/>
      <c r="I61" s="546"/>
      <c r="J61" s="547"/>
      <c r="K61" s="548"/>
      <c r="L61" s="545"/>
      <c r="M61" s="546"/>
      <c r="N61" s="547"/>
      <c r="O61" s="548"/>
      <c r="P61" s="100"/>
      <c r="Q61" s="100"/>
      <c r="S61" s="1222"/>
      <c r="T61" s="1222"/>
      <c r="U61" s="1222"/>
      <c r="V61" s="1222"/>
      <c r="AK61" s="1016"/>
      <c r="AL61" s="1020"/>
      <c r="AM61" s="1016"/>
      <c r="AN61" s="1016"/>
      <c r="AO61" s="1016"/>
      <c r="AP61" s="1016"/>
      <c r="AQ61" s="1016"/>
      <c r="AR61" s="1016"/>
      <c r="AS61" s="1016"/>
      <c r="AT61" s="1016"/>
      <c r="AU61" s="1016"/>
      <c r="AV61" s="1016"/>
      <c r="AW61" s="1021"/>
    </row>
    <row r="62" spans="1:49" s="1221" customFormat="1" ht="18.75" thickBot="1" x14ac:dyDescent="0.3">
      <c r="A62" s="533" t="str">
        <f>B62</f>
        <v>Trikona Shodana Minimum</v>
      </c>
      <c r="B62" s="1545" t="s">
        <v>4292</v>
      </c>
      <c r="C62" s="1545"/>
      <c r="D62" s="1547"/>
      <c r="E62" s="1547"/>
      <c r="F62" s="1547"/>
      <c r="G62" s="1547"/>
      <c r="H62" s="1547"/>
      <c r="I62" s="1547"/>
      <c r="J62" s="1547"/>
      <c r="K62" s="1547"/>
      <c r="L62" s="1547"/>
      <c r="M62" s="1547"/>
      <c r="N62" s="1547"/>
      <c r="O62" s="1547"/>
      <c r="P62" s="100"/>
      <c r="Q62" s="100"/>
      <c r="S62" s="1222"/>
      <c r="T62" s="1222"/>
      <c r="U62" s="1222"/>
      <c r="V62" s="1222"/>
      <c r="AK62" s="1016"/>
      <c r="AL62" s="1020"/>
      <c r="AM62" s="1016"/>
      <c r="AN62" s="1016"/>
      <c r="AO62" s="1016"/>
      <c r="AP62" s="1016"/>
      <c r="AQ62" s="1016"/>
      <c r="AR62" s="1016"/>
      <c r="AS62" s="1016"/>
      <c r="AT62" s="1016"/>
      <c r="AU62" s="1016"/>
      <c r="AV62" s="1016"/>
      <c r="AW62" s="1021"/>
    </row>
    <row r="63" spans="1:49" s="1221" customFormat="1" ht="15.75" thickTop="1" x14ac:dyDescent="0.2">
      <c r="A63" s="533" t="str">
        <f t="shared" si="29"/>
        <v>Trikona Shodana Minimum</v>
      </c>
      <c r="B63" s="1221" t="str">
        <f t="shared" ref="B63:B70" si="61">"TS"&amp;B17</f>
        <v>TSSaturn</v>
      </c>
      <c r="C63" s="105">
        <f t="shared" ref="C63:C70" ca="1" si="62">C17</f>
        <v>2</v>
      </c>
      <c r="D63" s="1231">
        <f t="shared" ref="D63:D70" ca="1" si="63">IF(MIN(D17,H17,L17),IF(AND(D17=H17,H17=L17),0,MIN(D17,H17,L17)),D17)</f>
        <v>2</v>
      </c>
      <c r="E63" s="1232">
        <f t="shared" ref="E63:G63" ca="1" si="64">IF(MIN(E17,I17,M17),IF(AND(E17=I17,I17=M17),0,MIN(E17,I17,M17)),E17)</f>
        <v>2</v>
      </c>
      <c r="F63" s="1233">
        <f t="shared" ca="1" si="64"/>
        <v>2</v>
      </c>
      <c r="G63" s="1234">
        <f t="shared" ca="1" si="64"/>
        <v>3</v>
      </c>
      <c r="H63" s="1231">
        <f t="shared" ref="H63:H70" ca="1" si="65">IF(MIN(D17,H17,L17),IF(AND(D17=H17,H17=L17),0,MIN(D17,H17,L17)),H17)</f>
        <v>2</v>
      </c>
      <c r="I63" s="1232">
        <f t="shared" ref="I63:K63" ca="1" si="66">IF(MIN(E17,I17,M17),IF(AND(E17=I17,I17=M17),0,MIN(E17,I17,M17)),I17)</f>
        <v>2</v>
      </c>
      <c r="J63" s="1233">
        <f t="shared" ca="1" si="66"/>
        <v>2</v>
      </c>
      <c r="K63" s="1234">
        <f t="shared" ca="1" si="66"/>
        <v>3</v>
      </c>
      <c r="L63" s="1231">
        <f t="shared" ref="L63:L70" ca="1" si="67">IF(MIN(D17,H17,L17),IF(AND(D17=H17,H17=L17),0,MIN(D17,H17,L17)),L17)</f>
        <v>2</v>
      </c>
      <c r="M63" s="1232">
        <f t="shared" ref="M63:O63" ca="1" si="68">IF(MIN(E17,I17,M17),IF(AND(E17=I17,I17=M17),0,MIN(E17,I17,M17)),M17)</f>
        <v>2</v>
      </c>
      <c r="N63" s="1233">
        <f t="shared" ca="1" si="68"/>
        <v>2</v>
      </c>
      <c r="O63" s="1234">
        <f t="shared" ca="1" si="68"/>
        <v>3</v>
      </c>
      <c r="P63" s="100"/>
      <c r="Q63" s="100"/>
      <c r="R63"/>
      <c r="S63" s="1222"/>
      <c r="T63" s="1222"/>
      <c r="U63" s="1222"/>
      <c r="V63" s="1222"/>
      <c r="AK63" s="1016"/>
      <c r="AL63" s="1020"/>
      <c r="AM63" s="1016"/>
      <c r="AN63" s="1016"/>
      <c r="AO63" s="1016"/>
      <c r="AP63" s="1016"/>
      <c r="AQ63" s="1016"/>
      <c r="AR63" s="1016"/>
      <c r="AS63" s="1016"/>
      <c r="AT63" s="1016"/>
      <c r="AU63" s="1016"/>
      <c r="AV63" s="1016"/>
      <c r="AW63" s="1021"/>
    </row>
    <row r="64" spans="1:49" s="1221" customFormat="1" x14ac:dyDescent="0.2">
      <c r="A64" s="533" t="str">
        <f t="shared" si="29"/>
        <v>Trikona Shodana Minimum</v>
      </c>
      <c r="B64" s="1221" t="str">
        <f t="shared" si="61"/>
        <v>TSVenus</v>
      </c>
      <c r="C64" s="105">
        <f t="shared" ca="1" si="62"/>
        <v>3</v>
      </c>
      <c r="D64" s="1231">
        <f t="shared" ca="1" si="63"/>
        <v>4</v>
      </c>
      <c r="E64" s="1232">
        <f t="shared" ref="E64:G70" ca="1" si="69">IF(MIN(E18,I18,M18),IF(AND(E18=I18,I18=M18),0,MIN(E18,I18,M18)),E18)</f>
        <v>3</v>
      </c>
      <c r="F64" s="1233">
        <f t="shared" ca="1" si="69"/>
        <v>2</v>
      </c>
      <c r="G64" s="1234">
        <f t="shared" ca="1" si="69"/>
        <v>3</v>
      </c>
      <c r="H64" s="1231">
        <f t="shared" ca="1" si="65"/>
        <v>4</v>
      </c>
      <c r="I64" s="1232">
        <f t="shared" ref="I64:K70" ca="1" si="70">IF(MIN(E18,I18,M18),IF(AND(E18=I18,I18=M18),0,MIN(E18,I18,M18)),I18)</f>
        <v>3</v>
      </c>
      <c r="J64" s="1233">
        <f t="shared" ca="1" si="70"/>
        <v>2</v>
      </c>
      <c r="K64" s="1234">
        <f t="shared" ca="1" si="70"/>
        <v>3</v>
      </c>
      <c r="L64" s="1231">
        <f t="shared" ca="1" si="67"/>
        <v>4</v>
      </c>
      <c r="M64" s="1232">
        <f t="shared" ref="M64:O70" ca="1" si="71">IF(MIN(E18,I18,M18),IF(AND(E18=I18,I18=M18),0,MIN(E18,I18,M18)),M18)</f>
        <v>3</v>
      </c>
      <c r="N64" s="1233">
        <f t="shared" ca="1" si="71"/>
        <v>2</v>
      </c>
      <c r="O64" s="1234">
        <f t="shared" ca="1" si="71"/>
        <v>3</v>
      </c>
      <c r="P64" s="100"/>
      <c r="Q64" s="100"/>
      <c r="R64"/>
      <c r="S64" s="1222"/>
      <c r="T64" s="1222"/>
      <c r="U64" s="1222"/>
      <c r="V64" s="1222"/>
      <c r="AK64" s="1016"/>
      <c r="AL64" s="1020"/>
      <c r="AM64" s="1016"/>
      <c r="AN64" s="1016"/>
      <c r="AO64" s="1016"/>
      <c r="AP64" s="1016"/>
      <c r="AQ64" s="1016"/>
      <c r="AR64" s="1016"/>
      <c r="AS64" s="1016"/>
      <c r="AT64" s="1016"/>
      <c r="AU64" s="1016"/>
      <c r="AV64" s="1016"/>
      <c r="AW64" s="1021"/>
    </row>
    <row r="65" spans="1:49" s="1221" customFormat="1" x14ac:dyDescent="0.2">
      <c r="A65" s="533" t="str">
        <f t="shared" si="29"/>
        <v>Trikona Shodana Minimum</v>
      </c>
      <c r="B65" s="1221" t="str">
        <f t="shared" si="61"/>
        <v>TSJupiter</v>
      </c>
      <c r="C65" s="105">
        <f t="shared" ca="1" si="62"/>
        <v>8</v>
      </c>
      <c r="D65" s="1231">
        <f t="shared" ca="1" si="63"/>
        <v>3</v>
      </c>
      <c r="E65" s="1232">
        <f t="shared" ca="1" si="69"/>
        <v>4</v>
      </c>
      <c r="F65" s="1233">
        <f t="shared" ca="1" si="69"/>
        <v>3</v>
      </c>
      <c r="G65" s="1234">
        <f t="shared" ca="1" si="69"/>
        <v>4</v>
      </c>
      <c r="H65" s="1231">
        <f t="shared" ca="1" si="65"/>
        <v>3</v>
      </c>
      <c r="I65" s="1232">
        <f t="shared" ca="1" si="70"/>
        <v>4</v>
      </c>
      <c r="J65" s="1233">
        <f t="shared" ca="1" si="70"/>
        <v>3</v>
      </c>
      <c r="K65" s="1234">
        <f t="shared" ca="1" si="70"/>
        <v>4</v>
      </c>
      <c r="L65" s="1231">
        <f t="shared" ca="1" si="67"/>
        <v>3</v>
      </c>
      <c r="M65" s="1232">
        <f t="shared" ca="1" si="71"/>
        <v>4</v>
      </c>
      <c r="N65" s="1233">
        <f t="shared" ca="1" si="71"/>
        <v>3</v>
      </c>
      <c r="O65" s="1234">
        <f t="shared" ca="1" si="71"/>
        <v>4</v>
      </c>
      <c r="P65" s="100"/>
      <c r="Q65" s="100"/>
      <c r="R65"/>
      <c r="S65" s="1222"/>
      <c r="T65" s="1222"/>
      <c r="U65" s="1222"/>
      <c r="V65" s="1222"/>
      <c r="AK65" s="1016"/>
      <c r="AL65" s="1020"/>
      <c r="AM65" s="1016"/>
      <c r="AN65" s="1016"/>
      <c r="AO65" s="1016"/>
      <c r="AP65" s="1016"/>
      <c r="AQ65" s="1016"/>
      <c r="AR65" s="1016"/>
      <c r="AS65" s="1016"/>
      <c r="AT65" s="1016"/>
      <c r="AU65" s="1016"/>
      <c r="AV65" s="1016"/>
      <c r="AW65" s="1021"/>
    </row>
    <row r="66" spans="1:49" s="1221" customFormat="1" x14ac:dyDescent="0.2">
      <c r="A66" s="533" t="str">
        <f t="shared" si="29"/>
        <v>Trikona Shodana Minimum</v>
      </c>
      <c r="B66" s="1221" t="str">
        <f t="shared" si="61"/>
        <v>TSMercury</v>
      </c>
      <c r="C66" s="105">
        <f t="shared" ca="1" si="62"/>
        <v>4</v>
      </c>
      <c r="D66" s="1231">
        <f t="shared" ca="1" si="63"/>
        <v>4</v>
      </c>
      <c r="E66" s="1232">
        <f t="shared" ca="1" si="69"/>
        <v>4</v>
      </c>
      <c r="F66" s="1233">
        <f t="shared" ca="1" si="69"/>
        <v>4</v>
      </c>
      <c r="G66" s="1234">
        <f t="shared" ca="1" si="69"/>
        <v>3</v>
      </c>
      <c r="H66" s="1231">
        <f t="shared" ca="1" si="65"/>
        <v>4</v>
      </c>
      <c r="I66" s="1232">
        <f t="shared" ca="1" si="70"/>
        <v>4</v>
      </c>
      <c r="J66" s="1233">
        <f t="shared" ca="1" si="70"/>
        <v>4</v>
      </c>
      <c r="K66" s="1234">
        <f t="shared" ca="1" si="70"/>
        <v>3</v>
      </c>
      <c r="L66" s="1231">
        <f t="shared" ca="1" si="67"/>
        <v>4</v>
      </c>
      <c r="M66" s="1232">
        <f t="shared" ca="1" si="71"/>
        <v>4</v>
      </c>
      <c r="N66" s="1233">
        <f t="shared" ca="1" si="71"/>
        <v>4</v>
      </c>
      <c r="O66" s="1234">
        <f t="shared" ca="1" si="71"/>
        <v>3</v>
      </c>
      <c r="P66" s="100"/>
      <c r="Q66" s="100"/>
      <c r="R66"/>
      <c r="S66" s="1222"/>
      <c r="T66" s="1222"/>
      <c r="U66" s="1222"/>
      <c r="V66" s="1222"/>
      <c r="AK66" s="1016"/>
      <c r="AL66" s="1020"/>
      <c r="AM66" s="1016"/>
      <c r="AN66" s="1016"/>
      <c r="AO66" s="1016"/>
      <c r="AP66" s="1016"/>
      <c r="AQ66" s="1016"/>
      <c r="AR66" s="1016"/>
      <c r="AS66" s="1016"/>
      <c r="AT66" s="1016"/>
      <c r="AU66" s="1016"/>
      <c r="AV66" s="1016"/>
      <c r="AW66" s="1021"/>
    </row>
    <row r="67" spans="1:49" s="1221" customFormat="1" x14ac:dyDescent="0.2">
      <c r="A67" s="533" t="str">
        <f t="shared" si="29"/>
        <v>Trikona Shodana Minimum</v>
      </c>
      <c r="B67" s="1221" t="str">
        <f t="shared" si="61"/>
        <v>TSMars</v>
      </c>
      <c r="C67" s="105">
        <f t="shared" ca="1" si="62"/>
        <v>10</v>
      </c>
      <c r="D67" s="1231">
        <f t="shared" ca="1" si="63"/>
        <v>3</v>
      </c>
      <c r="E67" s="1232">
        <f t="shared" ca="1" si="69"/>
        <v>3</v>
      </c>
      <c r="F67" s="1233">
        <f t="shared" ca="1" si="69"/>
        <v>1</v>
      </c>
      <c r="G67" s="1234">
        <f t="shared" ca="1" si="69"/>
        <v>2</v>
      </c>
      <c r="H67" s="1231">
        <f t="shared" ca="1" si="65"/>
        <v>3</v>
      </c>
      <c r="I67" s="1232">
        <f t="shared" ca="1" si="70"/>
        <v>3</v>
      </c>
      <c r="J67" s="1233">
        <f t="shared" ca="1" si="70"/>
        <v>1</v>
      </c>
      <c r="K67" s="1234">
        <f t="shared" ca="1" si="70"/>
        <v>2</v>
      </c>
      <c r="L67" s="1231">
        <f t="shared" ca="1" si="67"/>
        <v>3</v>
      </c>
      <c r="M67" s="1232">
        <f t="shared" ca="1" si="71"/>
        <v>3</v>
      </c>
      <c r="N67" s="1233">
        <f t="shared" ca="1" si="71"/>
        <v>1</v>
      </c>
      <c r="O67" s="1234">
        <f t="shared" ca="1" si="71"/>
        <v>2</v>
      </c>
      <c r="P67" s="100"/>
      <c r="Q67" s="100"/>
      <c r="R67"/>
      <c r="S67" s="1222"/>
      <c r="T67" s="1222"/>
      <c r="U67" s="1222"/>
      <c r="V67" s="1222"/>
      <c r="AK67" s="1016"/>
      <c r="AL67" s="1020"/>
      <c r="AM67" s="1016"/>
      <c r="AN67" s="1016"/>
      <c r="AO67" s="1016"/>
      <c r="AP67" s="1016"/>
      <c r="AQ67" s="1016"/>
      <c r="AR67" s="1016"/>
      <c r="AS67" s="1016"/>
      <c r="AT67" s="1016"/>
      <c r="AU67" s="1016"/>
      <c r="AV67" s="1016"/>
      <c r="AW67" s="1021"/>
    </row>
    <row r="68" spans="1:49" s="1221" customFormat="1" x14ac:dyDescent="0.2">
      <c r="A68" s="533" t="str">
        <f t="shared" si="29"/>
        <v>Trikona Shodana Minimum</v>
      </c>
      <c r="B68" s="1221" t="str">
        <f t="shared" si="61"/>
        <v>TSMoon</v>
      </c>
      <c r="C68" s="105">
        <f t="shared" ca="1" si="62"/>
        <v>2</v>
      </c>
      <c r="D68" s="1231">
        <f t="shared" ca="1" si="63"/>
        <v>2</v>
      </c>
      <c r="E68" s="1232">
        <f t="shared" ca="1" si="69"/>
        <v>4</v>
      </c>
      <c r="F68" s="1233">
        <f t="shared" ca="1" si="69"/>
        <v>3</v>
      </c>
      <c r="G68" s="1234">
        <f t="shared" ca="1" si="69"/>
        <v>3</v>
      </c>
      <c r="H68" s="1231">
        <f t="shared" ca="1" si="65"/>
        <v>2</v>
      </c>
      <c r="I68" s="1232">
        <f t="shared" ca="1" si="70"/>
        <v>4</v>
      </c>
      <c r="J68" s="1233">
        <f t="shared" ca="1" si="70"/>
        <v>3</v>
      </c>
      <c r="K68" s="1234">
        <f t="shared" ca="1" si="70"/>
        <v>3</v>
      </c>
      <c r="L68" s="1231">
        <f t="shared" ca="1" si="67"/>
        <v>2</v>
      </c>
      <c r="M68" s="1232">
        <f t="shared" ca="1" si="71"/>
        <v>4</v>
      </c>
      <c r="N68" s="1233">
        <f t="shared" ca="1" si="71"/>
        <v>3</v>
      </c>
      <c r="O68" s="1234">
        <f t="shared" ca="1" si="71"/>
        <v>3</v>
      </c>
      <c r="P68" s="100"/>
      <c r="Q68" s="100"/>
      <c r="R68"/>
      <c r="S68" s="1222"/>
      <c r="T68" s="1222"/>
      <c r="U68" s="1222"/>
      <c r="V68" s="1222"/>
      <c r="AK68" s="1016"/>
      <c r="AL68" s="1020"/>
      <c r="AM68" s="1016"/>
      <c r="AN68" s="1016"/>
      <c r="AO68" s="1016"/>
      <c r="AP68" s="1016"/>
      <c r="AQ68" s="1016"/>
      <c r="AR68" s="1016"/>
      <c r="AS68" s="1016"/>
      <c r="AT68" s="1016"/>
      <c r="AU68" s="1016"/>
      <c r="AV68" s="1016"/>
      <c r="AW68" s="1021"/>
    </row>
    <row r="69" spans="1:49" s="1221" customFormat="1" x14ac:dyDescent="0.2">
      <c r="A69" s="533" t="str">
        <f t="shared" si="29"/>
        <v>Trikona Shodana Minimum</v>
      </c>
      <c r="B69" s="1221" t="str">
        <f t="shared" si="61"/>
        <v>TSSun</v>
      </c>
      <c r="C69" s="105">
        <f t="shared" ca="1" si="62"/>
        <v>4</v>
      </c>
      <c r="D69" s="1231">
        <f t="shared" ca="1" si="63"/>
        <v>3</v>
      </c>
      <c r="E69" s="1232">
        <f t="shared" ca="1" si="69"/>
        <v>3</v>
      </c>
      <c r="F69" s="1233">
        <f t="shared" ca="1" si="69"/>
        <v>3</v>
      </c>
      <c r="G69" s="1234">
        <f t="shared" ca="1" si="69"/>
        <v>0</v>
      </c>
      <c r="H69" s="1231">
        <f t="shared" ca="1" si="65"/>
        <v>3</v>
      </c>
      <c r="I69" s="1232">
        <f t="shared" ca="1" si="70"/>
        <v>3</v>
      </c>
      <c r="J69" s="1233">
        <f t="shared" ca="1" si="70"/>
        <v>3</v>
      </c>
      <c r="K69" s="1234">
        <f t="shared" ca="1" si="70"/>
        <v>0</v>
      </c>
      <c r="L69" s="1231">
        <f t="shared" ca="1" si="67"/>
        <v>3</v>
      </c>
      <c r="M69" s="1232">
        <f t="shared" ca="1" si="71"/>
        <v>3</v>
      </c>
      <c r="N69" s="1233">
        <f t="shared" ca="1" si="71"/>
        <v>3</v>
      </c>
      <c r="O69" s="1234">
        <f t="shared" ca="1" si="71"/>
        <v>0</v>
      </c>
      <c r="P69" s="100"/>
      <c r="Q69" s="100"/>
      <c r="R69"/>
      <c r="S69" s="1222"/>
      <c r="T69" s="1222"/>
      <c r="U69" s="1222"/>
      <c r="V69" s="1222"/>
      <c r="AK69" s="1016"/>
      <c r="AL69" s="1020"/>
      <c r="AM69" s="1016"/>
      <c r="AN69" s="1016"/>
      <c r="AO69" s="1016"/>
      <c r="AP69" s="1016"/>
      <c r="AQ69" s="1016"/>
      <c r="AR69" s="1016"/>
      <c r="AS69" s="1016"/>
      <c r="AT69" s="1016"/>
      <c r="AU69" s="1016"/>
      <c r="AV69" s="1016"/>
      <c r="AW69" s="1021"/>
    </row>
    <row r="70" spans="1:49" s="1221" customFormat="1" x14ac:dyDescent="0.2">
      <c r="A70" s="533" t="str">
        <f t="shared" si="29"/>
        <v>Trikona Shodana Minimum</v>
      </c>
      <c r="B70" s="1221" t="str">
        <f t="shared" si="61"/>
        <v>TSLagna</v>
      </c>
      <c r="C70" s="105">
        <f t="shared" ca="1" si="62"/>
        <v>5</v>
      </c>
      <c r="D70" s="1231">
        <f t="shared" ca="1" si="63"/>
        <v>3</v>
      </c>
      <c r="E70" s="1232">
        <f t="shared" ca="1" si="69"/>
        <v>3</v>
      </c>
      <c r="F70" s="1233">
        <f t="shared" ca="1" si="69"/>
        <v>4</v>
      </c>
      <c r="G70" s="1234">
        <f t="shared" ca="1" si="69"/>
        <v>2</v>
      </c>
      <c r="H70" s="1231">
        <f t="shared" ca="1" si="65"/>
        <v>3</v>
      </c>
      <c r="I70" s="1232">
        <f t="shared" ca="1" si="70"/>
        <v>3</v>
      </c>
      <c r="J70" s="1233">
        <f t="shared" ca="1" si="70"/>
        <v>4</v>
      </c>
      <c r="K70" s="1234">
        <f t="shared" ca="1" si="70"/>
        <v>2</v>
      </c>
      <c r="L70" s="1231">
        <f t="shared" ca="1" si="67"/>
        <v>3</v>
      </c>
      <c r="M70" s="1232">
        <f t="shared" ca="1" si="71"/>
        <v>3</v>
      </c>
      <c r="N70" s="1233">
        <f t="shared" ca="1" si="71"/>
        <v>4</v>
      </c>
      <c r="O70" s="1234">
        <f t="shared" ca="1" si="71"/>
        <v>2</v>
      </c>
      <c r="P70" s="100"/>
      <c r="Q70" s="100"/>
      <c r="R70"/>
      <c r="S70" s="1222"/>
      <c r="T70" s="1222"/>
      <c r="U70" s="1222"/>
      <c r="V70" s="1222"/>
      <c r="AK70" s="1016"/>
      <c r="AL70" s="1020"/>
      <c r="AM70" s="1016"/>
      <c r="AN70" s="1016"/>
      <c r="AO70" s="1016"/>
      <c r="AP70" s="1016"/>
      <c r="AQ70" s="1016"/>
      <c r="AR70" s="1016"/>
      <c r="AS70" s="1016"/>
      <c r="AT70" s="1016"/>
      <c r="AU70" s="1016"/>
      <c r="AV70" s="1016"/>
      <c r="AW70" s="1021"/>
    </row>
    <row r="71" spans="1:49" s="1221" customFormat="1" x14ac:dyDescent="0.2">
      <c r="A71" s="533" t="str">
        <f t="shared" si="29"/>
        <v>Trikona Shodana Minimum</v>
      </c>
      <c r="C71" s="105"/>
      <c r="D71" s="1231"/>
      <c r="E71" s="1232"/>
      <c r="F71" s="1233"/>
      <c r="G71" s="1234"/>
      <c r="H71" s="1231"/>
      <c r="I71" s="1232"/>
      <c r="J71" s="1233"/>
      <c r="K71" s="1234"/>
      <c r="L71" s="1231"/>
      <c r="M71" s="1232"/>
      <c r="N71" s="1233"/>
      <c r="O71" s="1234"/>
      <c r="P71" s="100"/>
      <c r="Q71" s="100"/>
      <c r="R71"/>
      <c r="S71" s="1222"/>
      <c r="T71" s="1222"/>
      <c r="U71" s="1222"/>
      <c r="V71" s="1222"/>
      <c r="AK71" s="1016"/>
      <c r="AL71" s="1020"/>
      <c r="AM71" s="1016"/>
      <c r="AN71" s="1016"/>
      <c r="AO71" s="1016"/>
      <c r="AP71" s="1016"/>
      <c r="AQ71" s="1016"/>
      <c r="AR71" s="1016"/>
      <c r="AS71" s="1016"/>
      <c r="AT71" s="1016"/>
      <c r="AU71" s="1016"/>
      <c r="AV71" s="1016"/>
      <c r="AW71" s="1021"/>
    </row>
    <row r="72" spans="1:49" s="1221" customFormat="1" thickBot="1" x14ac:dyDescent="0.25">
      <c r="A72" s="533" t="str">
        <f t="shared" si="29"/>
        <v>Trikona Shodana Minimum</v>
      </c>
      <c r="C72" s="105"/>
      <c r="D72" s="1235"/>
      <c r="E72" s="1236"/>
      <c r="F72" s="1237"/>
      <c r="G72" s="1238"/>
      <c r="H72" s="1235"/>
      <c r="I72" s="1236"/>
      <c r="J72" s="1237"/>
      <c r="K72" s="1238"/>
      <c r="L72" s="1235"/>
      <c r="M72" s="1236"/>
      <c r="N72" s="1237"/>
      <c r="O72" s="1238"/>
      <c r="P72" s="100"/>
      <c r="Q72" s="100"/>
      <c r="S72" s="1222"/>
      <c r="T72" s="1222"/>
      <c r="U72" s="1222"/>
      <c r="V72" s="1222"/>
      <c r="AK72" s="1016"/>
      <c r="AL72" s="1020"/>
      <c r="AM72" s="1016"/>
      <c r="AN72" s="1016"/>
      <c r="AO72" s="1016"/>
      <c r="AP72" s="1016"/>
      <c r="AQ72" s="1016"/>
      <c r="AR72" s="1016"/>
      <c r="AS72" s="1016"/>
      <c r="AT72" s="1016"/>
      <c r="AU72" s="1016"/>
      <c r="AV72" s="1016"/>
      <c r="AW72" s="1021"/>
    </row>
    <row r="73" spans="1:49" ht="18.75" thickBot="1" x14ac:dyDescent="0.3">
      <c r="A73" s="533" t="str">
        <f>B73</f>
        <v>Ekadipatya Shodhana</v>
      </c>
      <c r="B73" s="1545" t="s">
        <v>1447</v>
      </c>
      <c r="C73" s="1545"/>
      <c r="D73" s="1547"/>
      <c r="E73" s="1547"/>
      <c r="F73" s="1547"/>
      <c r="G73" s="1547"/>
      <c r="H73" s="1547"/>
      <c r="I73" s="1547"/>
      <c r="J73" s="1547"/>
      <c r="K73" s="1547"/>
      <c r="L73" s="1547"/>
      <c r="M73" s="1547"/>
      <c r="N73" s="1547"/>
      <c r="O73" s="1547"/>
      <c r="R73" s="1239"/>
      <c r="S73" s="538"/>
      <c r="T73" s="538"/>
      <c r="U73" s="538"/>
      <c r="V73" s="538"/>
    </row>
    <row r="74" spans="1:49" ht="15.75" thickTop="1" x14ac:dyDescent="0.2">
      <c r="A74" s="533" t="str">
        <f t="shared" ref="A74:A84" si="72">A73</f>
        <v>Ekadipatya Shodhana</v>
      </c>
      <c r="B74" s="527" t="str">
        <f t="shared" ref="B74:B83" si="73">"ES"&amp;B17</f>
        <v>ESSaturn</v>
      </c>
      <c r="C74" s="219"/>
      <c r="D74" s="1017">
        <f ca="1">IF(OR(D$27,NOT(D41*K41)), D41,IF(OR(AND(K$27,D41&lt;=K41),D41=K41), 0,  MIN(D41,K41)))</f>
        <v>2</v>
      </c>
      <c r="E74" s="1018">
        <f ca="1">IF(OR(E$27,NOT(E41*J41)), E41,IF(OR(AND(J$27,E41&lt;=J41),E41=J41), 0,  MIN(E41,J41)))</f>
        <v>3</v>
      </c>
      <c r="F74" s="1018">
        <f ca="1">IF(OR(F$27,NOT(F41*I41)), F41,IF(OR(AND(I$27,F41&lt;=I41),F41=I41), 0,  MIN(F41,I41)))</f>
        <v>1</v>
      </c>
      <c r="G74" s="1019">
        <f ca="1">G41</f>
        <v>0</v>
      </c>
      <c r="H74" s="1017">
        <f ca="1">H41</f>
        <v>0</v>
      </c>
      <c r="I74" s="1018">
        <f ca="1">IF(OR(I$27,NOT(I41*F41)), I41,IF(OR(AND(F$27,I41&lt;=F41),I41=F41), 0,  MIN(I41,F41)))</f>
        <v>0</v>
      </c>
      <c r="J74" s="1018">
        <f ca="1">IF(OR(J$27,NOT(J41*E41)), J41,IF(OR(AND(E$27,J41&lt;=E41),J41=E41), 0,  MIN(J41,E41)))</f>
        <v>3</v>
      </c>
      <c r="K74" s="1019">
        <f ca="1">IF(OR(K$27,NOT(K41*D41)), K41,IF(OR(AND(D$27,K41&lt;=D41),K41=D41), 0,  MIN(K41,D41)))</f>
        <v>0</v>
      </c>
      <c r="L74" s="1017">
        <f ca="1">IF(OR(L$27,NOT(L41*O41)), L41,IF(OR(AND(O$27,L41&lt;=O41),L41=O41), 0,  MIN(L41,O41)))</f>
        <v>0</v>
      </c>
      <c r="M74" s="1018">
        <f ca="1">IF(OR(M$27,NOT(M41*N41)), M41,IF(OR(AND(N$27,M41&lt;=N41),M41=N41), 0,  MIN(M41,N41)))</f>
        <v>0</v>
      </c>
      <c r="N74" s="1018">
        <f ca="1">IF(OR(N$27,NOT(N41*M41)), N41,IF(OR(AND(M$27,N41&lt;=M41),N41=M41), 0,  MIN(N41,M41)))</f>
        <v>0</v>
      </c>
      <c r="O74" s="1019">
        <f ca="1">IF(OR(O$27,NOT(O41*L41)), O41,IF(OR(AND(L$27,O41&lt;=L41),O41=L41), 0,  MIN(O41,L41)))</f>
        <v>2</v>
      </c>
      <c r="R74"/>
      <c r="S74" s="538"/>
      <c r="T74" s="538"/>
      <c r="U74" s="538"/>
      <c r="V74" s="538"/>
    </row>
    <row r="75" spans="1:49" x14ac:dyDescent="0.2">
      <c r="A75" s="533" t="str">
        <f t="shared" si="72"/>
        <v>Ekadipatya Shodhana</v>
      </c>
      <c r="B75" s="527" t="str">
        <f t="shared" si="73"/>
        <v>ESVenus</v>
      </c>
      <c r="C75" s="219"/>
      <c r="D75" s="1020">
        <f t="shared" ref="D75:D84" ca="1" si="74">IF(OR(D$27,NOT(D42*K42)), D42,IF(OR(AND(K$27,D42&lt;=K42),D42=K42), 0,  MIN(D42,K42)))</f>
        <v>0</v>
      </c>
      <c r="E75" s="1016">
        <f t="shared" ref="E75:E84" ca="1" si="75">IF(OR(E$27,NOT(E42*J42)), E42,IF(OR(AND(J$27,E42&lt;=J42),E42=J42), 0,  MIN(E42,J42)))</f>
        <v>0</v>
      </c>
      <c r="F75" s="1016">
        <f t="shared" ref="F75:F84" ca="1" si="76">IF(OR(F$27,NOT(F42*I42)), F42,IF(OR(AND(I$27,F42&lt;=I42),F42=I42), 0,  MIN(F42,I42)))</f>
        <v>4</v>
      </c>
      <c r="G75" s="1021">
        <f t="shared" ref="G75:H75" ca="1" si="77">G42</f>
        <v>1</v>
      </c>
      <c r="H75" s="1020">
        <f t="shared" ca="1" si="77"/>
        <v>1</v>
      </c>
      <c r="I75" s="1016">
        <f t="shared" ref="I75:I84" ca="1" si="78">IF(OR(I$27,NOT(I42*F42)), I42,IF(OR(AND(F$27,I42&lt;=F42),I42=F42), 0,  MIN(I42,F42)))</f>
        <v>0</v>
      </c>
      <c r="J75" s="1016">
        <f t="shared" ref="J75:J84" ca="1" si="79">IF(OR(J$27,NOT(J42*E42)), J42,IF(OR(AND(E$27,J42&lt;=E42),J42=E42), 0,  MIN(J42,E42)))</f>
        <v>0</v>
      </c>
      <c r="K75" s="1021">
        <f t="shared" ref="K75:K84" ca="1" si="80">IF(OR(K$27,NOT(K42*D42)), K42,IF(OR(AND(D$27,K42&lt;=D42),K42=D42), 0,  MIN(K42,D42)))</f>
        <v>0</v>
      </c>
      <c r="L75" s="1020">
        <f t="shared" ref="L75:L84" ca="1" si="81">IF(OR(L$27,NOT(L42*O42)), L42,IF(OR(AND(O$27,L42&lt;=O42),L42=O42), 0,  MIN(L42,O42)))</f>
        <v>1</v>
      </c>
      <c r="M75" s="1016">
        <f t="shared" ref="M75:M84" ca="1" si="82">IF(OR(M$27,NOT(M42*N42)), M42,IF(OR(AND(N$27,M42&lt;=N42),M42=N42), 0,  MIN(M42,N42)))</f>
        <v>0</v>
      </c>
      <c r="N75" s="1016">
        <f t="shared" ref="N75:N84" ca="1" si="83">IF(OR(N$27,NOT(N42*M42)), N42,IF(OR(AND(M$27,N42&lt;=M42),N42=M42), 0,  MIN(N42,M42)))</f>
        <v>1</v>
      </c>
      <c r="O75" s="1021">
        <f t="shared" ref="O75:O84" ca="1" si="84">IF(OR(O$27,NOT(O42*L42)), O42,IF(OR(AND(L$27,O42&lt;=L42),O42=L42), 0,  MIN(O42,L42)))</f>
        <v>1</v>
      </c>
      <c r="S75" s="538"/>
      <c r="T75" s="538"/>
      <c r="U75" s="538"/>
      <c r="V75" s="538"/>
    </row>
    <row r="76" spans="1:49" x14ac:dyDescent="0.2">
      <c r="A76" s="533" t="str">
        <f t="shared" si="72"/>
        <v>Ekadipatya Shodhana</v>
      </c>
      <c r="B76" s="527" t="str">
        <f t="shared" si="73"/>
        <v>ESJupiter</v>
      </c>
      <c r="C76" s="219"/>
      <c r="D76" s="1020">
        <f t="shared" ca="1" si="74"/>
        <v>2</v>
      </c>
      <c r="E76" s="1016">
        <f t="shared" ca="1" si="75"/>
        <v>0</v>
      </c>
      <c r="F76" s="1016">
        <f t="shared" ca="1" si="76"/>
        <v>0</v>
      </c>
      <c r="G76" s="1021">
        <f t="shared" ref="G76:H76" ca="1" si="85">G43</f>
        <v>1</v>
      </c>
      <c r="H76" s="1020">
        <f t="shared" ca="1" si="85"/>
        <v>2</v>
      </c>
      <c r="I76" s="1016">
        <f t="shared" ca="1" si="78"/>
        <v>1</v>
      </c>
      <c r="J76" s="1016">
        <f t="shared" ca="1" si="79"/>
        <v>2</v>
      </c>
      <c r="K76" s="1021">
        <f t="shared" ca="1" si="80"/>
        <v>2</v>
      </c>
      <c r="L76" s="1020">
        <f t="shared" ca="1" si="81"/>
        <v>0</v>
      </c>
      <c r="M76" s="1016">
        <f t="shared" ca="1" si="82"/>
        <v>1</v>
      </c>
      <c r="N76" s="1016">
        <f t="shared" ca="1" si="83"/>
        <v>1</v>
      </c>
      <c r="O76" s="1021">
        <f t="shared" ca="1" si="84"/>
        <v>0</v>
      </c>
      <c r="S76" s="538"/>
      <c r="T76" s="538"/>
      <c r="U76" s="538"/>
      <c r="V76" s="538"/>
    </row>
    <row r="77" spans="1:49" x14ac:dyDescent="0.2">
      <c r="A77" s="533" t="str">
        <f t="shared" si="72"/>
        <v>Ekadipatya Shodhana</v>
      </c>
      <c r="B77" s="527" t="str">
        <f t="shared" si="73"/>
        <v>ESMercury</v>
      </c>
      <c r="C77" s="219"/>
      <c r="D77" s="1020">
        <f t="shared" ca="1" si="74"/>
        <v>0</v>
      </c>
      <c r="E77" s="1016">
        <f t="shared" ca="1" si="75"/>
        <v>0</v>
      </c>
      <c r="F77" s="1016">
        <f t="shared" ca="1" si="76"/>
        <v>3</v>
      </c>
      <c r="G77" s="1021">
        <f t="shared" ref="G77:H77" ca="1" si="86">G44</f>
        <v>0</v>
      </c>
      <c r="H77" s="1020">
        <f t="shared" ca="1" si="86"/>
        <v>1</v>
      </c>
      <c r="I77" s="1016">
        <f t="shared" ca="1" si="78"/>
        <v>0</v>
      </c>
      <c r="J77" s="1016">
        <f t="shared" ca="1" si="79"/>
        <v>0</v>
      </c>
      <c r="K77" s="1021">
        <f t="shared" ca="1" si="80"/>
        <v>2</v>
      </c>
      <c r="L77" s="1020">
        <f t="shared" ca="1" si="81"/>
        <v>0</v>
      </c>
      <c r="M77" s="1016">
        <f t="shared" ca="1" si="82"/>
        <v>0</v>
      </c>
      <c r="N77" s="1016">
        <f t="shared" ca="1" si="83"/>
        <v>0</v>
      </c>
      <c r="O77" s="1021">
        <f t="shared" ca="1" si="84"/>
        <v>2</v>
      </c>
      <c r="S77" s="538"/>
      <c r="T77" s="538"/>
      <c r="U77" s="538"/>
      <c r="V77" s="538"/>
    </row>
    <row r="78" spans="1:49" x14ac:dyDescent="0.2">
      <c r="A78" s="533" t="str">
        <f t="shared" si="72"/>
        <v>Ekadipatya Shodhana</v>
      </c>
      <c r="B78" s="527" t="str">
        <f t="shared" si="73"/>
        <v>ESMars</v>
      </c>
      <c r="C78" s="219"/>
      <c r="D78" s="1020">
        <f t="shared" ca="1" si="74"/>
        <v>0</v>
      </c>
      <c r="E78" s="1016">
        <f t="shared" ca="1" si="75"/>
        <v>2</v>
      </c>
      <c r="F78" s="1016">
        <f t="shared" ca="1" si="76"/>
        <v>0</v>
      </c>
      <c r="G78" s="1021">
        <f t="shared" ref="G78:H78" ca="1" si="87">G45</f>
        <v>0</v>
      </c>
      <c r="H78" s="1020">
        <f t="shared" ca="1" si="87"/>
        <v>1</v>
      </c>
      <c r="I78" s="1016">
        <f t="shared" ca="1" si="78"/>
        <v>0</v>
      </c>
      <c r="J78" s="1016">
        <f t="shared" ca="1" si="79"/>
        <v>2</v>
      </c>
      <c r="K78" s="1021">
        <f t="shared" ca="1" si="80"/>
        <v>3</v>
      </c>
      <c r="L78" s="1020">
        <f t="shared" ca="1" si="81"/>
        <v>0</v>
      </c>
      <c r="M78" s="1016">
        <f t="shared" ca="1" si="82"/>
        <v>1</v>
      </c>
      <c r="N78" s="1016">
        <f t="shared" ca="1" si="83"/>
        <v>0</v>
      </c>
      <c r="O78" s="1021">
        <f t="shared" ca="1" si="84"/>
        <v>0</v>
      </c>
      <c r="S78" s="538"/>
      <c r="T78" s="538"/>
      <c r="U78" s="538"/>
      <c r="V78" s="538"/>
    </row>
    <row r="79" spans="1:49" x14ac:dyDescent="0.2">
      <c r="A79" s="533" t="str">
        <f t="shared" si="72"/>
        <v>Ekadipatya Shodhana</v>
      </c>
      <c r="B79" s="527" t="str">
        <f t="shared" si="73"/>
        <v>ESMoon</v>
      </c>
      <c r="C79" s="219"/>
      <c r="D79" s="1020">
        <f t="shared" ca="1" si="74"/>
        <v>0</v>
      </c>
      <c r="E79" s="1016">
        <f t="shared" ca="1" si="75"/>
        <v>2</v>
      </c>
      <c r="F79" s="1016">
        <f t="shared" ca="1" si="76"/>
        <v>0</v>
      </c>
      <c r="G79" s="1021">
        <f t="shared" ref="G79:H79" ca="1" si="88">G46</f>
        <v>0</v>
      </c>
      <c r="H79" s="1020">
        <f t="shared" ca="1" si="88"/>
        <v>0</v>
      </c>
      <c r="I79" s="1016">
        <f t="shared" ca="1" si="78"/>
        <v>1</v>
      </c>
      <c r="J79" s="1016">
        <f t="shared" ca="1" si="79"/>
        <v>2</v>
      </c>
      <c r="K79" s="1021">
        <f t="shared" ca="1" si="80"/>
        <v>1</v>
      </c>
      <c r="L79" s="1020">
        <f t="shared" ca="1" si="81"/>
        <v>0</v>
      </c>
      <c r="M79" s="1016">
        <f t="shared" ca="1" si="82"/>
        <v>0</v>
      </c>
      <c r="N79" s="1016">
        <f t="shared" ca="1" si="83"/>
        <v>3</v>
      </c>
      <c r="O79" s="1021">
        <f t="shared" ca="1" si="84"/>
        <v>0</v>
      </c>
      <c r="S79" s="538"/>
      <c r="T79" s="538"/>
      <c r="U79" s="538"/>
      <c r="V79" s="538"/>
    </row>
    <row r="80" spans="1:49" x14ac:dyDescent="0.2">
      <c r="A80" s="533" t="str">
        <f t="shared" si="72"/>
        <v>Ekadipatya Shodhana</v>
      </c>
      <c r="B80" s="527" t="str">
        <f t="shared" si="73"/>
        <v>ESSun</v>
      </c>
      <c r="C80" s="219"/>
      <c r="D80" s="1020">
        <f t="shared" ca="1" si="74"/>
        <v>1</v>
      </c>
      <c r="E80" s="1016">
        <f t="shared" ca="1" si="75"/>
        <v>2</v>
      </c>
      <c r="F80" s="1016">
        <f t="shared" ca="1" si="76"/>
        <v>0</v>
      </c>
      <c r="G80" s="1021">
        <f t="shared" ref="G80:H80" ca="1" si="89">G47</f>
        <v>0</v>
      </c>
      <c r="H80" s="1020">
        <f t="shared" ca="1" si="89"/>
        <v>0</v>
      </c>
      <c r="I80" s="1016">
        <f t="shared" ca="1" si="78"/>
        <v>0</v>
      </c>
      <c r="J80" s="1016">
        <f t="shared" ca="1" si="79"/>
        <v>0</v>
      </c>
      <c r="K80" s="1021">
        <f t="shared" ca="1" si="80"/>
        <v>0</v>
      </c>
      <c r="L80" s="1020">
        <f t="shared" ca="1" si="81"/>
        <v>0</v>
      </c>
      <c r="M80" s="1016">
        <f t="shared" ca="1" si="82"/>
        <v>1</v>
      </c>
      <c r="N80" s="1016">
        <f t="shared" ca="1" si="83"/>
        <v>0</v>
      </c>
      <c r="O80" s="1021">
        <f t="shared" ca="1" si="84"/>
        <v>0</v>
      </c>
      <c r="S80" s="538"/>
      <c r="T80" s="538"/>
      <c r="U80" s="538"/>
      <c r="V80" s="538"/>
    </row>
    <row r="81" spans="1:28" ht="18.75" thickBot="1" x14ac:dyDescent="0.3">
      <c r="A81" s="533" t="str">
        <f t="shared" si="72"/>
        <v>Ekadipatya Shodhana</v>
      </c>
      <c r="B81" s="527" t="str">
        <f t="shared" si="73"/>
        <v>ESLagna</v>
      </c>
      <c r="C81" s="219"/>
      <c r="D81" s="1020">
        <f t="shared" ca="1" si="74"/>
        <v>1</v>
      </c>
      <c r="E81" s="1016">
        <f t="shared" ca="1" si="75"/>
        <v>2</v>
      </c>
      <c r="F81" s="1016">
        <f t="shared" ca="1" si="76"/>
        <v>0</v>
      </c>
      <c r="G81" s="1021">
        <f t="shared" ref="G81:H81" ca="1" si="90">G48</f>
        <v>3</v>
      </c>
      <c r="H81" s="1020">
        <f t="shared" ca="1" si="90"/>
        <v>1</v>
      </c>
      <c r="I81" s="1016">
        <f t="shared" ca="1" si="78"/>
        <v>0</v>
      </c>
      <c r="J81" s="1016">
        <f t="shared" ca="1" si="79"/>
        <v>2</v>
      </c>
      <c r="K81" s="1021">
        <f t="shared" ca="1" si="80"/>
        <v>0</v>
      </c>
      <c r="L81" s="1020">
        <f t="shared" ca="1" si="81"/>
        <v>0</v>
      </c>
      <c r="M81" s="1016">
        <f t="shared" ca="1" si="82"/>
        <v>0</v>
      </c>
      <c r="N81" s="1016">
        <f t="shared" ca="1" si="83"/>
        <v>1</v>
      </c>
      <c r="O81" s="1021">
        <f t="shared" ca="1" si="84"/>
        <v>2</v>
      </c>
      <c r="P81"/>
      <c r="Q81" s="527"/>
      <c r="S81" s="538"/>
      <c r="T81" s="538"/>
      <c r="U81" s="538"/>
      <c r="V81" s="538"/>
      <c r="AB81" s="549" t="s">
        <v>1448</v>
      </c>
    </row>
    <row r="82" spans="1:28" ht="15.75" thickTop="1" x14ac:dyDescent="0.2">
      <c r="A82" s="533" t="str">
        <f t="shared" si="72"/>
        <v>Ekadipatya Shodhana</v>
      </c>
      <c r="B82" s="527" t="str">
        <f t="shared" si="73"/>
        <v>ESSarva+L</v>
      </c>
      <c r="C82" s="219"/>
      <c r="D82" s="1020">
        <f t="shared" ca="1" si="74"/>
        <v>0</v>
      </c>
      <c r="E82" s="1016">
        <f t="shared" ca="1" si="75"/>
        <v>0</v>
      </c>
      <c r="F82" s="1016">
        <f t="shared" ca="1" si="76"/>
        <v>0</v>
      </c>
      <c r="G82" s="1021">
        <f t="shared" ref="G82:H82" si="91">G49</f>
        <v>0</v>
      </c>
      <c r="H82" s="1020">
        <f t="shared" si="91"/>
        <v>0</v>
      </c>
      <c r="I82" s="1016">
        <f t="shared" ca="1" si="78"/>
        <v>0</v>
      </c>
      <c r="J82" s="1016">
        <f t="shared" ca="1" si="79"/>
        <v>0</v>
      </c>
      <c r="K82" s="1021">
        <f t="shared" ca="1" si="80"/>
        <v>0</v>
      </c>
      <c r="L82" s="1020">
        <f t="shared" ca="1" si="81"/>
        <v>0</v>
      </c>
      <c r="M82" s="1016">
        <f t="shared" ca="1" si="82"/>
        <v>0</v>
      </c>
      <c r="N82" s="1016">
        <f t="shared" ca="1" si="83"/>
        <v>0</v>
      </c>
      <c r="O82" s="1021">
        <f t="shared" ca="1" si="84"/>
        <v>0</v>
      </c>
      <c r="S82" s="538"/>
      <c r="T82" s="538"/>
      <c r="U82" s="538"/>
      <c r="V82" s="538"/>
      <c r="X82" s="527" t="s">
        <v>1449</v>
      </c>
      <c r="Y82" s="550" t="b">
        <v>0</v>
      </c>
      <c r="Z82"/>
      <c r="AA82"/>
    </row>
    <row r="83" spans="1:28" ht="14.25" x14ac:dyDescent="0.2">
      <c r="A83" s="533" t="str">
        <f t="shared" si="72"/>
        <v>Ekadipatya Shodhana</v>
      </c>
      <c r="B83" s="527" t="str">
        <f t="shared" si="73"/>
        <v>ESSarva-L</v>
      </c>
      <c r="D83" s="1020">
        <f t="shared" ca="1" si="74"/>
        <v>0</v>
      </c>
      <c r="E83" s="1016">
        <f t="shared" ca="1" si="75"/>
        <v>0</v>
      </c>
      <c r="F83" s="1016">
        <f t="shared" ca="1" si="76"/>
        <v>0</v>
      </c>
      <c r="G83" s="1021">
        <f t="shared" ref="G83:H83" si="92">G50</f>
        <v>0</v>
      </c>
      <c r="H83" s="1020">
        <f t="shared" si="92"/>
        <v>0</v>
      </c>
      <c r="I83" s="1016">
        <f t="shared" ca="1" si="78"/>
        <v>0</v>
      </c>
      <c r="J83" s="1016">
        <f t="shared" ca="1" si="79"/>
        <v>0</v>
      </c>
      <c r="K83" s="1021">
        <f t="shared" ca="1" si="80"/>
        <v>0</v>
      </c>
      <c r="L83" s="1020">
        <f t="shared" ca="1" si="81"/>
        <v>0</v>
      </c>
      <c r="M83" s="1016">
        <f t="shared" ca="1" si="82"/>
        <v>0</v>
      </c>
      <c r="N83" s="1016">
        <f t="shared" ca="1" si="83"/>
        <v>0</v>
      </c>
      <c r="O83" s="1021">
        <f t="shared" ca="1" si="84"/>
        <v>0</v>
      </c>
      <c r="S83" s="538"/>
      <c r="T83" s="538"/>
      <c r="U83" s="538"/>
      <c r="V83" s="538"/>
      <c r="Z83" s="527" t="str">
        <f>IF(NOT(Y82),"From Graha Good and Bad Transit of ","Good and Bad transits of graha from ")</f>
        <v xml:space="preserve">From Graha Good and Bad Transit of </v>
      </c>
    </row>
    <row r="84" spans="1:28" ht="15.75" thickBot="1" x14ac:dyDescent="0.25">
      <c r="A84" s="533" t="str">
        <f t="shared" si="72"/>
        <v>Ekadipatya Shodhana</v>
      </c>
      <c r="D84" s="1224">
        <f t="shared" ca="1" si="74"/>
        <v>0</v>
      </c>
      <c r="E84" s="1225">
        <f t="shared" ca="1" si="75"/>
        <v>0</v>
      </c>
      <c r="F84" s="1225">
        <f t="shared" ca="1" si="76"/>
        <v>0</v>
      </c>
      <c r="G84" s="1226">
        <f t="shared" ref="G84:H84" si="93">G51</f>
        <v>0</v>
      </c>
      <c r="H84" s="1224">
        <f t="shared" si="93"/>
        <v>0</v>
      </c>
      <c r="I84" s="1225">
        <f t="shared" ca="1" si="78"/>
        <v>0</v>
      </c>
      <c r="J84" s="1225">
        <f t="shared" ca="1" si="79"/>
        <v>0</v>
      </c>
      <c r="K84" s="1226">
        <f t="shared" ca="1" si="80"/>
        <v>0</v>
      </c>
      <c r="L84" s="1224">
        <f t="shared" ca="1" si="81"/>
        <v>0</v>
      </c>
      <c r="M84" s="1225">
        <f t="shared" ca="1" si="82"/>
        <v>0</v>
      </c>
      <c r="N84" s="1225">
        <f t="shared" ca="1" si="83"/>
        <v>0</v>
      </c>
      <c r="O84" s="1226">
        <f t="shared" ca="1" si="84"/>
        <v>0</v>
      </c>
      <c r="R84"/>
      <c r="S84"/>
      <c r="T84"/>
      <c r="U84"/>
      <c r="V84"/>
      <c r="W84"/>
      <c r="X84"/>
      <c r="Y84"/>
    </row>
    <row r="85" spans="1:28" ht="18.75" thickBot="1" x14ac:dyDescent="0.3">
      <c r="A85" s="533" t="str">
        <f>B85</f>
        <v>Rashi Pinda</v>
      </c>
      <c r="B85" s="1545" t="s">
        <v>1450</v>
      </c>
      <c r="C85" s="1545"/>
      <c r="D85" s="1545"/>
      <c r="E85" s="1545"/>
      <c r="F85" s="1545"/>
      <c r="G85" s="1545"/>
      <c r="H85" s="1545"/>
      <c r="I85" s="1545"/>
      <c r="J85" s="1545"/>
      <c r="K85" s="1545"/>
      <c r="L85" s="1545"/>
      <c r="M85" s="1545"/>
      <c r="N85" s="1545"/>
      <c r="O85" s="1545"/>
      <c r="P85" s="100" t="s">
        <v>1451</v>
      </c>
      <c r="R85"/>
      <c r="S85"/>
      <c r="T85"/>
      <c r="U85"/>
      <c r="V85"/>
      <c r="W85"/>
      <c r="X85"/>
      <c r="Y85"/>
    </row>
    <row r="86" spans="1:28" ht="15.75" thickTop="1" x14ac:dyDescent="0.2">
      <c r="A86" s="533" t="str">
        <f t="shared" ref="A86:A95" si="94">A85</f>
        <v>Rashi Pinda</v>
      </c>
      <c r="B86" s="527" t="str">
        <f t="shared" ref="B86:B95" si="95">"RP"&amp;B74</f>
        <v>RPESSaturn</v>
      </c>
      <c r="D86" s="1239">
        <f t="shared" ref="D86:O87" ca="1" si="96">D74*D$28</f>
        <v>14</v>
      </c>
      <c r="E86" s="1239">
        <f t="shared" ca="1" si="96"/>
        <v>30</v>
      </c>
      <c r="F86" s="1239">
        <f t="shared" ca="1" si="96"/>
        <v>8</v>
      </c>
      <c r="G86" s="1239">
        <f t="shared" ca="1" si="96"/>
        <v>0</v>
      </c>
      <c r="H86" s="1239">
        <f t="shared" ca="1" si="96"/>
        <v>0</v>
      </c>
      <c r="I86" s="1239">
        <f t="shared" ca="1" si="96"/>
        <v>0</v>
      </c>
      <c r="J86" s="1239">
        <f t="shared" ca="1" si="96"/>
        <v>21</v>
      </c>
      <c r="K86" s="1239">
        <f t="shared" ca="1" si="96"/>
        <v>0</v>
      </c>
      <c r="L86" s="1239">
        <f t="shared" ca="1" si="96"/>
        <v>0</v>
      </c>
      <c r="M86" s="1239">
        <f t="shared" ca="1" si="96"/>
        <v>0</v>
      </c>
      <c r="N86" s="1239">
        <f t="shared" ca="1" si="96"/>
        <v>0</v>
      </c>
      <c r="O86" s="1239">
        <f t="shared" ca="1" si="96"/>
        <v>24</v>
      </c>
      <c r="P86" s="100">
        <f t="shared" ref="P86:P93" ca="1" si="97">SUM(D86:O86)</f>
        <v>97</v>
      </c>
      <c r="Q86"/>
      <c r="R86"/>
      <c r="S86"/>
      <c r="T86" s="538"/>
      <c r="U86" s="538"/>
      <c r="V86" s="538"/>
    </row>
    <row r="87" spans="1:28" x14ac:dyDescent="0.2">
      <c r="A87" s="533" t="str">
        <f t="shared" si="94"/>
        <v>Rashi Pinda</v>
      </c>
      <c r="B87" s="527" t="str">
        <f t="shared" si="95"/>
        <v>RPESVenus</v>
      </c>
      <c r="D87" s="527">
        <f t="shared" ca="1" si="96"/>
        <v>0</v>
      </c>
      <c r="E87" s="527">
        <f t="shared" ca="1" si="96"/>
        <v>0</v>
      </c>
      <c r="F87" s="527">
        <f t="shared" ca="1" si="96"/>
        <v>32</v>
      </c>
      <c r="G87" s="527">
        <f t="shared" ca="1" si="96"/>
        <v>4</v>
      </c>
      <c r="H87" s="527">
        <f t="shared" ca="1" si="96"/>
        <v>10</v>
      </c>
      <c r="I87" s="527">
        <f t="shared" ca="1" si="96"/>
        <v>0</v>
      </c>
      <c r="J87" s="527">
        <f t="shared" ca="1" si="96"/>
        <v>0</v>
      </c>
      <c r="K87" s="527">
        <f t="shared" ca="1" si="96"/>
        <v>0</v>
      </c>
      <c r="L87" s="527">
        <f t="shared" ca="1" si="96"/>
        <v>9</v>
      </c>
      <c r="M87" s="527">
        <f t="shared" ca="1" si="96"/>
        <v>0</v>
      </c>
      <c r="N87" s="527">
        <f t="shared" ca="1" si="96"/>
        <v>11</v>
      </c>
      <c r="O87" s="527">
        <f t="shared" ca="1" si="96"/>
        <v>12</v>
      </c>
      <c r="P87" s="100">
        <f t="shared" ca="1" si="97"/>
        <v>78</v>
      </c>
      <c r="Q87"/>
      <c r="R87"/>
      <c r="S87"/>
      <c r="T87" s="538"/>
      <c r="U87" s="538"/>
      <c r="V87" s="538"/>
    </row>
    <row r="88" spans="1:28" x14ac:dyDescent="0.2">
      <c r="A88" s="533" t="str">
        <f t="shared" si="94"/>
        <v>Rashi Pinda</v>
      </c>
      <c r="B88" s="527" t="str">
        <f t="shared" si="95"/>
        <v>RPESJupiter</v>
      </c>
      <c r="D88" s="527">
        <f t="shared" ref="D88:O88" ca="1" si="98">D76*D$28</f>
        <v>14</v>
      </c>
      <c r="E88" s="527">
        <f t="shared" ca="1" si="98"/>
        <v>0</v>
      </c>
      <c r="F88" s="527">
        <f t="shared" ca="1" si="98"/>
        <v>0</v>
      </c>
      <c r="G88" s="527">
        <f t="shared" ca="1" si="98"/>
        <v>4</v>
      </c>
      <c r="H88" s="527">
        <f t="shared" ca="1" si="98"/>
        <v>20</v>
      </c>
      <c r="I88" s="527">
        <f t="shared" ca="1" si="98"/>
        <v>5</v>
      </c>
      <c r="J88" s="527">
        <f t="shared" ca="1" si="98"/>
        <v>14</v>
      </c>
      <c r="K88" s="527">
        <f t="shared" ca="1" si="98"/>
        <v>16</v>
      </c>
      <c r="L88" s="527">
        <f t="shared" ca="1" si="98"/>
        <v>0</v>
      </c>
      <c r="M88" s="527">
        <f t="shared" ca="1" si="98"/>
        <v>5</v>
      </c>
      <c r="N88" s="527">
        <f t="shared" ca="1" si="98"/>
        <v>11</v>
      </c>
      <c r="O88" s="527">
        <f t="shared" ca="1" si="98"/>
        <v>0</v>
      </c>
      <c r="P88" s="100">
        <f t="shared" ca="1" si="97"/>
        <v>89</v>
      </c>
      <c r="Q88"/>
      <c r="R88"/>
      <c r="S88"/>
      <c r="T88" s="538"/>
      <c r="U88" s="538"/>
      <c r="V88" s="538"/>
    </row>
    <row r="89" spans="1:28" x14ac:dyDescent="0.2">
      <c r="A89" s="533" t="str">
        <f t="shared" si="94"/>
        <v>Rashi Pinda</v>
      </c>
      <c r="B89" s="527" t="str">
        <f t="shared" si="95"/>
        <v>RPESMercury</v>
      </c>
      <c r="D89" s="527">
        <f t="shared" ref="D89:O89" ca="1" si="99">D77*D$28</f>
        <v>0</v>
      </c>
      <c r="E89" s="527">
        <f t="shared" ca="1" si="99"/>
        <v>0</v>
      </c>
      <c r="F89" s="527">
        <f t="shared" ca="1" si="99"/>
        <v>24</v>
      </c>
      <c r="G89" s="527">
        <f t="shared" ca="1" si="99"/>
        <v>0</v>
      </c>
      <c r="H89" s="527">
        <f t="shared" ca="1" si="99"/>
        <v>10</v>
      </c>
      <c r="I89" s="527">
        <f t="shared" ca="1" si="99"/>
        <v>0</v>
      </c>
      <c r="J89" s="527">
        <f t="shared" ca="1" si="99"/>
        <v>0</v>
      </c>
      <c r="K89" s="527">
        <f t="shared" ca="1" si="99"/>
        <v>16</v>
      </c>
      <c r="L89" s="527">
        <f t="shared" ca="1" si="99"/>
        <v>0</v>
      </c>
      <c r="M89" s="527">
        <f t="shared" ca="1" si="99"/>
        <v>0</v>
      </c>
      <c r="N89" s="527">
        <f t="shared" ca="1" si="99"/>
        <v>0</v>
      </c>
      <c r="O89" s="527">
        <f t="shared" ca="1" si="99"/>
        <v>24</v>
      </c>
      <c r="P89" s="100">
        <f t="shared" ca="1" si="97"/>
        <v>74</v>
      </c>
      <c r="Q89"/>
      <c r="R89"/>
      <c r="S89"/>
      <c r="T89" s="538"/>
      <c r="U89" s="538"/>
      <c r="V89" s="538"/>
    </row>
    <row r="90" spans="1:28" x14ac:dyDescent="0.2">
      <c r="A90" s="533" t="str">
        <f t="shared" si="94"/>
        <v>Rashi Pinda</v>
      </c>
      <c r="B90" s="527" t="str">
        <f t="shared" si="95"/>
        <v>RPESMars</v>
      </c>
      <c r="D90" s="527">
        <f t="shared" ref="D90:O90" ca="1" si="100">D78*D$28</f>
        <v>0</v>
      </c>
      <c r="E90" s="527">
        <f t="shared" ca="1" si="100"/>
        <v>20</v>
      </c>
      <c r="F90" s="527">
        <f t="shared" ca="1" si="100"/>
        <v>0</v>
      </c>
      <c r="G90" s="527">
        <f t="shared" ca="1" si="100"/>
        <v>0</v>
      </c>
      <c r="H90" s="527">
        <f t="shared" ca="1" si="100"/>
        <v>10</v>
      </c>
      <c r="I90" s="527">
        <f t="shared" ca="1" si="100"/>
        <v>0</v>
      </c>
      <c r="J90" s="527">
        <f t="shared" ca="1" si="100"/>
        <v>14</v>
      </c>
      <c r="K90" s="527">
        <f t="shared" ca="1" si="100"/>
        <v>24</v>
      </c>
      <c r="L90" s="527">
        <f t="shared" ca="1" si="100"/>
        <v>0</v>
      </c>
      <c r="M90" s="527">
        <f t="shared" ca="1" si="100"/>
        <v>5</v>
      </c>
      <c r="N90" s="527">
        <f t="shared" ca="1" si="100"/>
        <v>0</v>
      </c>
      <c r="O90" s="527">
        <f t="shared" ca="1" si="100"/>
        <v>0</v>
      </c>
      <c r="P90" s="100">
        <f t="shared" ca="1" si="97"/>
        <v>73</v>
      </c>
      <c r="Q90"/>
      <c r="R90"/>
      <c r="S90"/>
      <c r="T90" s="538"/>
      <c r="U90" s="538"/>
      <c r="V90" s="538"/>
    </row>
    <row r="91" spans="1:28" x14ac:dyDescent="0.2">
      <c r="A91" s="533" t="str">
        <f t="shared" si="94"/>
        <v>Rashi Pinda</v>
      </c>
      <c r="B91" s="527" t="str">
        <f t="shared" si="95"/>
        <v>RPESMoon</v>
      </c>
      <c r="D91" s="527">
        <f t="shared" ref="D91:O91" ca="1" si="101">D79*D$28</f>
        <v>0</v>
      </c>
      <c r="E91" s="527">
        <f t="shared" ca="1" si="101"/>
        <v>20</v>
      </c>
      <c r="F91" s="527">
        <f t="shared" ca="1" si="101"/>
        <v>0</v>
      </c>
      <c r="G91" s="527">
        <f t="shared" ca="1" si="101"/>
        <v>0</v>
      </c>
      <c r="H91" s="527">
        <f t="shared" ca="1" si="101"/>
        <v>0</v>
      </c>
      <c r="I91" s="527">
        <f t="shared" ca="1" si="101"/>
        <v>5</v>
      </c>
      <c r="J91" s="527">
        <f t="shared" ca="1" si="101"/>
        <v>14</v>
      </c>
      <c r="K91" s="527">
        <f t="shared" ca="1" si="101"/>
        <v>8</v>
      </c>
      <c r="L91" s="527">
        <f t="shared" ca="1" si="101"/>
        <v>0</v>
      </c>
      <c r="M91" s="527">
        <f t="shared" ca="1" si="101"/>
        <v>0</v>
      </c>
      <c r="N91" s="527">
        <f t="shared" ca="1" si="101"/>
        <v>33</v>
      </c>
      <c r="O91" s="527">
        <f t="shared" ca="1" si="101"/>
        <v>0</v>
      </c>
      <c r="P91" s="100">
        <f t="shared" ca="1" si="97"/>
        <v>80</v>
      </c>
      <c r="Q91"/>
      <c r="R91"/>
      <c r="S91"/>
      <c r="T91" s="538"/>
      <c r="U91" s="538"/>
      <c r="V91" s="538"/>
    </row>
    <row r="92" spans="1:28" x14ac:dyDescent="0.2">
      <c r="A92" s="533" t="str">
        <f t="shared" si="94"/>
        <v>Rashi Pinda</v>
      </c>
      <c r="B92" s="527" t="str">
        <f t="shared" si="95"/>
        <v>RPESSun</v>
      </c>
      <c r="D92" s="527">
        <f t="shared" ref="D92:O92" ca="1" si="102">D80*D$28</f>
        <v>7</v>
      </c>
      <c r="E92" s="527">
        <f t="shared" ca="1" si="102"/>
        <v>20</v>
      </c>
      <c r="F92" s="527">
        <f t="shared" ca="1" si="102"/>
        <v>0</v>
      </c>
      <c r="G92" s="527">
        <f t="shared" ca="1" si="102"/>
        <v>0</v>
      </c>
      <c r="H92" s="527">
        <f t="shared" ca="1" si="102"/>
        <v>0</v>
      </c>
      <c r="I92" s="527">
        <f t="shared" ca="1" si="102"/>
        <v>0</v>
      </c>
      <c r="J92" s="527">
        <f t="shared" ca="1" si="102"/>
        <v>0</v>
      </c>
      <c r="K92" s="527">
        <f t="shared" ca="1" si="102"/>
        <v>0</v>
      </c>
      <c r="L92" s="527">
        <f t="shared" ca="1" si="102"/>
        <v>0</v>
      </c>
      <c r="M92" s="527">
        <f t="shared" ca="1" si="102"/>
        <v>5</v>
      </c>
      <c r="N92" s="527">
        <f t="shared" ca="1" si="102"/>
        <v>0</v>
      </c>
      <c r="O92" s="527">
        <f t="shared" ca="1" si="102"/>
        <v>0</v>
      </c>
      <c r="P92" s="100">
        <f t="shared" ca="1" si="97"/>
        <v>32</v>
      </c>
      <c r="Q92"/>
      <c r="R92"/>
      <c r="S92"/>
      <c r="T92" s="538"/>
      <c r="U92" s="538"/>
      <c r="V92" s="538"/>
    </row>
    <row r="93" spans="1:28" x14ac:dyDescent="0.2">
      <c r="A93" s="533" t="str">
        <f t="shared" si="94"/>
        <v>Rashi Pinda</v>
      </c>
      <c r="B93" s="527" t="str">
        <f t="shared" si="95"/>
        <v>RPESLagna</v>
      </c>
      <c r="D93" s="527">
        <f t="shared" ref="D93:O93" ca="1" si="103">D81*D$28</f>
        <v>7</v>
      </c>
      <c r="E93" s="527">
        <f t="shared" ca="1" si="103"/>
        <v>20</v>
      </c>
      <c r="F93" s="527">
        <f t="shared" ca="1" si="103"/>
        <v>0</v>
      </c>
      <c r="G93" s="527">
        <f t="shared" ca="1" si="103"/>
        <v>12</v>
      </c>
      <c r="H93" s="527">
        <f t="shared" ca="1" si="103"/>
        <v>10</v>
      </c>
      <c r="I93" s="527">
        <f t="shared" ca="1" si="103"/>
        <v>0</v>
      </c>
      <c r="J93" s="527">
        <f t="shared" ca="1" si="103"/>
        <v>14</v>
      </c>
      <c r="K93" s="527">
        <f t="shared" ca="1" si="103"/>
        <v>0</v>
      </c>
      <c r="L93" s="527">
        <f t="shared" ca="1" si="103"/>
        <v>0</v>
      </c>
      <c r="M93" s="527">
        <f t="shared" ca="1" si="103"/>
        <v>0</v>
      </c>
      <c r="N93" s="527">
        <f t="shared" ca="1" si="103"/>
        <v>11</v>
      </c>
      <c r="O93" s="527">
        <f t="shared" ca="1" si="103"/>
        <v>24</v>
      </c>
      <c r="P93" s="100">
        <f t="shared" ca="1" si="97"/>
        <v>98</v>
      </c>
      <c r="Q93"/>
      <c r="R93"/>
      <c r="S93"/>
      <c r="T93" s="538"/>
      <c r="U93" s="538"/>
      <c r="V93" s="538"/>
    </row>
    <row r="94" spans="1:28" ht="14.25" x14ac:dyDescent="0.2">
      <c r="A94" s="533" t="str">
        <f t="shared" si="94"/>
        <v>Rashi Pinda</v>
      </c>
      <c r="B94" s="527" t="str">
        <f t="shared" si="95"/>
        <v>RPESSarva+L</v>
      </c>
      <c r="D94" s="527">
        <f t="shared" ref="D94:O94" ca="1" si="104">D82*D$28</f>
        <v>0</v>
      </c>
      <c r="E94" s="527">
        <f t="shared" ca="1" si="104"/>
        <v>0</v>
      </c>
      <c r="F94" s="527">
        <f t="shared" ca="1" si="104"/>
        <v>0</v>
      </c>
      <c r="G94" s="527">
        <f t="shared" si="104"/>
        <v>0</v>
      </c>
      <c r="H94" s="527">
        <f t="shared" si="104"/>
        <v>0</v>
      </c>
      <c r="I94" s="527">
        <f t="shared" ca="1" si="104"/>
        <v>0</v>
      </c>
      <c r="J94" s="527">
        <f t="shared" ca="1" si="104"/>
        <v>0</v>
      </c>
      <c r="K94" s="527">
        <f t="shared" ca="1" si="104"/>
        <v>0</v>
      </c>
      <c r="L94" s="527">
        <f t="shared" ca="1" si="104"/>
        <v>0</v>
      </c>
      <c r="M94" s="527">
        <f t="shared" ca="1" si="104"/>
        <v>0</v>
      </c>
      <c r="N94" s="527">
        <f t="shared" ca="1" si="104"/>
        <v>0</v>
      </c>
      <c r="O94" s="527">
        <f t="shared" ca="1" si="104"/>
        <v>0</v>
      </c>
      <c r="S94" s="538"/>
      <c r="T94" s="538"/>
      <c r="U94" s="538"/>
      <c r="V94" s="538"/>
    </row>
    <row r="95" spans="1:28" ht="14.25" x14ac:dyDescent="0.2">
      <c r="A95" s="533" t="str">
        <f t="shared" si="94"/>
        <v>Rashi Pinda</v>
      </c>
      <c r="B95" s="527" t="str">
        <f t="shared" si="95"/>
        <v>RPESSarva-L</v>
      </c>
      <c r="D95" s="527">
        <f t="shared" ref="D95:O95" ca="1" si="105">D83*D$28</f>
        <v>0</v>
      </c>
      <c r="E95" s="527">
        <f t="shared" ca="1" si="105"/>
        <v>0</v>
      </c>
      <c r="F95" s="527">
        <f t="shared" ca="1" si="105"/>
        <v>0</v>
      </c>
      <c r="G95" s="527">
        <f t="shared" si="105"/>
        <v>0</v>
      </c>
      <c r="H95" s="527">
        <f t="shared" si="105"/>
        <v>0</v>
      </c>
      <c r="I95" s="527">
        <f t="shared" ca="1" si="105"/>
        <v>0</v>
      </c>
      <c r="J95" s="527">
        <f t="shared" ca="1" si="105"/>
        <v>0</v>
      </c>
      <c r="K95" s="527">
        <f t="shared" ca="1" si="105"/>
        <v>0</v>
      </c>
      <c r="L95" s="527">
        <f t="shared" ca="1" si="105"/>
        <v>0</v>
      </c>
      <c r="M95" s="527">
        <f t="shared" ca="1" si="105"/>
        <v>0</v>
      </c>
      <c r="N95" s="527">
        <f t="shared" ca="1" si="105"/>
        <v>0</v>
      </c>
      <c r="O95" s="527">
        <f t="shared" ca="1" si="105"/>
        <v>0</v>
      </c>
      <c r="S95" s="538"/>
      <c r="T95" s="538"/>
      <c r="U95" s="538"/>
      <c r="V95" s="538"/>
    </row>
    <row r="96" spans="1:28" ht="18.75" thickBot="1" x14ac:dyDescent="0.3">
      <c r="A96" s="533" t="str">
        <f>B96</f>
        <v>Graha Pinda</v>
      </c>
      <c r="B96" s="1545" t="s">
        <v>1452</v>
      </c>
      <c r="C96" s="1545"/>
      <c r="D96" s="1545"/>
      <c r="E96" s="1545"/>
      <c r="F96" s="1545"/>
      <c r="G96" s="1545"/>
      <c r="H96" s="1545"/>
      <c r="I96" s="1545"/>
      <c r="J96" s="1545"/>
      <c r="K96" s="1545"/>
      <c r="L96" s="1545"/>
      <c r="M96" s="1545"/>
      <c r="N96" s="1545"/>
      <c r="O96" s="1545"/>
      <c r="S96" s="538"/>
      <c r="T96" s="538"/>
      <c r="U96" s="538"/>
      <c r="V96" s="538"/>
    </row>
    <row r="97" spans="1:22" thickTop="1" x14ac:dyDescent="0.2">
      <c r="A97" s="533" t="str">
        <f t="shared" ref="A97:A109" si="106">A96</f>
        <v>Graha Pinda</v>
      </c>
      <c r="D97" s="527" t="str">
        <f>B17</f>
        <v>Saturn</v>
      </c>
      <c r="E97" s="538" t="str">
        <f>B18</f>
        <v>Venus</v>
      </c>
      <c r="F97" s="538" t="str">
        <f>B19</f>
        <v>Jupiter</v>
      </c>
      <c r="G97" s="538" t="str">
        <f>B20</f>
        <v>Mercury</v>
      </c>
      <c r="H97" s="538" t="str">
        <f>B21</f>
        <v>Mars</v>
      </c>
      <c r="I97" s="527" t="str">
        <f>B22</f>
        <v>Moon</v>
      </c>
      <c r="J97" s="527" t="str">
        <f>B23</f>
        <v>Sun</v>
      </c>
      <c r="K97" s="527" t="str">
        <f>B24</f>
        <v>Lagna</v>
      </c>
      <c r="S97" s="538"/>
      <c r="T97" s="538"/>
      <c r="U97" s="538"/>
      <c r="V97" s="538"/>
    </row>
    <row r="98" spans="1:22" ht="14.25" x14ac:dyDescent="0.2">
      <c r="A98" s="533" t="str">
        <f t="shared" si="106"/>
        <v>Graha Pinda</v>
      </c>
      <c r="C98" s="105" t="s">
        <v>1453</v>
      </c>
      <c r="D98" s="527">
        <f>Q17</f>
        <v>5</v>
      </c>
      <c r="E98" s="538">
        <f>Q18</f>
        <v>7</v>
      </c>
      <c r="F98" s="538">
        <f>Q19</f>
        <v>10</v>
      </c>
      <c r="G98" s="538">
        <f>Q20</f>
        <v>5</v>
      </c>
      <c r="H98" s="538">
        <f>Q21</f>
        <v>8</v>
      </c>
      <c r="I98" s="527">
        <f>Q22</f>
        <v>5</v>
      </c>
      <c r="J98" s="527">
        <f>Q23</f>
        <v>5</v>
      </c>
      <c r="K98" s="527">
        <v>5</v>
      </c>
      <c r="S98" s="538"/>
      <c r="T98" s="538"/>
      <c r="U98" s="538"/>
      <c r="V98" s="538"/>
    </row>
    <row r="99" spans="1:22" x14ac:dyDescent="0.2">
      <c r="A99" s="533" t="str">
        <f t="shared" si="106"/>
        <v>Graha Pinda</v>
      </c>
      <c r="C99" s="105" t="s">
        <v>1438</v>
      </c>
      <c r="D99" s="527">
        <f ca="1">C17</f>
        <v>2</v>
      </c>
      <c r="E99" s="538">
        <f ca="1">C18</f>
        <v>3</v>
      </c>
      <c r="F99" s="538">
        <f ca="1">C19</f>
        <v>8</v>
      </c>
      <c r="G99" s="538">
        <f ca="1">C20</f>
        <v>4</v>
      </c>
      <c r="H99" s="538">
        <f ca="1">C21</f>
        <v>10</v>
      </c>
      <c r="I99" s="527">
        <f ca="1">C22</f>
        <v>2</v>
      </c>
      <c r="J99" s="527">
        <f ca="1">C23</f>
        <v>4</v>
      </c>
      <c r="K99" s="527">
        <f ca="1">C24</f>
        <v>5</v>
      </c>
      <c r="O99" s="527" t="s">
        <v>1454</v>
      </c>
      <c r="P99" t="s">
        <v>1455</v>
      </c>
      <c r="Q99" s="527" t="s">
        <v>1456</v>
      </c>
      <c r="S99" s="538"/>
      <c r="T99" s="538"/>
      <c r="U99" s="538"/>
      <c r="V99" s="538"/>
    </row>
    <row r="100" spans="1:22" x14ac:dyDescent="0.2">
      <c r="A100" s="533" t="str">
        <f t="shared" si="106"/>
        <v>Graha Pinda</v>
      </c>
      <c r="B100" s="527" t="str">
        <f t="shared" ref="B100:C107" si="107">B17</f>
        <v>Saturn</v>
      </c>
      <c r="C100" s="1240">
        <f t="shared" ca="1" si="107"/>
        <v>2</v>
      </c>
      <c r="D100" s="1240">
        <f t="shared" ref="D100:K107" ca="1" si="108">INDEX($D74:$O74,D$99)*D$98</f>
        <v>15</v>
      </c>
      <c r="E100" s="1240">
        <f t="shared" ca="1" si="108"/>
        <v>7</v>
      </c>
      <c r="F100" s="1240">
        <f t="shared" ca="1" si="108"/>
        <v>0</v>
      </c>
      <c r="G100" s="1240">
        <f t="shared" ca="1" si="108"/>
        <v>0</v>
      </c>
      <c r="H100" s="1240">
        <f t="shared" ca="1" si="108"/>
        <v>0</v>
      </c>
      <c r="I100" s="1240">
        <f t="shared" ca="1" si="108"/>
        <v>15</v>
      </c>
      <c r="J100" s="1240">
        <f t="shared" ca="1" si="108"/>
        <v>0</v>
      </c>
      <c r="K100" s="1240">
        <f t="shared" ca="1" si="108"/>
        <v>0</v>
      </c>
      <c r="O100" s="100">
        <f t="shared" ref="O100:O107" ca="1" si="109">SUM(D100:K100)</f>
        <v>37</v>
      </c>
      <c r="P100">
        <f t="shared" ref="P100:P107" ca="1" si="110">O100-K100</f>
        <v>37</v>
      </c>
      <c r="Q100" s="100">
        <f t="shared" ref="Q100:Q107" ca="1" si="111">P100</f>
        <v>37</v>
      </c>
      <c r="S100" s="538"/>
      <c r="T100" s="538"/>
      <c r="U100" s="538"/>
      <c r="V100" s="538"/>
    </row>
    <row r="101" spans="1:22" x14ac:dyDescent="0.2">
      <c r="A101" s="533" t="str">
        <f t="shared" si="106"/>
        <v>Graha Pinda</v>
      </c>
      <c r="B101" s="527" t="str">
        <f t="shared" si="107"/>
        <v>Venus</v>
      </c>
      <c r="C101" s="527">
        <f t="shared" ca="1" si="107"/>
        <v>3</v>
      </c>
      <c r="D101" s="527">
        <f t="shared" ca="1" si="108"/>
        <v>0</v>
      </c>
      <c r="E101" s="527">
        <f t="shared" ca="1" si="108"/>
        <v>28</v>
      </c>
      <c r="F101" s="527">
        <f t="shared" ca="1" si="108"/>
        <v>0</v>
      </c>
      <c r="G101" s="527">
        <f t="shared" ca="1" si="108"/>
        <v>5</v>
      </c>
      <c r="H101" s="527">
        <f t="shared" ca="1" si="108"/>
        <v>0</v>
      </c>
      <c r="I101" s="527">
        <f t="shared" ca="1" si="108"/>
        <v>0</v>
      </c>
      <c r="J101" s="527">
        <f t="shared" ca="1" si="108"/>
        <v>5</v>
      </c>
      <c r="K101" s="527">
        <f t="shared" ca="1" si="108"/>
        <v>5</v>
      </c>
      <c r="O101" s="100">
        <f t="shared" ca="1" si="109"/>
        <v>43</v>
      </c>
      <c r="P101">
        <f t="shared" ca="1" si="110"/>
        <v>38</v>
      </c>
      <c r="Q101" s="100">
        <f t="shared" ca="1" si="111"/>
        <v>38</v>
      </c>
      <c r="S101" s="538"/>
      <c r="T101" s="538"/>
      <c r="U101" s="538"/>
      <c r="V101" s="538"/>
    </row>
    <row r="102" spans="1:22" x14ac:dyDescent="0.2">
      <c r="A102" s="533" t="str">
        <f t="shared" si="106"/>
        <v>Graha Pinda</v>
      </c>
      <c r="B102" s="527" t="str">
        <f t="shared" si="107"/>
        <v>Jupiter</v>
      </c>
      <c r="C102" s="527">
        <f t="shared" ca="1" si="107"/>
        <v>8</v>
      </c>
      <c r="D102" s="527">
        <f t="shared" ca="1" si="108"/>
        <v>0</v>
      </c>
      <c r="E102" s="527">
        <f t="shared" ca="1" si="108"/>
        <v>0</v>
      </c>
      <c r="F102" s="527">
        <f t="shared" ca="1" si="108"/>
        <v>20</v>
      </c>
      <c r="G102" s="527">
        <f t="shared" ca="1" si="108"/>
        <v>5</v>
      </c>
      <c r="H102" s="527">
        <f t="shared" ca="1" si="108"/>
        <v>8</v>
      </c>
      <c r="I102" s="527">
        <f t="shared" ca="1" si="108"/>
        <v>0</v>
      </c>
      <c r="J102" s="527">
        <f t="shared" ca="1" si="108"/>
        <v>5</v>
      </c>
      <c r="K102" s="527">
        <f t="shared" ca="1" si="108"/>
        <v>10</v>
      </c>
      <c r="O102" s="100">
        <f t="shared" ca="1" si="109"/>
        <v>48</v>
      </c>
      <c r="P102">
        <f t="shared" ca="1" si="110"/>
        <v>38</v>
      </c>
      <c r="Q102" s="100">
        <f t="shared" ca="1" si="111"/>
        <v>38</v>
      </c>
      <c r="S102" s="538"/>
      <c r="T102" s="538"/>
      <c r="U102" s="538"/>
      <c r="V102" s="538"/>
    </row>
    <row r="103" spans="1:22" x14ac:dyDescent="0.2">
      <c r="A103" s="533" t="str">
        <f t="shared" si="106"/>
        <v>Graha Pinda</v>
      </c>
      <c r="B103" s="527" t="str">
        <f t="shared" si="107"/>
        <v>Mercury</v>
      </c>
      <c r="C103" s="527">
        <f t="shared" ca="1" si="107"/>
        <v>4</v>
      </c>
      <c r="D103" s="527">
        <f t="shared" ca="1" si="108"/>
        <v>0</v>
      </c>
      <c r="E103" s="527">
        <f t="shared" ca="1" si="108"/>
        <v>21</v>
      </c>
      <c r="F103" s="527">
        <f t="shared" ca="1" si="108"/>
        <v>20</v>
      </c>
      <c r="G103" s="527">
        <f t="shared" ca="1" si="108"/>
        <v>0</v>
      </c>
      <c r="H103" s="527">
        <f t="shared" ca="1" si="108"/>
        <v>0</v>
      </c>
      <c r="I103" s="527">
        <f t="shared" ca="1" si="108"/>
        <v>0</v>
      </c>
      <c r="J103" s="527">
        <f t="shared" ca="1" si="108"/>
        <v>0</v>
      </c>
      <c r="K103" s="527">
        <f t="shared" ca="1" si="108"/>
        <v>5</v>
      </c>
      <c r="O103" s="100">
        <f t="shared" ca="1" si="109"/>
        <v>46</v>
      </c>
      <c r="P103">
        <f t="shared" ca="1" si="110"/>
        <v>41</v>
      </c>
      <c r="Q103" s="100">
        <f t="shared" ca="1" si="111"/>
        <v>41</v>
      </c>
      <c r="S103" s="538"/>
      <c r="T103" s="538"/>
      <c r="U103" s="538"/>
      <c r="V103" s="538"/>
    </row>
    <row r="104" spans="1:22" x14ac:dyDescent="0.2">
      <c r="A104" s="533" t="str">
        <f t="shared" si="106"/>
        <v>Graha Pinda</v>
      </c>
      <c r="B104" s="527" t="str">
        <f t="shared" si="107"/>
        <v>Mars</v>
      </c>
      <c r="C104" s="527">
        <f t="shared" ca="1" si="107"/>
        <v>10</v>
      </c>
      <c r="D104" s="527">
        <f t="shared" ca="1" si="108"/>
        <v>10</v>
      </c>
      <c r="E104" s="527">
        <f t="shared" ca="1" si="108"/>
        <v>0</v>
      </c>
      <c r="F104" s="527">
        <f t="shared" ca="1" si="108"/>
        <v>30</v>
      </c>
      <c r="G104" s="527">
        <f t="shared" ca="1" si="108"/>
        <v>0</v>
      </c>
      <c r="H104" s="527">
        <f t="shared" ca="1" si="108"/>
        <v>8</v>
      </c>
      <c r="I104" s="527">
        <f t="shared" ca="1" si="108"/>
        <v>10</v>
      </c>
      <c r="J104" s="527">
        <f t="shared" ca="1" si="108"/>
        <v>0</v>
      </c>
      <c r="K104" s="527">
        <f t="shared" ca="1" si="108"/>
        <v>5</v>
      </c>
      <c r="O104" s="100">
        <f t="shared" ca="1" si="109"/>
        <v>63</v>
      </c>
      <c r="P104">
        <f t="shared" ca="1" si="110"/>
        <v>58</v>
      </c>
      <c r="Q104" s="100">
        <f t="shared" ca="1" si="111"/>
        <v>58</v>
      </c>
      <c r="S104" s="538"/>
      <c r="T104" s="538"/>
      <c r="U104" s="538"/>
      <c r="V104" s="538"/>
    </row>
    <row r="105" spans="1:22" x14ac:dyDescent="0.2">
      <c r="A105" s="533" t="str">
        <f t="shared" si="106"/>
        <v>Graha Pinda</v>
      </c>
      <c r="B105" s="527" t="str">
        <f t="shared" si="107"/>
        <v>Moon</v>
      </c>
      <c r="C105" s="527">
        <f t="shared" ca="1" si="107"/>
        <v>2</v>
      </c>
      <c r="D105" s="527">
        <f t="shared" ca="1" si="108"/>
        <v>10</v>
      </c>
      <c r="E105" s="527">
        <f t="shared" ca="1" si="108"/>
        <v>0</v>
      </c>
      <c r="F105" s="527">
        <f t="shared" ca="1" si="108"/>
        <v>10</v>
      </c>
      <c r="G105" s="527">
        <f t="shared" ca="1" si="108"/>
        <v>0</v>
      </c>
      <c r="H105" s="527">
        <f t="shared" ca="1" si="108"/>
        <v>0</v>
      </c>
      <c r="I105" s="527">
        <f t="shared" ca="1" si="108"/>
        <v>10</v>
      </c>
      <c r="J105" s="527">
        <f t="shared" ca="1" si="108"/>
        <v>0</v>
      </c>
      <c r="K105" s="527">
        <f t="shared" ca="1" si="108"/>
        <v>0</v>
      </c>
      <c r="O105" s="100">
        <f t="shared" ca="1" si="109"/>
        <v>30</v>
      </c>
      <c r="P105">
        <f t="shared" ca="1" si="110"/>
        <v>30</v>
      </c>
      <c r="Q105" s="100">
        <f t="shared" ca="1" si="111"/>
        <v>30</v>
      </c>
      <c r="S105" s="538"/>
      <c r="T105" s="538"/>
      <c r="U105" s="538"/>
      <c r="V105" s="538"/>
    </row>
    <row r="106" spans="1:22" x14ac:dyDescent="0.2">
      <c r="A106" s="533" t="str">
        <f t="shared" si="106"/>
        <v>Graha Pinda</v>
      </c>
      <c r="B106" s="527" t="str">
        <f t="shared" si="107"/>
        <v>Sun</v>
      </c>
      <c r="C106" s="527">
        <f t="shared" ca="1" si="107"/>
        <v>4</v>
      </c>
      <c r="D106" s="527">
        <f t="shared" ca="1" si="108"/>
        <v>10</v>
      </c>
      <c r="E106" s="527">
        <f t="shared" ca="1" si="108"/>
        <v>0</v>
      </c>
      <c r="F106" s="527">
        <f t="shared" ca="1" si="108"/>
        <v>0</v>
      </c>
      <c r="G106" s="527">
        <f t="shared" ca="1" si="108"/>
        <v>0</v>
      </c>
      <c r="H106" s="527">
        <f t="shared" ca="1" si="108"/>
        <v>8</v>
      </c>
      <c r="I106" s="527">
        <f t="shared" ca="1" si="108"/>
        <v>10</v>
      </c>
      <c r="J106" s="527">
        <f t="shared" ca="1" si="108"/>
        <v>0</v>
      </c>
      <c r="K106" s="527">
        <f t="shared" ca="1" si="108"/>
        <v>0</v>
      </c>
      <c r="O106" s="100">
        <f t="shared" ca="1" si="109"/>
        <v>28</v>
      </c>
      <c r="P106">
        <f t="shared" ca="1" si="110"/>
        <v>28</v>
      </c>
      <c r="Q106" s="100">
        <f t="shared" ca="1" si="111"/>
        <v>28</v>
      </c>
      <c r="S106" s="538"/>
      <c r="T106" s="538"/>
      <c r="U106" s="538"/>
      <c r="V106" s="538"/>
    </row>
    <row r="107" spans="1:22" x14ac:dyDescent="0.2">
      <c r="A107" s="533" t="str">
        <f t="shared" si="106"/>
        <v>Graha Pinda</v>
      </c>
      <c r="B107" s="527" t="str">
        <f t="shared" si="107"/>
        <v>Lagna</v>
      </c>
      <c r="C107" s="527">
        <f t="shared" ca="1" si="107"/>
        <v>5</v>
      </c>
      <c r="D107" s="527">
        <f t="shared" ca="1" si="108"/>
        <v>10</v>
      </c>
      <c r="E107" s="527">
        <f t="shared" ca="1" si="108"/>
        <v>0</v>
      </c>
      <c r="F107" s="527">
        <f t="shared" ca="1" si="108"/>
        <v>0</v>
      </c>
      <c r="G107" s="527">
        <f t="shared" ca="1" si="108"/>
        <v>15</v>
      </c>
      <c r="H107" s="527">
        <f t="shared" ca="1" si="108"/>
        <v>0</v>
      </c>
      <c r="I107" s="527">
        <f t="shared" ca="1" si="108"/>
        <v>10</v>
      </c>
      <c r="J107" s="527">
        <f t="shared" ca="1" si="108"/>
        <v>15</v>
      </c>
      <c r="K107" s="527">
        <f t="shared" ca="1" si="108"/>
        <v>5</v>
      </c>
      <c r="O107" s="100">
        <f t="shared" ca="1" si="109"/>
        <v>55</v>
      </c>
      <c r="P107">
        <f t="shared" ca="1" si="110"/>
        <v>50</v>
      </c>
      <c r="Q107" s="100">
        <f t="shared" ca="1" si="111"/>
        <v>50</v>
      </c>
      <c r="S107" s="538"/>
      <c r="T107" s="538"/>
      <c r="U107" s="538"/>
      <c r="V107" s="538"/>
    </row>
    <row r="108" spans="1:22" ht="14.25" x14ac:dyDescent="0.2">
      <c r="A108" s="533" t="str">
        <f t="shared" si="106"/>
        <v>Graha Pinda</v>
      </c>
      <c r="C108" s="527"/>
      <c r="S108" s="538"/>
      <c r="T108" s="538"/>
      <c r="U108" s="538"/>
      <c r="V108" s="538"/>
    </row>
    <row r="109" spans="1:22" ht="14.25" x14ac:dyDescent="0.2">
      <c r="A109" s="533" t="str">
        <f t="shared" si="106"/>
        <v>Graha Pinda</v>
      </c>
      <c r="C109" s="527"/>
      <c r="S109" s="538"/>
      <c r="T109" s="538"/>
      <c r="U109" s="538"/>
      <c r="V109" s="538"/>
    </row>
    <row r="110" spans="1:22" ht="18.75" thickBot="1" x14ac:dyDescent="0.3">
      <c r="A110" s="533" t="str">
        <f>B110</f>
        <v>Pinda Nakshatra+</v>
      </c>
      <c r="B110" s="1545" t="s">
        <v>1457</v>
      </c>
      <c r="C110" s="1545"/>
      <c r="D110" s="1545"/>
      <c r="E110" s="1545"/>
      <c r="F110" s="1545"/>
      <c r="G110" s="1545"/>
      <c r="H110" s="1545"/>
      <c r="I110" s="1545"/>
      <c r="J110" s="1545"/>
      <c r="K110" s="1545"/>
      <c r="L110" s="1545"/>
      <c r="M110" s="1545"/>
      <c r="N110" s="1545"/>
      <c r="O110" s="1545"/>
      <c r="S110" s="538"/>
      <c r="T110" s="538"/>
      <c r="U110" s="538"/>
      <c r="V110" s="538"/>
    </row>
    <row r="111" spans="1:22" thickTop="1" x14ac:dyDescent="0.2">
      <c r="A111" s="533" t="str">
        <f t="shared" ref="A111:A119" si="112">A110</f>
        <v>Pinda Nakshatra+</v>
      </c>
      <c r="B111" s="527" t="s">
        <v>1505</v>
      </c>
      <c r="C111" s="544" t="str">
        <f t="shared" ref="C111:O111" si="113">C16</f>
        <v>Sign#</v>
      </c>
      <c r="D111" s="527">
        <f t="shared" si="113"/>
        <v>1</v>
      </c>
      <c r="E111" s="527">
        <f t="shared" si="113"/>
        <v>2</v>
      </c>
      <c r="F111" s="527">
        <f t="shared" si="113"/>
        <v>3</v>
      </c>
      <c r="G111" s="527">
        <f t="shared" si="113"/>
        <v>4</v>
      </c>
      <c r="H111" s="527">
        <f t="shared" si="113"/>
        <v>5</v>
      </c>
      <c r="I111" s="527">
        <f t="shared" si="113"/>
        <v>6</v>
      </c>
      <c r="J111" s="527">
        <f t="shared" si="113"/>
        <v>7</v>
      </c>
      <c r="K111" s="527">
        <f t="shared" si="113"/>
        <v>8</v>
      </c>
      <c r="L111" s="527">
        <f t="shared" si="113"/>
        <v>9</v>
      </c>
      <c r="M111" s="527">
        <f t="shared" si="113"/>
        <v>10</v>
      </c>
      <c r="N111" s="527">
        <f t="shared" si="113"/>
        <v>11</v>
      </c>
      <c r="O111" s="527">
        <f t="shared" si="113"/>
        <v>12</v>
      </c>
      <c r="Q111" s="105" t="s">
        <v>1458</v>
      </c>
      <c r="S111" s="538"/>
      <c r="T111" s="538"/>
      <c r="U111" s="538"/>
      <c r="V111" s="538"/>
    </row>
    <row r="112" spans="1:22" ht="14.25" x14ac:dyDescent="0.2">
      <c r="A112" s="533" t="str">
        <f t="shared" si="112"/>
        <v>Pinda Nakshatra+</v>
      </c>
      <c r="B112" s="527" t="str">
        <f t="shared" ref="B112:C119" si="114">B17</f>
        <v>Saturn</v>
      </c>
      <c r="C112" s="544">
        <f t="shared" ca="1" si="114"/>
        <v>2</v>
      </c>
      <c r="D112" s="527">
        <f t="shared" ref="D112:O112" ca="1" si="115">MOD($Q112*D17,27)</f>
        <v>23</v>
      </c>
      <c r="E112" s="527">
        <f t="shared" ca="1" si="115"/>
        <v>22</v>
      </c>
      <c r="F112" s="527">
        <f t="shared" ca="1" si="115"/>
        <v>24</v>
      </c>
      <c r="G112" s="527">
        <f t="shared" ca="1" si="115"/>
        <v>24</v>
      </c>
      <c r="H112" s="527">
        <f t="shared" ca="1" si="115"/>
        <v>25</v>
      </c>
      <c r="I112" s="527">
        <f t="shared" ca="1" si="115"/>
        <v>25</v>
      </c>
      <c r="J112" s="527">
        <f t="shared" ca="1" si="115"/>
        <v>21</v>
      </c>
      <c r="K112" s="527">
        <f t="shared" ca="1" si="115"/>
        <v>24</v>
      </c>
      <c r="L112" s="527">
        <f t="shared" ca="1" si="115"/>
        <v>25</v>
      </c>
      <c r="M112" s="527">
        <f t="shared" ca="1" si="115"/>
        <v>25</v>
      </c>
      <c r="N112" s="527">
        <f t="shared" ca="1" si="115"/>
        <v>25</v>
      </c>
      <c r="O112" s="527">
        <f t="shared" ca="1" si="115"/>
        <v>22</v>
      </c>
      <c r="Q112" s="527">
        <f t="shared" ref="Q112:Q119" ca="1" si="116">P86+Q100</f>
        <v>134</v>
      </c>
      <c r="S112" s="538"/>
      <c r="T112" s="538"/>
      <c r="U112" s="538"/>
      <c r="V112" s="538"/>
    </row>
    <row r="113" spans="1:22" ht="14.25" x14ac:dyDescent="0.2">
      <c r="A113" s="533" t="str">
        <f t="shared" si="112"/>
        <v>Pinda Nakshatra+</v>
      </c>
      <c r="B113" s="527" t="str">
        <f t="shared" si="114"/>
        <v>Venus</v>
      </c>
      <c r="C113" s="544">
        <f t="shared" ca="1" si="114"/>
        <v>3</v>
      </c>
      <c r="D113" s="527">
        <f t="shared" ref="D113:O113" ca="1" si="117">MOD($Q113*D18,27)</f>
        <v>5</v>
      </c>
      <c r="E113" s="527">
        <f t="shared" ca="1" si="117"/>
        <v>24</v>
      </c>
      <c r="F113" s="527">
        <f t="shared" ca="1" si="117"/>
        <v>21</v>
      </c>
      <c r="G113" s="527">
        <f t="shared" ca="1" si="117"/>
        <v>5</v>
      </c>
      <c r="H113" s="527">
        <f t="shared" ca="1" si="117"/>
        <v>13</v>
      </c>
      <c r="I113" s="527">
        <f t="shared" ca="1" si="117"/>
        <v>2</v>
      </c>
      <c r="J113" s="527">
        <f t="shared" ca="1" si="117"/>
        <v>16</v>
      </c>
      <c r="K113" s="527">
        <f t="shared" ca="1" si="117"/>
        <v>24</v>
      </c>
      <c r="L113" s="527">
        <f t="shared" ca="1" si="117"/>
        <v>13</v>
      </c>
      <c r="M113" s="527">
        <f t="shared" ca="1" si="117"/>
        <v>24</v>
      </c>
      <c r="N113" s="527">
        <f t="shared" ca="1" si="117"/>
        <v>24</v>
      </c>
      <c r="O113" s="527">
        <f t="shared" ca="1" si="117"/>
        <v>2</v>
      </c>
      <c r="Q113" s="527">
        <f t="shared" ca="1" si="116"/>
        <v>116</v>
      </c>
      <c r="S113" s="538"/>
      <c r="T113" s="538"/>
      <c r="U113" s="538"/>
      <c r="V113" s="538"/>
    </row>
    <row r="114" spans="1:22" ht="14.25" x14ac:dyDescent="0.2">
      <c r="A114" s="533" t="str">
        <f t="shared" si="112"/>
        <v>Pinda Nakshatra+</v>
      </c>
      <c r="B114" s="527" t="str">
        <f t="shared" si="114"/>
        <v>Jupiter</v>
      </c>
      <c r="C114" s="544">
        <f t="shared" ca="1" si="114"/>
        <v>8</v>
      </c>
      <c r="D114" s="527">
        <f t="shared" ref="D114:O114" ca="1" si="118">MOD($Q114*D19,27)</f>
        <v>6</v>
      </c>
      <c r="E114" s="527">
        <f t="shared" ca="1" si="118"/>
        <v>22</v>
      </c>
      <c r="F114" s="527">
        <f t="shared" ca="1" si="118"/>
        <v>3</v>
      </c>
      <c r="G114" s="527">
        <f t="shared" ca="1" si="118"/>
        <v>14</v>
      </c>
      <c r="H114" s="527">
        <f t="shared" ca="1" si="118"/>
        <v>14</v>
      </c>
      <c r="I114" s="527">
        <f t="shared" ca="1" si="118"/>
        <v>14</v>
      </c>
      <c r="J114" s="527">
        <f t="shared" ca="1" si="118"/>
        <v>14</v>
      </c>
      <c r="K114" s="527">
        <f t="shared" ca="1" si="118"/>
        <v>6</v>
      </c>
      <c r="L114" s="527">
        <f t="shared" ca="1" si="118"/>
        <v>3</v>
      </c>
      <c r="M114" s="527">
        <f t="shared" ca="1" si="118"/>
        <v>14</v>
      </c>
      <c r="N114" s="527">
        <f t="shared" ca="1" si="118"/>
        <v>14</v>
      </c>
      <c r="O114" s="527">
        <f t="shared" ca="1" si="118"/>
        <v>22</v>
      </c>
      <c r="Q114" s="527">
        <f t="shared" ca="1" si="116"/>
        <v>127</v>
      </c>
      <c r="S114" s="538"/>
      <c r="T114" s="538"/>
      <c r="U114" s="538"/>
      <c r="V114" s="538"/>
    </row>
    <row r="115" spans="1:22" ht="14.25" x14ac:dyDescent="0.2">
      <c r="A115" s="533" t="str">
        <f t="shared" si="112"/>
        <v>Pinda Nakshatra+</v>
      </c>
      <c r="B115" s="527" t="str">
        <f t="shared" si="114"/>
        <v>Mercury</v>
      </c>
      <c r="C115" s="544">
        <f t="shared" ca="1" si="114"/>
        <v>4</v>
      </c>
      <c r="D115" s="527">
        <f t="shared" ref="D115:O115" ca="1" si="119">MOD($Q115*D20,27)</f>
        <v>1</v>
      </c>
      <c r="E115" s="527">
        <f t="shared" ca="1" si="119"/>
        <v>1</v>
      </c>
      <c r="F115" s="527">
        <f t="shared" ca="1" si="119"/>
        <v>22</v>
      </c>
      <c r="G115" s="527">
        <f t="shared" ca="1" si="119"/>
        <v>21</v>
      </c>
      <c r="H115" s="527">
        <f t="shared" ca="1" si="119"/>
        <v>8</v>
      </c>
      <c r="I115" s="527">
        <f t="shared" ca="1" si="119"/>
        <v>8</v>
      </c>
      <c r="J115" s="527">
        <f t="shared" ca="1" si="119"/>
        <v>1</v>
      </c>
      <c r="K115" s="527">
        <f t="shared" ca="1" si="119"/>
        <v>8</v>
      </c>
      <c r="L115" s="527">
        <f t="shared" ca="1" si="119"/>
        <v>1</v>
      </c>
      <c r="M115" s="527">
        <f t="shared" ca="1" si="119"/>
        <v>1</v>
      </c>
      <c r="N115" s="527">
        <f t="shared" ca="1" si="119"/>
        <v>1</v>
      </c>
      <c r="O115" s="527">
        <f t="shared" ca="1" si="119"/>
        <v>8</v>
      </c>
      <c r="Q115" s="527">
        <f t="shared" ca="1" si="116"/>
        <v>115</v>
      </c>
      <c r="S115" s="538"/>
      <c r="T115" s="538"/>
      <c r="U115" s="538"/>
      <c r="V115" s="538"/>
    </row>
    <row r="116" spans="1:22" ht="14.25" x14ac:dyDescent="0.2">
      <c r="A116" s="533" t="str">
        <f t="shared" si="112"/>
        <v>Pinda Nakshatra+</v>
      </c>
      <c r="B116" s="527" t="str">
        <f t="shared" si="114"/>
        <v>Mars</v>
      </c>
      <c r="C116" s="544">
        <f t="shared" ca="1" si="114"/>
        <v>10</v>
      </c>
      <c r="D116" s="527">
        <f t="shared" ref="D116:O116" ca="1" si="120">MOD($Q116*D21,27)</f>
        <v>11</v>
      </c>
      <c r="E116" s="527">
        <f t="shared" ca="1" si="120"/>
        <v>7</v>
      </c>
      <c r="F116" s="527">
        <f t="shared" ca="1" si="120"/>
        <v>23</v>
      </c>
      <c r="G116" s="527">
        <f t="shared" ca="1" si="120"/>
        <v>19</v>
      </c>
      <c r="H116" s="527">
        <f t="shared" ca="1" si="120"/>
        <v>11</v>
      </c>
      <c r="I116" s="527">
        <f t="shared" ca="1" si="120"/>
        <v>15</v>
      </c>
      <c r="J116" s="527">
        <f t="shared" ca="1" si="120"/>
        <v>11</v>
      </c>
      <c r="K116" s="527">
        <f t="shared" ca="1" si="120"/>
        <v>7</v>
      </c>
      <c r="L116" s="527">
        <f t="shared" ca="1" si="120"/>
        <v>15</v>
      </c>
      <c r="M116" s="527">
        <f t="shared" ca="1" si="120"/>
        <v>11</v>
      </c>
      <c r="N116" s="527">
        <f t="shared" ca="1" si="120"/>
        <v>19</v>
      </c>
      <c r="O116" s="527">
        <f t="shared" ca="1" si="120"/>
        <v>19</v>
      </c>
      <c r="Q116" s="527">
        <f t="shared" ca="1" si="116"/>
        <v>131</v>
      </c>
      <c r="S116" s="538"/>
      <c r="T116" s="538"/>
      <c r="U116" s="538"/>
      <c r="V116" s="538"/>
    </row>
    <row r="117" spans="1:22" ht="14.25" x14ac:dyDescent="0.2">
      <c r="A117" s="533" t="str">
        <f t="shared" si="112"/>
        <v>Pinda Nakshatra+</v>
      </c>
      <c r="B117" s="527" t="str">
        <f t="shared" si="114"/>
        <v>Moon</v>
      </c>
      <c r="C117" s="544">
        <f t="shared" ca="1" si="114"/>
        <v>2</v>
      </c>
      <c r="D117" s="527">
        <f t="shared" ref="D117:O117" ca="1" si="121">MOD($Q117*D22,27)</f>
        <v>6</v>
      </c>
      <c r="E117" s="527">
        <f t="shared" ca="1" si="121"/>
        <v>12</v>
      </c>
      <c r="F117" s="527">
        <f t="shared" ca="1" si="121"/>
        <v>6</v>
      </c>
      <c r="G117" s="527">
        <f t="shared" ca="1" si="121"/>
        <v>6</v>
      </c>
      <c r="H117" s="527">
        <f t="shared" ca="1" si="121"/>
        <v>4</v>
      </c>
      <c r="I117" s="527">
        <f t="shared" ca="1" si="121"/>
        <v>10</v>
      </c>
      <c r="J117" s="527">
        <f t="shared" ca="1" si="121"/>
        <v>12</v>
      </c>
      <c r="K117" s="527">
        <f t="shared" ca="1" si="121"/>
        <v>8</v>
      </c>
      <c r="L117" s="527">
        <f t="shared" ca="1" si="121"/>
        <v>6</v>
      </c>
      <c r="M117" s="527">
        <f t="shared" ca="1" si="121"/>
        <v>8</v>
      </c>
      <c r="N117" s="527">
        <f t="shared" ca="1" si="121"/>
        <v>12</v>
      </c>
      <c r="O117" s="527">
        <f t="shared" ca="1" si="121"/>
        <v>8</v>
      </c>
      <c r="Q117" s="527">
        <f t="shared" ca="1" si="116"/>
        <v>110</v>
      </c>
      <c r="S117" s="538"/>
      <c r="T117" s="538"/>
      <c r="U117" s="538"/>
      <c r="V117" s="538"/>
    </row>
    <row r="118" spans="1:22" ht="14.25" x14ac:dyDescent="0.2">
      <c r="A118" s="533" t="str">
        <f t="shared" si="112"/>
        <v>Pinda Nakshatra+</v>
      </c>
      <c r="B118" s="527" t="str">
        <f t="shared" si="114"/>
        <v>Sun</v>
      </c>
      <c r="C118" s="544">
        <f t="shared" ca="1" si="114"/>
        <v>4</v>
      </c>
      <c r="D118" s="527">
        <f t="shared" ref="D118:O118" ca="1" si="122">MOD($Q118*D23,27)</f>
        <v>24</v>
      </c>
      <c r="E118" s="527">
        <f t="shared" ca="1" si="122"/>
        <v>3</v>
      </c>
      <c r="F118" s="527">
        <f t="shared" ca="1" si="122"/>
        <v>18</v>
      </c>
      <c r="G118" s="527">
        <f t="shared" ca="1" si="122"/>
        <v>3</v>
      </c>
      <c r="H118" s="527">
        <f t="shared" ca="1" si="122"/>
        <v>18</v>
      </c>
      <c r="I118" s="527">
        <f t="shared" ca="1" si="122"/>
        <v>18</v>
      </c>
      <c r="J118" s="527">
        <f t="shared" ca="1" si="122"/>
        <v>24</v>
      </c>
      <c r="K118" s="527">
        <f t="shared" ca="1" si="122"/>
        <v>3</v>
      </c>
      <c r="L118" s="527">
        <f t="shared" ca="1" si="122"/>
        <v>18</v>
      </c>
      <c r="M118" s="527">
        <f t="shared" ca="1" si="122"/>
        <v>24</v>
      </c>
      <c r="N118" s="527">
        <f t="shared" ca="1" si="122"/>
        <v>24</v>
      </c>
      <c r="O118" s="527">
        <f t="shared" ca="1" si="122"/>
        <v>3</v>
      </c>
      <c r="Q118" s="527">
        <f t="shared" ca="1" si="116"/>
        <v>60</v>
      </c>
      <c r="S118" s="538"/>
      <c r="T118" s="538"/>
      <c r="U118" s="538"/>
      <c r="V118" s="538"/>
    </row>
    <row r="119" spans="1:22" ht="14.25" x14ac:dyDescent="0.2">
      <c r="A119" s="533" t="str">
        <f t="shared" si="112"/>
        <v>Pinda Nakshatra+</v>
      </c>
      <c r="B119" s="527" t="str">
        <f t="shared" si="114"/>
        <v>Lagna</v>
      </c>
      <c r="C119" s="544">
        <f t="shared" ca="1" si="114"/>
        <v>5</v>
      </c>
      <c r="D119" s="527">
        <f t="shared" ref="D119:O119" ca="1" si="123">MOD($Q119*D24,27)</f>
        <v>25</v>
      </c>
      <c r="E119" s="527">
        <f t="shared" ca="1" si="123"/>
        <v>11</v>
      </c>
      <c r="F119" s="527">
        <f t="shared" ca="1" si="123"/>
        <v>25</v>
      </c>
      <c r="G119" s="527">
        <f t="shared" ca="1" si="123"/>
        <v>11</v>
      </c>
      <c r="H119" s="527">
        <f t="shared" ca="1" si="123"/>
        <v>25</v>
      </c>
      <c r="I119" s="527">
        <f t="shared" ca="1" si="123"/>
        <v>12</v>
      </c>
      <c r="J119" s="527">
        <f t="shared" ca="1" si="123"/>
        <v>10</v>
      </c>
      <c r="K119" s="527">
        <f t="shared" ca="1" si="123"/>
        <v>26</v>
      </c>
      <c r="L119" s="527">
        <f t="shared" ca="1" si="123"/>
        <v>12</v>
      </c>
      <c r="M119" s="527">
        <f t="shared" ca="1" si="123"/>
        <v>12</v>
      </c>
      <c r="N119" s="527">
        <f t="shared" ca="1" si="123"/>
        <v>11</v>
      </c>
      <c r="O119" s="527">
        <f t="shared" ca="1" si="123"/>
        <v>25</v>
      </c>
      <c r="Q119" s="527">
        <f t="shared" ca="1" si="116"/>
        <v>148</v>
      </c>
      <c r="S119" s="538"/>
      <c r="T119" s="538"/>
      <c r="U119" s="538"/>
      <c r="V119" s="538"/>
    </row>
    <row r="120" spans="1:22" ht="18.75" thickBot="1" x14ac:dyDescent="0.3">
      <c r="A120" s="533" t="str">
        <f>B120</f>
        <v>Pinda Rashi+</v>
      </c>
      <c r="B120" s="1545" t="s">
        <v>1459</v>
      </c>
      <c r="C120" s="1545"/>
      <c r="D120" s="1545"/>
      <c r="E120" s="1545"/>
      <c r="F120" s="1545"/>
      <c r="G120" s="1545"/>
      <c r="H120" s="1545"/>
      <c r="I120" s="1545"/>
      <c r="J120" s="1545"/>
      <c r="K120" s="1545"/>
      <c r="L120" s="1545"/>
      <c r="M120" s="1545"/>
      <c r="N120" s="1545"/>
      <c r="O120" s="1545"/>
      <c r="S120" s="538"/>
      <c r="T120" s="538"/>
      <c r="U120" s="538"/>
      <c r="V120" s="538"/>
    </row>
    <row r="121" spans="1:22" thickTop="1" x14ac:dyDescent="0.2">
      <c r="A121" s="533" t="str">
        <f t="shared" ref="A121:A129" si="124">A120</f>
        <v>Pinda Rashi+</v>
      </c>
      <c r="B121" s="527" t="s">
        <v>1720</v>
      </c>
      <c r="C121" s="544" t="str">
        <f t="shared" ref="C121:O121" si="125">C16</f>
        <v>Sign#</v>
      </c>
      <c r="D121" s="527">
        <f t="shared" si="125"/>
        <v>1</v>
      </c>
      <c r="E121" s="527">
        <f t="shared" si="125"/>
        <v>2</v>
      </c>
      <c r="F121" s="527">
        <f t="shared" si="125"/>
        <v>3</v>
      </c>
      <c r="G121" s="527">
        <f t="shared" si="125"/>
        <v>4</v>
      </c>
      <c r="H121" s="527">
        <f t="shared" si="125"/>
        <v>5</v>
      </c>
      <c r="I121" s="527">
        <f t="shared" si="125"/>
        <v>6</v>
      </c>
      <c r="J121" s="527">
        <f t="shared" si="125"/>
        <v>7</v>
      </c>
      <c r="K121" s="527">
        <f t="shared" si="125"/>
        <v>8</v>
      </c>
      <c r="L121" s="527">
        <f t="shared" si="125"/>
        <v>9</v>
      </c>
      <c r="M121" s="527">
        <f t="shared" si="125"/>
        <v>10</v>
      </c>
      <c r="N121" s="527">
        <f t="shared" si="125"/>
        <v>11</v>
      </c>
      <c r="O121" s="527">
        <f t="shared" si="125"/>
        <v>12</v>
      </c>
      <c r="Q121" s="100" t="str">
        <f t="shared" ref="Q121:Q129" si="126">Q111</f>
        <v>YP</v>
      </c>
      <c r="S121" s="538"/>
      <c r="T121" s="538"/>
      <c r="U121" s="538"/>
      <c r="V121" s="538"/>
    </row>
    <row r="122" spans="1:22" ht="14.25" x14ac:dyDescent="0.2">
      <c r="A122" s="533" t="str">
        <f t="shared" si="124"/>
        <v>Pinda Rashi+</v>
      </c>
      <c r="B122" s="527" t="str">
        <f t="shared" ref="B122:C129" si="127">B17</f>
        <v>Saturn</v>
      </c>
      <c r="C122" s="544">
        <f t="shared" ca="1" si="127"/>
        <v>2</v>
      </c>
      <c r="D122" s="527">
        <f t="shared" ref="D122:O122" ca="1" si="128">MOD(D17*$Q122,12)</f>
        <v>8</v>
      </c>
      <c r="E122" s="527">
        <f t="shared" ca="1" si="128"/>
        <v>10</v>
      </c>
      <c r="F122" s="527">
        <f t="shared" ca="1" si="128"/>
        <v>6</v>
      </c>
      <c r="G122" s="527">
        <f t="shared" ca="1" si="128"/>
        <v>6</v>
      </c>
      <c r="H122" s="527">
        <f t="shared" ca="1" si="128"/>
        <v>4</v>
      </c>
      <c r="I122" s="527">
        <f t="shared" ca="1" si="128"/>
        <v>4</v>
      </c>
      <c r="J122" s="527">
        <f t="shared" ca="1" si="128"/>
        <v>0</v>
      </c>
      <c r="K122" s="527">
        <f t="shared" ca="1" si="128"/>
        <v>6</v>
      </c>
      <c r="L122" s="527">
        <f t="shared" ca="1" si="128"/>
        <v>4</v>
      </c>
      <c r="M122" s="527">
        <f t="shared" ca="1" si="128"/>
        <v>4</v>
      </c>
      <c r="N122" s="527">
        <f t="shared" ca="1" si="128"/>
        <v>4</v>
      </c>
      <c r="O122" s="527">
        <f t="shared" ca="1" si="128"/>
        <v>10</v>
      </c>
      <c r="Q122" s="100">
        <f t="shared" ca="1" si="126"/>
        <v>134</v>
      </c>
      <c r="S122" s="538"/>
      <c r="T122" s="538"/>
      <c r="U122" s="538"/>
      <c r="V122" s="538"/>
    </row>
    <row r="123" spans="1:22" ht="14.25" x14ac:dyDescent="0.2">
      <c r="A123" s="533" t="str">
        <f t="shared" si="124"/>
        <v>Pinda Rashi+</v>
      </c>
      <c r="B123" s="527" t="str">
        <f t="shared" si="127"/>
        <v>Venus</v>
      </c>
      <c r="C123" s="544">
        <f t="shared" ca="1" si="127"/>
        <v>3</v>
      </c>
      <c r="D123" s="527">
        <f t="shared" ref="D123:O123" ca="1" si="129">MOD(D18*$Q123,12)</f>
        <v>8</v>
      </c>
      <c r="E123" s="527">
        <f t="shared" ca="1" si="129"/>
        <v>0</v>
      </c>
      <c r="F123" s="527">
        <f t="shared" ca="1" si="129"/>
        <v>0</v>
      </c>
      <c r="G123" s="527">
        <f t="shared" ca="1" si="129"/>
        <v>8</v>
      </c>
      <c r="H123" s="527">
        <f t="shared" ca="1" si="129"/>
        <v>4</v>
      </c>
      <c r="I123" s="527">
        <f t="shared" ca="1" si="129"/>
        <v>8</v>
      </c>
      <c r="J123" s="527">
        <f t="shared" ca="1" si="129"/>
        <v>4</v>
      </c>
      <c r="K123" s="527">
        <f t="shared" ca="1" si="129"/>
        <v>0</v>
      </c>
      <c r="L123" s="527">
        <f t="shared" ca="1" si="129"/>
        <v>4</v>
      </c>
      <c r="M123" s="527">
        <f t="shared" ca="1" si="129"/>
        <v>0</v>
      </c>
      <c r="N123" s="527">
        <f t="shared" ca="1" si="129"/>
        <v>0</v>
      </c>
      <c r="O123" s="527">
        <f t="shared" ca="1" si="129"/>
        <v>8</v>
      </c>
      <c r="Q123" s="100">
        <f t="shared" ca="1" si="126"/>
        <v>116</v>
      </c>
      <c r="S123" s="538"/>
      <c r="T123" s="538"/>
      <c r="U123" s="538"/>
      <c r="V123" s="538"/>
    </row>
    <row r="124" spans="1:22" ht="14.25" x14ac:dyDescent="0.2">
      <c r="A124" s="533" t="str">
        <f t="shared" si="124"/>
        <v>Pinda Rashi+</v>
      </c>
      <c r="B124" s="527" t="str">
        <f t="shared" si="127"/>
        <v>Jupiter</v>
      </c>
      <c r="C124" s="544">
        <f t="shared" ca="1" si="127"/>
        <v>8</v>
      </c>
      <c r="D124" s="527">
        <f t="shared" ref="D124:O124" ca="1" si="130">MOD(D19*$Q124,12)</f>
        <v>6</v>
      </c>
      <c r="E124" s="527">
        <f t="shared" ca="1" si="130"/>
        <v>4</v>
      </c>
      <c r="F124" s="527">
        <f t="shared" ca="1" si="130"/>
        <v>9</v>
      </c>
      <c r="G124" s="527">
        <f t="shared" ca="1" si="130"/>
        <v>11</v>
      </c>
      <c r="H124" s="527">
        <f t="shared" ca="1" si="130"/>
        <v>11</v>
      </c>
      <c r="I124" s="527">
        <f t="shared" ca="1" si="130"/>
        <v>11</v>
      </c>
      <c r="J124" s="527">
        <f t="shared" ca="1" si="130"/>
        <v>11</v>
      </c>
      <c r="K124" s="527">
        <f t="shared" ca="1" si="130"/>
        <v>6</v>
      </c>
      <c r="L124" s="527">
        <f t="shared" ca="1" si="130"/>
        <v>9</v>
      </c>
      <c r="M124" s="527">
        <f t="shared" ca="1" si="130"/>
        <v>11</v>
      </c>
      <c r="N124" s="527">
        <f t="shared" ca="1" si="130"/>
        <v>11</v>
      </c>
      <c r="O124" s="527">
        <f t="shared" ca="1" si="130"/>
        <v>4</v>
      </c>
      <c r="Q124" s="100">
        <f t="shared" ca="1" si="126"/>
        <v>127</v>
      </c>
      <c r="S124" s="538"/>
      <c r="T124" s="538"/>
      <c r="U124" s="538"/>
      <c r="V124" s="538"/>
    </row>
    <row r="125" spans="1:22" ht="14.25" x14ac:dyDescent="0.2">
      <c r="A125" s="533" t="str">
        <f t="shared" si="124"/>
        <v>Pinda Rashi+</v>
      </c>
      <c r="B125" s="527" t="str">
        <f t="shared" si="127"/>
        <v>Mercury</v>
      </c>
      <c r="C125" s="544">
        <f t="shared" ca="1" si="127"/>
        <v>4</v>
      </c>
      <c r="D125" s="527">
        <f t="shared" ref="D125:O125" ca="1" si="131">MOD(D20*$Q125,12)</f>
        <v>4</v>
      </c>
      <c r="E125" s="527">
        <f t="shared" ca="1" si="131"/>
        <v>4</v>
      </c>
      <c r="F125" s="527">
        <f t="shared" ca="1" si="131"/>
        <v>1</v>
      </c>
      <c r="G125" s="527">
        <f t="shared" ca="1" si="131"/>
        <v>9</v>
      </c>
      <c r="H125" s="527">
        <f t="shared" ca="1" si="131"/>
        <v>11</v>
      </c>
      <c r="I125" s="527">
        <f t="shared" ca="1" si="131"/>
        <v>11</v>
      </c>
      <c r="J125" s="527">
        <f t="shared" ca="1" si="131"/>
        <v>4</v>
      </c>
      <c r="K125" s="527">
        <f t="shared" ca="1" si="131"/>
        <v>11</v>
      </c>
      <c r="L125" s="527">
        <f t="shared" ca="1" si="131"/>
        <v>4</v>
      </c>
      <c r="M125" s="527">
        <f t="shared" ca="1" si="131"/>
        <v>4</v>
      </c>
      <c r="N125" s="527">
        <f t="shared" ca="1" si="131"/>
        <v>4</v>
      </c>
      <c r="O125" s="527">
        <f t="shared" ca="1" si="131"/>
        <v>11</v>
      </c>
      <c r="Q125" s="100">
        <f t="shared" ca="1" si="126"/>
        <v>115</v>
      </c>
      <c r="S125" s="538"/>
      <c r="T125" s="538"/>
      <c r="U125" s="538"/>
      <c r="V125" s="538"/>
    </row>
    <row r="126" spans="1:22" ht="14.25" x14ac:dyDescent="0.2">
      <c r="A126" s="533" t="str">
        <f t="shared" si="124"/>
        <v>Pinda Rashi+</v>
      </c>
      <c r="B126" s="527" t="str">
        <f t="shared" si="127"/>
        <v>Mars</v>
      </c>
      <c r="C126" s="544">
        <f t="shared" ca="1" si="127"/>
        <v>10</v>
      </c>
      <c r="D126" s="527">
        <f t="shared" ref="D126:O126" ca="1" si="132">MOD(D21*$Q126,12)</f>
        <v>8</v>
      </c>
      <c r="E126" s="527">
        <f t="shared" ca="1" si="132"/>
        <v>7</v>
      </c>
      <c r="F126" s="527">
        <f t="shared" ca="1" si="132"/>
        <v>11</v>
      </c>
      <c r="G126" s="527">
        <f t="shared" ca="1" si="132"/>
        <v>10</v>
      </c>
      <c r="H126" s="527">
        <f t="shared" ca="1" si="132"/>
        <v>8</v>
      </c>
      <c r="I126" s="527">
        <f t="shared" ca="1" si="132"/>
        <v>9</v>
      </c>
      <c r="J126" s="527">
        <f t="shared" ca="1" si="132"/>
        <v>8</v>
      </c>
      <c r="K126" s="527">
        <f t="shared" ca="1" si="132"/>
        <v>7</v>
      </c>
      <c r="L126" s="527">
        <f t="shared" ca="1" si="132"/>
        <v>9</v>
      </c>
      <c r="M126" s="527">
        <f t="shared" ca="1" si="132"/>
        <v>8</v>
      </c>
      <c r="N126" s="527">
        <f t="shared" ca="1" si="132"/>
        <v>10</v>
      </c>
      <c r="O126" s="527">
        <f t="shared" ca="1" si="132"/>
        <v>10</v>
      </c>
      <c r="Q126" s="100">
        <f t="shared" ca="1" si="126"/>
        <v>131</v>
      </c>
      <c r="S126" s="538"/>
      <c r="T126" s="538"/>
      <c r="U126" s="538"/>
      <c r="V126" s="538"/>
    </row>
    <row r="127" spans="1:22" ht="14.25" x14ac:dyDescent="0.2">
      <c r="A127" s="533" t="str">
        <f t="shared" si="124"/>
        <v>Pinda Rashi+</v>
      </c>
      <c r="B127" s="527" t="str">
        <f t="shared" si="127"/>
        <v>Moon</v>
      </c>
      <c r="C127" s="544">
        <f t="shared" ca="1" si="127"/>
        <v>2</v>
      </c>
      <c r="D127" s="527">
        <f t="shared" ref="D127:O127" ca="1" si="133">MOD(D22*$Q127,12)</f>
        <v>6</v>
      </c>
      <c r="E127" s="527">
        <f t="shared" ca="1" si="133"/>
        <v>0</v>
      </c>
      <c r="F127" s="527">
        <f t="shared" ca="1" si="133"/>
        <v>6</v>
      </c>
      <c r="G127" s="527">
        <f t="shared" ca="1" si="133"/>
        <v>6</v>
      </c>
      <c r="H127" s="527">
        <f t="shared" ca="1" si="133"/>
        <v>4</v>
      </c>
      <c r="I127" s="527">
        <f t="shared" ca="1" si="133"/>
        <v>10</v>
      </c>
      <c r="J127" s="527">
        <f t="shared" ca="1" si="133"/>
        <v>0</v>
      </c>
      <c r="K127" s="527">
        <f t="shared" ca="1" si="133"/>
        <v>8</v>
      </c>
      <c r="L127" s="527">
        <f t="shared" ca="1" si="133"/>
        <v>6</v>
      </c>
      <c r="M127" s="527">
        <f t="shared" ca="1" si="133"/>
        <v>8</v>
      </c>
      <c r="N127" s="527">
        <f t="shared" ca="1" si="133"/>
        <v>0</v>
      </c>
      <c r="O127" s="527">
        <f t="shared" ca="1" si="133"/>
        <v>8</v>
      </c>
      <c r="Q127" s="100">
        <f t="shared" ca="1" si="126"/>
        <v>110</v>
      </c>
      <c r="S127" s="538"/>
      <c r="T127" s="538"/>
      <c r="U127" s="538"/>
      <c r="V127" s="538"/>
    </row>
    <row r="128" spans="1:22" ht="14.25" x14ac:dyDescent="0.2">
      <c r="A128" s="533" t="str">
        <f t="shared" si="124"/>
        <v>Pinda Rashi+</v>
      </c>
      <c r="B128" s="527" t="str">
        <f t="shared" si="127"/>
        <v>Sun</v>
      </c>
      <c r="C128" s="544">
        <f t="shared" ca="1" si="127"/>
        <v>4</v>
      </c>
      <c r="D128" s="527">
        <f t="shared" ref="D128:O128" ca="1" si="134">MOD(D23*$Q128,12)</f>
        <v>0</v>
      </c>
      <c r="E128" s="527">
        <f t="shared" ca="1" si="134"/>
        <v>0</v>
      </c>
      <c r="F128" s="527">
        <f t="shared" ca="1" si="134"/>
        <v>0</v>
      </c>
      <c r="G128" s="527">
        <f t="shared" ca="1" si="134"/>
        <v>0</v>
      </c>
      <c r="H128" s="527">
        <f t="shared" ca="1" si="134"/>
        <v>0</v>
      </c>
      <c r="I128" s="527">
        <f t="shared" ca="1" si="134"/>
        <v>0</v>
      </c>
      <c r="J128" s="527">
        <f t="shared" ca="1" si="134"/>
        <v>0</v>
      </c>
      <c r="K128" s="527">
        <f t="shared" ca="1" si="134"/>
        <v>0</v>
      </c>
      <c r="L128" s="527">
        <f t="shared" ca="1" si="134"/>
        <v>0</v>
      </c>
      <c r="M128" s="527">
        <f t="shared" ca="1" si="134"/>
        <v>0</v>
      </c>
      <c r="N128" s="527">
        <f t="shared" ca="1" si="134"/>
        <v>0</v>
      </c>
      <c r="O128" s="527">
        <f t="shared" ca="1" si="134"/>
        <v>0</v>
      </c>
      <c r="Q128" s="100">
        <f t="shared" ca="1" si="126"/>
        <v>60</v>
      </c>
      <c r="S128" s="538"/>
      <c r="T128" s="538"/>
      <c r="U128" s="538"/>
      <c r="V128" s="538"/>
    </row>
    <row r="129" spans="1:22" ht="14.25" x14ac:dyDescent="0.2">
      <c r="A129" s="533" t="str">
        <f t="shared" si="124"/>
        <v>Pinda Rashi+</v>
      </c>
      <c r="B129" s="527" t="str">
        <f t="shared" si="127"/>
        <v>Lagna</v>
      </c>
      <c r="C129" s="544">
        <f t="shared" ca="1" si="127"/>
        <v>5</v>
      </c>
      <c r="D129" s="527">
        <f t="shared" ref="D129:O129" ca="1" si="135">MOD(D24*$Q129,12)</f>
        <v>4</v>
      </c>
      <c r="E129" s="527">
        <f t="shared" ca="1" si="135"/>
        <v>8</v>
      </c>
      <c r="F129" s="527">
        <f t="shared" ca="1" si="135"/>
        <v>4</v>
      </c>
      <c r="G129" s="527">
        <f t="shared" ca="1" si="135"/>
        <v>8</v>
      </c>
      <c r="H129" s="527">
        <f t="shared" ca="1" si="135"/>
        <v>4</v>
      </c>
      <c r="I129" s="527">
        <f t="shared" ca="1" si="135"/>
        <v>0</v>
      </c>
      <c r="J129" s="527">
        <f t="shared" ca="1" si="135"/>
        <v>4</v>
      </c>
      <c r="K129" s="527">
        <f t="shared" ca="1" si="135"/>
        <v>8</v>
      </c>
      <c r="L129" s="527">
        <f t="shared" ca="1" si="135"/>
        <v>0</v>
      </c>
      <c r="M129" s="527">
        <f t="shared" ca="1" si="135"/>
        <v>0</v>
      </c>
      <c r="N129" s="527">
        <f t="shared" ca="1" si="135"/>
        <v>8</v>
      </c>
      <c r="O129" s="527">
        <f t="shared" ca="1" si="135"/>
        <v>4</v>
      </c>
      <c r="Q129" s="100">
        <f t="shared" ca="1" si="126"/>
        <v>148</v>
      </c>
      <c r="S129" s="538"/>
      <c r="T129" s="538"/>
      <c r="U129" s="538"/>
      <c r="V129" s="538"/>
    </row>
    <row r="130" spans="1:22" ht="18.75" thickBot="1" x14ac:dyDescent="0.3">
      <c r="A130" s="533" t="str">
        <f>B130</f>
        <v>Pinda Nakshatra-</v>
      </c>
      <c r="B130" s="1546" t="s">
        <v>1460</v>
      </c>
      <c r="C130" s="1546"/>
      <c r="D130" s="1546"/>
      <c r="E130" s="1546"/>
      <c r="F130" s="1546"/>
      <c r="G130" s="1546"/>
      <c r="H130" s="1546"/>
      <c r="I130" s="1546"/>
      <c r="J130" s="1546"/>
      <c r="K130" s="1546"/>
      <c r="L130" s="1546"/>
      <c r="M130" s="1546"/>
      <c r="N130" s="1546"/>
      <c r="O130" s="1546"/>
      <c r="S130" s="538"/>
      <c r="T130" s="538"/>
      <c r="U130" s="538"/>
      <c r="V130" s="538"/>
    </row>
    <row r="131" spans="1:22" ht="15.75" thickTop="1" x14ac:dyDescent="0.2">
      <c r="A131" s="533" t="str">
        <f t="shared" ref="A131:A149" si="136">A130</f>
        <v>Pinda Nakshatra-</v>
      </c>
      <c r="B131" s="551" t="s">
        <v>1461</v>
      </c>
      <c r="C131" s="552" t="str">
        <f t="shared" ref="C131:O131" si="137">C16</f>
        <v>Sign#</v>
      </c>
      <c r="D131" s="553">
        <f t="shared" si="137"/>
        <v>1</v>
      </c>
      <c r="E131" s="553">
        <f t="shared" si="137"/>
        <v>2</v>
      </c>
      <c r="F131" s="553">
        <f t="shared" si="137"/>
        <v>3</v>
      </c>
      <c r="G131" s="553">
        <f t="shared" si="137"/>
        <v>4</v>
      </c>
      <c r="H131" s="553">
        <f t="shared" si="137"/>
        <v>5</v>
      </c>
      <c r="I131" s="553">
        <f t="shared" si="137"/>
        <v>6</v>
      </c>
      <c r="J131" s="553">
        <f t="shared" si="137"/>
        <v>7</v>
      </c>
      <c r="K131" s="553">
        <f t="shared" si="137"/>
        <v>8</v>
      </c>
      <c r="L131" s="553">
        <f t="shared" si="137"/>
        <v>9</v>
      </c>
      <c r="M131" s="553">
        <f t="shared" si="137"/>
        <v>10</v>
      </c>
      <c r="N131" s="553">
        <f t="shared" si="137"/>
        <v>11</v>
      </c>
      <c r="O131" s="185">
        <f t="shared" si="137"/>
        <v>12</v>
      </c>
      <c r="Q131" s="100" t="str">
        <f t="shared" ref="Q131:Q139" si="138">Q121</f>
        <v>YP</v>
      </c>
      <c r="S131" s="538"/>
      <c r="T131" s="538"/>
      <c r="U131" s="538"/>
      <c r="V131" s="538"/>
    </row>
    <row r="132" spans="1:22" x14ac:dyDescent="0.2">
      <c r="A132" s="533" t="str">
        <f t="shared" si="136"/>
        <v>Pinda Nakshatra-</v>
      </c>
      <c r="B132" s="554" t="str">
        <f t="shared" ref="B132:C139" si="139">B17</f>
        <v>Saturn</v>
      </c>
      <c r="C132" s="552">
        <f t="shared" ca="1" si="139"/>
        <v>2</v>
      </c>
      <c r="D132">
        <f t="shared" ref="D132:O132" ca="1" si="140">MOD((8-D17)*$Q132,27)</f>
        <v>23</v>
      </c>
      <c r="E132">
        <f t="shared" ca="1" si="140"/>
        <v>24</v>
      </c>
      <c r="F132">
        <f t="shared" ca="1" si="140"/>
        <v>22</v>
      </c>
      <c r="G132">
        <f t="shared" ca="1" si="140"/>
        <v>22</v>
      </c>
      <c r="H132">
        <f t="shared" ca="1" si="140"/>
        <v>21</v>
      </c>
      <c r="I132">
        <f t="shared" ca="1" si="140"/>
        <v>21</v>
      </c>
      <c r="J132">
        <f t="shared" ca="1" si="140"/>
        <v>25</v>
      </c>
      <c r="K132">
        <f t="shared" ca="1" si="140"/>
        <v>22</v>
      </c>
      <c r="L132">
        <f t="shared" ca="1" si="140"/>
        <v>21</v>
      </c>
      <c r="M132">
        <f t="shared" ca="1" si="140"/>
        <v>21</v>
      </c>
      <c r="N132">
        <f t="shared" ca="1" si="140"/>
        <v>21</v>
      </c>
      <c r="O132" s="173">
        <f t="shared" ca="1" si="140"/>
        <v>24</v>
      </c>
      <c r="Q132" s="100">
        <f t="shared" ca="1" si="138"/>
        <v>134</v>
      </c>
      <c r="S132" s="538"/>
      <c r="T132" s="538"/>
      <c r="U132" s="538"/>
      <c r="V132" s="538"/>
    </row>
    <row r="133" spans="1:22" x14ac:dyDescent="0.2">
      <c r="A133" s="533" t="str">
        <f t="shared" si="136"/>
        <v>Pinda Nakshatra-</v>
      </c>
      <c r="B133" s="554" t="str">
        <f t="shared" si="139"/>
        <v>Venus</v>
      </c>
      <c r="C133" s="552">
        <f t="shared" ca="1" si="139"/>
        <v>3</v>
      </c>
      <c r="D133">
        <f t="shared" ref="D133:O133" ca="1" si="141">MOD((8-D18)*$Q133,27)</f>
        <v>5</v>
      </c>
      <c r="E133">
        <f t="shared" ca="1" si="141"/>
        <v>13</v>
      </c>
      <c r="F133">
        <f t="shared" ca="1" si="141"/>
        <v>16</v>
      </c>
      <c r="G133">
        <f t="shared" ca="1" si="141"/>
        <v>5</v>
      </c>
      <c r="H133">
        <f t="shared" ca="1" si="141"/>
        <v>24</v>
      </c>
      <c r="I133">
        <f t="shared" ca="1" si="141"/>
        <v>8</v>
      </c>
      <c r="J133">
        <f t="shared" ca="1" si="141"/>
        <v>21</v>
      </c>
      <c r="K133">
        <f t="shared" ca="1" si="141"/>
        <v>13</v>
      </c>
      <c r="L133">
        <f t="shared" ca="1" si="141"/>
        <v>24</v>
      </c>
      <c r="M133">
        <f t="shared" ca="1" si="141"/>
        <v>13</v>
      </c>
      <c r="N133">
        <f t="shared" ca="1" si="141"/>
        <v>13</v>
      </c>
      <c r="O133" s="173">
        <f t="shared" ca="1" si="141"/>
        <v>8</v>
      </c>
      <c r="Q133" s="100">
        <f t="shared" ca="1" si="138"/>
        <v>116</v>
      </c>
      <c r="S133" s="538"/>
      <c r="T133" s="538"/>
      <c r="U133" s="538"/>
      <c r="V133" s="538"/>
    </row>
    <row r="134" spans="1:22" x14ac:dyDescent="0.2">
      <c r="A134" s="533" t="str">
        <f t="shared" si="136"/>
        <v>Pinda Nakshatra-</v>
      </c>
      <c r="B134" s="554" t="str">
        <f t="shared" si="139"/>
        <v>Jupiter</v>
      </c>
      <c r="C134" s="552">
        <f t="shared" ca="1" si="139"/>
        <v>8</v>
      </c>
      <c r="D134">
        <f t="shared" ref="D134:O134" ca="1" si="142">MOD((8-D19)*$Q134,27)</f>
        <v>11</v>
      </c>
      <c r="E134">
        <f t="shared" ca="1" si="142"/>
        <v>22</v>
      </c>
      <c r="F134">
        <f t="shared" ca="1" si="142"/>
        <v>14</v>
      </c>
      <c r="G134">
        <f t="shared" ca="1" si="142"/>
        <v>3</v>
      </c>
      <c r="H134">
        <f t="shared" ca="1" si="142"/>
        <v>3</v>
      </c>
      <c r="I134">
        <f t="shared" ca="1" si="142"/>
        <v>3</v>
      </c>
      <c r="J134">
        <f t="shared" ca="1" si="142"/>
        <v>3</v>
      </c>
      <c r="K134">
        <f t="shared" ca="1" si="142"/>
        <v>11</v>
      </c>
      <c r="L134">
        <f t="shared" ca="1" si="142"/>
        <v>14</v>
      </c>
      <c r="M134">
        <f t="shared" ca="1" si="142"/>
        <v>3</v>
      </c>
      <c r="N134">
        <f t="shared" ca="1" si="142"/>
        <v>3</v>
      </c>
      <c r="O134" s="173">
        <f t="shared" ca="1" si="142"/>
        <v>22</v>
      </c>
      <c r="Q134" s="100">
        <f t="shared" ca="1" si="138"/>
        <v>127</v>
      </c>
      <c r="S134" s="538"/>
      <c r="T134" s="538"/>
      <c r="U134" s="538"/>
      <c r="V134" s="538"/>
    </row>
    <row r="135" spans="1:22" x14ac:dyDescent="0.2">
      <c r="A135" s="533" t="str">
        <f t="shared" si="136"/>
        <v>Pinda Nakshatra-</v>
      </c>
      <c r="B135" s="554" t="str">
        <f t="shared" si="139"/>
        <v>Mercury</v>
      </c>
      <c r="C135" s="552">
        <f t="shared" ca="1" si="139"/>
        <v>4</v>
      </c>
      <c r="D135">
        <f t="shared" ref="D135:O135" ca="1" si="143">MOD((8-D20)*$Q135,27)</f>
        <v>1</v>
      </c>
      <c r="E135">
        <f t="shared" ca="1" si="143"/>
        <v>1</v>
      </c>
      <c r="F135">
        <f t="shared" ca="1" si="143"/>
        <v>7</v>
      </c>
      <c r="G135">
        <f t="shared" ca="1" si="143"/>
        <v>8</v>
      </c>
      <c r="H135">
        <f t="shared" ca="1" si="143"/>
        <v>21</v>
      </c>
      <c r="I135">
        <f t="shared" ca="1" si="143"/>
        <v>21</v>
      </c>
      <c r="J135">
        <f t="shared" ca="1" si="143"/>
        <v>1</v>
      </c>
      <c r="K135">
        <f t="shared" ca="1" si="143"/>
        <v>21</v>
      </c>
      <c r="L135">
        <f t="shared" ca="1" si="143"/>
        <v>1</v>
      </c>
      <c r="M135">
        <f t="shared" ca="1" si="143"/>
        <v>1</v>
      </c>
      <c r="N135">
        <f t="shared" ca="1" si="143"/>
        <v>1</v>
      </c>
      <c r="O135" s="173">
        <f t="shared" ca="1" si="143"/>
        <v>21</v>
      </c>
      <c r="Q135" s="100">
        <f t="shared" ca="1" si="138"/>
        <v>115</v>
      </c>
      <c r="S135" s="538"/>
      <c r="T135" s="538"/>
      <c r="U135" s="538"/>
      <c r="V135" s="538"/>
    </row>
    <row r="136" spans="1:22" x14ac:dyDescent="0.2">
      <c r="A136" s="533" t="str">
        <f t="shared" si="136"/>
        <v>Pinda Nakshatra-</v>
      </c>
      <c r="B136" s="554" t="str">
        <f t="shared" si="139"/>
        <v>Mars</v>
      </c>
      <c r="C136" s="552">
        <f t="shared" ca="1" si="139"/>
        <v>10</v>
      </c>
      <c r="D136">
        <f t="shared" ref="D136:O136" ca="1" si="144">MOD((8-D21)*$Q136,27)</f>
        <v>11</v>
      </c>
      <c r="E136">
        <f t="shared" ca="1" si="144"/>
        <v>15</v>
      </c>
      <c r="F136">
        <f t="shared" ca="1" si="144"/>
        <v>26</v>
      </c>
      <c r="G136">
        <f t="shared" ca="1" si="144"/>
        <v>3</v>
      </c>
      <c r="H136">
        <f t="shared" ca="1" si="144"/>
        <v>11</v>
      </c>
      <c r="I136">
        <f t="shared" ca="1" si="144"/>
        <v>7</v>
      </c>
      <c r="J136">
        <f t="shared" ca="1" si="144"/>
        <v>11</v>
      </c>
      <c r="K136">
        <f t="shared" ca="1" si="144"/>
        <v>15</v>
      </c>
      <c r="L136">
        <f t="shared" ca="1" si="144"/>
        <v>7</v>
      </c>
      <c r="M136">
        <f t="shared" ca="1" si="144"/>
        <v>11</v>
      </c>
      <c r="N136">
        <f t="shared" ca="1" si="144"/>
        <v>3</v>
      </c>
      <c r="O136" s="173">
        <f t="shared" ca="1" si="144"/>
        <v>3</v>
      </c>
      <c r="Q136" s="100">
        <f t="shared" ca="1" si="138"/>
        <v>131</v>
      </c>
      <c r="S136" s="538"/>
      <c r="T136" s="538"/>
      <c r="U136" s="538"/>
      <c r="V136" s="538"/>
    </row>
    <row r="137" spans="1:22" x14ac:dyDescent="0.2">
      <c r="A137" s="533" t="str">
        <f t="shared" si="136"/>
        <v>Pinda Nakshatra-</v>
      </c>
      <c r="B137" s="554" t="str">
        <f t="shared" si="139"/>
        <v>Moon</v>
      </c>
      <c r="C137" s="552">
        <f t="shared" ca="1" si="139"/>
        <v>2</v>
      </c>
      <c r="D137">
        <f t="shared" ref="D137:O137" ca="1" si="145">MOD((8-D22)*$Q137,27)</f>
        <v>10</v>
      </c>
      <c r="E137">
        <f t="shared" ca="1" si="145"/>
        <v>4</v>
      </c>
      <c r="F137">
        <f t="shared" ca="1" si="145"/>
        <v>10</v>
      </c>
      <c r="G137">
        <f t="shared" ca="1" si="145"/>
        <v>10</v>
      </c>
      <c r="H137">
        <f t="shared" ca="1" si="145"/>
        <v>12</v>
      </c>
      <c r="I137">
        <f t="shared" ca="1" si="145"/>
        <v>6</v>
      </c>
      <c r="J137">
        <f t="shared" ca="1" si="145"/>
        <v>4</v>
      </c>
      <c r="K137">
        <f t="shared" ca="1" si="145"/>
        <v>8</v>
      </c>
      <c r="L137">
        <f t="shared" ca="1" si="145"/>
        <v>10</v>
      </c>
      <c r="M137">
        <f t="shared" ca="1" si="145"/>
        <v>8</v>
      </c>
      <c r="N137">
        <f t="shared" ca="1" si="145"/>
        <v>4</v>
      </c>
      <c r="O137" s="173">
        <f t="shared" ca="1" si="145"/>
        <v>8</v>
      </c>
      <c r="Q137" s="100">
        <f t="shared" ca="1" si="138"/>
        <v>110</v>
      </c>
      <c r="S137" s="538"/>
      <c r="T137" s="538"/>
      <c r="U137" s="538"/>
      <c r="V137" s="538"/>
    </row>
    <row r="138" spans="1:22" x14ac:dyDescent="0.2">
      <c r="A138" s="533" t="str">
        <f t="shared" si="136"/>
        <v>Pinda Nakshatra-</v>
      </c>
      <c r="B138" s="554" t="str">
        <f t="shared" si="139"/>
        <v>Sun</v>
      </c>
      <c r="C138" s="552">
        <f t="shared" ca="1" si="139"/>
        <v>4</v>
      </c>
      <c r="D138">
        <f t="shared" ref="D138:O138" ca="1" si="146">MOD((8-D23)*$Q138,27)</f>
        <v>24</v>
      </c>
      <c r="E138">
        <f t="shared" ca="1" si="146"/>
        <v>18</v>
      </c>
      <c r="F138">
        <f t="shared" ca="1" si="146"/>
        <v>3</v>
      </c>
      <c r="G138">
        <f t="shared" ca="1" si="146"/>
        <v>18</v>
      </c>
      <c r="H138">
        <f t="shared" ca="1" si="146"/>
        <v>3</v>
      </c>
      <c r="I138">
        <f t="shared" ca="1" si="146"/>
        <v>3</v>
      </c>
      <c r="J138">
        <f t="shared" ca="1" si="146"/>
        <v>24</v>
      </c>
      <c r="K138">
        <f t="shared" ca="1" si="146"/>
        <v>18</v>
      </c>
      <c r="L138">
        <f t="shared" ca="1" si="146"/>
        <v>3</v>
      </c>
      <c r="M138">
        <f t="shared" ca="1" si="146"/>
        <v>24</v>
      </c>
      <c r="N138">
        <f t="shared" ca="1" si="146"/>
        <v>24</v>
      </c>
      <c r="O138" s="173">
        <f t="shared" ca="1" si="146"/>
        <v>18</v>
      </c>
      <c r="Q138" s="100">
        <f t="shared" ca="1" si="138"/>
        <v>60</v>
      </c>
      <c r="S138" s="538"/>
      <c r="T138" s="538"/>
      <c r="U138" s="538"/>
      <c r="V138" s="538"/>
    </row>
    <row r="139" spans="1:22" x14ac:dyDescent="0.2">
      <c r="A139" s="533" t="str">
        <f t="shared" si="136"/>
        <v>Pinda Nakshatra-</v>
      </c>
      <c r="B139" s="555" t="str">
        <f t="shared" si="139"/>
        <v>Lagna</v>
      </c>
      <c r="C139" s="556">
        <f t="shared" ca="1" si="139"/>
        <v>5</v>
      </c>
      <c r="D139" s="195">
        <f t="shared" ref="D139:O139" ca="1" si="147">MOD((8-D24)*$Q139,27)</f>
        <v>25</v>
      </c>
      <c r="E139" s="195">
        <f t="shared" ca="1" si="147"/>
        <v>12</v>
      </c>
      <c r="F139" s="195">
        <f t="shared" ca="1" si="147"/>
        <v>25</v>
      </c>
      <c r="G139" s="195">
        <f t="shared" ca="1" si="147"/>
        <v>12</v>
      </c>
      <c r="H139" s="195">
        <f t="shared" ca="1" si="147"/>
        <v>25</v>
      </c>
      <c r="I139" s="195">
        <f t="shared" ca="1" si="147"/>
        <v>11</v>
      </c>
      <c r="J139" s="195">
        <f t="shared" ca="1" si="147"/>
        <v>13</v>
      </c>
      <c r="K139" s="195">
        <f t="shared" ca="1" si="147"/>
        <v>24</v>
      </c>
      <c r="L139" s="195">
        <f t="shared" ca="1" si="147"/>
        <v>11</v>
      </c>
      <c r="M139" s="195">
        <f t="shared" ca="1" si="147"/>
        <v>11</v>
      </c>
      <c r="N139" s="195">
        <f t="shared" ca="1" si="147"/>
        <v>12</v>
      </c>
      <c r="O139" s="196">
        <f t="shared" ca="1" si="147"/>
        <v>25</v>
      </c>
      <c r="Q139" s="100">
        <f t="shared" ca="1" si="138"/>
        <v>148</v>
      </c>
      <c r="S139" s="538"/>
      <c r="T139" s="538"/>
      <c r="U139" s="538"/>
      <c r="V139" s="538"/>
    </row>
    <row r="140" spans="1:22" ht="14.25" x14ac:dyDescent="0.2">
      <c r="A140" s="533" t="str">
        <f t="shared" si="136"/>
        <v>Pinda Nakshatra-</v>
      </c>
      <c r="S140" s="538"/>
      <c r="T140" s="538"/>
      <c r="U140" s="538"/>
      <c r="V140" s="538"/>
    </row>
    <row r="141" spans="1:22" x14ac:dyDescent="0.2">
      <c r="A141" s="533" t="str">
        <f t="shared" si="136"/>
        <v>Pinda Nakshatra-</v>
      </c>
      <c r="B141" s="533"/>
      <c r="C141" s="219"/>
      <c r="D141"/>
      <c r="E141"/>
      <c r="F141"/>
      <c r="G141"/>
      <c r="H141"/>
      <c r="I141"/>
      <c r="J141"/>
      <c r="K141"/>
      <c r="L141"/>
      <c r="M141"/>
      <c r="N141"/>
      <c r="O141"/>
      <c r="P141"/>
      <c r="Q141"/>
      <c r="S141" s="538"/>
      <c r="T141" s="538"/>
      <c r="U141" s="538"/>
      <c r="V141" s="538"/>
    </row>
    <row r="142" spans="1:22" x14ac:dyDescent="0.2">
      <c r="A142" s="533" t="str">
        <f t="shared" si="136"/>
        <v>Pinda Nakshatra-</v>
      </c>
      <c r="B142"/>
      <c r="C142" s="219"/>
      <c r="D142"/>
      <c r="E142"/>
      <c r="F142"/>
      <c r="G142"/>
      <c r="H142"/>
      <c r="I142"/>
      <c r="J142"/>
      <c r="K142"/>
      <c r="L142"/>
      <c r="M142"/>
      <c r="N142"/>
      <c r="O142"/>
      <c r="P142"/>
      <c r="Q142"/>
      <c r="S142" s="538"/>
      <c r="T142" s="538"/>
      <c r="U142" s="538"/>
      <c r="V142" s="538"/>
    </row>
    <row r="143" spans="1:22" x14ac:dyDescent="0.2">
      <c r="A143" s="533" t="str">
        <f t="shared" si="136"/>
        <v>Pinda Nakshatra-</v>
      </c>
      <c r="B143"/>
      <c r="C143" s="219"/>
      <c r="D143"/>
      <c r="E143"/>
      <c r="F143"/>
      <c r="G143"/>
      <c r="H143"/>
      <c r="I143"/>
      <c r="J143"/>
      <c r="K143"/>
      <c r="L143"/>
      <c r="M143"/>
      <c r="N143"/>
      <c r="O143"/>
      <c r="P143"/>
      <c r="Q143"/>
      <c r="S143" s="538"/>
      <c r="T143" s="538"/>
      <c r="U143" s="538"/>
      <c r="V143" s="538"/>
    </row>
    <row r="144" spans="1:22" x14ac:dyDescent="0.2">
      <c r="A144" s="533" t="str">
        <f t="shared" si="136"/>
        <v>Pinda Nakshatra-</v>
      </c>
      <c r="B144"/>
      <c r="C144" s="219"/>
      <c r="D144"/>
      <c r="E144"/>
      <c r="F144"/>
      <c r="G144"/>
      <c r="H144"/>
      <c r="I144"/>
      <c r="J144"/>
      <c r="K144"/>
      <c r="L144"/>
      <c r="M144"/>
      <c r="N144"/>
      <c r="O144"/>
      <c r="P144"/>
      <c r="Q144"/>
      <c r="S144" s="538"/>
      <c r="T144" s="538"/>
      <c r="U144" s="538"/>
      <c r="V144" s="538"/>
    </row>
    <row r="145" spans="1:51" x14ac:dyDescent="0.2">
      <c r="A145" s="533" t="str">
        <f t="shared" si="136"/>
        <v>Pinda Nakshatra-</v>
      </c>
      <c r="B145"/>
      <c r="C145" s="219"/>
      <c r="D145"/>
      <c r="E145"/>
      <c r="F145"/>
      <c r="G145"/>
      <c r="H145"/>
      <c r="I145"/>
      <c r="J145"/>
      <c r="K145"/>
      <c r="L145"/>
      <c r="M145"/>
      <c r="N145"/>
      <c r="O145"/>
      <c r="P145"/>
      <c r="Q145"/>
      <c r="S145" s="538"/>
      <c r="T145" s="538"/>
      <c r="U145" s="538"/>
      <c r="V145" s="538"/>
    </row>
    <row r="146" spans="1:51" x14ac:dyDescent="0.2">
      <c r="A146" s="533" t="str">
        <f t="shared" si="136"/>
        <v>Pinda Nakshatra-</v>
      </c>
      <c r="B146"/>
      <c r="C146" s="219"/>
      <c r="D146"/>
      <c r="E146"/>
      <c r="F146"/>
      <c r="G146"/>
      <c r="H146"/>
      <c r="I146"/>
      <c r="J146"/>
      <c r="K146"/>
      <c r="L146"/>
      <c r="M146"/>
      <c r="N146"/>
      <c r="O146"/>
      <c r="P146"/>
      <c r="Q146"/>
      <c r="S146" s="538"/>
      <c r="T146" s="538"/>
      <c r="U146" s="538"/>
      <c r="V146" s="538"/>
    </row>
    <row r="147" spans="1:51" x14ac:dyDescent="0.2">
      <c r="A147" s="533" t="str">
        <f t="shared" si="136"/>
        <v>Pinda Nakshatra-</v>
      </c>
      <c r="B147"/>
      <c r="C147" s="219"/>
      <c r="D147"/>
      <c r="E147"/>
      <c r="F147"/>
      <c r="G147"/>
      <c r="H147"/>
      <c r="I147"/>
      <c r="J147"/>
      <c r="K147"/>
      <c r="L147"/>
      <c r="M147"/>
      <c r="N147"/>
      <c r="O147"/>
      <c r="P147"/>
      <c r="Q147"/>
      <c r="S147" s="538"/>
      <c r="T147" s="538"/>
      <c r="U147" s="538"/>
      <c r="V147" s="538"/>
    </row>
    <row r="148" spans="1:51" x14ac:dyDescent="0.2">
      <c r="A148" s="533" t="str">
        <f t="shared" si="136"/>
        <v>Pinda Nakshatra-</v>
      </c>
      <c r="B148"/>
      <c r="C148" s="219"/>
      <c r="D148"/>
      <c r="E148"/>
      <c r="F148"/>
      <c r="G148"/>
      <c r="H148"/>
      <c r="I148"/>
      <c r="J148"/>
      <c r="K148"/>
      <c r="L148"/>
      <c r="M148"/>
      <c r="N148"/>
      <c r="O148"/>
      <c r="P148"/>
      <c r="Q148"/>
      <c r="S148" s="538"/>
      <c r="T148" s="538"/>
      <c r="U148" s="538"/>
      <c r="V148" s="538"/>
    </row>
    <row r="149" spans="1:51" x14ac:dyDescent="0.2">
      <c r="A149" s="533" t="str">
        <f t="shared" si="136"/>
        <v>Pinda Nakshatra-</v>
      </c>
      <c r="B149"/>
      <c r="C149" s="219"/>
      <c r="D149"/>
      <c r="E149"/>
      <c r="F149"/>
      <c r="G149"/>
      <c r="H149"/>
      <c r="I149"/>
      <c r="J149"/>
      <c r="K149"/>
      <c r="L149"/>
      <c r="M149"/>
      <c r="N149"/>
      <c r="O149"/>
      <c r="P149"/>
      <c r="Q149"/>
      <c r="S149" s="538"/>
      <c r="T149" s="538"/>
      <c r="U149" s="538"/>
      <c r="V149" s="538"/>
    </row>
    <row r="150" spans="1:51" ht="14.25" x14ac:dyDescent="0.2">
      <c r="A150" s="533" t="s">
        <v>4247</v>
      </c>
      <c r="B150" s="527" t="s">
        <v>1462</v>
      </c>
      <c r="Y150" s="1208" t="s">
        <v>4246</v>
      </c>
    </row>
    <row r="151" spans="1:51" ht="13.5" customHeight="1" thickBot="1" x14ac:dyDescent="0.25">
      <c r="A151" s="533" t="str">
        <f>B151</f>
        <v>Saturn</v>
      </c>
      <c r="B151" s="1539" t="str">
        <f>X151</f>
        <v>Saturn</v>
      </c>
      <c r="C151" s="1539"/>
      <c r="D151" s="527">
        <f ca="1">INDIRECT(B151&amp;"house")</f>
        <v>2</v>
      </c>
      <c r="S151" s="538"/>
      <c r="T151" s="538"/>
      <c r="U151" s="538"/>
      <c r="V151" s="538"/>
      <c r="X151" s="105" t="s">
        <v>1516</v>
      </c>
      <c r="Y151" s="1207" t="str">
        <f>MIN(Y153:Y160)&amp;"-"&amp;MAX(Y153:Y160)</f>
        <v>3-7</v>
      </c>
      <c r="Z151" s="1205" t="str">
        <f>$Z$83 &amp;  X151</f>
        <v>From Graha Good and Bad Transit of Saturn</v>
      </c>
      <c r="AA151" s="1205"/>
      <c r="AB151" s="1205"/>
      <c r="AC151" s="1205"/>
      <c r="AD151" s="1205"/>
      <c r="AE151" s="1205"/>
      <c r="AF151" s="1205"/>
      <c r="AG151" s="1205"/>
      <c r="AH151" s="1205"/>
      <c r="AI151" s="1205"/>
      <c r="AJ151" s="1205"/>
      <c r="AK151" s="1205"/>
      <c r="AL151" s="1205"/>
      <c r="AM151" s="1205"/>
      <c r="AN151" s="1205"/>
      <c r="AO151" s="1205"/>
      <c r="AP151" s="1205"/>
      <c r="AQ151" s="1205"/>
      <c r="AR151" s="1205"/>
      <c r="AS151" s="1205"/>
      <c r="AT151" s="1205"/>
      <c r="AU151" s="1205"/>
      <c r="AV151" s="1205"/>
      <c r="AW151" s="1205"/>
      <c r="AX151" s="1208" t="s">
        <v>4246</v>
      </c>
    </row>
    <row r="152" spans="1:51" thickTop="1" x14ac:dyDescent="0.2">
      <c r="A152" s="533" t="str">
        <f>A151&amp;"-"&amp;B152</f>
        <v>Saturn-</v>
      </c>
      <c r="B152" s="534"/>
      <c r="C152" s="535" t="s">
        <v>1438</v>
      </c>
      <c r="D152" s="536">
        <v>1</v>
      </c>
      <c r="E152" s="536">
        <v>2</v>
      </c>
      <c r="F152" s="536">
        <v>3</v>
      </c>
      <c r="G152" s="536">
        <v>4</v>
      </c>
      <c r="H152" s="536">
        <v>5</v>
      </c>
      <c r="I152" s="536">
        <v>6</v>
      </c>
      <c r="J152" s="536">
        <v>7</v>
      </c>
      <c r="K152" s="536">
        <v>8</v>
      </c>
      <c r="L152" s="536">
        <v>9</v>
      </c>
      <c r="M152" s="536">
        <v>10</v>
      </c>
      <c r="N152" s="536">
        <v>11</v>
      </c>
      <c r="O152" s="536">
        <v>12</v>
      </c>
      <c r="P152" s="537"/>
      <c r="Q152" s="537"/>
      <c r="S152" s="1540">
        <f ca="1">O161</f>
        <v>5</v>
      </c>
      <c r="T152" s="1540">
        <f ca="1">D161</f>
        <v>4</v>
      </c>
      <c r="U152" s="1540">
        <f ca="1">E161</f>
        <v>5</v>
      </c>
      <c r="V152" s="1540">
        <f ca="1">F161</f>
        <v>3</v>
      </c>
      <c r="X152" s="535" t="s">
        <v>1463</v>
      </c>
      <c r="Y152" s="557" t="s">
        <v>2413</v>
      </c>
      <c r="Z152" s="558">
        <v>1</v>
      </c>
      <c r="AA152" s="558">
        <v>2</v>
      </c>
      <c r="AB152" s="558">
        <v>3</v>
      </c>
      <c r="AC152" s="558">
        <v>4</v>
      </c>
      <c r="AD152" s="558">
        <v>5</v>
      </c>
      <c r="AE152" s="558">
        <v>6</v>
      </c>
      <c r="AF152" s="558">
        <v>7</v>
      </c>
      <c r="AG152" s="558">
        <v>8</v>
      </c>
      <c r="AH152" s="558">
        <v>9</v>
      </c>
      <c r="AI152" s="558">
        <v>10</v>
      </c>
      <c r="AJ152" s="558">
        <v>11</v>
      </c>
      <c r="AK152" s="558">
        <v>12</v>
      </c>
      <c r="AL152" s="1024">
        <v>1</v>
      </c>
      <c r="AM152" s="536">
        <v>2</v>
      </c>
      <c r="AN152" s="536">
        <v>3</v>
      </c>
      <c r="AO152" s="536">
        <v>4</v>
      </c>
      <c r="AP152" s="536">
        <v>5</v>
      </c>
      <c r="AQ152" s="536">
        <v>6</v>
      </c>
      <c r="AR152" s="536">
        <v>7</v>
      </c>
      <c r="AS152" s="536">
        <v>8</v>
      </c>
      <c r="AT152" s="536">
        <v>9</v>
      </c>
      <c r="AU152" s="536">
        <v>10</v>
      </c>
      <c r="AV152" s="536">
        <v>11</v>
      </c>
      <c r="AW152" s="1025">
        <v>12</v>
      </c>
    </row>
    <row r="153" spans="1:51" ht="14.25" x14ac:dyDescent="0.2">
      <c r="A153" s="533" t="str">
        <f>A151&amp;"-"&amp;B153</f>
        <v>Saturn-Saturn</v>
      </c>
      <c r="B153" s="559" t="s">
        <v>1516</v>
      </c>
      <c r="C153" s="540">
        <f ca="1">SaturnHouse</f>
        <v>2</v>
      </c>
      <c r="D153" s="539" t="str">
        <f t="shared" ref="D153:O160" ca="1" si="148">INDEX($Z153:$AW153,,12+D$152-$Q153+1)</f>
        <v>*</v>
      </c>
      <c r="E153" s="539" t="str">
        <f t="shared" ca="1" si="148"/>
        <v>*</v>
      </c>
      <c r="F153" s="539" t="str">
        <f t="shared" ca="1" si="148"/>
        <v>*</v>
      </c>
      <c r="G153" s="539">
        <f t="shared" ca="1" si="148"/>
        <v>1</v>
      </c>
      <c r="H153" s="539" t="str">
        <f t="shared" ca="1" si="148"/>
        <v>*</v>
      </c>
      <c r="I153" s="539">
        <f t="shared" ca="1" si="148"/>
        <v>1</v>
      </c>
      <c r="J153" s="539">
        <f t="shared" ca="1" si="148"/>
        <v>1</v>
      </c>
      <c r="K153" s="539" t="str">
        <f t="shared" ca="1" si="148"/>
        <v>*</v>
      </c>
      <c r="L153" s="539" t="str">
        <f t="shared" ca="1" si="148"/>
        <v>*</v>
      </c>
      <c r="M153" s="539" t="str">
        <f t="shared" ca="1" si="148"/>
        <v>*</v>
      </c>
      <c r="N153" s="539" t="str">
        <f t="shared" ca="1" si="148"/>
        <v>*</v>
      </c>
      <c r="O153" s="539">
        <f t="shared" ca="1" si="148"/>
        <v>1</v>
      </c>
      <c r="P153" s="541">
        <f t="shared" ref="P153:P161" ca="1" si="149">SUM(D153:O153)</f>
        <v>4</v>
      </c>
      <c r="Q153" s="540">
        <f ca="1">IF($Y$82,D151,C153)</f>
        <v>2</v>
      </c>
      <c r="S153" s="1540"/>
      <c r="T153" s="1540"/>
      <c r="U153" s="1540"/>
      <c r="V153" s="1540"/>
      <c r="X153" s="559" t="s">
        <v>1516</v>
      </c>
      <c r="Y153" s="560">
        <f t="shared" ref="Y153:Y161" si="150">SUM(Z153:AK153)</f>
        <v>4</v>
      </c>
      <c r="Z153" s="561" t="s">
        <v>1464</v>
      </c>
      <c r="AA153" s="561" t="s">
        <v>1464</v>
      </c>
      <c r="AB153" s="561">
        <v>1</v>
      </c>
      <c r="AC153" s="561" t="s">
        <v>1464</v>
      </c>
      <c r="AD153" s="561">
        <v>1</v>
      </c>
      <c r="AE153" s="561">
        <v>1</v>
      </c>
      <c r="AF153" s="561" t="s">
        <v>1464</v>
      </c>
      <c r="AG153" s="561" t="s">
        <v>1464</v>
      </c>
      <c r="AH153" s="561" t="s">
        <v>1464</v>
      </c>
      <c r="AI153" s="561" t="s">
        <v>1464</v>
      </c>
      <c r="AJ153" s="561">
        <v>1</v>
      </c>
      <c r="AK153" s="561" t="s">
        <v>1464</v>
      </c>
      <c r="AL153" s="1026" t="str">
        <f t="shared" ref="AL153:AW160" si="151">Z153</f>
        <v>*</v>
      </c>
      <c r="AM153" s="561" t="str">
        <f t="shared" si="151"/>
        <v>*</v>
      </c>
      <c r="AN153" s="561">
        <f t="shared" si="151"/>
        <v>1</v>
      </c>
      <c r="AO153" s="561" t="str">
        <f t="shared" si="151"/>
        <v>*</v>
      </c>
      <c r="AP153" s="561">
        <f t="shared" si="151"/>
        <v>1</v>
      </c>
      <c r="AQ153" s="561">
        <f t="shared" si="151"/>
        <v>1</v>
      </c>
      <c r="AR153" s="561" t="str">
        <f t="shared" si="151"/>
        <v>*</v>
      </c>
      <c r="AS153" s="561" t="str">
        <f t="shared" si="151"/>
        <v>*</v>
      </c>
      <c r="AT153" s="561" t="str">
        <f t="shared" si="151"/>
        <v>*</v>
      </c>
      <c r="AU153" s="561" t="str">
        <f t="shared" si="151"/>
        <v>*</v>
      </c>
      <c r="AV153" s="561">
        <f t="shared" si="151"/>
        <v>1</v>
      </c>
      <c r="AW153" s="1027" t="str">
        <f t="shared" si="151"/>
        <v>*</v>
      </c>
      <c r="AX153" s="527" t="str">
        <f>MIN($Y$153,$Y$167,$Y$181,$Y$195,$Y$209,$Y$223,$Y$237,$Y$251)&amp;"-"&amp;MAX($Y$153,$Y$167,$Y$181,$Y$195,$Y$209,$Y$223,$Y$237,$Y$251)</f>
        <v>4-8</v>
      </c>
      <c r="AY153" s="1208" t="s">
        <v>4245</v>
      </c>
    </row>
    <row r="154" spans="1:51" ht="14.25" x14ac:dyDescent="0.2">
      <c r="A154" s="533" t="str">
        <f>A151&amp;"-"&amp;B154</f>
        <v>Saturn-Jupiter</v>
      </c>
      <c r="B154" s="559" t="s">
        <v>1515</v>
      </c>
      <c r="C154" s="540">
        <f ca="1">JupiterHouse</f>
        <v>8</v>
      </c>
      <c r="D154" s="539">
        <f t="shared" ca="1" si="148"/>
        <v>1</v>
      </c>
      <c r="E154" s="539" t="str">
        <f t="shared" ca="1" si="148"/>
        <v>*</v>
      </c>
      <c r="F154" s="539" t="str">
        <f t="shared" ca="1" si="148"/>
        <v>*</v>
      </c>
      <c r="G154" s="539" t="str">
        <f t="shared" ca="1" si="148"/>
        <v>*</v>
      </c>
      <c r="H154" s="539" t="str">
        <f t="shared" ca="1" si="148"/>
        <v>*</v>
      </c>
      <c r="I154" s="539">
        <f t="shared" ca="1" si="148"/>
        <v>1</v>
      </c>
      <c r="J154" s="539">
        <f t="shared" ca="1" si="148"/>
        <v>1</v>
      </c>
      <c r="K154" s="539" t="str">
        <f t="shared" ca="1" si="148"/>
        <v>*</v>
      </c>
      <c r="L154" s="539" t="str">
        <f t="shared" ca="1" si="148"/>
        <v>*</v>
      </c>
      <c r="M154" s="539" t="str">
        <f t="shared" ca="1" si="148"/>
        <v>*</v>
      </c>
      <c r="N154" s="539" t="str">
        <f t="shared" ca="1" si="148"/>
        <v>*</v>
      </c>
      <c r="O154" s="539">
        <f t="shared" ca="1" si="148"/>
        <v>1</v>
      </c>
      <c r="P154" s="541">
        <f t="shared" ca="1" si="149"/>
        <v>4</v>
      </c>
      <c r="Q154" s="540">
        <f ca="1">IF($Y$82,D151,C154)</f>
        <v>8</v>
      </c>
      <c r="S154" s="1540"/>
      <c r="T154" s="1540"/>
      <c r="U154" s="1540"/>
      <c r="V154" s="1540"/>
      <c r="X154" s="559" t="s">
        <v>1515</v>
      </c>
      <c r="Y154" s="560">
        <f t="shared" si="150"/>
        <v>4</v>
      </c>
      <c r="Z154" s="561" t="s">
        <v>1464</v>
      </c>
      <c r="AA154" s="561" t="s">
        <v>1464</v>
      </c>
      <c r="AB154" s="561" t="s">
        <v>1464</v>
      </c>
      <c r="AC154" s="561" t="s">
        <v>1464</v>
      </c>
      <c r="AD154" s="561">
        <v>1</v>
      </c>
      <c r="AE154" s="561">
        <v>1</v>
      </c>
      <c r="AF154" s="561" t="s">
        <v>1464</v>
      </c>
      <c r="AG154" s="561" t="s">
        <v>1464</v>
      </c>
      <c r="AH154" s="561" t="s">
        <v>1464</v>
      </c>
      <c r="AI154" s="561" t="s">
        <v>1464</v>
      </c>
      <c r="AJ154" s="561">
        <v>1</v>
      </c>
      <c r="AK154" s="561">
        <v>1</v>
      </c>
      <c r="AL154" s="1026" t="str">
        <f t="shared" si="151"/>
        <v>*</v>
      </c>
      <c r="AM154" s="561" t="str">
        <f t="shared" si="151"/>
        <v>*</v>
      </c>
      <c r="AN154" s="561" t="str">
        <f t="shared" si="151"/>
        <v>*</v>
      </c>
      <c r="AO154" s="561" t="str">
        <f t="shared" si="151"/>
        <v>*</v>
      </c>
      <c r="AP154" s="561">
        <f t="shared" si="151"/>
        <v>1</v>
      </c>
      <c r="AQ154" s="561">
        <f t="shared" si="151"/>
        <v>1</v>
      </c>
      <c r="AR154" s="561" t="str">
        <f t="shared" si="151"/>
        <v>*</v>
      </c>
      <c r="AS154" s="561" t="str">
        <f t="shared" si="151"/>
        <v>*</v>
      </c>
      <c r="AT154" s="561" t="str">
        <f t="shared" si="151"/>
        <v>*</v>
      </c>
      <c r="AU154" s="561" t="str">
        <f t="shared" si="151"/>
        <v>*</v>
      </c>
      <c r="AV154" s="561">
        <f t="shared" si="151"/>
        <v>1</v>
      </c>
      <c r="AW154" s="1027">
        <f t="shared" si="151"/>
        <v>1</v>
      </c>
      <c r="AX154" s="1207" t="str">
        <f>MIN($Y$154,$Y$168,$Y$182,$Y$196,$Y$210,$Y$224,$Y$238,$Y$252)&amp;"-"&amp;MAX($Y$154,$Y$168,$Y$182,$Y$196,$Y$210,$Y$224,$Y$238,$Y$252)</f>
        <v>4-9</v>
      </c>
      <c r="AY154" s="1208" t="s">
        <v>4245</v>
      </c>
    </row>
    <row r="155" spans="1:51" ht="14.25" x14ac:dyDescent="0.2">
      <c r="A155" s="533" t="str">
        <f>A151&amp;"-"&amp;B155</f>
        <v>Saturn-Mars</v>
      </c>
      <c r="B155" s="559" t="s">
        <v>1513</v>
      </c>
      <c r="C155" s="540">
        <f ca="1">MarsHouse</f>
        <v>10</v>
      </c>
      <c r="D155" s="539" t="str">
        <f t="shared" ca="1" si="148"/>
        <v>*</v>
      </c>
      <c r="E155" s="539">
        <f t="shared" ca="1" si="148"/>
        <v>1</v>
      </c>
      <c r="F155" s="539">
        <f t="shared" ca="1" si="148"/>
        <v>1</v>
      </c>
      <c r="G155" s="539" t="str">
        <f t="shared" ca="1" si="148"/>
        <v>*</v>
      </c>
      <c r="H155" s="539" t="str">
        <f t="shared" ca="1" si="148"/>
        <v>*</v>
      </c>
      <c r="I155" s="539" t="str">
        <f t="shared" ca="1" si="148"/>
        <v>*</v>
      </c>
      <c r="J155" s="539">
        <f t="shared" ca="1" si="148"/>
        <v>1</v>
      </c>
      <c r="K155" s="539">
        <f t="shared" ca="1" si="148"/>
        <v>1</v>
      </c>
      <c r="L155" s="539">
        <f t="shared" ca="1" si="148"/>
        <v>1</v>
      </c>
      <c r="M155" s="539" t="str">
        <f t="shared" ca="1" si="148"/>
        <v>*</v>
      </c>
      <c r="N155" s="539" t="str">
        <f t="shared" ca="1" si="148"/>
        <v>*</v>
      </c>
      <c r="O155" s="539">
        <f t="shared" ca="1" si="148"/>
        <v>1</v>
      </c>
      <c r="P155" s="541">
        <f t="shared" ca="1" si="149"/>
        <v>6</v>
      </c>
      <c r="Q155" s="540">
        <f ca="1">IF($Y$82,D151,C155)</f>
        <v>10</v>
      </c>
      <c r="S155" s="1540">
        <f ca="1">N161</f>
        <v>2</v>
      </c>
      <c r="T155" s="1541" t="str">
        <f ca="1">C151&amp;"  Ashtakavarga  "&amp;P161</f>
        <v xml:space="preserve">  Ashtakavarga  39</v>
      </c>
      <c r="U155" s="1541"/>
      <c r="V155" s="1540">
        <f ca="1">G161</f>
        <v>3</v>
      </c>
      <c r="X155" s="559" t="s">
        <v>1513</v>
      </c>
      <c r="Y155" s="560">
        <f t="shared" si="150"/>
        <v>6</v>
      </c>
      <c r="Z155" s="561" t="s">
        <v>1464</v>
      </c>
      <c r="AA155" s="561" t="s">
        <v>1464</v>
      </c>
      <c r="AB155" s="561">
        <v>1</v>
      </c>
      <c r="AC155" s="561" t="s">
        <v>1464</v>
      </c>
      <c r="AD155" s="561">
        <v>1</v>
      </c>
      <c r="AE155" s="561">
        <v>1</v>
      </c>
      <c r="AF155" s="561" t="s">
        <v>1464</v>
      </c>
      <c r="AG155" s="561" t="s">
        <v>1464</v>
      </c>
      <c r="AH155" s="561" t="s">
        <v>1464</v>
      </c>
      <c r="AI155" s="561">
        <v>1</v>
      </c>
      <c r="AJ155" s="561">
        <v>1</v>
      </c>
      <c r="AK155" s="561">
        <v>1</v>
      </c>
      <c r="AL155" s="1026" t="str">
        <f t="shared" si="151"/>
        <v>*</v>
      </c>
      <c r="AM155" s="561" t="str">
        <f t="shared" si="151"/>
        <v>*</v>
      </c>
      <c r="AN155" s="561">
        <f t="shared" si="151"/>
        <v>1</v>
      </c>
      <c r="AO155" s="561" t="str">
        <f t="shared" si="151"/>
        <v>*</v>
      </c>
      <c r="AP155" s="561">
        <f t="shared" si="151"/>
        <v>1</v>
      </c>
      <c r="AQ155" s="561">
        <f t="shared" si="151"/>
        <v>1</v>
      </c>
      <c r="AR155" s="561" t="str">
        <f t="shared" si="151"/>
        <v>*</v>
      </c>
      <c r="AS155" s="561" t="str">
        <f t="shared" si="151"/>
        <v>*</v>
      </c>
      <c r="AT155" s="561" t="str">
        <f t="shared" si="151"/>
        <v>*</v>
      </c>
      <c r="AU155" s="561">
        <f t="shared" si="151"/>
        <v>1</v>
      </c>
      <c r="AV155" s="561">
        <f t="shared" si="151"/>
        <v>1</v>
      </c>
      <c r="AW155" s="1027">
        <f t="shared" si="151"/>
        <v>1</v>
      </c>
      <c r="AX155" s="1207" t="str">
        <f>MIN($Y$155,$Y$169,$Y$183,$Y$197,$Y$211,$Y$225,$Y$239,$Y$253)&amp;"-"&amp;MAX($Y$155,$Y$169,$Y$183,$Y$197,$Y$211,$Y$225,$Y$239,$Y$253)</f>
        <v>5-8</v>
      </c>
    </row>
    <row r="156" spans="1:51" ht="14.25" x14ac:dyDescent="0.2">
      <c r="A156" s="533" t="str">
        <f>A151&amp;"-"&amp;B156</f>
        <v>Saturn-Sun</v>
      </c>
      <c r="B156" s="559" t="s">
        <v>1511</v>
      </c>
      <c r="C156" s="540">
        <f ca="1">SunHouse</f>
        <v>4</v>
      </c>
      <c r="D156" s="539">
        <f t="shared" ca="1" si="148"/>
        <v>1</v>
      </c>
      <c r="E156" s="539">
        <f t="shared" ca="1" si="148"/>
        <v>1</v>
      </c>
      <c r="F156" s="539" t="str">
        <f t="shared" ca="1" si="148"/>
        <v>*</v>
      </c>
      <c r="G156" s="539">
        <f t="shared" ca="1" si="148"/>
        <v>1</v>
      </c>
      <c r="H156" s="539">
        <f t="shared" ca="1" si="148"/>
        <v>1</v>
      </c>
      <c r="I156" s="539" t="str">
        <f t="shared" ca="1" si="148"/>
        <v>*</v>
      </c>
      <c r="J156" s="539">
        <f t="shared" ca="1" si="148"/>
        <v>1</v>
      </c>
      <c r="K156" s="539" t="str">
        <f t="shared" ca="1" si="148"/>
        <v>*</v>
      </c>
      <c r="L156" s="539" t="str">
        <f t="shared" ca="1" si="148"/>
        <v>*</v>
      </c>
      <c r="M156" s="539">
        <f t="shared" ca="1" si="148"/>
        <v>1</v>
      </c>
      <c r="N156" s="539">
        <f t="shared" ca="1" si="148"/>
        <v>1</v>
      </c>
      <c r="O156" s="539" t="str">
        <f t="shared" ca="1" si="148"/>
        <v>*</v>
      </c>
      <c r="P156" s="541">
        <f t="shared" ca="1" si="149"/>
        <v>7</v>
      </c>
      <c r="Q156" s="540">
        <f ca="1">IF($Y$82,D151,C156)</f>
        <v>4</v>
      </c>
      <c r="S156" s="1540"/>
      <c r="T156" s="1540"/>
      <c r="U156" s="1541"/>
      <c r="V156" s="1540"/>
      <c r="X156" s="559" t="s">
        <v>1511</v>
      </c>
      <c r="Y156" s="560">
        <f t="shared" si="150"/>
        <v>7</v>
      </c>
      <c r="Z156" s="561">
        <v>1</v>
      </c>
      <c r="AA156" s="561">
        <v>1</v>
      </c>
      <c r="AB156" s="561" t="s">
        <v>1464</v>
      </c>
      <c r="AC156" s="561">
        <v>1</v>
      </c>
      <c r="AD156" s="561" t="s">
        <v>1464</v>
      </c>
      <c r="AE156" s="561" t="s">
        <v>1464</v>
      </c>
      <c r="AF156" s="561">
        <v>1</v>
      </c>
      <c r="AG156" s="561">
        <v>1</v>
      </c>
      <c r="AH156" s="561" t="s">
        <v>1464</v>
      </c>
      <c r="AI156" s="561">
        <v>1</v>
      </c>
      <c r="AJ156" s="561">
        <v>1</v>
      </c>
      <c r="AK156" s="561" t="s">
        <v>1464</v>
      </c>
      <c r="AL156" s="1026">
        <f t="shared" si="151"/>
        <v>1</v>
      </c>
      <c r="AM156" s="561">
        <f t="shared" si="151"/>
        <v>1</v>
      </c>
      <c r="AN156" s="561" t="str">
        <f t="shared" si="151"/>
        <v>*</v>
      </c>
      <c r="AO156" s="561">
        <f t="shared" si="151"/>
        <v>1</v>
      </c>
      <c r="AP156" s="561" t="str">
        <f t="shared" si="151"/>
        <v>*</v>
      </c>
      <c r="AQ156" s="561" t="str">
        <f t="shared" si="151"/>
        <v>*</v>
      </c>
      <c r="AR156" s="561">
        <f t="shared" si="151"/>
        <v>1</v>
      </c>
      <c r="AS156" s="561">
        <f t="shared" si="151"/>
        <v>1</v>
      </c>
      <c r="AT156" s="561" t="str">
        <f t="shared" si="151"/>
        <v>*</v>
      </c>
      <c r="AU156" s="561">
        <f t="shared" si="151"/>
        <v>1</v>
      </c>
      <c r="AV156" s="561">
        <f t="shared" si="151"/>
        <v>1</v>
      </c>
      <c r="AW156" s="1027" t="str">
        <f t="shared" si="151"/>
        <v>*</v>
      </c>
      <c r="AX156" s="1207" t="str">
        <f>MIN($Y$156,$Y$170,$Y$184,$Y$198,$Y$212,$Y$226,$Y$240,$Y$254)&amp;"-"&amp;MAX($Y$156,$Y$170,$Y$184,$Y$198,$Y$212,$Y$226,$Y$240,$Y$254)</f>
        <v>3-9</v>
      </c>
    </row>
    <row r="157" spans="1:51" ht="14.25" x14ac:dyDescent="0.2">
      <c r="A157" s="533" t="str">
        <f>A151&amp;"-"&amp;B157</f>
        <v>Saturn-Venus</v>
      </c>
      <c r="B157" s="559" t="s">
        <v>1519</v>
      </c>
      <c r="C157" s="540">
        <f ca="1">VenusHouse</f>
        <v>3</v>
      </c>
      <c r="D157" s="539">
        <f t="shared" ca="1" si="148"/>
        <v>1</v>
      </c>
      <c r="E157" s="539">
        <f t="shared" ca="1" si="148"/>
        <v>1</v>
      </c>
      <c r="F157" s="539" t="str">
        <f t="shared" ca="1" si="148"/>
        <v>*</v>
      </c>
      <c r="G157" s="539" t="str">
        <f t="shared" ca="1" si="148"/>
        <v>*</v>
      </c>
      <c r="H157" s="539" t="str">
        <f t="shared" ca="1" si="148"/>
        <v>*</v>
      </c>
      <c r="I157" s="539" t="str">
        <f t="shared" ca="1" si="148"/>
        <v>*</v>
      </c>
      <c r="J157" s="539" t="str">
        <f t="shared" ca="1" si="148"/>
        <v>*</v>
      </c>
      <c r="K157" s="539">
        <f t="shared" ca="1" si="148"/>
        <v>1</v>
      </c>
      <c r="L157" s="539" t="str">
        <f t="shared" ca="1" si="148"/>
        <v>*</v>
      </c>
      <c r="M157" s="539" t="str">
        <f t="shared" ca="1" si="148"/>
        <v>*</v>
      </c>
      <c r="N157" s="539" t="str">
        <f t="shared" ca="1" si="148"/>
        <v>*</v>
      </c>
      <c r="O157" s="539" t="str">
        <f t="shared" ca="1" si="148"/>
        <v>*</v>
      </c>
      <c r="P157" s="541">
        <f t="shared" ca="1" si="149"/>
        <v>3</v>
      </c>
      <c r="Q157" s="540">
        <f ca="1">IF($Y$82,D151,C157)</f>
        <v>3</v>
      </c>
      <c r="S157" s="1540"/>
      <c r="T157" s="1540"/>
      <c r="U157" s="1541"/>
      <c r="V157" s="1540"/>
      <c r="W157" s="1207" t="s">
        <v>4245</v>
      </c>
      <c r="X157" s="559" t="s">
        <v>1519</v>
      </c>
      <c r="Y157" s="560">
        <f t="shared" si="150"/>
        <v>3</v>
      </c>
      <c r="Z157" s="561" t="s">
        <v>1464</v>
      </c>
      <c r="AA157" s="561" t="s">
        <v>1464</v>
      </c>
      <c r="AB157" s="561" t="s">
        <v>1464</v>
      </c>
      <c r="AC157" s="561" t="s">
        <v>1464</v>
      </c>
      <c r="AD157" s="561" t="s">
        <v>1464</v>
      </c>
      <c r="AE157" s="561">
        <v>1</v>
      </c>
      <c r="AF157" s="561" t="s">
        <v>1464</v>
      </c>
      <c r="AG157" s="561" t="s">
        <v>1464</v>
      </c>
      <c r="AH157" s="561" t="s">
        <v>1464</v>
      </c>
      <c r="AI157" s="561" t="s">
        <v>1464</v>
      </c>
      <c r="AJ157" s="561">
        <v>1</v>
      </c>
      <c r="AK157" s="561">
        <v>1</v>
      </c>
      <c r="AL157" s="1026" t="str">
        <f t="shared" si="151"/>
        <v>*</v>
      </c>
      <c r="AM157" s="561" t="str">
        <f t="shared" si="151"/>
        <v>*</v>
      </c>
      <c r="AN157" s="561" t="str">
        <f t="shared" si="151"/>
        <v>*</v>
      </c>
      <c r="AO157" s="561" t="str">
        <f t="shared" si="151"/>
        <v>*</v>
      </c>
      <c r="AP157" s="561" t="str">
        <f t="shared" si="151"/>
        <v>*</v>
      </c>
      <c r="AQ157" s="561">
        <f t="shared" si="151"/>
        <v>1</v>
      </c>
      <c r="AR157" s="561" t="str">
        <f t="shared" si="151"/>
        <v>*</v>
      </c>
      <c r="AS157" s="561" t="str">
        <f t="shared" si="151"/>
        <v>*</v>
      </c>
      <c r="AT157" s="561" t="str">
        <f t="shared" si="151"/>
        <v>*</v>
      </c>
      <c r="AU157" s="561" t="str">
        <f t="shared" si="151"/>
        <v>*</v>
      </c>
      <c r="AV157" s="561">
        <f t="shared" si="151"/>
        <v>1</v>
      </c>
      <c r="AW157" s="1027">
        <f t="shared" si="151"/>
        <v>1</v>
      </c>
      <c r="AX157" s="1207" t="str">
        <f>MIN($Y$157,$Y$171,$Y$185,$Y$199,$Y$213,$Y$227,$Y$241,$Y$255)&amp;"-"&amp;MAX($Y$157,$Y$171,$Y$185,$Y$199,$Y$213,$Y$227,$Y$241,$Y$255)</f>
        <v>3-9</v>
      </c>
      <c r="AY157" s="1208" t="s">
        <v>4245</v>
      </c>
    </row>
    <row r="158" spans="1:51" ht="14.25" x14ac:dyDescent="0.2">
      <c r="A158" s="533" t="str">
        <f>A151&amp;"-"&amp;B158</f>
        <v>Saturn-Mercury</v>
      </c>
      <c r="B158" s="559" t="s">
        <v>1517</v>
      </c>
      <c r="C158" s="540">
        <f ca="1">MercuryHouse</f>
        <v>4</v>
      </c>
      <c r="D158" s="539">
        <f t="shared" ca="1" si="148"/>
        <v>1</v>
      </c>
      <c r="E158" s="539">
        <f t="shared" ca="1" si="148"/>
        <v>1</v>
      </c>
      <c r="F158" s="539">
        <f t="shared" ca="1" si="148"/>
        <v>1</v>
      </c>
      <c r="G158" s="539" t="str">
        <f t="shared" ca="1" si="148"/>
        <v>*</v>
      </c>
      <c r="H158" s="539" t="str">
        <f t="shared" ca="1" si="148"/>
        <v>*</v>
      </c>
      <c r="I158" s="539" t="str">
        <f t="shared" ca="1" si="148"/>
        <v>*</v>
      </c>
      <c r="J158" s="539" t="str">
        <f t="shared" ca="1" si="148"/>
        <v>*</v>
      </c>
      <c r="K158" s="539" t="str">
        <f t="shared" ca="1" si="148"/>
        <v>*</v>
      </c>
      <c r="L158" s="539">
        <f t="shared" ca="1" si="148"/>
        <v>1</v>
      </c>
      <c r="M158" s="539" t="str">
        <f t="shared" ca="1" si="148"/>
        <v>*</v>
      </c>
      <c r="N158" s="539">
        <f t="shared" ca="1" si="148"/>
        <v>1</v>
      </c>
      <c r="O158" s="539">
        <f t="shared" ca="1" si="148"/>
        <v>1</v>
      </c>
      <c r="P158" s="541">
        <f t="shared" ca="1" si="149"/>
        <v>6</v>
      </c>
      <c r="Q158" s="540">
        <f ca="1">IF($Y$82,D151,C158)</f>
        <v>4</v>
      </c>
      <c r="S158" s="1540">
        <f ca="1">M161</f>
        <v>2</v>
      </c>
      <c r="T158" s="1541"/>
      <c r="U158" s="1541"/>
      <c r="V158" s="1540">
        <f ca="1">H161</f>
        <v>2</v>
      </c>
      <c r="W158" s="1207" t="s">
        <v>4244</v>
      </c>
      <c r="X158" s="559" t="s">
        <v>1517</v>
      </c>
      <c r="Y158" s="560">
        <f t="shared" si="150"/>
        <v>6</v>
      </c>
      <c r="Z158" s="561" t="s">
        <v>1464</v>
      </c>
      <c r="AA158" s="561" t="s">
        <v>1464</v>
      </c>
      <c r="AB158" s="561" t="s">
        <v>1464</v>
      </c>
      <c r="AC158" s="561" t="s">
        <v>1464</v>
      </c>
      <c r="AD158" s="561" t="s">
        <v>1464</v>
      </c>
      <c r="AE158" s="561">
        <v>1</v>
      </c>
      <c r="AF158" s="561" t="s">
        <v>1464</v>
      </c>
      <c r="AG158" s="561">
        <v>1</v>
      </c>
      <c r="AH158" s="561">
        <v>1</v>
      </c>
      <c r="AI158" s="561">
        <v>1</v>
      </c>
      <c r="AJ158" s="561">
        <v>1</v>
      </c>
      <c r="AK158" s="561">
        <v>1</v>
      </c>
      <c r="AL158" s="1026" t="str">
        <f t="shared" si="151"/>
        <v>*</v>
      </c>
      <c r="AM158" s="561" t="str">
        <f t="shared" si="151"/>
        <v>*</v>
      </c>
      <c r="AN158" s="561" t="str">
        <f t="shared" si="151"/>
        <v>*</v>
      </c>
      <c r="AO158" s="561" t="str">
        <f t="shared" si="151"/>
        <v>*</v>
      </c>
      <c r="AP158" s="561" t="str">
        <f t="shared" si="151"/>
        <v>*</v>
      </c>
      <c r="AQ158" s="561">
        <f t="shared" si="151"/>
        <v>1</v>
      </c>
      <c r="AR158" s="561" t="str">
        <f t="shared" si="151"/>
        <v>*</v>
      </c>
      <c r="AS158" s="561">
        <f t="shared" si="151"/>
        <v>1</v>
      </c>
      <c r="AT158" s="561">
        <f t="shared" si="151"/>
        <v>1</v>
      </c>
      <c r="AU158" s="561">
        <f t="shared" si="151"/>
        <v>1</v>
      </c>
      <c r="AV158" s="561">
        <f t="shared" si="151"/>
        <v>1</v>
      </c>
      <c r="AW158" s="1027">
        <f t="shared" si="151"/>
        <v>1</v>
      </c>
      <c r="AX158" s="1207" t="str">
        <f>MIN($Y$158,$Y$172,$Y$186,$Y$200,$Y$214,$Y$228,$Y$242,$Y$256)&amp;"-"&amp;MAX($Y$158,$Y$172,$Y$186,$Y$200,$Y$214,$Y$228,$Y$242,$Y$256)</f>
        <v>4-8</v>
      </c>
    </row>
    <row r="159" spans="1:51" ht="14.25" x14ac:dyDescent="0.2">
      <c r="A159" s="533" t="str">
        <f>A151&amp;"-"&amp;B159</f>
        <v>Saturn-Moon</v>
      </c>
      <c r="B159" s="559" t="s">
        <v>1512</v>
      </c>
      <c r="C159" s="540">
        <f ca="1">MoonHouse</f>
        <v>2</v>
      </c>
      <c r="D159" s="539" t="str">
        <f t="shared" ca="1" si="148"/>
        <v>*</v>
      </c>
      <c r="E159" s="539" t="str">
        <f t="shared" ca="1" si="148"/>
        <v>*</v>
      </c>
      <c r="F159" s="539" t="str">
        <f t="shared" ca="1" si="148"/>
        <v>*</v>
      </c>
      <c r="G159" s="539">
        <f t="shared" ca="1" si="148"/>
        <v>1</v>
      </c>
      <c r="H159" s="539" t="str">
        <f t="shared" ca="1" si="148"/>
        <v>*</v>
      </c>
      <c r="I159" s="539" t="str">
        <f t="shared" ca="1" si="148"/>
        <v>*</v>
      </c>
      <c r="J159" s="539">
        <f t="shared" ca="1" si="148"/>
        <v>1</v>
      </c>
      <c r="K159" s="539" t="str">
        <f t="shared" ca="1" si="148"/>
        <v>*</v>
      </c>
      <c r="L159" s="539" t="str">
        <f t="shared" ca="1" si="148"/>
        <v>*</v>
      </c>
      <c r="M159" s="539" t="str">
        <f t="shared" ca="1" si="148"/>
        <v>*</v>
      </c>
      <c r="N159" s="539" t="str">
        <f t="shared" ca="1" si="148"/>
        <v>*</v>
      </c>
      <c r="O159" s="539">
        <f t="shared" ca="1" si="148"/>
        <v>1</v>
      </c>
      <c r="P159" s="541">
        <f t="shared" ca="1" si="149"/>
        <v>3</v>
      </c>
      <c r="Q159" s="540">
        <f ca="1">IF($Y$82,D151,C159)</f>
        <v>2</v>
      </c>
      <c r="S159" s="1540"/>
      <c r="T159" s="1540"/>
      <c r="U159" s="1541"/>
      <c r="V159" s="1540"/>
      <c r="W159" s="1207" t="s">
        <v>4245</v>
      </c>
      <c r="X159" s="559" t="s">
        <v>1512</v>
      </c>
      <c r="Y159" s="560">
        <f t="shared" si="150"/>
        <v>3</v>
      </c>
      <c r="Z159" s="561" t="s">
        <v>1464</v>
      </c>
      <c r="AA159" s="561" t="s">
        <v>1464</v>
      </c>
      <c r="AB159" s="561">
        <v>1</v>
      </c>
      <c r="AC159" s="561" t="s">
        <v>1464</v>
      </c>
      <c r="AD159" s="561" t="s">
        <v>1464</v>
      </c>
      <c r="AE159" s="561">
        <v>1</v>
      </c>
      <c r="AF159" s="561" t="s">
        <v>1464</v>
      </c>
      <c r="AG159" s="561" t="s">
        <v>1464</v>
      </c>
      <c r="AH159" s="561" t="s">
        <v>1464</v>
      </c>
      <c r="AI159" s="561" t="s">
        <v>1464</v>
      </c>
      <c r="AJ159" s="561">
        <v>1</v>
      </c>
      <c r="AK159" s="561" t="s">
        <v>1464</v>
      </c>
      <c r="AL159" s="1026" t="str">
        <f t="shared" si="151"/>
        <v>*</v>
      </c>
      <c r="AM159" s="561" t="str">
        <f t="shared" si="151"/>
        <v>*</v>
      </c>
      <c r="AN159" s="561">
        <f t="shared" si="151"/>
        <v>1</v>
      </c>
      <c r="AO159" s="561" t="str">
        <f t="shared" si="151"/>
        <v>*</v>
      </c>
      <c r="AP159" s="561" t="str">
        <f t="shared" si="151"/>
        <v>*</v>
      </c>
      <c r="AQ159" s="561">
        <f t="shared" si="151"/>
        <v>1</v>
      </c>
      <c r="AR159" s="561" t="str">
        <f t="shared" si="151"/>
        <v>*</v>
      </c>
      <c r="AS159" s="561" t="str">
        <f t="shared" si="151"/>
        <v>*</v>
      </c>
      <c r="AT159" s="561" t="str">
        <f t="shared" si="151"/>
        <v>*</v>
      </c>
      <c r="AU159" s="561" t="str">
        <f t="shared" si="151"/>
        <v>*</v>
      </c>
      <c r="AV159" s="561">
        <f t="shared" si="151"/>
        <v>1</v>
      </c>
      <c r="AW159" s="1027" t="str">
        <f t="shared" si="151"/>
        <v>*</v>
      </c>
      <c r="AX159" s="1207" t="str">
        <f>MIN($Y$159,$Y$173,$Y$187,$Y$201,$Y$215,$Y$229,$Y$243,$Y$257)&amp;"-"&amp;MAX($Y$159,$Y$173,$Y$187,$Y$201,$Y$215,$Y$229,$Y$243,$Y$257)</f>
        <v>3-9</v>
      </c>
      <c r="AY159" s="1208" t="s">
        <v>4245</v>
      </c>
    </row>
    <row r="160" spans="1:51" ht="14.25" x14ac:dyDescent="0.2">
      <c r="A160" s="533" t="str">
        <f>A151&amp;"-"&amp;B160</f>
        <v>Saturn-Lagna</v>
      </c>
      <c r="B160" s="559" t="s">
        <v>1722</v>
      </c>
      <c r="C160" s="540">
        <f ca="1">Lagnahouse</f>
        <v>5</v>
      </c>
      <c r="D160" s="539" t="str">
        <f t="shared" ca="1" si="148"/>
        <v>*</v>
      </c>
      <c r="E160" s="539">
        <f t="shared" ca="1" si="148"/>
        <v>1</v>
      </c>
      <c r="F160" s="539">
        <f t="shared" ca="1" si="148"/>
        <v>1</v>
      </c>
      <c r="G160" s="539" t="str">
        <f t="shared" ca="1" si="148"/>
        <v>*</v>
      </c>
      <c r="H160" s="539">
        <f t="shared" ca="1" si="148"/>
        <v>1</v>
      </c>
      <c r="I160" s="539" t="str">
        <f t="shared" ca="1" si="148"/>
        <v>*</v>
      </c>
      <c r="J160" s="539">
        <f t="shared" ca="1" si="148"/>
        <v>1</v>
      </c>
      <c r="K160" s="539">
        <f t="shared" ca="1" si="148"/>
        <v>1</v>
      </c>
      <c r="L160" s="539" t="str">
        <f t="shared" ca="1" si="148"/>
        <v>*</v>
      </c>
      <c r="M160" s="539">
        <f t="shared" ca="1" si="148"/>
        <v>1</v>
      </c>
      <c r="N160" s="539" t="str">
        <f t="shared" ca="1" si="148"/>
        <v>*</v>
      </c>
      <c r="O160" s="539" t="str">
        <f t="shared" ca="1" si="148"/>
        <v>*</v>
      </c>
      <c r="P160" s="541">
        <f t="shared" ca="1" si="149"/>
        <v>6</v>
      </c>
      <c r="Q160" s="540">
        <f ca="1">IF($Y$82,D151,C160)</f>
        <v>5</v>
      </c>
      <c r="S160" s="1540"/>
      <c r="T160" s="1540"/>
      <c r="U160" s="1541"/>
      <c r="V160" s="1540"/>
      <c r="X160" s="559" t="s">
        <v>1722</v>
      </c>
      <c r="Y160" s="560">
        <f t="shared" si="150"/>
        <v>6</v>
      </c>
      <c r="Z160" s="561">
        <v>1</v>
      </c>
      <c r="AA160" s="561" t="s">
        <v>1464</v>
      </c>
      <c r="AB160" s="561">
        <v>1</v>
      </c>
      <c r="AC160" s="561">
        <v>1</v>
      </c>
      <c r="AD160" s="561" t="s">
        <v>1464</v>
      </c>
      <c r="AE160" s="561">
        <v>1</v>
      </c>
      <c r="AF160" s="561" t="s">
        <v>1464</v>
      </c>
      <c r="AG160" s="561" t="s">
        <v>1464</v>
      </c>
      <c r="AH160" s="561" t="s">
        <v>1464</v>
      </c>
      <c r="AI160" s="561">
        <v>1</v>
      </c>
      <c r="AJ160" s="561">
        <v>1</v>
      </c>
      <c r="AK160" s="561" t="s">
        <v>1464</v>
      </c>
      <c r="AL160" s="1026">
        <f t="shared" si="151"/>
        <v>1</v>
      </c>
      <c r="AM160" s="561" t="str">
        <f t="shared" si="151"/>
        <v>*</v>
      </c>
      <c r="AN160" s="561">
        <f t="shared" si="151"/>
        <v>1</v>
      </c>
      <c r="AO160" s="561">
        <f t="shared" si="151"/>
        <v>1</v>
      </c>
      <c r="AP160" s="561" t="str">
        <f t="shared" si="151"/>
        <v>*</v>
      </c>
      <c r="AQ160" s="561">
        <f t="shared" si="151"/>
        <v>1</v>
      </c>
      <c r="AR160" s="561" t="str">
        <f t="shared" si="151"/>
        <v>*</v>
      </c>
      <c r="AS160" s="561" t="str">
        <f t="shared" si="151"/>
        <v>*</v>
      </c>
      <c r="AT160" s="561" t="str">
        <f t="shared" si="151"/>
        <v>*</v>
      </c>
      <c r="AU160" s="561">
        <f t="shared" si="151"/>
        <v>1</v>
      </c>
      <c r="AV160" s="561">
        <f t="shared" si="151"/>
        <v>1</v>
      </c>
      <c r="AW160" s="1027" t="str">
        <f t="shared" si="151"/>
        <v>*</v>
      </c>
      <c r="AX160" s="1207" t="str">
        <f>MIN($Y$160,$Y$174,$Y$188,$Y$202,$Y$216,$Y$230,$Y$244,$Y$258)&amp;"-"&amp;MAX($Y$160,$Y$174,$Y$188,$Y$202,$Y$216,$Y$230,$Y$244,$Y$258)</f>
        <v>4-9</v>
      </c>
    </row>
    <row r="161" spans="1:51" thickBot="1" x14ac:dyDescent="0.25">
      <c r="A161" s="533" t="str">
        <f>A151&amp;"-"&amp;B161</f>
        <v>Saturn-Saturn</v>
      </c>
      <c r="B161" s="562" t="str">
        <f>B151</f>
        <v>Saturn</v>
      </c>
      <c r="C161" s="542"/>
      <c r="D161" s="542">
        <f t="shared" ref="D161:O161" ca="1" si="152">SUM(D153:D160)</f>
        <v>4</v>
      </c>
      <c r="E161" s="542">
        <f t="shared" ca="1" si="152"/>
        <v>5</v>
      </c>
      <c r="F161" s="542">
        <f t="shared" ca="1" si="152"/>
        <v>3</v>
      </c>
      <c r="G161" s="542">
        <f t="shared" ca="1" si="152"/>
        <v>3</v>
      </c>
      <c r="H161" s="542">
        <f t="shared" ca="1" si="152"/>
        <v>2</v>
      </c>
      <c r="I161" s="542">
        <f t="shared" ca="1" si="152"/>
        <v>2</v>
      </c>
      <c r="J161" s="542">
        <f t="shared" ca="1" si="152"/>
        <v>6</v>
      </c>
      <c r="K161" s="542">
        <f t="shared" ca="1" si="152"/>
        <v>3</v>
      </c>
      <c r="L161" s="542">
        <f t="shared" ca="1" si="152"/>
        <v>2</v>
      </c>
      <c r="M161" s="542">
        <f t="shared" ca="1" si="152"/>
        <v>2</v>
      </c>
      <c r="N161" s="542">
        <f t="shared" ca="1" si="152"/>
        <v>2</v>
      </c>
      <c r="O161" s="542">
        <f t="shared" ca="1" si="152"/>
        <v>5</v>
      </c>
      <c r="P161" s="543">
        <f t="shared" ca="1" si="149"/>
        <v>39</v>
      </c>
      <c r="Q161" s="543"/>
      <c r="S161" s="1540">
        <f ca="1">L161</f>
        <v>2</v>
      </c>
      <c r="T161" s="1540">
        <f ca="1">K161</f>
        <v>3</v>
      </c>
      <c r="U161" s="1540">
        <f ca="1">J161</f>
        <v>6</v>
      </c>
      <c r="V161" s="1540">
        <f ca="1">I161</f>
        <v>2</v>
      </c>
      <c r="X161" s="562"/>
      <c r="Y161" s="563">
        <f t="shared" si="150"/>
        <v>39</v>
      </c>
      <c r="Z161" s="564">
        <f t="shared" ref="Z161:AW161" si="153">SUM(Z153:Z160)</f>
        <v>2</v>
      </c>
      <c r="AA161" s="564">
        <f t="shared" si="153"/>
        <v>1</v>
      </c>
      <c r="AB161" s="564">
        <f t="shared" si="153"/>
        <v>4</v>
      </c>
      <c r="AC161" s="564">
        <f t="shared" si="153"/>
        <v>2</v>
      </c>
      <c r="AD161" s="564">
        <f t="shared" si="153"/>
        <v>3</v>
      </c>
      <c r="AE161" s="564">
        <f t="shared" si="153"/>
        <v>7</v>
      </c>
      <c r="AF161" s="564">
        <f t="shared" si="153"/>
        <v>1</v>
      </c>
      <c r="AG161" s="564">
        <f t="shared" si="153"/>
        <v>2</v>
      </c>
      <c r="AH161" s="564">
        <f t="shared" si="153"/>
        <v>1</v>
      </c>
      <c r="AI161" s="564">
        <f t="shared" si="153"/>
        <v>4</v>
      </c>
      <c r="AJ161" s="564">
        <f t="shared" si="153"/>
        <v>8</v>
      </c>
      <c r="AK161" s="564">
        <f t="shared" si="153"/>
        <v>4</v>
      </c>
      <c r="AL161" s="1028">
        <f t="shared" si="153"/>
        <v>2</v>
      </c>
      <c r="AM161" s="565">
        <f t="shared" si="153"/>
        <v>1</v>
      </c>
      <c r="AN161" s="565">
        <f t="shared" si="153"/>
        <v>4</v>
      </c>
      <c r="AO161" s="565">
        <f t="shared" si="153"/>
        <v>2</v>
      </c>
      <c r="AP161" s="565">
        <f t="shared" si="153"/>
        <v>3</v>
      </c>
      <c r="AQ161" s="565">
        <f t="shared" si="153"/>
        <v>7</v>
      </c>
      <c r="AR161" s="565">
        <f t="shared" si="153"/>
        <v>1</v>
      </c>
      <c r="AS161" s="565">
        <f t="shared" si="153"/>
        <v>2</v>
      </c>
      <c r="AT161" s="565">
        <f t="shared" si="153"/>
        <v>1</v>
      </c>
      <c r="AU161" s="565">
        <f t="shared" si="153"/>
        <v>4</v>
      </c>
      <c r="AV161" s="565">
        <f t="shared" si="153"/>
        <v>8</v>
      </c>
      <c r="AW161" s="1029">
        <f t="shared" si="153"/>
        <v>4</v>
      </c>
    </row>
    <row r="162" spans="1:51" thickTop="1" x14ac:dyDescent="0.2">
      <c r="A162" s="533" t="str">
        <f>A151&amp;"-"&amp;B162</f>
        <v>Saturn-</v>
      </c>
      <c r="S162" s="1540"/>
      <c r="T162" s="1540"/>
      <c r="U162" s="1540"/>
      <c r="V162" s="1540"/>
      <c r="X162" s="1205" t="s">
        <v>1465</v>
      </c>
      <c r="Y162" s="1205"/>
      <c r="Z162" s="1205"/>
      <c r="AA162" s="1205"/>
      <c r="AB162" s="1205"/>
      <c r="AC162" s="1205"/>
      <c r="AD162" s="1205"/>
      <c r="AE162" s="1205"/>
      <c r="AF162" s="1205"/>
      <c r="AG162" s="1205"/>
      <c r="AH162" s="1205"/>
      <c r="AI162" s="1205"/>
      <c r="AJ162" s="1205"/>
      <c r="AK162" s="1205"/>
      <c r="AL162" s="1205"/>
      <c r="AM162" s="1205"/>
      <c r="AN162" s="1205"/>
      <c r="AO162" s="1205"/>
      <c r="AP162" s="1205"/>
      <c r="AQ162" s="1205"/>
      <c r="AR162" s="1205"/>
      <c r="AS162" s="1205"/>
      <c r="AT162" s="1205"/>
      <c r="AU162" s="1205"/>
      <c r="AV162" s="1205"/>
      <c r="AW162" s="1205"/>
    </row>
    <row r="163" spans="1:51" ht="14.25" x14ac:dyDescent="0.2">
      <c r="A163" s="533" t="str">
        <f>A151&amp;"-"&amp;B163</f>
        <v>Saturn-</v>
      </c>
      <c r="S163" s="1540"/>
      <c r="T163" s="1540"/>
      <c r="U163" s="1540"/>
      <c r="V163" s="1540"/>
    </row>
    <row r="164" spans="1:51" ht="14.25" x14ac:dyDescent="0.2">
      <c r="A164" s="533" t="str">
        <f>A151&amp;"-"&amp;B164</f>
        <v>Saturn------</v>
      </c>
      <c r="B164" s="527" t="s">
        <v>1462</v>
      </c>
      <c r="Y164" s="1208" t="s">
        <v>4246</v>
      </c>
    </row>
    <row r="165" spans="1:51" thickBot="1" x14ac:dyDescent="0.25">
      <c r="A165" s="533" t="str">
        <f>B165</f>
        <v>Venus</v>
      </c>
      <c r="B165" s="1539" t="str">
        <f>X165</f>
        <v>Venus</v>
      </c>
      <c r="C165" s="1539"/>
      <c r="D165" s="527">
        <f ca="1">INDIRECT(B165&amp;"house")</f>
        <v>3</v>
      </c>
      <c r="S165" s="538"/>
      <c r="T165" s="538"/>
      <c r="U165" s="538"/>
      <c r="V165" s="538"/>
      <c r="X165" s="105" t="s">
        <v>1519</v>
      </c>
      <c r="Y165" s="1207" t="str">
        <f>MIN(Y167:Y174)&amp;"-"&amp;MAX(Y167:Y174)</f>
        <v>3-9</v>
      </c>
      <c r="Z165" s="1205" t="str">
        <f>$Z$83 &amp;  X165</f>
        <v>From Graha Good and Bad Transit of Venus</v>
      </c>
      <c r="AA165" s="1205"/>
      <c r="AB165" s="1205"/>
      <c r="AC165" s="1205"/>
      <c r="AD165" s="1205"/>
      <c r="AE165" s="1205"/>
      <c r="AF165" s="1205"/>
      <c r="AG165" s="1205"/>
      <c r="AH165" s="1205"/>
      <c r="AI165" s="1205"/>
      <c r="AJ165" s="1205"/>
      <c r="AK165" s="1205"/>
      <c r="AL165" s="1205"/>
      <c r="AM165" s="1205"/>
      <c r="AN165" s="1205"/>
      <c r="AO165" s="1205"/>
      <c r="AP165" s="1205"/>
      <c r="AQ165" s="1205"/>
      <c r="AR165" s="1205"/>
      <c r="AS165" s="1205"/>
      <c r="AT165" s="1205"/>
      <c r="AU165" s="1205"/>
      <c r="AV165" s="1205"/>
      <c r="AW165" s="1205"/>
      <c r="AX165" s="1208" t="s">
        <v>4246</v>
      </c>
    </row>
    <row r="166" spans="1:51" thickTop="1" x14ac:dyDescent="0.2">
      <c r="A166" s="533" t="str">
        <f>A165&amp;"-"&amp;B166</f>
        <v>Venus-</v>
      </c>
      <c r="B166" s="534"/>
      <c r="C166" s="535" t="s">
        <v>1438</v>
      </c>
      <c r="D166" s="536">
        <v>1</v>
      </c>
      <c r="E166" s="536">
        <v>2</v>
      </c>
      <c r="F166" s="536">
        <v>3</v>
      </c>
      <c r="G166" s="536">
        <v>4</v>
      </c>
      <c r="H166" s="536">
        <v>5</v>
      </c>
      <c r="I166" s="536">
        <v>6</v>
      </c>
      <c r="J166" s="536">
        <v>7</v>
      </c>
      <c r="K166" s="536">
        <v>8</v>
      </c>
      <c r="L166" s="536">
        <v>9</v>
      </c>
      <c r="M166" s="536">
        <v>10</v>
      </c>
      <c r="N166" s="536">
        <v>11</v>
      </c>
      <c r="O166" s="536">
        <v>12</v>
      </c>
      <c r="P166" s="537"/>
      <c r="Q166" s="537"/>
      <c r="S166" s="1540">
        <f ca="1">O175</f>
        <v>7</v>
      </c>
      <c r="T166" s="1540">
        <f ca="1">D175</f>
        <v>4</v>
      </c>
      <c r="U166" s="1540">
        <f ca="1">E175</f>
        <v>3</v>
      </c>
      <c r="V166" s="1540">
        <f ca="1">F175</f>
        <v>6</v>
      </c>
      <c r="X166" s="535" t="s">
        <v>1463</v>
      </c>
      <c r="Y166" s="557" t="s">
        <v>2413</v>
      </c>
      <c r="Z166" s="558">
        <v>1</v>
      </c>
      <c r="AA166" s="558">
        <v>2</v>
      </c>
      <c r="AB166" s="558">
        <v>3</v>
      </c>
      <c r="AC166" s="558">
        <v>4</v>
      </c>
      <c r="AD166" s="558">
        <v>5</v>
      </c>
      <c r="AE166" s="558">
        <v>6</v>
      </c>
      <c r="AF166" s="558">
        <v>7</v>
      </c>
      <c r="AG166" s="558">
        <v>8</v>
      </c>
      <c r="AH166" s="558">
        <v>9</v>
      </c>
      <c r="AI166" s="558">
        <v>10</v>
      </c>
      <c r="AJ166" s="558">
        <v>11</v>
      </c>
      <c r="AK166" s="558">
        <v>12</v>
      </c>
      <c r="AL166" s="1024">
        <v>1</v>
      </c>
      <c r="AM166" s="536">
        <v>2</v>
      </c>
      <c r="AN166" s="536">
        <v>3</v>
      </c>
      <c r="AO166" s="536">
        <v>4</v>
      </c>
      <c r="AP166" s="536">
        <v>5</v>
      </c>
      <c r="AQ166" s="536">
        <v>6</v>
      </c>
      <c r="AR166" s="536">
        <v>7</v>
      </c>
      <c r="AS166" s="536">
        <v>8</v>
      </c>
      <c r="AT166" s="536">
        <v>9</v>
      </c>
      <c r="AU166" s="536">
        <v>10</v>
      </c>
      <c r="AV166" s="536">
        <v>11</v>
      </c>
      <c r="AW166" s="1025">
        <v>12</v>
      </c>
      <c r="AX166" s="1208"/>
    </row>
    <row r="167" spans="1:51" ht="14.25" x14ac:dyDescent="0.2">
      <c r="A167" s="533" t="str">
        <f>A165&amp;"-"&amp;B167</f>
        <v>Venus-Saturn</v>
      </c>
      <c r="B167" s="559" t="s">
        <v>1516</v>
      </c>
      <c r="C167" s="540">
        <f ca="1">SaturnHouse</f>
        <v>2</v>
      </c>
      <c r="D167" s="539" t="str">
        <f t="shared" ref="D167:O174" ca="1" si="154">INDEX($Z167:$AW167,,12+D$152-$Q167+1)</f>
        <v>*</v>
      </c>
      <c r="E167" s="539" t="str">
        <f t="shared" ca="1" si="154"/>
        <v>*</v>
      </c>
      <c r="F167" s="539" t="str">
        <f t="shared" ca="1" si="154"/>
        <v>*</v>
      </c>
      <c r="G167" s="539">
        <f t="shared" ca="1" si="154"/>
        <v>1</v>
      </c>
      <c r="H167" s="539">
        <f t="shared" ca="1" si="154"/>
        <v>1</v>
      </c>
      <c r="I167" s="539">
        <f t="shared" ca="1" si="154"/>
        <v>1</v>
      </c>
      <c r="J167" s="539" t="str">
        <f t="shared" ca="1" si="154"/>
        <v>*</v>
      </c>
      <c r="K167" s="539" t="str">
        <f t="shared" ca="1" si="154"/>
        <v>*</v>
      </c>
      <c r="L167" s="539">
        <f t="shared" ca="1" si="154"/>
        <v>1</v>
      </c>
      <c r="M167" s="539">
        <f t="shared" ca="1" si="154"/>
        <v>1</v>
      </c>
      <c r="N167" s="539">
        <f t="shared" ca="1" si="154"/>
        <v>1</v>
      </c>
      <c r="O167" s="539">
        <f t="shared" ca="1" si="154"/>
        <v>1</v>
      </c>
      <c r="P167" s="541">
        <f t="shared" ref="P167:P175" ca="1" si="155">SUM(D167:O167)</f>
        <v>7</v>
      </c>
      <c r="Q167" s="540">
        <f ca="1">IF($Y$82,D165,C167)</f>
        <v>2</v>
      </c>
      <c r="S167" s="1540"/>
      <c r="T167" s="1540"/>
      <c r="U167" s="1540"/>
      <c r="V167" s="1540"/>
      <c r="X167" s="559" t="s">
        <v>1516</v>
      </c>
      <c r="Y167" s="560">
        <f t="shared" ref="Y167:Y175" si="156">SUM(Z167:AK167)</f>
        <v>7</v>
      </c>
      <c r="Z167" s="561" t="s">
        <v>1464</v>
      </c>
      <c r="AA167" s="561" t="s">
        <v>1464</v>
      </c>
      <c r="AB167" s="561">
        <v>1</v>
      </c>
      <c r="AC167" s="561">
        <v>1</v>
      </c>
      <c r="AD167" s="561">
        <v>1</v>
      </c>
      <c r="AE167" s="561" t="s">
        <v>1464</v>
      </c>
      <c r="AF167" s="561" t="s">
        <v>1464</v>
      </c>
      <c r="AG167" s="561">
        <v>1</v>
      </c>
      <c r="AH167" s="561">
        <v>1</v>
      </c>
      <c r="AI167" s="561">
        <v>1</v>
      </c>
      <c r="AJ167" s="561">
        <v>1</v>
      </c>
      <c r="AK167" s="561" t="s">
        <v>1464</v>
      </c>
      <c r="AL167" s="1026" t="str">
        <f t="shared" ref="AL167:AW174" si="157">Z167</f>
        <v>*</v>
      </c>
      <c r="AM167" s="561" t="str">
        <f t="shared" si="157"/>
        <v>*</v>
      </c>
      <c r="AN167" s="561">
        <f t="shared" si="157"/>
        <v>1</v>
      </c>
      <c r="AO167" s="561">
        <f t="shared" si="157"/>
        <v>1</v>
      </c>
      <c r="AP167" s="561">
        <f t="shared" si="157"/>
        <v>1</v>
      </c>
      <c r="AQ167" s="561" t="str">
        <f t="shared" si="157"/>
        <v>*</v>
      </c>
      <c r="AR167" s="561" t="str">
        <f t="shared" si="157"/>
        <v>*</v>
      </c>
      <c r="AS167" s="561">
        <f t="shared" si="157"/>
        <v>1</v>
      </c>
      <c r="AT167" s="561">
        <f t="shared" si="157"/>
        <v>1</v>
      </c>
      <c r="AU167" s="561">
        <f t="shared" si="157"/>
        <v>1</v>
      </c>
      <c r="AV167" s="561">
        <f t="shared" si="157"/>
        <v>1</v>
      </c>
      <c r="AW167" s="1027" t="str">
        <f t="shared" si="157"/>
        <v>*</v>
      </c>
      <c r="AX167" s="1208" t="str">
        <f>MIN($Y$153,$Y$167,$Y$181,$Y$195,$Y$209,$Y$223,$Y$237,$Y$251)&amp;"-"&amp;MAX($Y$153,$Y$167,$Y$181,$Y$195,$Y$209,$Y$223,$Y$237,$Y$251)</f>
        <v>4-8</v>
      </c>
    </row>
    <row r="168" spans="1:51" ht="14.25" x14ac:dyDescent="0.2">
      <c r="A168" s="533" t="str">
        <f>A165&amp;"-"&amp;B168</f>
        <v>Venus-Jupiter</v>
      </c>
      <c r="B168" s="559" t="s">
        <v>1515</v>
      </c>
      <c r="C168" s="540">
        <f ca="1">JupiterHouse</f>
        <v>8</v>
      </c>
      <c r="D168" s="539" t="str">
        <f t="shared" ca="1" si="154"/>
        <v>*</v>
      </c>
      <c r="E168" s="539" t="str">
        <f t="shared" ca="1" si="154"/>
        <v>*</v>
      </c>
      <c r="F168" s="539">
        <f t="shared" ca="1" si="154"/>
        <v>1</v>
      </c>
      <c r="G168" s="539">
        <f t="shared" ca="1" si="154"/>
        <v>1</v>
      </c>
      <c r="H168" s="539">
        <f t="shared" ca="1" si="154"/>
        <v>1</v>
      </c>
      <c r="I168" s="539">
        <f t="shared" ca="1" si="154"/>
        <v>1</v>
      </c>
      <c r="J168" s="539" t="str">
        <f t="shared" ca="1" si="154"/>
        <v>*</v>
      </c>
      <c r="K168" s="539" t="str">
        <f t="shared" ca="1" si="154"/>
        <v>*</v>
      </c>
      <c r="L168" s="539" t="str">
        <f t="shared" ca="1" si="154"/>
        <v>*</v>
      </c>
      <c r="M168" s="539" t="str">
        <f t="shared" ca="1" si="154"/>
        <v>*</v>
      </c>
      <c r="N168" s="539" t="str">
        <f t="shared" ca="1" si="154"/>
        <v>*</v>
      </c>
      <c r="O168" s="539">
        <f t="shared" ca="1" si="154"/>
        <v>1</v>
      </c>
      <c r="P168" s="541">
        <f t="shared" ca="1" si="155"/>
        <v>5</v>
      </c>
      <c r="Q168" s="540">
        <f ca="1">IF($Y$82,D165,C168)</f>
        <v>8</v>
      </c>
      <c r="S168" s="1540"/>
      <c r="T168" s="1540"/>
      <c r="U168" s="1540"/>
      <c r="V168" s="1540"/>
      <c r="X168" s="559" t="s">
        <v>1515</v>
      </c>
      <c r="Y168" s="560">
        <f t="shared" si="156"/>
        <v>5</v>
      </c>
      <c r="Z168" s="561" t="s">
        <v>1464</v>
      </c>
      <c r="AA168" s="561" t="s">
        <v>1464</v>
      </c>
      <c r="AB168" s="561" t="s">
        <v>1464</v>
      </c>
      <c r="AC168" s="561" t="s">
        <v>1464</v>
      </c>
      <c r="AD168" s="561">
        <v>1</v>
      </c>
      <c r="AE168" s="561" t="s">
        <v>1464</v>
      </c>
      <c r="AF168" s="561" t="s">
        <v>1464</v>
      </c>
      <c r="AG168" s="561">
        <v>1</v>
      </c>
      <c r="AH168" s="561">
        <v>1</v>
      </c>
      <c r="AI168" s="561">
        <v>1</v>
      </c>
      <c r="AJ168" s="561">
        <v>1</v>
      </c>
      <c r="AK168" s="561" t="s">
        <v>1464</v>
      </c>
      <c r="AL168" s="1026" t="str">
        <f t="shared" si="157"/>
        <v>*</v>
      </c>
      <c r="AM168" s="561" t="str">
        <f t="shared" si="157"/>
        <v>*</v>
      </c>
      <c r="AN168" s="561" t="str">
        <f t="shared" si="157"/>
        <v>*</v>
      </c>
      <c r="AO168" s="561" t="str">
        <f t="shared" si="157"/>
        <v>*</v>
      </c>
      <c r="AP168" s="561">
        <f t="shared" si="157"/>
        <v>1</v>
      </c>
      <c r="AQ168" s="561" t="str">
        <f t="shared" si="157"/>
        <v>*</v>
      </c>
      <c r="AR168" s="561" t="str">
        <f t="shared" si="157"/>
        <v>*</v>
      </c>
      <c r="AS168" s="561">
        <f t="shared" si="157"/>
        <v>1</v>
      </c>
      <c r="AT168" s="561">
        <f t="shared" si="157"/>
        <v>1</v>
      </c>
      <c r="AU168" s="561">
        <f t="shared" si="157"/>
        <v>1</v>
      </c>
      <c r="AV168" s="561">
        <f t="shared" si="157"/>
        <v>1</v>
      </c>
      <c r="AW168" s="1027" t="str">
        <f t="shared" si="157"/>
        <v>*</v>
      </c>
      <c r="AX168" s="1208" t="str">
        <f>MIN($Y$154,$Y$168,$Y$182,$Y$196,$Y$210,$Y$224,$Y$238,$Y$252)&amp;"-"&amp;MAX($Y$154,$Y$168,$Y$182,$Y$196,$Y$210,$Y$224,$Y$238,$Y$252)</f>
        <v>4-9</v>
      </c>
    </row>
    <row r="169" spans="1:51" ht="14.25" x14ac:dyDescent="0.2">
      <c r="A169" s="533" t="str">
        <f>A165&amp;"-"&amp;B169</f>
        <v>Venus-Mars</v>
      </c>
      <c r="B169" s="559" t="s">
        <v>1513</v>
      </c>
      <c r="C169" s="540">
        <f ca="1">MarsHouse</f>
        <v>10</v>
      </c>
      <c r="D169" s="539">
        <f t="shared" ca="1" si="154"/>
        <v>1</v>
      </c>
      <c r="E169" s="539" t="str">
        <f t="shared" ca="1" si="154"/>
        <v>*</v>
      </c>
      <c r="F169" s="539">
        <f t="shared" ca="1" si="154"/>
        <v>1</v>
      </c>
      <c r="G169" s="539" t="str">
        <f t="shared" ca="1" si="154"/>
        <v>*</v>
      </c>
      <c r="H169" s="539" t="str">
        <f t="shared" ca="1" si="154"/>
        <v>*</v>
      </c>
      <c r="I169" s="539">
        <f t="shared" ca="1" si="154"/>
        <v>1</v>
      </c>
      <c r="J169" s="539" t="str">
        <f t="shared" ca="1" si="154"/>
        <v>*</v>
      </c>
      <c r="K169" s="539">
        <f t="shared" ca="1" si="154"/>
        <v>1</v>
      </c>
      <c r="L169" s="539">
        <f t="shared" ca="1" si="154"/>
        <v>1</v>
      </c>
      <c r="M169" s="539" t="str">
        <f t="shared" ca="1" si="154"/>
        <v>*</v>
      </c>
      <c r="N169" s="539" t="str">
        <f t="shared" ca="1" si="154"/>
        <v>*</v>
      </c>
      <c r="O169" s="539">
        <f t="shared" ca="1" si="154"/>
        <v>1</v>
      </c>
      <c r="P169" s="541">
        <f t="shared" ca="1" si="155"/>
        <v>6</v>
      </c>
      <c r="Q169" s="540">
        <f ca="1">IF($Y$82,D165,C169)</f>
        <v>10</v>
      </c>
      <c r="S169" s="1540">
        <f ca="1">N175</f>
        <v>3</v>
      </c>
      <c r="T169" s="1541" t="str">
        <f ca="1">C165&amp;"  Ashtakavarga  "&amp;P175</f>
        <v xml:space="preserve">  Ashtakavarga  52</v>
      </c>
      <c r="U169" s="1541"/>
      <c r="V169" s="1543">
        <f ca="1">G175</f>
        <v>4</v>
      </c>
      <c r="X169" s="559" t="s">
        <v>1513</v>
      </c>
      <c r="Y169" s="560">
        <f t="shared" si="156"/>
        <v>6</v>
      </c>
      <c r="Z169" s="561" t="s">
        <v>1464</v>
      </c>
      <c r="AA169" s="561" t="s">
        <v>1464</v>
      </c>
      <c r="AB169" s="561">
        <v>1</v>
      </c>
      <c r="AC169" s="561">
        <v>1</v>
      </c>
      <c r="AD169" s="561" t="s">
        <v>1464</v>
      </c>
      <c r="AE169" s="561">
        <v>1</v>
      </c>
      <c r="AF169" s="561" t="s">
        <v>1464</v>
      </c>
      <c r="AG169" s="561" t="s">
        <v>1464</v>
      </c>
      <c r="AH169" s="561">
        <v>1</v>
      </c>
      <c r="AI169" s="561" t="s">
        <v>1464</v>
      </c>
      <c r="AJ169" s="561">
        <v>1</v>
      </c>
      <c r="AK169" s="561">
        <v>1</v>
      </c>
      <c r="AL169" s="1026" t="str">
        <f t="shared" si="157"/>
        <v>*</v>
      </c>
      <c r="AM169" s="561" t="str">
        <f t="shared" si="157"/>
        <v>*</v>
      </c>
      <c r="AN169" s="561">
        <f t="shared" si="157"/>
        <v>1</v>
      </c>
      <c r="AO169" s="561">
        <f t="shared" si="157"/>
        <v>1</v>
      </c>
      <c r="AP169" s="561" t="str">
        <f t="shared" si="157"/>
        <v>*</v>
      </c>
      <c r="AQ169" s="561">
        <f t="shared" si="157"/>
        <v>1</v>
      </c>
      <c r="AR169" s="561" t="str">
        <f t="shared" si="157"/>
        <v>*</v>
      </c>
      <c r="AS169" s="561" t="str">
        <f t="shared" si="157"/>
        <v>*</v>
      </c>
      <c r="AT169" s="561">
        <f t="shared" si="157"/>
        <v>1</v>
      </c>
      <c r="AU169" s="561" t="str">
        <f t="shared" si="157"/>
        <v>*</v>
      </c>
      <c r="AV169" s="561">
        <f t="shared" si="157"/>
        <v>1</v>
      </c>
      <c r="AW169" s="1027">
        <f t="shared" si="157"/>
        <v>1</v>
      </c>
      <c r="AX169" s="1208" t="str">
        <f>MIN($Y$155,$Y$169,$Y$183,$Y$197,$Y$211,$Y$225,$Y$239,$Y$253)&amp;"-"&amp;MAX($Y$155,$Y$169,$Y$183,$Y$197,$Y$211,$Y$225,$Y$239,$Y$253)</f>
        <v>5-8</v>
      </c>
    </row>
    <row r="170" spans="1:51" ht="14.25" x14ac:dyDescent="0.2">
      <c r="A170" s="533" t="str">
        <f>A165&amp;"-"&amp;B170</f>
        <v>Venus-Sun</v>
      </c>
      <c r="B170" s="559" t="s">
        <v>1511</v>
      </c>
      <c r="C170" s="540">
        <f ca="1">SunHouse</f>
        <v>4</v>
      </c>
      <c r="D170" s="539" t="str">
        <f t="shared" ca="1" si="154"/>
        <v>*</v>
      </c>
      <c r="E170" s="539">
        <f t="shared" ca="1" si="154"/>
        <v>1</v>
      </c>
      <c r="F170" s="539">
        <f t="shared" ca="1" si="154"/>
        <v>1</v>
      </c>
      <c r="G170" s="539" t="str">
        <f t="shared" ca="1" si="154"/>
        <v>*</v>
      </c>
      <c r="H170" s="539" t="str">
        <f t="shared" ca="1" si="154"/>
        <v>*</v>
      </c>
      <c r="I170" s="539" t="str">
        <f t="shared" ca="1" si="154"/>
        <v>*</v>
      </c>
      <c r="J170" s="539" t="str">
        <f t="shared" ca="1" si="154"/>
        <v>*</v>
      </c>
      <c r="K170" s="539" t="str">
        <f t="shared" ca="1" si="154"/>
        <v>*</v>
      </c>
      <c r="L170" s="539" t="str">
        <f t="shared" ca="1" si="154"/>
        <v>*</v>
      </c>
      <c r="M170" s="539" t="str">
        <f t="shared" ca="1" si="154"/>
        <v>*</v>
      </c>
      <c r="N170" s="539">
        <f t="shared" ca="1" si="154"/>
        <v>1</v>
      </c>
      <c r="O170" s="539" t="str">
        <f t="shared" ca="1" si="154"/>
        <v>*</v>
      </c>
      <c r="P170" s="541">
        <f t="shared" ca="1" si="155"/>
        <v>3</v>
      </c>
      <c r="Q170" s="540">
        <f ca="1">IF($Y$82,D165,C170)</f>
        <v>4</v>
      </c>
      <c r="S170" s="1540"/>
      <c r="T170" s="1540"/>
      <c r="U170" s="1541"/>
      <c r="V170" s="1543"/>
      <c r="W170" s="1207" t="s">
        <v>4245</v>
      </c>
      <c r="X170" s="559" t="s">
        <v>1511</v>
      </c>
      <c r="Y170" s="560">
        <f t="shared" si="156"/>
        <v>3</v>
      </c>
      <c r="Z170" s="561" t="s">
        <v>1464</v>
      </c>
      <c r="AA170" s="561" t="s">
        <v>1464</v>
      </c>
      <c r="AB170" s="561" t="s">
        <v>1464</v>
      </c>
      <c r="AC170" s="561" t="s">
        <v>1464</v>
      </c>
      <c r="AD170" s="561" t="s">
        <v>1464</v>
      </c>
      <c r="AE170" s="561" t="s">
        <v>1464</v>
      </c>
      <c r="AF170" s="561" t="s">
        <v>1464</v>
      </c>
      <c r="AG170" s="561">
        <v>1</v>
      </c>
      <c r="AH170" s="561" t="s">
        <v>1464</v>
      </c>
      <c r="AI170" s="561" t="s">
        <v>1464</v>
      </c>
      <c r="AJ170" s="561">
        <v>1</v>
      </c>
      <c r="AK170" s="561">
        <v>1</v>
      </c>
      <c r="AL170" s="1026" t="str">
        <f t="shared" si="157"/>
        <v>*</v>
      </c>
      <c r="AM170" s="561" t="str">
        <f t="shared" si="157"/>
        <v>*</v>
      </c>
      <c r="AN170" s="561" t="str">
        <f t="shared" si="157"/>
        <v>*</v>
      </c>
      <c r="AO170" s="561" t="str">
        <f t="shared" si="157"/>
        <v>*</v>
      </c>
      <c r="AP170" s="561" t="str">
        <f t="shared" si="157"/>
        <v>*</v>
      </c>
      <c r="AQ170" s="561" t="str">
        <f t="shared" si="157"/>
        <v>*</v>
      </c>
      <c r="AR170" s="561" t="str">
        <f t="shared" si="157"/>
        <v>*</v>
      </c>
      <c r="AS170" s="561">
        <f t="shared" si="157"/>
        <v>1</v>
      </c>
      <c r="AT170" s="561" t="str">
        <f t="shared" si="157"/>
        <v>*</v>
      </c>
      <c r="AU170" s="561" t="str">
        <f t="shared" si="157"/>
        <v>*</v>
      </c>
      <c r="AV170" s="561">
        <f t="shared" si="157"/>
        <v>1</v>
      </c>
      <c r="AW170" s="1027">
        <f t="shared" si="157"/>
        <v>1</v>
      </c>
      <c r="AX170" s="1208" t="str">
        <f>MIN($Y$156,$Y$170,$Y$184,$Y$198,$Y$212,$Y$226,$Y$240,$Y$254)&amp;"-"&amp;MAX($Y$156,$Y$170,$Y$184,$Y$198,$Y$212,$Y$226,$Y$240,$Y$254)</f>
        <v>3-9</v>
      </c>
      <c r="AY170" s="1208" t="s">
        <v>4245</v>
      </c>
    </row>
    <row r="171" spans="1:51" ht="14.25" x14ac:dyDescent="0.2">
      <c r="A171" s="533" t="str">
        <f>A165&amp;"-"&amp;B171</f>
        <v>Venus-Venus</v>
      </c>
      <c r="B171" s="559" t="s">
        <v>1519</v>
      </c>
      <c r="C171" s="540">
        <f ca="1">VenusHouse</f>
        <v>3</v>
      </c>
      <c r="D171" s="539">
        <f t="shared" ca="1" si="154"/>
        <v>1</v>
      </c>
      <c r="E171" s="539" t="str">
        <f t="shared" ca="1" si="154"/>
        <v>*</v>
      </c>
      <c r="F171" s="539">
        <f t="shared" ca="1" si="154"/>
        <v>1</v>
      </c>
      <c r="G171" s="539">
        <f t="shared" ca="1" si="154"/>
        <v>1</v>
      </c>
      <c r="H171" s="539">
        <f t="shared" ca="1" si="154"/>
        <v>1</v>
      </c>
      <c r="I171" s="539">
        <f t="shared" ca="1" si="154"/>
        <v>1</v>
      </c>
      <c r="J171" s="539">
        <f t="shared" ca="1" si="154"/>
        <v>1</v>
      </c>
      <c r="K171" s="539" t="str">
        <f t="shared" ca="1" si="154"/>
        <v>*</v>
      </c>
      <c r="L171" s="539" t="str">
        <f t="shared" ca="1" si="154"/>
        <v>*</v>
      </c>
      <c r="M171" s="539">
        <f t="shared" ca="1" si="154"/>
        <v>1</v>
      </c>
      <c r="N171" s="539">
        <f t="shared" ca="1" si="154"/>
        <v>1</v>
      </c>
      <c r="O171" s="539">
        <f t="shared" ca="1" si="154"/>
        <v>1</v>
      </c>
      <c r="P171" s="541">
        <f t="shared" ca="1" si="155"/>
        <v>9</v>
      </c>
      <c r="Q171" s="540">
        <f ca="1">IF($Y$82,D165,C171)</f>
        <v>3</v>
      </c>
      <c r="S171" s="1540"/>
      <c r="T171" s="1540"/>
      <c r="U171" s="1541"/>
      <c r="V171" s="1543"/>
      <c r="W171" s="1207" t="s">
        <v>4244</v>
      </c>
      <c r="X171" s="559" t="s">
        <v>1519</v>
      </c>
      <c r="Y171" s="560">
        <f t="shared" si="156"/>
        <v>9</v>
      </c>
      <c r="Z171" s="561">
        <v>1</v>
      </c>
      <c r="AA171" s="561">
        <v>1</v>
      </c>
      <c r="AB171" s="561">
        <v>1</v>
      </c>
      <c r="AC171" s="561">
        <v>1</v>
      </c>
      <c r="AD171" s="561">
        <v>1</v>
      </c>
      <c r="AE171" s="561" t="s">
        <v>1464</v>
      </c>
      <c r="AF171" s="561" t="s">
        <v>1464</v>
      </c>
      <c r="AG171" s="561">
        <v>1</v>
      </c>
      <c r="AH171" s="561">
        <v>1</v>
      </c>
      <c r="AI171" s="561">
        <v>1</v>
      </c>
      <c r="AJ171" s="561">
        <v>1</v>
      </c>
      <c r="AK171" s="561" t="s">
        <v>1464</v>
      </c>
      <c r="AL171" s="1026">
        <f t="shared" si="157"/>
        <v>1</v>
      </c>
      <c r="AM171" s="561">
        <f t="shared" si="157"/>
        <v>1</v>
      </c>
      <c r="AN171" s="561">
        <f t="shared" si="157"/>
        <v>1</v>
      </c>
      <c r="AO171" s="561">
        <f t="shared" si="157"/>
        <v>1</v>
      </c>
      <c r="AP171" s="561">
        <f t="shared" si="157"/>
        <v>1</v>
      </c>
      <c r="AQ171" s="561" t="str">
        <f t="shared" si="157"/>
        <v>*</v>
      </c>
      <c r="AR171" s="561" t="str">
        <f t="shared" si="157"/>
        <v>*</v>
      </c>
      <c r="AS171" s="561">
        <f t="shared" si="157"/>
        <v>1</v>
      </c>
      <c r="AT171" s="561">
        <f t="shared" si="157"/>
        <v>1</v>
      </c>
      <c r="AU171" s="561">
        <f t="shared" si="157"/>
        <v>1</v>
      </c>
      <c r="AV171" s="561">
        <f t="shared" si="157"/>
        <v>1</v>
      </c>
      <c r="AW171" s="1027" t="str">
        <f t="shared" si="157"/>
        <v>*</v>
      </c>
      <c r="AX171" s="1208" t="str">
        <f>MIN($Y$157,$Y$171,$Y$185,$Y$199,$Y$213,$Y$227,$Y$241,$Y$255)&amp;"-"&amp;MAX($Y$157,$Y$171,$Y$185,$Y$199,$Y$213,$Y$227,$Y$241,$Y$255)</f>
        <v>3-9</v>
      </c>
      <c r="AY171" s="1208" t="s">
        <v>4244</v>
      </c>
    </row>
    <row r="172" spans="1:51" ht="14.25" x14ac:dyDescent="0.2">
      <c r="A172" s="533" t="str">
        <f>A165&amp;"-"&amp;B172</f>
        <v>Venus-Mercury</v>
      </c>
      <c r="B172" s="559" t="s">
        <v>1517</v>
      </c>
      <c r="C172" s="540">
        <f ca="1">MercuryHouse</f>
        <v>4</v>
      </c>
      <c r="D172" s="539" t="str">
        <f t="shared" ca="1" si="154"/>
        <v>*</v>
      </c>
      <c r="E172" s="539">
        <f t="shared" ca="1" si="154"/>
        <v>1</v>
      </c>
      <c r="F172" s="539" t="str">
        <f t="shared" ca="1" si="154"/>
        <v>*</v>
      </c>
      <c r="G172" s="539" t="str">
        <f t="shared" ca="1" si="154"/>
        <v>*</v>
      </c>
      <c r="H172" s="539" t="str">
        <f t="shared" ca="1" si="154"/>
        <v>*</v>
      </c>
      <c r="I172" s="539">
        <f t="shared" ca="1" si="154"/>
        <v>1</v>
      </c>
      <c r="J172" s="539" t="str">
        <f t="shared" ca="1" si="154"/>
        <v>*</v>
      </c>
      <c r="K172" s="539">
        <f t="shared" ca="1" si="154"/>
        <v>1</v>
      </c>
      <c r="L172" s="539">
        <f t="shared" ca="1" si="154"/>
        <v>1</v>
      </c>
      <c r="M172" s="539" t="str">
        <f t="shared" ca="1" si="154"/>
        <v>*</v>
      </c>
      <c r="N172" s="539" t="str">
        <f t="shared" ca="1" si="154"/>
        <v>*</v>
      </c>
      <c r="O172" s="539">
        <f t="shared" ca="1" si="154"/>
        <v>1</v>
      </c>
      <c r="P172" s="541">
        <f t="shared" ca="1" si="155"/>
        <v>5</v>
      </c>
      <c r="Q172" s="540">
        <f ca="1">IF($Y$82,D165,C172)</f>
        <v>4</v>
      </c>
      <c r="S172" s="1540">
        <f ca="1">M175</f>
        <v>3</v>
      </c>
      <c r="T172" s="1541"/>
      <c r="U172" s="1541"/>
      <c r="V172" s="1540">
        <f ca="1">H175</f>
        <v>5</v>
      </c>
      <c r="X172" s="559" t="s">
        <v>1517</v>
      </c>
      <c r="Y172" s="560">
        <f t="shared" si="156"/>
        <v>5</v>
      </c>
      <c r="Z172" s="561" t="s">
        <v>1464</v>
      </c>
      <c r="AA172" s="561" t="s">
        <v>1464</v>
      </c>
      <c r="AB172" s="561">
        <v>1</v>
      </c>
      <c r="AC172" s="561" t="s">
        <v>1464</v>
      </c>
      <c r="AD172" s="561">
        <v>1</v>
      </c>
      <c r="AE172" s="561">
        <v>1</v>
      </c>
      <c r="AF172" s="561" t="s">
        <v>1464</v>
      </c>
      <c r="AG172" s="561" t="s">
        <v>1464</v>
      </c>
      <c r="AH172" s="561">
        <v>1</v>
      </c>
      <c r="AI172" s="561" t="s">
        <v>1464</v>
      </c>
      <c r="AJ172" s="561">
        <v>1</v>
      </c>
      <c r="AK172" s="561" t="s">
        <v>1464</v>
      </c>
      <c r="AL172" s="1026" t="str">
        <f t="shared" si="157"/>
        <v>*</v>
      </c>
      <c r="AM172" s="561" t="str">
        <f t="shared" si="157"/>
        <v>*</v>
      </c>
      <c r="AN172" s="561">
        <f t="shared" si="157"/>
        <v>1</v>
      </c>
      <c r="AO172" s="561" t="str">
        <f t="shared" si="157"/>
        <v>*</v>
      </c>
      <c r="AP172" s="561">
        <f t="shared" si="157"/>
        <v>1</v>
      </c>
      <c r="AQ172" s="561">
        <f t="shared" si="157"/>
        <v>1</v>
      </c>
      <c r="AR172" s="561" t="str">
        <f t="shared" si="157"/>
        <v>*</v>
      </c>
      <c r="AS172" s="561" t="str">
        <f t="shared" si="157"/>
        <v>*</v>
      </c>
      <c r="AT172" s="561">
        <f t="shared" si="157"/>
        <v>1</v>
      </c>
      <c r="AU172" s="561" t="str">
        <f t="shared" si="157"/>
        <v>*</v>
      </c>
      <c r="AV172" s="561">
        <f t="shared" si="157"/>
        <v>1</v>
      </c>
      <c r="AW172" s="1027" t="str">
        <f t="shared" si="157"/>
        <v>*</v>
      </c>
      <c r="AX172" s="1208" t="str">
        <f>MIN($Y$158,$Y$172,$Y$186,$Y$200,$Y$214,$Y$228,$Y$242,$Y$256)&amp;"-"&amp;MAX($Y$158,$Y$172,$Y$186,$Y$200,$Y$214,$Y$228,$Y$242,$Y$256)</f>
        <v>4-8</v>
      </c>
    </row>
    <row r="173" spans="1:51" ht="14.25" x14ac:dyDescent="0.2">
      <c r="A173" s="533" t="str">
        <f>A165&amp;"-"&amp;B173</f>
        <v>Venus-Moon</v>
      </c>
      <c r="B173" s="559" t="s">
        <v>1512</v>
      </c>
      <c r="C173" s="540">
        <f ca="1">MoonHouse</f>
        <v>2</v>
      </c>
      <c r="D173" s="539">
        <f t="shared" ca="1" si="154"/>
        <v>1</v>
      </c>
      <c r="E173" s="539">
        <f t="shared" ca="1" si="154"/>
        <v>1</v>
      </c>
      <c r="F173" s="539">
        <f t="shared" ca="1" si="154"/>
        <v>1</v>
      </c>
      <c r="G173" s="539">
        <f t="shared" ca="1" si="154"/>
        <v>1</v>
      </c>
      <c r="H173" s="539">
        <f t="shared" ca="1" si="154"/>
        <v>1</v>
      </c>
      <c r="I173" s="539">
        <f t="shared" ca="1" si="154"/>
        <v>1</v>
      </c>
      <c r="J173" s="539" t="str">
        <f t="shared" ca="1" si="154"/>
        <v>*</v>
      </c>
      <c r="K173" s="539" t="str">
        <f t="shared" ca="1" si="154"/>
        <v>*</v>
      </c>
      <c r="L173" s="539">
        <f t="shared" ca="1" si="154"/>
        <v>1</v>
      </c>
      <c r="M173" s="539">
        <f t="shared" ca="1" si="154"/>
        <v>1</v>
      </c>
      <c r="N173" s="539" t="str">
        <f t="shared" ca="1" si="154"/>
        <v>*</v>
      </c>
      <c r="O173" s="539">
        <f t="shared" ca="1" si="154"/>
        <v>1</v>
      </c>
      <c r="P173" s="541">
        <f t="shared" ca="1" si="155"/>
        <v>9</v>
      </c>
      <c r="Q173" s="540">
        <f ca="1">IF($Y$82,D165,C173)</f>
        <v>2</v>
      </c>
      <c r="S173" s="1540"/>
      <c r="T173" s="1540"/>
      <c r="U173" s="1541"/>
      <c r="V173" s="1540"/>
      <c r="W173" s="1207" t="s">
        <v>4244</v>
      </c>
      <c r="X173" s="559" t="s">
        <v>1512</v>
      </c>
      <c r="Y173" s="560">
        <f t="shared" si="156"/>
        <v>9</v>
      </c>
      <c r="Z173" s="561">
        <v>1</v>
      </c>
      <c r="AA173" s="561">
        <v>1</v>
      </c>
      <c r="AB173" s="561">
        <v>1</v>
      </c>
      <c r="AC173" s="561">
        <v>1</v>
      </c>
      <c r="AD173" s="561">
        <v>1</v>
      </c>
      <c r="AE173" s="561" t="s">
        <v>1464</v>
      </c>
      <c r="AF173" s="561" t="s">
        <v>1464</v>
      </c>
      <c r="AG173" s="561">
        <v>1</v>
      </c>
      <c r="AH173" s="561">
        <v>1</v>
      </c>
      <c r="AI173" s="561" t="s">
        <v>1464</v>
      </c>
      <c r="AJ173" s="561">
        <v>1</v>
      </c>
      <c r="AK173" s="561">
        <v>1</v>
      </c>
      <c r="AL173" s="1026">
        <f t="shared" si="157"/>
        <v>1</v>
      </c>
      <c r="AM173" s="561">
        <f t="shared" si="157"/>
        <v>1</v>
      </c>
      <c r="AN173" s="561">
        <f t="shared" si="157"/>
        <v>1</v>
      </c>
      <c r="AO173" s="561">
        <f t="shared" si="157"/>
        <v>1</v>
      </c>
      <c r="AP173" s="561">
        <f t="shared" si="157"/>
        <v>1</v>
      </c>
      <c r="AQ173" s="561" t="str">
        <f t="shared" si="157"/>
        <v>*</v>
      </c>
      <c r="AR173" s="561" t="str">
        <f t="shared" si="157"/>
        <v>*</v>
      </c>
      <c r="AS173" s="561">
        <f t="shared" si="157"/>
        <v>1</v>
      </c>
      <c r="AT173" s="561">
        <f t="shared" si="157"/>
        <v>1</v>
      </c>
      <c r="AU173" s="561" t="str">
        <f t="shared" si="157"/>
        <v>*</v>
      </c>
      <c r="AV173" s="561">
        <f t="shared" si="157"/>
        <v>1</v>
      </c>
      <c r="AW173" s="1027">
        <f t="shared" si="157"/>
        <v>1</v>
      </c>
      <c r="AX173" s="1208" t="str">
        <f>MIN($Y$159,$Y$173,$Y$187,$Y$201,$Y$215,$Y$229,$Y$243,$Y$257)&amp;"-"&amp;MAX($Y$159,$Y$173,$Y$187,$Y$201,$Y$215,$Y$229,$Y$243,$Y$257)</f>
        <v>3-9</v>
      </c>
      <c r="AY173" s="1208" t="s">
        <v>4244</v>
      </c>
    </row>
    <row r="174" spans="1:51" ht="14.25" x14ac:dyDescent="0.2">
      <c r="A174" s="533" t="str">
        <f>A165&amp;"-"&amp;B174</f>
        <v>Venus-Lagna</v>
      </c>
      <c r="B174" s="559" t="s">
        <v>1722</v>
      </c>
      <c r="C174" s="540">
        <f ca="1">Lagnahouse</f>
        <v>5</v>
      </c>
      <c r="D174" s="539">
        <f t="shared" ca="1" si="154"/>
        <v>1</v>
      </c>
      <c r="E174" s="539" t="str">
        <f t="shared" ca="1" si="154"/>
        <v>*</v>
      </c>
      <c r="F174" s="539">
        <f t="shared" ca="1" si="154"/>
        <v>1</v>
      </c>
      <c r="G174" s="539" t="str">
        <f t="shared" ca="1" si="154"/>
        <v>*</v>
      </c>
      <c r="H174" s="539">
        <f t="shared" ca="1" si="154"/>
        <v>1</v>
      </c>
      <c r="I174" s="539">
        <f t="shared" ca="1" si="154"/>
        <v>1</v>
      </c>
      <c r="J174" s="539">
        <f t="shared" ca="1" si="154"/>
        <v>1</v>
      </c>
      <c r="K174" s="539">
        <f t="shared" ca="1" si="154"/>
        <v>1</v>
      </c>
      <c r="L174" s="539">
        <f t="shared" ca="1" si="154"/>
        <v>1</v>
      </c>
      <c r="M174" s="539" t="str">
        <f t="shared" ca="1" si="154"/>
        <v>*</v>
      </c>
      <c r="N174" s="539" t="str">
        <f t="shared" ca="1" si="154"/>
        <v>*</v>
      </c>
      <c r="O174" s="539">
        <f t="shared" ca="1" si="154"/>
        <v>1</v>
      </c>
      <c r="P174" s="541">
        <f t="shared" ca="1" si="155"/>
        <v>8</v>
      </c>
      <c r="Q174" s="540">
        <f ca="1">IF($Y$82,D165,C174)</f>
        <v>5</v>
      </c>
      <c r="S174" s="1540"/>
      <c r="T174" s="1540"/>
      <c r="U174" s="1541"/>
      <c r="V174" s="1540"/>
      <c r="X174" s="559" t="s">
        <v>1722</v>
      </c>
      <c r="Y174" s="560">
        <f t="shared" si="156"/>
        <v>8</v>
      </c>
      <c r="Z174" s="561">
        <v>1</v>
      </c>
      <c r="AA174" s="561">
        <v>1</v>
      </c>
      <c r="AB174" s="561">
        <v>1</v>
      </c>
      <c r="AC174" s="561">
        <v>1</v>
      </c>
      <c r="AD174" s="561">
        <v>1</v>
      </c>
      <c r="AE174" s="561" t="s">
        <v>1464</v>
      </c>
      <c r="AF174" s="561" t="s">
        <v>1464</v>
      </c>
      <c r="AG174" s="561">
        <v>1</v>
      </c>
      <c r="AH174" s="561">
        <v>1</v>
      </c>
      <c r="AI174" s="561" t="s">
        <v>1464</v>
      </c>
      <c r="AJ174" s="561">
        <v>1</v>
      </c>
      <c r="AK174" s="566" t="s">
        <v>1464</v>
      </c>
      <c r="AL174" s="1026">
        <f t="shared" si="157"/>
        <v>1</v>
      </c>
      <c r="AM174" s="561">
        <f t="shared" si="157"/>
        <v>1</v>
      </c>
      <c r="AN174" s="561">
        <f t="shared" si="157"/>
        <v>1</v>
      </c>
      <c r="AO174" s="561">
        <f t="shared" si="157"/>
        <v>1</v>
      </c>
      <c r="AP174" s="561">
        <f t="shared" si="157"/>
        <v>1</v>
      </c>
      <c r="AQ174" s="561" t="str">
        <f t="shared" si="157"/>
        <v>*</v>
      </c>
      <c r="AR174" s="561" t="str">
        <f t="shared" si="157"/>
        <v>*</v>
      </c>
      <c r="AS174" s="561">
        <f t="shared" si="157"/>
        <v>1</v>
      </c>
      <c r="AT174" s="561">
        <f t="shared" si="157"/>
        <v>1</v>
      </c>
      <c r="AU174" s="561" t="str">
        <f t="shared" si="157"/>
        <v>*</v>
      </c>
      <c r="AV174" s="561">
        <f t="shared" si="157"/>
        <v>1</v>
      </c>
      <c r="AW174" s="1027" t="str">
        <f t="shared" si="157"/>
        <v>*</v>
      </c>
      <c r="AX174" s="1208" t="str">
        <f>MIN($Y$160,$Y$174,$Y$188,$Y$202,$Y$216,$Y$230,$Y$244,$Y$258)&amp;"-"&amp;MAX($Y$160,$Y$174,$Y$188,$Y$202,$Y$216,$Y$230,$Y$244,$Y$258)</f>
        <v>4-9</v>
      </c>
    </row>
    <row r="175" spans="1:51" thickBot="1" x14ac:dyDescent="0.25">
      <c r="A175" s="533" t="str">
        <f>A165&amp;"-"&amp;B175</f>
        <v>Venus-Venus</v>
      </c>
      <c r="B175" s="562" t="str">
        <f>B165</f>
        <v>Venus</v>
      </c>
      <c r="C175" s="542"/>
      <c r="D175" s="542">
        <f t="shared" ref="D175:O175" ca="1" si="158">SUM(D167:D174)</f>
        <v>4</v>
      </c>
      <c r="E175" s="542">
        <f t="shared" ca="1" si="158"/>
        <v>3</v>
      </c>
      <c r="F175" s="542">
        <f t="shared" ca="1" si="158"/>
        <v>6</v>
      </c>
      <c r="G175" s="542">
        <f t="shared" ca="1" si="158"/>
        <v>4</v>
      </c>
      <c r="H175" s="542">
        <f t="shared" ca="1" si="158"/>
        <v>5</v>
      </c>
      <c r="I175" s="542">
        <f t="shared" ca="1" si="158"/>
        <v>7</v>
      </c>
      <c r="J175" s="542">
        <f t="shared" ca="1" si="158"/>
        <v>2</v>
      </c>
      <c r="K175" s="542">
        <f t="shared" ca="1" si="158"/>
        <v>3</v>
      </c>
      <c r="L175" s="542">
        <f t="shared" ca="1" si="158"/>
        <v>5</v>
      </c>
      <c r="M175" s="542">
        <f t="shared" ca="1" si="158"/>
        <v>3</v>
      </c>
      <c r="N175" s="542">
        <f t="shared" ca="1" si="158"/>
        <v>3</v>
      </c>
      <c r="O175" s="542">
        <f t="shared" ca="1" si="158"/>
        <v>7</v>
      </c>
      <c r="P175" s="543">
        <f t="shared" ca="1" si="155"/>
        <v>52</v>
      </c>
      <c r="Q175" s="543"/>
      <c r="S175" s="1540">
        <f ca="1">L175</f>
        <v>5</v>
      </c>
      <c r="T175" s="1540">
        <f ca="1">K175</f>
        <v>3</v>
      </c>
      <c r="U175" s="1540">
        <f ca="1">J175</f>
        <v>2</v>
      </c>
      <c r="V175" s="1540">
        <f ca="1">I175</f>
        <v>7</v>
      </c>
      <c r="X175" s="562"/>
      <c r="Y175" s="563">
        <f t="shared" si="156"/>
        <v>52</v>
      </c>
      <c r="Z175" s="564">
        <f t="shared" ref="Z175:AW175" si="159">SUM(Z167:Z174)</f>
        <v>3</v>
      </c>
      <c r="AA175" s="564">
        <f t="shared" si="159"/>
        <v>3</v>
      </c>
      <c r="AB175" s="564">
        <f t="shared" si="159"/>
        <v>6</v>
      </c>
      <c r="AC175" s="564">
        <f t="shared" si="159"/>
        <v>5</v>
      </c>
      <c r="AD175" s="564">
        <f t="shared" si="159"/>
        <v>6</v>
      </c>
      <c r="AE175" s="564">
        <f t="shared" si="159"/>
        <v>2</v>
      </c>
      <c r="AF175" s="564">
        <f t="shared" si="159"/>
        <v>0</v>
      </c>
      <c r="AG175" s="564">
        <f t="shared" si="159"/>
        <v>6</v>
      </c>
      <c r="AH175" s="564">
        <f t="shared" si="159"/>
        <v>7</v>
      </c>
      <c r="AI175" s="564">
        <f t="shared" si="159"/>
        <v>3</v>
      </c>
      <c r="AJ175" s="564">
        <f t="shared" si="159"/>
        <v>8</v>
      </c>
      <c r="AK175" s="564">
        <f t="shared" si="159"/>
        <v>3</v>
      </c>
      <c r="AL175" s="1028">
        <f t="shared" si="159"/>
        <v>3</v>
      </c>
      <c r="AM175" s="565">
        <f t="shared" si="159"/>
        <v>3</v>
      </c>
      <c r="AN175" s="565">
        <f t="shared" si="159"/>
        <v>6</v>
      </c>
      <c r="AO175" s="565">
        <f t="shared" si="159"/>
        <v>5</v>
      </c>
      <c r="AP175" s="565">
        <f t="shared" si="159"/>
        <v>6</v>
      </c>
      <c r="AQ175" s="565">
        <f t="shared" si="159"/>
        <v>2</v>
      </c>
      <c r="AR175" s="565">
        <f t="shared" si="159"/>
        <v>0</v>
      </c>
      <c r="AS175" s="565">
        <f t="shared" si="159"/>
        <v>6</v>
      </c>
      <c r="AT175" s="565">
        <f t="shared" si="159"/>
        <v>7</v>
      </c>
      <c r="AU175" s="565">
        <f t="shared" si="159"/>
        <v>3</v>
      </c>
      <c r="AV175" s="565">
        <f t="shared" si="159"/>
        <v>8</v>
      </c>
      <c r="AW175" s="1029">
        <f t="shared" si="159"/>
        <v>3</v>
      </c>
    </row>
    <row r="176" spans="1:51" thickTop="1" x14ac:dyDescent="0.2">
      <c r="A176" s="533" t="str">
        <f>A165&amp;"-"&amp;B176</f>
        <v>Venus-</v>
      </c>
      <c r="S176" s="1540"/>
      <c r="T176" s="1540"/>
      <c r="U176" s="1540"/>
      <c r="V176" s="1540"/>
      <c r="X176" s="1205" t="s">
        <v>1465</v>
      </c>
      <c r="Y176" s="1205"/>
      <c r="Z176" s="1205"/>
      <c r="AA176" s="1205"/>
      <c r="AB176" s="1205"/>
      <c r="AC176" s="1205"/>
      <c r="AD176" s="1205"/>
      <c r="AE176" s="1205"/>
      <c r="AF176" s="1205"/>
      <c r="AG176" s="1205"/>
      <c r="AH176" s="1205"/>
      <c r="AI176" s="1205"/>
      <c r="AJ176" s="1205"/>
      <c r="AK176" s="1205"/>
      <c r="AL176" s="1205"/>
    </row>
    <row r="177" spans="1:51" ht="14.25" x14ac:dyDescent="0.2">
      <c r="A177" s="533" t="str">
        <f>A165&amp;"-"&amp;B177</f>
        <v>Venus-</v>
      </c>
      <c r="S177" s="1540"/>
      <c r="T177" s="1540"/>
      <c r="U177" s="1540"/>
      <c r="V177" s="1540"/>
    </row>
    <row r="178" spans="1:51" ht="14.25" x14ac:dyDescent="0.2">
      <c r="A178" s="533" t="str">
        <f>A165&amp;"-"&amp;B178</f>
        <v>Venus------</v>
      </c>
      <c r="B178" s="527" t="s">
        <v>1462</v>
      </c>
    </row>
    <row r="179" spans="1:51" thickBot="1" x14ac:dyDescent="0.25">
      <c r="A179" s="533" t="str">
        <f>B179</f>
        <v>Jupiter</v>
      </c>
      <c r="B179" s="1539" t="str">
        <f>X179</f>
        <v>Jupiter</v>
      </c>
      <c r="C179" s="1539"/>
      <c r="D179" s="527">
        <f ca="1">INDIRECT(B179&amp;"house")</f>
        <v>8</v>
      </c>
      <c r="S179" s="538"/>
      <c r="T179" s="538"/>
      <c r="U179" s="538"/>
      <c r="V179" s="538"/>
      <c r="X179" s="105" t="s">
        <v>1515</v>
      </c>
      <c r="Y179" s="1207" t="str">
        <f>MIN(Y181:Y188)&amp;"-"&amp;MAX(Y181:Y188)</f>
        <v>4-9</v>
      </c>
      <c r="Z179" s="1205" t="str">
        <f>$Z$83 &amp;  X179</f>
        <v>From Graha Good and Bad Transit of Jupiter</v>
      </c>
      <c r="AA179" s="1205"/>
      <c r="AB179" s="1205"/>
      <c r="AC179" s="1205"/>
      <c r="AD179" s="1205"/>
      <c r="AE179" s="1205"/>
      <c r="AF179" s="1205"/>
      <c r="AG179" s="1205"/>
      <c r="AH179" s="1205"/>
      <c r="AI179" s="1205"/>
      <c r="AJ179" s="1205"/>
      <c r="AK179" s="1205"/>
      <c r="AL179" s="1205"/>
      <c r="AM179" s="1205"/>
      <c r="AN179" s="1205"/>
      <c r="AO179" s="1205"/>
      <c r="AP179" s="1205"/>
      <c r="AQ179" s="1205"/>
      <c r="AR179" s="1205"/>
      <c r="AS179" s="1205"/>
      <c r="AT179" s="1205"/>
      <c r="AU179" s="1205"/>
      <c r="AV179" s="1205"/>
      <c r="AW179" s="1205"/>
      <c r="AX179" s="1208" t="s">
        <v>4246</v>
      </c>
    </row>
    <row r="180" spans="1:51" thickTop="1" x14ac:dyDescent="0.2">
      <c r="A180" s="533" t="str">
        <f>A179&amp;"-"&amp;B180</f>
        <v>Jupiter-</v>
      </c>
      <c r="B180" s="534"/>
      <c r="C180" s="535" t="s">
        <v>1438</v>
      </c>
      <c r="D180" s="536">
        <v>1</v>
      </c>
      <c r="E180" s="536">
        <v>2</v>
      </c>
      <c r="F180" s="536">
        <v>3</v>
      </c>
      <c r="G180" s="536">
        <v>4</v>
      </c>
      <c r="H180" s="536">
        <v>5</v>
      </c>
      <c r="I180" s="536">
        <v>6</v>
      </c>
      <c r="J180" s="536">
        <v>7</v>
      </c>
      <c r="K180" s="536">
        <v>8</v>
      </c>
      <c r="L180" s="536">
        <v>9</v>
      </c>
      <c r="M180" s="536">
        <v>10</v>
      </c>
      <c r="N180" s="536">
        <v>11</v>
      </c>
      <c r="O180" s="536">
        <v>12</v>
      </c>
      <c r="P180" s="537"/>
      <c r="Q180" s="537"/>
      <c r="S180" s="1540">
        <f ca="1">O189</f>
        <v>4</v>
      </c>
      <c r="T180" s="1540">
        <f ca="1">D189</f>
        <v>6</v>
      </c>
      <c r="U180" s="1543">
        <f ca="1">E189</f>
        <v>4</v>
      </c>
      <c r="V180" s="1543">
        <f ca="1">F189</f>
        <v>3</v>
      </c>
      <c r="X180" s="535" t="s">
        <v>1463</v>
      </c>
      <c r="Y180" s="557" t="s">
        <v>2413</v>
      </c>
      <c r="Z180" s="558">
        <v>1</v>
      </c>
      <c r="AA180" s="558">
        <v>2</v>
      </c>
      <c r="AB180" s="558">
        <v>3</v>
      </c>
      <c r="AC180" s="558">
        <v>4</v>
      </c>
      <c r="AD180" s="558">
        <v>5</v>
      </c>
      <c r="AE180" s="558">
        <v>6</v>
      </c>
      <c r="AF180" s="558">
        <v>7</v>
      </c>
      <c r="AG180" s="558">
        <v>8</v>
      </c>
      <c r="AH180" s="558">
        <v>9</v>
      </c>
      <c r="AI180" s="558">
        <v>10</v>
      </c>
      <c r="AJ180" s="558">
        <v>11</v>
      </c>
      <c r="AK180" s="558">
        <v>12</v>
      </c>
      <c r="AL180" s="1024">
        <v>1</v>
      </c>
      <c r="AM180" s="536">
        <v>2</v>
      </c>
      <c r="AN180" s="536">
        <v>3</v>
      </c>
      <c r="AO180" s="536">
        <v>4</v>
      </c>
      <c r="AP180" s="536">
        <v>5</v>
      </c>
      <c r="AQ180" s="536">
        <v>6</v>
      </c>
      <c r="AR180" s="536">
        <v>7</v>
      </c>
      <c r="AS180" s="536">
        <v>8</v>
      </c>
      <c r="AT180" s="536">
        <v>9</v>
      </c>
      <c r="AU180" s="536">
        <v>10</v>
      </c>
      <c r="AV180" s="536">
        <v>11</v>
      </c>
      <c r="AW180" s="1025">
        <v>12</v>
      </c>
      <c r="AX180" s="1208"/>
    </row>
    <row r="181" spans="1:51" ht="14.25" x14ac:dyDescent="0.2">
      <c r="A181" s="533" t="str">
        <f>A179&amp;"-"&amp;B181</f>
        <v>Jupiter-Saturn</v>
      </c>
      <c r="B181" s="559" t="s">
        <v>1516</v>
      </c>
      <c r="C181" s="540">
        <f ca="1">SaturnHouse</f>
        <v>2</v>
      </c>
      <c r="D181" s="539">
        <f t="shared" ref="D181:O188" ca="1" si="160">INDEX($Z181:$AW181,,12+D$152-$Q181+1)</f>
        <v>1</v>
      </c>
      <c r="E181" s="539" t="str">
        <f t="shared" ca="1" si="160"/>
        <v>*</v>
      </c>
      <c r="F181" s="539" t="str">
        <f t="shared" ca="1" si="160"/>
        <v>*</v>
      </c>
      <c r="G181" s="539">
        <f t="shared" ca="1" si="160"/>
        <v>1</v>
      </c>
      <c r="H181" s="539" t="str">
        <f t="shared" ca="1" si="160"/>
        <v>*</v>
      </c>
      <c r="I181" s="539">
        <f t="shared" ca="1" si="160"/>
        <v>1</v>
      </c>
      <c r="J181" s="539">
        <f t="shared" ca="1" si="160"/>
        <v>1</v>
      </c>
      <c r="K181" s="539" t="str">
        <f t="shared" ca="1" si="160"/>
        <v>*</v>
      </c>
      <c r="L181" s="539" t="str">
        <f t="shared" ca="1" si="160"/>
        <v>*</v>
      </c>
      <c r="M181" s="539" t="str">
        <f t="shared" ca="1" si="160"/>
        <v>*</v>
      </c>
      <c r="N181" s="539" t="str">
        <f t="shared" ca="1" si="160"/>
        <v>*</v>
      </c>
      <c r="O181" s="539" t="str">
        <f t="shared" ca="1" si="160"/>
        <v>*</v>
      </c>
      <c r="P181" s="541">
        <f t="shared" ref="P181:P189" ca="1" si="161">SUM(D181:O181)</f>
        <v>4</v>
      </c>
      <c r="Q181" s="540">
        <f ca="1">IF($Y$82,D179,C181)</f>
        <v>2</v>
      </c>
      <c r="S181" s="1540"/>
      <c r="T181" s="1540"/>
      <c r="U181" s="1540"/>
      <c r="V181" s="1540"/>
      <c r="W181" s="1207" t="s">
        <v>4245</v>
      </c>
      <c r="X181" s="559" t="s">
        <v>1516</v>
      </c>
      <c r="Y181" s="560">
        <f t="shared" ref="Y181:Y189" si="162">SUM(Z181:AK181)</f>
        <v>4</v>
      </c>
      <c r="Z181" s="561" t="s">
        <v>1464</v>
      </c>
      <c r="AA181" s="561" t="s">
        <v>1464</v>
      </c>
      <c r="AB181" s="561">
        <v>1</v>
      </c>
      <c r="AC181" s="561" t="s">
        <v>1464</v>
      </c>
      <c r="AD181" s="561">
        <v>1</v>
      </c>
      <c r="AE181" s="561">
        <v>1</v>
      </c>
      <c r="AF181" s="561" t="s">
        <v>1464</v>
      </c>
      <c r="AG181" s="561" t="s">
        <v>1464</v>
      </c>
      <c r="AH181" s="561" t="s">
        <v>1464</v>
      </c>
      <c r="AI181" s="561" t="s">
        <v>1464</v>
      </c>
      <c r="AJ181" s="561" t="s">
        <v>1464</v>
      </c>
      <c r="AK181" s="561">
        <v>1</v>
      </c>
      <c r="AL181" s="1026" t="str">
        <f t="shared" ref="AL181:AW188" si="163">Z181</f>
        <v>*</v>
      </c>
      <c r="AM181" s="561" t="str">
        <f t="shared" si="163"/>
        <v>*</v>
      </c>
      <c r="AN181" s="561">
        <f t="shared" si="163"/>
        <v>1</v>
      </c>
      <c r="AO181" s="561" t="str">
        <f t="shared" si="163"/>
        <v>*</v>
      </c>
      <c r="AP181" s="561">
        <f t="shared" si="163"/>
        <v>1</v>
      </c>
      <c r="AQ181" s="561">
        <f t="shared" si="163"/>
        <v>1</v>
      </c>
      <c r="AR181" s="561" t="str">
        <f t="shared" si="163"/>
        <v>*</v>
      </c>
      <c r="AS181" s="561" t="str">
        <f t="shared" si="163"/>
        <v>*</v>
      </c>
      <c r="AT181" s="561" t="str">
        <f t="shared" si="163"/>
        <v>*</v>
      </c>
      <c r="AU181" s="561" t="str">
        <f t="shared" si="163"/>
        <v>*</v>
      </c>
      <c r="AV181" s="561" t="str">
        <f t="shared" si="163"/>
        <v>*</v>
      </c>
      <c r="AW181" s="1027">
        <f t="shared" si="163"/>
        <v>1</v>
      </c>
      <c r="AX181" s="1208" t="str">
        <f>MIN($Y$153,$Y$167,$Y$181,$Y$195,$Y$209,$Y$223,$Y$237,$Y$251)&amp;"-"&amp;MAX($Y$153,$Y$167,$Y$181,$Y$195,$Y$209,$Y$223,$Y$237,$Y$251)</f>
        <v>4-8</v>
      </c>
      <c r="AY181" s="1208" t="s">
        <v>4245</v>
      </c>
    </row>
    <row r="182" spans="1:51" ht="14.25" x14ac:dyDescent="0.2">
      <c r="A182" s="533" t="str">
        <f>A179&amp;"-"&amp;B182</f>
        <v>Jupiter-Jupiter</v>
      </c>
      <c r="B182" s="559" t="s">
        <v>1515</v>
      </c>
      <c r="C182" s="540">
        <f ca="1">JupiterHouse</f>
        <v>8</v>
      </c>
      <c r="D182" s="539" t="str">
        <f t="shared" ca="1" si="160"/>
        <v>*</v>
      </c>
      <c r="E182" s="539">
        <f t="shared" ca="1" si="160"/>
        <v>1</v>
      </c>
      <c r="F182" s="539">
        <f t="shared" ca="1" si="160"/>
        <v>1</v>
      </c>
      <c r="G182" s="539" t="str">
        <f t="shared" ca="1" si="160"/>
        <v>*</v>
      </c>
      <c r="H182" s="539">
        <f t="shared" ca="1" si="160"/>
        <v>1</v>
      </c>
      <c r="I182" s="539">
        <f t="shared" ca="1" si="160"/>
        <v>1</v>
      </c>
      <c r="J182" s="539" t="str">
        <f t="shared" ca="1" si="160"/>
        <v>*</v>
      </c>
      <c r="K182" s="539">
        <f t="shared" ca="1" si="160"/>
        <v>1</v>
      </c>
      <c r="L182" s="539">
        <f t="shared" ca="1" si="160"/>
        <v>1</v>
      </c>
      <c r="M182" s="539">
        <f t="shared" ca="1" si="160"/>
        <v>1</v>
      </c>
      <c r="N182" s="539">
        <f t="shared" ca="1" si="160"/>
        <v>1</v>
      </c>
      <c r="O182" s="539" t="str">
        <f t="shared" ca="1" si="160"/>
        <v>*</v>
      </c>
      <c r="P182" s="541">
        <f t="shared" ca="1" si="161"/>
        <v>8</v>
      </c>
      <c r="Q182" s="540">
        <f ca="1">IF($Y$82,D179,C182)</f>
        <v>8</v>
      </c>
      <c r="S182" s="1540"/>
      <c r="T182" s="1540"/>
      <c r="U182" s="1540"/>
      <c r="V182" s="1540"/>
      <c r="X182" s="559" t="s">
        <v>1515</v>
      </c>
      <c r="Y182" s="560">
        <f t="shared" si="162"/>
        <v>8</v>
      </c>
      <c r="Z182" s="561">
        <v>1</v>
      </c>
      <c r="AA182" s="561">
        <v>1</v>
      </c>
      <c r="AB182" s="561">
        <v>1</v>
      </c>
      <c r="AC182" s="561">
        <v>1</v>
      </c>
      <c r="AD182" s="561" t="s">
        <v>1464</v>
      </c>
      <c r="AE182" s="561" t="s">
        <v>1464</v>
      </c>
      <c r="AF182" s="561">
        <v>1</v>
      </c>
      <c r="AG182" s="561">
        <v>1</v>
      </c>
      <c r="AH182" s="561" t="s">
        <v>1464</v>
      </c>
      <c r="AI182" s="561">
        <v>1</v>
      </c>
      <c r="AJ182" s="561">
        <v>1</v>
      </c>
      <c r="AK182" s="561" t="s">
        <v>1464</v>
      </c>
      <c r="AL182" s="1026">
        <f t="shared" si="163"/>
        <v>1</v>
      </c>
      <c r="AM182" s="561">
        <f t="shared" si="163"/>
        <v>1</v>
      </c>
      <c r="AN182" s="561">
        <f t="shared" si="163"/>
        <v>1</v>
      </c>
      <c r="AO182" s="561">
        <f t="shared" si="163"/>
        <v>1</v>
      </c>
      <c r="AP182" s="561" t="str">
        <f t="shared" si="163"/>
        <v>*</v>
      </c>
      <c r="AQ182" s="561" t="str">
        <f t="shared" si="163"/>
        <v>*</v>
      </c>
      <c r="AR182" s="561">
        <f t="shared" si="163"/>
        <v>1</v>
      </c>
      <c r="AS182" s="561">
        <f t="shared" si="163"/>
        <v>1</v>
      </c>
      <c r="AT182" s="561" t="str">
        <f t="shared" si="163"/>
        <v>*</v>
      </c>
      <c r="AU182" s="561">
        <f t="shared" si="163"/>
        <v>1</v>
      </c>
      <c r="AV182" s="561">
        <f t="shared" si="163"/>
        <v>1</v>
      </c>
      <c r="AW182" s="1027" t="str">
        <f t="shared" si="163"/>
        <v>*</v>
      </c>
      <c r="AX182" s="1208" t="str">
        <f>MIN($Y$154,$Y$168,$Y$182,$Y$196,$Y$210,$Y$224,$Y$238,$Y$252)&amp;"-"&amp;MAX($Y$154,$Y$168,$Y$182,$Y$196,$Y$210,$Y$224,$Y$238,$Y$252)</f>
        <v>4-9</v>
      </c>
    </row>
    <row r="183" spans="1:51" ht="14.25" x14ac:dyDescent="0.2">
      <c r="A183" s="533" t="str">
        <f>A179&amp;"-"&amp;B183</f>
        <v>Jupiter-Mars</v>
      </c>
      <c r="B183" s="559" t="s">
        <v>1513</v>
      </c>
      <c r="C183" s="540">
        <f ca="1">MarsHouse</f>
        <v>10</v>
      </c>
      <c r="D183" s="539">
        <f t="shared" ca="1" si="160"/>
        <v>1</v>
      </c>
      <c r="E183" s="539" t="str">
        <f t="shared" ca="1" si="160"/>
        <v>*</v>
      </c>
      <c r="F183" s="539" t="str">
        <f t="shared" ca="1" si="160"/>
        <v>*</v>
      </c>
      <c r="G183" s="539">
        <f t="shared" ca="1" si="160"/>
        <v>1</v>
      </c>
      <c r="H183" s="539">
        <f t="shared" ca="1" si="160"/>
        <v>1</v>
      </c>
      <c r="I183" s="539" t="str">
        <f t="shared" ca="1" si="160"/>
        <v>*</v>
      </c>
      <c r="J183" s="539">
        <f t="shared" ca="1" si="160"/>
        <v>1</v>
      </c>
      <c r="K183" s="539">
        <f t="shared" ca="1" si="160"/>
        <v>1</v>
      </c>
      <c r="L183" s="539" t="str">
        <f t="shared" ca="1" si="160"/>
        <v>*</v>
      </c>
      <c r="M183" s="539">
        <f t="shared" ca="1" si="160"/>
        <v>1</v>
      </c>
      <c r="N183" s="539">
        <f t="shared" ca="1" si="160"/>
        <v>1</v>
      </c>
      <c r="O183" s="539" t="str">
        <f t="shared" ca="1" si="160"/>
        <v>*</v>
      </c>
      <c r="P183" s="541">
        <f t="shared" ca="1" si="161"/>
        <v>7</v>
      </c>
      <c r="Q183" s="540">
        <f ca="1">IF($Y$82,D179,C183)</f>
        <v>10</v>
      </c>
      <c r="S183" s="1540">
        <f ca="1">N189</f>
        <v>5</v>
      </c>
      <c r="T183" s="1541" t="str">
        <f ca="1">C179&amp;"  Ashtakavarga  "&amp;P189</f>
        <v xml:space="preserve">  Ashtakavarga  56</v>
      </c>
      <c r="U183" s="1541"/>
      <c r="V183" s="1543">
        <f ca="1">G189</f>
        <v>5</v>
      </c>
      <c r="X183" s="559" t="s">
        <v>1513</v>
      </c>
      <c r="Y183" s="560">
        <f t="shared" si="162"/>
        <v>7</v>
      </c>
      <c r="Z183" s="561">
        <v>1</v>
      </c>
      <c r="AA183" s="561">
        <v>1</v>
      </c>
      <c r="AB183" s="561" t="s">
        <v>1464</v>
      </c>
      <c r="AC183" s="561">
        <v>1</v>
      </c>
      <c r="AD183" s="561" t="s">
        <v>1464</v>
      </c>
      <c r="AE183" s="561" t="s">
        <v>1464</v>
      </c>
      <c r="AF183" s="561">
        <v>1</v>
      </c>
      <c r="AG183" s="561">
        <v>1</v>
      </c>
      <c r="AH183" s="561" t="s">
        <v>1464</v>
      </c>
      <c r="AI183" s="561">
        <v>1</v>
      </c>
      <c r="AJ183" s="561">
        <v>1</v>
      </c>
      <c r="AK183" s="561" t="s">
        <v>1464</v>
      </c>
      <c r="AL183" s="1026">
        <f t="shared" si="163"/>
        <v>1</v>
      </c>
      <c r="AM183" s="561">
        <f t="shared" si="163"/>
        <v>1</v>
      </c>
      <c r="AN183" s="561" t="str">
        <f t="shared" si="163"/>
        <v>*</v>
      </c>
      <c r="AO183" s="561">
        <f t="shared" si="163"/>
        <v>1</v>
      </c>
      <c r="AP183" s="561" t="str">
        <f t="shared" si="163"/>
        <v>*</v>
      </c>
      <c r="AQ183" s="561" t="str">
        <f t="shared" si="163"/>
        <v>*</v>
      </c>
      <c r="AR183" s="561">
        <f t="shared" si="163"/>
        <v>1</v>
      </c>
      <c r="AS183" s="561">
        <f t="shared" si="163"/>
        <v>1</v>
      </c>
      <c r="AT183" s="561" t="str">
        <f t="shared" si="163"/>
        <v>*</v>
      </c>
      <c r="AU183" s="561">
        <f t="shared" si="163"/>
        <v>1</v>
      </c>
      <c r="AV183" s="561">
        <f t="shared" si="163"/>
        <v>1</v>
      </c>
      <c r="AW183" s="1027" t="str">
        <f t="shared" si="163"/>
        <v>*</v>
      </c>
      <c r="AX183" s="1208" t="str">
        <f>MIN($Y$155,$Y$169,$Y$183,$Y$197,$Y$211,$Y$225,$Y$239,$Y$253)&amp;"-"&amp;MAX($Y$155,$Y$169,$Y$183,$Y$197,$Y$211,$Y$225,$Y$239,$Y$253)</f>
        <v>5-8</v>
      </c>
    </row>
    <row r="184" spans="1:51" ht="14.25" x14ac:dyDescent="0.2">
      <c r="A184" s="533" t="str">
        <f>A179&amp;"-"&amp;B184</f>
        <v>Jupiter-Sun</v>
      </c>
      <c r="B184" s="559" t="s">
        <v>1511</v>
      </c>
      <c r="C184" s="540">
        <f ca="1">SunHouse</f>
        <v>4</v>
      </c>
      <c r="D184" s="539">
        <f t="shared" ca="1" si="160"/>
        <v>1</v>
      </c>
      <c r="E184" s="539">
        <f t="shared" ca="1" si="160"/>
        <v>1</v>
      </c>
      <c r="F184" s="539" t="str">
        <f t="shared" ca="1" si="160"/>
        <v>*</v>
      </c>
      <c r="G184" s="539">
        <f t="shared" ca="1" si="160"/>
        <v>1</v>
      </c>
      <c r="H184" s="539">
        <f t="shared" ca="1" si="160"/>
        <v>1</v>
      </c>
      <c r="I184" s="539">
        <f t="shared" ca="1" si="160"/>
        <v>1</v>
      </c>
      <c r="J184" s="539">
        <f t="shared" ca="1" si="160"/>
        <v>1</v>
      </c>
      <c r="K184" s="539" t="str">
        <f t="shared" ca="1" si="160"/>
        <v>*</v>
      </c>
      <c r="L184" s="539" t="str">
        <f t="shared" ca="1" si="160"/>
        <v>*</v>
      </c>
      <c r="M184" s="539">
        <f t="shared" ca="1" si="160"/>
        <v>1</v>
      </c>
      <c r="N184" s="539">
        <f t="shared" ca="1" si="160"/>
        <v>1</v>
      </c>
      <c r="O184" s="539">
        <f t="shared" ca="1" si="160"/>
        <v>1</v>
      </c>
      <c r="P184" s="541">
        <f t="shared" ca="1" si="161"/>
        <v>9</v>
      </c>
      <c r="Q184" s="540">
        <f ca="1">IF($Y$82,D179,C184)</f>
        <v>4</v>
      </c>
      <c r="S184" s="1540"/>
      <c r="T184" s="1540"/>
      <c r="U184" s="1541"/>
      <c r="V184" s="1543"/>
      <c r="W184" s="1207" t="s">
        <v>4244</v>
      </c>
      <c r="X184" s="559" t="s">
        <v>1511</v>
      </c>
      <c r="Y184" s="560">
        <f t="shared" si="162"/>
        <v>9</v>
      </c>
      <c r="Z184" s="561">
        <v>1</v>
      </c>
      <c r="AA184" s="561">
        <v>1</v>
      </c>
      <c r="AB184" s="561">
        <v>1</v>
      </c>
      <c r="AC184" s="561">
        <v>1</v>
      </c>
      <c r="AD184" s="561" t="s">
        <v>1464</v>
      </c>
      <c r="AE184" s="561" t="s">
        <v>1464</v>
      </c>
      <c r="AF184" s="561">
        <v>1</v>
      </c>
      <c r="AG184" s="561">
        <v>1</v>
      </c>
      <c r="AH184" s="561">
        <v>1</v>
      </c>
      <c r="AI184" s="561">
        <v>1</v>
      </c>
      <c r="AJ184" s="561">
        <v>1</v>
      </c>
      <c r="AK184" s="561" t="s">
        <v>1464</v>
      </c>
      <c r="AL184" s="1026">
        <f t="shared" si="163"/>
        <v>1</v>
      </c>
      <c r="AM184" s="561">
        <f t="shared" si="163"/>
        <v>1</v>
      </c>
      <c r="AN184" s="561">
        <f t="shared" si="163"/>
        <v>1</v>
      </c>
      <c r="AO184" s="561">
        <f t="shared" si="163"/>
        <v>1</v>
      </c>
      <c r="AP184" s="561" t="str">
        <f t="shared" si="163"/>
        <v>*</v>
      </c>
      <c r="AQ184" s="561" t="str">
        <f t="shared" si="163"/>
        <v>*</v>
      </c>
      <c r="AR184" s="561">
        <f t="shared" si="163"/>
        <v>1</v>
      </c>
      <c r="AS184" s="561">
        <f t="shared" si="163"/>
        <v>1</v>
      </c>
      <c r="AT184" s="561">
        <f t="shared" si="163"/>
        <v>1</v>
      </c>
      <c r="AU184" s="561">
        <f t="shared" si="163"/>
        <v>1</v>
      </c>
      <c r="AV184" s="561">
        <f t="shared" si="163"/>
        <v>1</v>
      </c>
      <c r="AW184" s="1027" t="str">
        <f t="shared" si="163"/>
        <v>*</v>
      </c>
      <c r="AX184" s="1208" t="str">
        <f>MIN($Y$156,$Y$170,$Y$184,$Y$198,$Y$212,$Y$226,$Y$240,$Y$254)&amp;"-"&amp;MAX($Y$156,$Y$170,$Y$184,$Y$198,$Y$212,$Y$226,$Y$240,$Y$254)</f>
        <v>3-9</v>
      </c>
      <c r="AY184" s="1208" t="s">
        <v>4244</v>
      </c>
    </row>
    <row r="185" spans="1:51" ht="14.25" x14ac:dyDescent="0.2">
      <c r="A185" s="533" t="str">
        <f>A179&amp;"-"&amp;B185</f>
        <v>Jupiter-Venus</v>
      </c>
      <c r="B185" s="559" t="s">
        <v>1519</v>
      </c>
      <c r="C185" s="540">
        <f ca="1">VenusHouse</f>
        <v>3</v>
      </c>
      <c r="D185" s="539">
        <f t="shared" ca="1" si="160"/>
        <v>1</v>
      </c>
      <c r="E185" s="539" t="str">
        <f t="shared" ca="1" si="160"/>
        <v>*</v>
      </c>
      <c r="F185" s="539" t="str">
        <f t="shared" ca="1" si="160"/>
        <v>*</v>
      </c>
      <c r="G185" s="539">
        <f t="shared" ca="1" si="160"/>
        <v>1</v>
      </c>
      <c r="H185" s="539" t="str">
        <f t="shared" ca="1" si="160"/>
        <v>*</v>
      </c>
      <c r="I185" s="539" t="str">
        <f t="shared" ca="1" si="160"/>
        <v>*</v>
      </c>
      <c r="J185" s="539">
        <f t="shared" ca="1" si="160"/>
        <v>1</v>
      </c>
      <c r="K185" s="539">
        <f t="shared" ca="1" si="160"/>
        <v>1</v>
      </c>
      <c r="L185" s="539" t="str">
        <f t="shared" ca="1" si="160"/>
        <v>*</v>
      </c>
      <c r="M185" s="539" t="str">
        <f t="shared" ca="1" si="160"/>
        <v>*</v>
      </c>
      <c r="N185" s="539">
        <f t="shared" ca="1" si="160"/>
        <v>1</v>
      </c>
      <c r="O185" s="539">
        <f t="shared" ca="1" si="160"/>
        <v>1</v>
      </c>
      <c r="P185" s="541">
        <f t="shared" ca="1" si="161"/>
        <v>6</v>
      </c>
      <c r="Q185" s="540">
        <f ca="1">IF($Y$82,D179,C185)</f>
        <v>3</v>
      </c>
      <c r="S185" s="1540"/>
      <c r="T185" s="1540"/>
      <c r="U185" s="1541"/>
      <c r="V185" s="1543"/>
      <c r="X185" s="559" t="s">
        <v>1519</v>
      </c>
      <c r="Y185" s="560">
        <f t="shared" si="162"/>
        <v>6</v>
      </c>
      <c r="Z185" s="561" t="s">
        <v>1464</v>
      </c>
      <c r="AA185" s="561">
        <v>1</v>
      </c>
      <c r="AB185" s="561" t="s">
        <v>1464</v>
      </c>
      <c r="AC185" s="561" t="s">
        <v>1464</v>
      </c>
      <c r="AD185" s="561">
        <v>1</v>
      </c>
      <c r="AE185" s="561">
        <v>1</v>
      </c>
      <c r="AF185" s="561" t="s">
        <v>1464</v>
      </c>
      <c r="AG185" s="561" t="s">
        <v>1464</v>
      </c>
      <c r="AH185" s="561">
        <v>1</v>
      </c>
      <c r="AI185" s="561">
        <v>1</v>
      </c>
      <c r="AJ185" s="561">
        <v>1</v>
      </c>
      <c r="AK185" s="561" t="s">
        <v>1464</v>
      </c>
      <c r="AL185" s="1026" t="str">
        <f t="shared" si="163"/>
        <v>*</v>
      </c>
      <c r="AM185" s="561">
        <f t="shared" si="163"/>
        <v>1</v>
      </c>
      <c r="AN185" s="561" t="str">
        <f t="shared" si="163"/>
        <v>*</v>
      </c>
      <c r="AO185" s="561" t="str">
        <f t="shared" si="163"/>
        <v>*</v>
      </c>
      <c r="AP185" s="561">
        <f t="shared" si="163"/>
        <v>1</v>
      </c>
      <c r="AQ185" s="561">
        <f t="shared" si="163"/>
        <v>1</v>
      </c>
      <c r="AR185" s="561" t="str">
        <f t="shared" si="163"/>
        <v>*</v>
      </c>
      <c r="AS185" s="561" t="str">
        <f t="shared" si="163"/>
        <v>*</v>
      </c>
      <c r="AT185" s="561">
        <f t="shared" si="163"/>
        <v>1</v>
      </c>
      <c r="AU185" s="561">
        <f t="shared" si="163"/>
        <v>1</v>
      </c>
      <c r="AV185" s="561">
        <f t="shared" si="163"/>
        <v>1</v>
      </c>
      <c r="AW185" s="1027" t="str">
        <f t="shared" si="163"/>
        <v>*</v>
      </c>
      <c r="AX185" s="1208" t="str">
        <f>MIN($Y$157,$Y$171,$Y$185,$Y$199,$Y$213,$Y$227,$Y$241,$Y$255)&amp;"-"&amp;MAX($Y$157,$Y$171,$Y$185,$Y$199,$Y$213,$Y$227,$Y$241,$Y$255)</f>
        <v>3-9</v>
      </c>
    </row>
    <row r="186" spans="1:51" ht="14.25" x14ac:dyDescent="0.2">
      <c r="A186" s="533" t="str">
        <f>A179&amp;"-"&amp;B186</f>
        <v>Jupiter-Mercury</v>
      </c>
      <c r="B186" s="559" t="s">
        <v>1517</v>
      </c>
      <c r="C186" s="540">
        <f ca="1">MercuryHouse</f>
        <v>4</v>
      </c>
      <c r="D186" s="539">
        <f t="shared" ca="1" si="160"/>
        <v>1</v>
      </c>
      <c r="E186" s="539">
        <f t="shared" ca="1" si="160"/>
        <v>1</v>
      </c>
      <c r="F186" s="539" t="str">
        <f t="shared" ca="1" si="160"/>
        <v>*</v>
      </c>
      <c r="G186" s="539">
        <f t="shared" ca="1" si="160"/>
        <v>1</v>
      </c>
      <c r="H186" s="539">
        <f t="shared" ca="1" si="160"/>
        <v>1</v>
      </c>
      <c r="I186" s="539" t="str">
        <f t="shared" ca="1" si="160"/>
        <v>*</v>
      </c>
      <c r="J186" s="539">
        <f t="shared" ca="1" si="160"/>
        <v>1</v>
      </c>
      <c r="K186" s="539">
        <f t="shared" ca="1" si="160"/>
        <v>1</v>
      </c>
      <c r="L186" s="539">
        <f t="shared" ca="1" si="160"/>
        <v>1</v>
      </c>
      <c r="M186" s="539" t="str">
        <f t="shared" ca="1" si="160"/>
        <v>*</v>
      </c>
      <c r="N186" s="539" t="str">
        <f t="shared" ca="1" si="160"/>
        <v>*</v>
      </c>
      <c r="O186" s="539">
        <f t="shared" ca="1" si="160"/>
        <v>1</v>
      </c>
      <c r="P186" s="541">
        <f t="shared" ca="1" si="161"/>
        <v>8</v>
      </c>
      <c r="Q186" s="540">
        <f ca="1">IF($Y$82,D179,C186)</f>
        <v>4</v>
      </c>
      <c r="S186" s="1540">
        <f ca="1">M189</f>
        <v>5</v>
      </c>
      <c r="T186" s="1541"/>
      <c r="U186" s="1541"/>
      <c r="V186" s="1543">
        <f ca="1">H189</f>
        <v>5</v>
      </c>
      <c r="X186" s="559" t="s">
        <v>1517</v>
      </c>
      <c r="Y186" s="560">
        <f t="shared" si="162"/>
        <v>8</v>
      </c>
      <c r="Z186" s="561">
        <v>1</v>
      </c>
      <c r="AA186" s="561">
        <v>1</v>
      </c>
      <c r="AB186" s="561" t="s">
        <v>1464</v>
      </c>
      <c r="AC186" s="561">
        <v>1</v>
      </c>
      <c r="AD186" s="561">
        <v>1</v>
      </c>
      <c r="AE186" s="561">
        <v>1</v>
      </c>
      <c r="AF186" s="561" t="s">
        <v>1464</v>
      </c>
      <c r="AG186" s="561" t="s">
        <v>1464</v>
      </c>
      <c r="AH186" s="561">
        <v>1</v>
      </c>
      <c r="AI186" s="561">
        <v>1</v>
      </c>
      <c r="AJ186" s="561">
        <v>1</v>
      </c>
      <c r="AK186" s="561" t="s">
        <v>1464</v>
      </c>
      <c r="AL186" s="1026">
        <f t="shared" si="163"/>
        <v>1</v>
      </c>
      <c r="AM186" s="561">
        <f t="shared" si="163"/>
        <v>1</v>
      </c>
      <c r="AN186" s="561" t="str">
        <f t="shared" si="163"/>
        <v>*</v>
      </c>
      <c r="AO186" s="561">
        <f t="shared" si="163"/>
        <v>1</v>
      </c>
      <c r="AP186" s="561">
        <f t="shared" si="163"/>
        <v>1</v>
      </c>
      <c r="AQ186" s="561">
        <f t="shared" si="163"/>
        <v>1</v>
      </c>
      <c r="AR186" s="561" t="str">
        <f t="shared" si="163"/>
        <v>*</v>
      </c>
      <c r="AS186" s="561" t="str">
        <f t="shared" si="163"/>
        <v>*</v>
      </c>
      <c r="AT186" s="561">
        <f t="shared" si="163"/>
        <v>1</v>
      </c>
      <c r="AU186" s="561">
        <f t="shared" si="163"/>
        <v>1</v>
      </c>
      <c r="AV186" s="561">
        <f t="shared" si="163"/>
        <v>1</v>
      </c>
      <c r="AW186" s="1027" t="str">
        <f t="shared" si="163"/>
        <v>*</v>
      </c>
      <c r="AX186" s="1208" t="str">
        <f>MIN($Y$158,$Y$172,$Y$186,$Y$200,$Y$214,$Y$228,$Y$242,$Y$256)&amp;"-"&amp;MAX($Y$158,$Y$172,$Y$186,$Y$200,$Y$214,$Y$228,$Y$242,$Y$256)</f>
        <v>4-8</v>
      </c>
      <c r="AY186" s="1208" t="s">
        <v>4244</v>
      </c>
    </row>
    <row r="187" spans="1:51" ht="14.25" x14ac:dyDescent="0.2">
      <c r="A187" s="533" t="str">
        <f>A179&amp;"-"&amp;B187</f>
        <v>Jupiter-Moon</v>
      </c>
      <c r="B187" s="559" t="s">
        <v>1512</v>
      </c>
      <c r="C187" s="540">
        <f ca="1">MoonHouse</f>
        <v>2</v>
      </c>
      <c r="D187" s="539" t="str">
        <f t="shared" ca="1" si="160"/>
        <v>*</v>
      </c>
      <c r="E187" s="539" t="str">
        <f t="shared" ca="1" si="160"/>
        <v>*</v>
      </c>
      <c r="F187" s="539">
        <f t="shared" ca="1" si="160"/>
        <v>1</v>
      </c>
      <c r="G187" s="539" t="str">
        <f t="shared" ca="1" si="160"/>
        <v>*</v>
      </c>
      <c r="H187" s="539" t="str">
        <f t="shared" ca="1" si="160"/>
        <v>*</v>
      </c>
      <c r="I187" s="539">
        <f t="shared" ca="1" si="160"/>
        <v>1</v>
      </c>
      <c r="J187" s="539" t="str">
        <f t="shared" ca="1" si="160"/>
        <v>*</v>
      </c>
      <c r="K187" s="539">
        <f t="shared" ca="1" si="160"/>
        <v>1</v>
      </c>
      <c r="L187" s="539" t="str">
        <f t="shared" ca="1" si="160"/>
        <v>*</v>
      </c>
      <c r="M187" s="539">
        <f t="shared" ca="1" si="160"/>
        <v>1</v>
      </c>
      <c r="N187" s="539" t="str">
        <f t="shared" ca="1" si="160"/>
        <v>*</v>
      </c>
      <c r="O187" s="539">
        <f t="shared" ca="1" si="160"/>
        <v>1</v>
      </c>
      <c r="P187" s="541">
        <f t="shared" ca="1" si="161"/>
        <v>5</v>
      </c>
      <c r="Q187" s="540">
        <f ca="1">IF($Y$82,D179,C187)</f>
        <v>2</v>
      </c>
      <c r="S187" s="1540"/>
      <c r="T187" s="1540"/>
      <c r="U187" s="1541"/>
      <c r="V187" s="1543"/>
      <c r="X187" s="559" t="s">
        <v>1512</v>
      </c>
      <c r="Y187" s="560">
        <f t="shared" si="162"/>
        <v>5</v>
      </c>
      <c r="Z187" s="561" t="s">
        <v>1464</v>
      </c>
      <c r="AA187" s="561">
        <v>1</v>
      </c>
      <c r="AB187" s="561" t="s">
        <v>1464</v>
      </c>
      <c r="AC187" s="561" t="s">
        <v>1464</v>
      </c>
      <c r="AD187" s="561">
        <v>1</v>
      </c>
      <c r="AE187" s="561" t="s">
        <v>1464</v>
      </c>
      <c r="AF187" s="561">
        <v>1</v>
      </c>
      <c r="AG187" s="561" t="s">
        <v>1464</v>
      </c>
      <c r="AH187" s="561">
        <v>1</v>
      </c>
      <c r="AI187" s="561" t="s">
        <v>1464</v>
      </c>
      <c r="AJ187" s="561">
        <v>1</v>
      </c>
      <c r="AK187" s="561" t="s">
        <v>1464</v>
      </c>
      <c r="AL187" s="1026" t="str">
        <f t="shared" si="163"/>
        <v>*</v>
      </c>
      <c r="AM187" s="561">
        <f t="shared" si="163"/>
        <v>1</v>
      </c>
      <c r="AN187" s="561" t="str">
        <f t="shared" si="163"/>
        <v>*</v>
      </c>
      <c r="AO187" s="561" t="str">
        <f t="shared" si="163"/>
        <v>*</v>
      </c>
      <c r="AP187" s="561">
        <f t="shared" si="163"/>
        <v>1</v>
      </c>
      <c r="AQ187" s="561" t="str">
        <f t="shared" si="163"/>
        <v>*</v>
      </c>
      <c r="AR187" s="561">
        <f t="shared" si="163"/>
        <v>1</v>
      </c>
      <c r="AS187" s="561" t="str">
        <f t="shared" si="163"/>
        <v>*</v>
      </c>
      <c r="AT187" s="561">
        <f t="shared" si="163"/>
        <v>1</v>
      </c>
      <c r="AU187" s="561" t="str">
        <f t="shared" si="163"/>
        <v>*</v>
      </c>
      <c r="AV187" s="561">
        <f t="shared" si="163"/>
        <v>1</v>
      </c>
      <c r="AW187" s="1027" t="str">
        <f t="shared" si="163"/>
        <v>*</v>
      </c>
      <c r="AX187" s="1208" t="str">
        <f>MIN($Y$159,$Y$173,$Y$187,$Y$201,$Y$215,$Y$229,$Y$243,$Y$257)&amp;"-"&amp;MAX($Y$159,$Y$173,$Y$187,$Y$201,$Y$215,$Y$229,$Y$243,$Y$257)</f>
        <v>3-9</v>
      </c>
    </row>
    <row r="188" spans="1:51" ht="14.25" x14ac:dyDescent="0.2">
      <c r="A188" s="533" t="str">
        <f>A179&amp;"-"&amp;B188</f>
        <v>Jupiter-Lagna</v>
      </c>
      <c r="B188" s="559" t="s">
        <v>1722</v>
      </c>
      <c r="C188" s="540">
        <f ca="1">Lagnahouse</f>
        <v>5</v>
      </c>
      <c r="D188" s="539">
        <f t="shared" ca="1" si="160"/>
        <v>1</v>
      </c>
      <c r="E188" s="539">
        <f t="shared" ca="1" si="160"/>
        <v>1</v>
      </c>
      <c r="F188" s="539">
        <f t="shared" ca="1" si="160"/>
        <v>1</v>
      </c>
      <c r="G188" s="539" t="str">
        <f t="shared" ca="1" si="160"/>
        <v>*</v>
      </c>
      <c r="H188" s="539">
        <f t="shared" ca="1" si="160"/>
        <v>1</v>
      </c>
      <c r="I188" s="539">
        <f t="shared" ca="1" si="160"/>
        <v>1</v>
      </c>
      <c r="J188" s="539" t="str">
        <f t="shared" ca="1" si="160"/>
        <v>*</v>
      </c>
      <c r="K188" s="539">
        <f t="shared" ca="1" si="160"/>
        <v>1</v>
      </c>
      <c r="L188" s="539">
        <f t="shared" ca="1" si="160"/>
        <v>1</v>
      </c>
      <c r="M188" s="539">
        <f t="shared" ca="1" si="160"/>
        <v>1</v>
      </c>
      <c r="N188" s="539">
        <f t="shared" ca="1" si="160"/>
        <v>1</v>
      </c>
      <c r="O188" s="539" t="str">
        <f t="shared" ca="1" si="160"/>
        <v>*</v>
      </c>
      <c r="P188" s="541">
        <f t="shared" ca="1" si="161"/>
        <v>9</v>
      </c>
      <c r="Q188" s="540">
        <f ca="1">IF($Y$82,D179,C188)</f>
        <v>5</v>
      </c>
      <c r="S188" s="1540"/>
      <c r="T188" s="1540"/>
      <c r="U188" s="1541"/>
      <c r="V188" s="1543"/>
      <c r="W188" s="1207" t="s">
        <v>4244</v>
      </c>
      <c r="X188" s="559" t="s">
        <v>1722</v>
      </c>
      <c r="Y188" s="560">
        <f t="shared" si="162"/>
        <v>9</v>
      </c>
      <c r="Z188" s="561">
        <v>1</v>
      </c>
      <c r="AA188" s="561">
        <v>1</v>
      </c>
      <c r="AB188" s="561" t="s">
        <v>1464</v>
      </c>
      <c r="AC188" s="561">
        <v>1</v>
      </c>
      <c r="AD188" s="561">
        <v>1</v>
      </c>
      <c r="AE188" s="561">
        <v>1</v>
      </c>
      <c r="AF188" s="561">
        <v>1</v>
      </c>
      <c r="AG188" s="561" t="s">
        <v>1464</v>
      </c>
      <c r="AH188" s="561">
        <v>1</v>
      </c>
      <c r="AI188" s="561">
        <v>1</v>
      </c>
      <c r="AJ188" s="561">
        <v>1</v>
      </c>
      <c r="AK188" s="561" t="s">
        <v>1464</v>
      </c>
      <c r="AL188" s="1026">
        <f t="shared" si="163"/>
        <v>1</v>
      </c>
      <c r="AM188" s="561">
        <f t="shared" si="163"/>
        <v>1</v>
      </c>
      <c r="AN188" s="561" t="str">
        <f t="shared" si="163"/>
        <v>*</v>
      </c>
      <c r="AO188" s="561">
        <f t="shared" si="163"/>
        <v>1</v>
      </c>
      <c r="AP188" s="561">
        <f t="shared" si="163"/>
        <v>1</v>
      </c>
      <c r="AQ188" s="561">
        <f t="shared" si="163"/>
        <v>1</v>
      </c>
      <c r="AR188" s="561">
        <f t="shared" si="163"/>
        <v>1</v>
      </c>
      <c r="AS188" s="561" t="str">
        <f t="shared" si="163"/>
        <v>*</v>
      </c>
      <c r="AT188" s="561">
        <f t="shared" si="163"/>
        <v>1</v>
      </c>
      <c r="AU188" s="561">
        <f t="shared" si="163"/>
        <v>1</v>
      </c>
      <c r="AV188" s="561">
        <f t="shared" si="163"/>
        <v>1</v>
      </c>
      <c r="AW188" s="1027" t="str">
        <f t="shared" si="163"/>
        <v>*</v>
      </c>
      <c r="AX188" s="1208" t="str">
        <f>MIN($Y$160,$Y$174,$Y$188,$Y$202,$Y$216,$Y$230,$Y$244,$Y$258)&amp;"-"&amp;MAX($Y$160,$Y$174,$Y$188,$Y$202,$Y$216,$Y$230,$Y$244,$Y$258)</f>
        <v>4-9</v>
      </c>
      <c r="AY188" s="1208" t="s">
        <v>4244</v>
      </c>
    </row>
    <row r="189" spans="1:51" thickBot="1" x14ac:dyDescent="0.25">
      <c r="A189" s="533" t="str">
        <f>A179&amp;"-"&amp;B189</f>
        <v>Jupiter-Jupiter</v>
      </c>
      <c r="B189" s="562" t="str">
        <f>B179</f>
        <v>Jupiter</v>
      </c>
      <c r="C189" s="542"/>
      <c r="D189" s="542">
        <f t="shared" ref="D189:O189" ca="1" si="164">SUM(D181:D188)</f>
        <v>6</v>
      </c>
      <c r="E189" s="542">
        <f t="shared" ca="1" si="164"/>
        <v>4</v>
      </c>
      <c r="F189" s="542">
        <f t="shared" ca="1" si="164"/>
        <v>3</v>
      </c>
      <c r="G189" s="542">
        <f t="shared" ca="1" si="164"/>
        <v>5</v>
      </c>
      <c r="H189" s="542">
        <f t="shared" ca="1" si="164"/>
        <v>5</v>
      </c>
      <c r="I189" s="542">
        <f t="shared" ca="1" si="164"/>
        <v>5</v>
      </c>
      <c r="J189" s="542">
        <f t="shared" ca="1" si="164"/>
        <v>5</v>
      </c>
      <c r="K189" s="542">
        <f t="shared" ca="1" si="164"/>
        <v>6</v>
      </c>
      <c r="L189" s="542">
        <f t="shared" ca="1" si="164"/>
        <v>3</v>
      </c>
      <c r="M189" s="542">
        <f t="shared" ca="1" si="164"/>
        <v>5</v>
      </c>
      <c r="N189" s="542">
        <f t="shared" ca="1" si="164"/>
        <v>5</v>
      </c>
      <c r="O189" s="542">
        <f t="shared" ca="1" si="164"/>
        <v>4</v>
      </c>
      <c r="P189" s="543">
        <f t="shared" ca="1" si="161"/>
        <v>56</v>
      </c>
      <c r="Q189" s="543"/>
      <c r="R189" s="567"/>
      <c r="S189" s="1543">
        <f ca="1">L189</f>
        <v>3</v>
      </c>
      <c r="T189" s="1540">
        <f ca="1">K189</f>
        <v>6</v>
      </c>
      <c r="U189" s="1543">
        <f ca="1">J189</f>
        <v>5</v>
      </c>
      <c r="V189" s="1543">
        <f ca="1">I189</f>
        <v>5</v>
      </c>
      <c r="X189" s="562"/>
      <c r="Y189" s="563">
        <f t="shared" si="162"/>
        <v>56</v>
      </c>
      <c r="Z189" s="564">
        <f t="shared" ref="Z189:AW189" si="165">SUM(Z181:Z188)</f>
        <v>5</v>
      </c>
      <c r="AA189" s="564">
        <f t="shared" si="165"/>
        <v>7</v>
      </c>
      <c r="AB189" s="564">
        <f t="shared" si="165"/>
        <v>3</v>
      </c>
      <c r="AC189" s="564">
        <f t="shared" si="165"/>
        <v>5</v>
      </c>
      <c r="AD189" s="564">
        <f t="shared" si="165"/>
        <v>5</v>
      </c>
      <c r="AE189" s="564">
        <f t="shared" si="165"/>
        <v>4</v>
      </c>
      <c r="AF189" s="564">
        <f t="shared" si="165"/>
        <v>5</v>
      </c>
      <c r="AG189" s="564">
        <f t="shared" si="165"/>
        <v>3</v>
      </c>
      <c r="AH189" s="564">
        <f t="shared" si="165"/>
        <v>5</v>
      </c>
      <c r="AI189" s="564">
        <f t="shared" si="165"/>
        <v>6</v>
      </c>
      <c r="AJ189" s="564">
        <f t="shared" si="165"/>
        <v>7</v>
      </c>
      <c r="AK189" s="564">
        <f t="shared" si="165"/>
        <v>1</v>
      </c>
      <c r="AL189" s="1030">
        <f t="shared" si="165"/>
        <v>5</v>
      </c>
      <c r="AM189" s="564">
        <f t="shared" si="165"/>
        <v>7</v>
      </c>
      <c r="AN189" s="564">
        <f t="shared" si="165"/>
        <v>3</v>
      </c>
      <c r="AO189" s="564">
        <f t="shared" si="165"/>
        <v>5</v>
      </c>
      <c r="AP189" s="564">
        <f t="shared" si="165"/>
        <v>5</v>
      </c>
      <c r="AQ189" s="564">
        <f t="shared" si="165"/>
        <v>4</v>
      </c>
      <c r="AR189" s="564">
        <f t="shared" si="165"/>
        <v>5</v>
      </c>
      <c r="AS189" s="564">
        <f t="shared" si="165"/>
        <v>3</v>
      </c>
      <c r="AT189" s="564">
        <f t="shared" si="165"/>
        <v>5</v>
      </c>
      <c r="AU189" s="564">
        <f t="shared" si="165"/>
        <v>6</v>
      </c>
      <c r="AV189" s="564">
        <f t="shared" si="165"/>
        <v>7</v>
      </c>
      <c r="AW189" s="1031">
        <f t="shared" si="165"/>
        <v>1</v>
      </c>
    </row>
    <row r="190" spans="1:51" thickTop="1" x14ac:dyDescent="0.2">
      <c r="A190" s="533" t="str">
        <f>A179&amp;"-"&amp;B190</f>
        <v>Jupiter-</v>
      </c>
      <c r="S190" s="1543"/>
      <c r="T190" s="1543"/>
      <c r="U190" s="1543"/>
      <c r="V190" s="1543"/>
      <c r="X190" s="1205" t="s">
        <v>1465</v>
      </c>
      <c r="Y190" s="1205"/>
      <c r="Z190" s="1205"/>
      <c r="AA190" s="1205"/>
      <c r="AB190" s="1205"/>
      <c r="AC190" s="1205"/>
      <c r="AD190" s="1205"/>
      <c r="AE190" s="1205"/>
      <c r="AF190" s="1205"/>
      <c r="AG190" s="1205"/>
      <c r="AH190" s="1205"/>
      <c r="AI190" s="1205"/>
      <c r="AJ190" s="1205"/>
      <c r="AK190" s="1205"/>
      <c r="AL190" s="1205"/>
    </row>
    <row r="191" spans="1:51" ht="14.25" x14ac:dyDescent="0.2">
      <c r="A191" s="533" t="str">
        <f>A179&amp;"-"&amp;B191</f>
        <v>Jupiter-</v>
      </c>
      <c r="S191" s="1543"/>
      <c r="T191" s="1543"/>
      <c r="U191" s="1543"/>
      <c r="V191" s="1543"/>
    </row>
    <row r="192" spans="1:51" ht="14.25" x14ac:dyDescent="0.2">
      <c r="A192" s="533" t="str">
        <f>A179&amp;"-"&amp;B192</f>
        <v>Jupiter------</v>
      </c>
      <c r="B192" s="527" t="s">
        <v>1462</v>
      </c>
    </row>
    <row r="193" spans="1:51" thickBot="1" x14ac:dyDescent="0.25">
      <c r="A193" s="533" t="str">
        <f>B193</f>
        <v>Mercury</v>
      </c>
      <c r="B193" s="1539" t="str">
        <f>X193</f>
        <v>Mercury</v>
      </c>
      <c r="C193" s="1539"/>
      <c r="D193" s="527">
        <f ca="1">INDIRECT(B193&amp;"house")</f>
        <v>4</v>
      </c>
      <c r="S193" s="538"/>
      <c r="T193" s="538"/>
      <c r="U193" s="538"/>
      <c r="V193" s="538"/>
      <c r="X193" s="105" t="s">
        <v>1517</v>
      </c>
      <c r="Y193" s="527" t="str">
        <f>MIN(Y195:Y202)&amp;"-"&amp;MAX(Y195:Y202)</f>
        <v>4-8</v>
      </c>
      <c r="Z193" s="1205" t="str">
        <f>$Z$83 &amp;  X193</f>
        <v>From Graha Good and Bad Transit of Mercury</v>
      </c>
      <c r="AA193" s="1205"/>
      <c r="AB193" s="1205"/>
      <c r="AC193" s="1205"/>
      <c r="AD193" s="1205"/>
      <c r="AE193" s="1205"/>
      <c r="AF193" s="1205"/>
      <c r="AG193" s="1205"/>
      <c r="AH193" s="1205"/>
      <c r="AI193" s="1205"/>
      <c r="AJ193" s="1205"/>
      <c r="AK193" s="1205"/>
      <c r="AL193" s="1205"/>
      <c r="AM193" s="1205"/>
      <c r="AN193" s="1205"/>
      <c r="AO193" s="1205"/>
      <c r="AP193" s="1205"/>
      <c r="AQ193" s="1205"/>
      <c r="AR193" s="1205"/>
      <c r="AS193" s="1205"/>
      <c r="AT193" s="1205"/>
      <c r="AU193" s="1205"/>
      <c r="AV193" s="1205"/>
      <c r="AW193" s="1205"/>
      <c r="AX193" s="1208" t="s">
        <v>4246</v>
      </c>
    </row>
    <row r="194" spans="1:51" thickTop="1" x14ac:dyDescent="0.2">
      <c r="A194" s="533" t="str">
        <f>A193&amp;"-"&amp;B194</f>
        <v>Mercury-</v>
      </c>
      <c r="B194" s="534"/>
      <c r="C194" s="535" t="s">
        <v>1438</v>
      </c>
      <c r="D194" s="536">
        <v>1</v>
      </c>
      <c r="E194" s="536">
        <v>2</v>
      </c>
      <c r="F194" s="536">
        <v>3</v>
      </c>
      <c r="G194" s="536">
        <v>4</v>
      </c>
      <c r="H194" s="536">
        <v>5</v>
      </c>
      <c r="I194" s="536">
        <v>6</v>
      </c>
      <c r="J194" s="536">
        <v>7</v>
      </c>
      <c r="K194" s="536">
        <v>8</v>
      </c>
      <c r="L194" s="536">
        <v>9</v>
      </c>
      <c r="M194" s="536">
        <v>10</v>
      </c>
      <c r="N194" s="536">
        <v>11</v>
      </c>
      <c r="O194" s="536">
        <v>12</v>
      </c>
      <c r="P194" s="537"/>
      <c r="Q194" s="537"/>
      <c r="S194" s="1540">
        <f ca="1">O203</f>
        <v>5</v>
      </c>
      <c r="T194" s="1540">
        <f ca="1">D203</f>
        <v>4</v>
      </c>
      <c r="U194" s="1540">
        <f ca="1">E203</f>
        <v>4</v>
      </c>
      <c r="V194" s="1540">
        <f ca="1">F203</f>
        <v>7</v>
      </c>
      <c r="X194" s="535" t="s">
        <v>1463</v>
      </c>
      <c r="Y194" s="557" t="s">
        <v>2413</v>
      </c>
      <c r="Z194" s="558">
        <v>1</v>
      </c>
      <c r="AA194" s="558">
        <v>2</v>
      </c>
      <c r="AB194" s="558">
        <v>3</v>
      </c>
      <c r="AC194" s="558">
        <v>4</v>
      </c>
      <c r="AD194" s="558">
        <v>5</v>
      </c>
      <c r="AE194" s="558">
        <v>6</v>
      </c>
      <c r="AF194" s="558">
        <v>7</v>
      </c>
      <c r="AG194" s="558">
        <v>8</v>
      </c>
      <c r="AH194" s="558">
        <v>9</v>
      </c>
      <c r="AI194" s="558">
        <v>10</v>
      </c>
      <c r="AJ194" s="558">
        <v>11</v>
      </c>
      <c r="AK194" s="558">
        <v>12</v>
      </c>
      <c r="AL194" s="1024">
        <v>1</v>
      </c>
      <c r="AM194" s="536">
        <v>2</v>
      </c>
      <c r="AN194" s="536">
        <v>3</v>
      </c>
      <c r="AO194" s="536">
        <v>4</v>
      </c>
      <c r="AP194" s="536">
        <v>5</v>
      </c>
      <c r="AQ194" s="536">
        <v>6</v>
      </c>
      <c r="AR194" s="536">
        <v>7</v>
      </c>
      <c r="AS194" s="536">
        <v>8</v>
      </c>
      <c r="AT194" s="536">
        <v>9</v>
      </c>
      <c r="AU194" s="536">
        <v>10</v>
      </c>
      <c r="AV194" s="536">
        <v>11</v>
      </c>
      <c r="AW194" s="1025">
        <v>12</v>
      </c>
      <c r="AX194" s="1208"/>
    </row>
    <row r="195" spans="1:51" ht="14.25" x14ac:dyDescent="0.2">
      <c r="A195" s="533" t="str">
        <f>A193&amp;"-"&amp;B195</f>
        <v>Mercury-Saturn</v>
      </c>
      <c r="B195" s="559" t="s">
        <v>1516</v>
      </c>
      <c r="C195" s="540">
        <f ca="1">SaturnHouse</f>
        <v>2</v>
      </c>
      <c r="D195" s="539" t="str">
        <f t="shared" ref="D195:O202" ca="1" si="166">INDEX($Z195:$AW195,,12+D$152-$Q195+1)</f>
        <v>*</v>
      </c>
      <c r="E195" s="539">
        <f t="shared" ca="1" si="166"/>
        <v>1</v>
      </c>
      <c r="F195" s="539">
        <f t="shared" ca="1" si="166"/>
        <v>1</v>
      </c>
      <c r="G195" s="539" t="str">
        <f t="shared" ca="1" si="166"/>
        <v>*</v>
      </c>
      <c r="H195" s="539">
        <f t="shared" ca="1" si="166"/>
        <v>1</v>
      </c>
      <c r="I195" s="539" t="str">
        <f t="shared" ca="1" si="166"/>
        <v>*</v>
      </c>
      <c r="J195" s="539" t="str">
        <f t="shared" ca="1" si="166"/>
        <v>*</v>
      </c>
      <c r="K195" s="539">
        <f t="shared" ca="1" si="166"/>
        <v>1</v>
      </c>
      <c r="L195" s="539">
        <f t="shared" ca="1" si="166"/>
        <v>1</v>
      </c>
      <c r="M195" s="539">
        <f t="shared" ca="1" si="166"/>
        <v>1</v>
      </c>
      <c r="N195" s="539">
        <f t="shared" ca="1" si="166"/>
        <v>1</v>
      </c>
      <c r="O195" s="539">
        <f t="shared" ca="1" si="166"/>
        <v>1</v>
      </c>
      <c r="P195" s="541">
        <f t="shared" ref="P195:P203" ca="1" si="167">SUM(D195:O195)</f>
        <v>8</v>
      </c>
      <c r="Q195" s="540">
        <f ca="1">IF($Y$82,D193,C195)</f>
        <v>2</v>
      </c>
      <c r="S195" s="1540"/>
      <c r="T195" s="1540"/>
      <c r="U195" s="1540"/>
      <c r="V195" s="1540"/>
      <c r="W195" s="1207" t="s">
        <v>4244</v>
      </c>
      <c r="X195" s="559" t="s">
        <v>1516</v>
      </c>
      <c r="Y195" s="560">
        <f t="shared" ref="Y195:Y203" si="168">SUM(Z195:AK195)</f>
        <v>8</v>
      </c>
      <c r="Z195" s="561">
        <v>1</v>
      </c>
      <c r="AA195" s="561">
        <v>1</v>
      </c>
      <c r="AB195" s="561" t="s">
        <v>1464</v>
      </c>
      <c r="AC195" s="561">
        <v>1</v>
      </c>
      <c r="AD195" s="561" t="s">
        <v>1464</v>
      </c>
      <c r="AE195" s="561" t="s">
        <v>1464</v>
      </c>
      <c r="AF195" s="561">
        <v>1</v>
      </c>
      <c r="AG195" s="561">
        <v>1</v>
      </c>
      <c r="AH195" s="561">
        <v>1</v>
      </c>
      <c r="AI195" s="561">
        <v>1</v>
      </c>
      <c r="AJ195" s="561">
        <v>1</v>
      </c>
      <c r="AK195" s="561" t="s">
        <v>1464</v>
      </c>
      <c r="AL195" s="1026">
        <f t="shared" ref="AL195:AW202" si="169">Z195</f>
        <v>1</v>
      </c>
      <c r="AM195" s="561">
        <f t="shared" si="169"/>
        <v>1</v>
      </c>
      <c r="AN195" s="561" t="str">
        <f t="shared" si="169"/>
        <v>*</v>
      </c>
      <c r="AO195" s="561">
        <f t="shared" si="169"/>
        <v>1</v>
      </c>
      <c r="AP195" s="561" t="str">
        <f t="shared" si="169"/>
        <v>*</v>
      </c>
      <c r="AQ195" s="561" t="str">
        <f t="shared" si="169"/>
        <v>*</v>
      </c>
      <c r="AR195" s="561">
        <f t="shared" si="169"/>
        <v>1</v>
      </c>
      <c r="AS195" s="561">
        <f t="shared" si="169"/>
        <v>1</v>
      </c>
      <c r="AT195" s="561">
        <f t="shared" si="169"/>
        <v>1</v>
      </c>
      <c r="AU195" s="561">
        <f t="shared" si="169"/>
        <v>1</v>
      </c>
      <c r="AV195" s="561">
        <f t="shared" si="169"/>
        <v>1</v>
      </c>
      <c r="AW195" s="1027" t="str">
        <f t="shared" si="169"/>
        <v>*</v>
      </c>
      <c r="AX195" s="1208" t="str">
        <f>MIN($Y$153,$Y$167,$Y$181,$Y$195,$Y$209,$Y$223,$Y$237,$Y$251)&amp;"-"&amp;MAX($Y$153,$Y$167,$Y$181,$Y$195,$Y$209,$Y$223,$Y$237,$Y$251)</f>
        <v>4-8</v>
      </c>
      <c r="AY195" s="1208" t="s">
        <v>4244</v>
      </c>
    </row>
    <row r="196" spans="1:51" ht="14.25" x14ac:dyDescent="0.2">
      <c r="A196" s="533" t="str">
        <f>A193&amp;"-"&amp;B196</f>
        <v>Mercury-Jupiter</v>
      </c>
      <c r="B196" s="559" t="s">
        <v>1515</v>
      </c>
      <c r="C196" s="540">
        <f ca="1">JupiterHouse</f>
        <v>8</v>
      </c>
      <c r="D196" s="539">
        <f t="shared" ca="1" si="166"/>
        <v>1</v>
      </c>
      <c r="E196" s="539" t="str">
        <f t="shared" ca="1" si="166"/>
        <v>*</v>
      </c>
      <c r="F196" s="539">
        <f t="shared" ca="1" si="166"/>
        <v>1</v>
      </c>
      <c r="G196" s="539" t="str">
        <f t="shared" ca="1" si="166"/>
        <v>*</v>
      </c>
      <c r="H196" s="539" t="str">
        <f t="shared" ca="1" si="166"/>
        <v>*</v>
      </c>
      <c r="I196" s="539">
        <f t="shared" ca="1" si="166"/>
        <v>1</v>
      </c>
      <c r="J196" s="539">
        <f t="shared" ca="1" si="166"/>
        <v>1</v>
      </c>
      <c r="K196" s="539" t="str">
        <f t="shared" ca="1" si="166"/>
        <v>*</v>
      </c>
      <c r="L196" s="539" t="str">
        <f t="shared" ca="1" si="166"/>
        <v>*</v>
      </c>
      <c r="M196" s="539" t="str">
        <f t="shared" ca="1" si="166"/>
        <v>*</v>
      </c>
      <c r="N196" s="539" t="str">
        <f t="shared" ca="1" si="166"/>
        <v>*</v>
      </c>
      <c r="O196" s="539" t="str">
        <f t="shared" ca="1" si="166"/>
        <v>*</v>
      </c>
      <c r="P196" s="541">
        <f t="shared" ca="1" si="167"/>
        <v>4</v>
      </c>
      <c r="Q196" s="540">
        <f ca="1">IF($Y$82,D193,C196)</f>
        <v>8</v>
      </c>
      <c r="S196" s="1540"/>
      <c r="T196" s="1540"/>
      <c r="U196" s="1540"/>
      <c r="V196" s="1540"/>
      <c r="W196" s="1207" t="s">
        <v>4245</v>
      </c>
      <c r="X196" s="559" t="s">
        <v>1515</v>
      </c>
      <c r="Y196" s="560">
        <f t="shared" si="168"/>
        <v>4</v>
      </c>
      <c r="Z196" s="561" t="s">
        <v>1464</v>
      </c>
      <c r="AA196" s="561" t="s">
        <v>1464</v>
      </c>
      <c r="AB196" s="561" t="s">
        <v>1464</v>
      </c>
      <c r="AC196" s="561" t="s">
        <v>1464</v>
      </c>
      <c r="AD196" s="561" t="s">
        <v>1464</v>
      </c>
      <c r="AE196" s="561">
        <v>1</v>
      </c>
      <c r="AF196" s="561" t="s">
        <v>1464</v>
      </c>
      <c r="AG196" s="561">
        <v>1</v>
      </c>
      <c r="AH196" s="561" t="s">
        <v>1464</v>
      </c>
      <c r="AI196" s="561" t="s">
        <v>1464</v>
      </c>
      <c r="AJ196" s="561">
        <v>1</v>
      </c>
      <c r="AK196" s="561">
        <v>1</v>
      </c>
      <c r="AL196" s="1026" t="str">
        <f t="shared" si="169"/>
        <v>*</v>
      </c>
      <c r="AM196" s="561" t="str">
        <f t="shared" si="169"/>
        <v>*</v>
      </c>
      <c r="AN196" s="561" t="str">
        <f t="shared" si="169"/>
        <v>*</v>
      </c>
      <c r="AO196" s="561" t="str">
        <f t="shared" si="169"/>
        <v>*</v>
      </c>
      <c r="AP196" s="561" t="str">
        <f t="shared" si="169"/>
        <v>*</v>
      </c>
      <c r="AQ196" s="561">
        <f t="shared" si="169"/>
        <v>1</v>
      </c>
      <c r="AR196" s="561" t="str">
        <f t="shared" si="169"/>
        <v>*</v>
      </c>
      <c r="AS196" s="561">
        <f t="shared" si="169"/>
        <v>1</v>
      </c>
      <c r="AT196" s="561" t="str">
        <f t="shared" si="169"/>
        <v>*</v>
      </c>
      <c r="AU196" s="561" t="str">
        <f t="shared" si="169"/>
        <v>*</v>
      </c>
      <c r="AV196" s="561">
        <f t="shared" si="169"/>
        <v>1</v>
      </c>
      <c r="AW196" s="1027">
        <f t="shared" si="169"/>
        <v>1</v>
      </c>
      <c r="AX196" s="1208" t="str">
        <f>MIN($Y$154,$Y$168,$Y$182,$Y$196,$Y$210,$Y$224,$Y$238,$Y$252)&amp;"-"&amp;MAX($Y$154,$Y$168,$Y$182,$Y$196,$Y$210,$Y$224,$Y$238,$Y$252)</f>
        <v>4-9</v>
      </c>
      <c r="AY196" s="1208" t="s">
        <v>4245</v>
      </c>
    </row>
    <row r="197" spans="1:51" ht="14.25" x14ac:dyDescent="0.2">
      <c r="A197" s="533" t="str">
        <f>A193&amp;"-"&amp;B197</f>
        <v>Mercury-Mars</v>
      </c>
      <c r="B197" s="559" t="s">
        <v>1513</v>
      </c>
      <c r="C197" s="540">
        <f ca="1">MarsHouse</f>
        <v>10</v>
      </c>
      <c r="D197" s="539">
        <f t="shared" ca="1" si="166"/>
        <v>1</v>
      </c>
      <c r="E197" s="539" t="str">
        <f t="shared" ca="1" si="166"/>
        <v>*</v>
      </c>
      <c r="F197" s="539" t="str">
        <f t="shared" ca="1" si="166"/>
        <v>*</v>
      </c>
      <c r="G197" s="539">
        <f t="shared" ca="1" si="166"/>
        <v>1</v>
      </c>
      <c r="H197" s="539">
        <f t="shared" ca="1" si="166"/>
        <v>1</v>
      </c>
      <c r="I197" s="539">
        <f t="shared" ca="1" si="166"/>
        <v>1</v>
      </c>
      <c r="J197" s="539">
        <f t="shared" ca="1" si="166"/>
        <v>1</v>
      </c>
      <c r="K197" s="539">
        <f t="shared" ca="1" si="166"/>
        <v>1</v>
      </c>
      <c r="L197" s="539" t="str">
        <f t="shared" ca="1" si="166"/>
        <v>*</v>
      </c>
      <c r="M197" s="539">
        <f t="shared" ca="1" si="166"/>
        <v>1</v>
      </c>
      <c r="N197" s="539">
        <f t="shared" ca="1" si="166"/>
        <v>1</v>
      </c>
      <c r="O197" s="539" t="str">
        <f t="shared" ca="1" si="166"/>
        <v>*</v>
      </c>
      <c r="P197" s="541">
        <f t="shared" ca="1" si="167"/>
        <v>8</v>
      </c>
      <c r="Q197" s="540">
        <f ca="1">IF($Y$82,D193,C197)</f>
        <v>10</v>
      </c>
      <c r="S197" s="1540">
        <f ca="1">N203</f>
        <v>4</v>
      </c>
      <c r="T197" s="1541" t="str">
        <f ca="1">C193&amp;"  Ashtakavarga  "&amp;P203</f>
        <v xml:space="preserve">  Ashtakavarga  54</v>
      </c>
      <c r="U197" s="1541"/>
      <c r="V197" s="1540">
        <f ca="1">G203</f>
        <v>3</v>
      </c>
      <c r="X197" s="559" t="s">
        <v>1513</v>
      </c>
      <c r="Y197" s="560">
        <f t="shared" si="168"/>
        <v>8</v>
      </c>
      <c r="Z197" s="561">
        <v>1</v>
      </c>
      <c r="AA197" s="561">
        <v>1</v>
      </c>
      <c r="AB197" s="561" t="s">
        <v>1464</v>
      </c>
      <c r="AC197" s="561">
        <v>1</v>
      </c>
      <c r="AD197" s="561" t="s">
        <v>1464</v>
      </c>
      <c r="AE197" s="561" t="s">
        <v>1464</v>
      </c>
      <c r="AF197" s="561">
        <v>1</v>
      </c>
      <c r="AG197" s="561">
        <v>1</v>
      </c>
      <c r="AH197" s="561">
        <v>1</v>
      </c>
      <c r="AI197" s="561">
        <v>1</v>
      </c>
      <c r="AJ197" s="561">
        <v>1</v>
      </c>
      <c r="AK197" s="561" t="s">
        <v>1464</v>
      </c>
      <c r="AL197" s="1026">
        <f t="shared" si="169"/>
        <v>1</v>
      </c>
      <c r="AM197" s="561">
        <f t="shared" si="169"/>
        <v>1</v>
      </c>
      <c r="AN197" s="561" t="str">
        <f t="shared" si="169"/>
        <v>*</v>
      </c>
      <c r="AO197" s="561">
        <f t="shared" si="169"/>
        <v>1</v>
      </c>
      <c r="AP197" s="561" t="str">
        <f t="shared" si="169"/>
        <v>*</v>
      </c>
      <c r="AQ197" s="561" t="str">
        <f t="shared" si="169"/>
        <v>*</v>
      </c>
      <c r="AR197" s="561">
        <f t="shared" si="169"/>
        <v>1</v>
      </c>
      <c r="AS197" s="561">
        <f t="shared" si="169"/>
        <v>1</v>
      </c>
      <c r="AT197" s="561">
        <f t="shared" si="169"/>
        <v>1</v>
      </c>
      <c r="AU197" s="561">
        <f t="shared" si="169"/>
        <v>1</v>
      </c>
      <c r="AV197" s="561">
        <f t="shared" si="169"/>
        <v>1</v>
      </c>
      <c r="AW197" s="1027" t="str">
        <f t="shared" si="169"/>
        <v>*</v>
      </c>
      <c r="AX197" s="1208" t="str">
        <f>MIN($Y$155,$Y$169,$Y$183,$Y$197,$Y$211,$Y$225,$Y$239,$Y$253)&amp;"-"&amp;MAX($Y$155,$Y$169,$Y$183,$Y$197,$Y$211,$Y$225,$Y$239,$Y$253)</f>
        <v>5-8</v>
      </c>
      <c r="AY197" s="1208" t="s">
        <v>4244</v>
      </c>
    </row>
    <row r="198" spans="1:51" ht="14.25" x14ac:dyDescent="0.2">
      <c r="A198" s="533" t="str">
        <f>A193&amp;"-"&amp;B198</f>
        <v>Mercury-Sun</v>
      </c>
      <c r="B198" s="559" t="s">
        <v>1511</v>
      </c>
      <c r="C198" s="540">
        <f ca="1">SunHouse</f>
        <v>4</v>
      </c>
      <c r="D198" s="539" t="str">
        <f t="shared" ca="1" si="166"/>
        <v>*</v>
      </c>
      <c r="E198" s="539">
        <f t="shared" ca="1" si="166"/>
        <v>1</v>
      </c>
      <c r="F198" s="539">
        <f t="shared" ca="1" si="166"/>
        <v>1</v>
      </c>
      <c r="G198" s="539" t="str">
        <f t="shared" ca="1" si="166"/>
        <v>*</v>
      </c>
      <c r="H198" s="539" t="str">
        <f t="shared" ca="1" si="166"/>
        <v>*</v>
      </c>
      <c r="I198" s="539" t="str">
        <f t="shared" ca="1" si="166"/>
        <v>*</v>
      </c>
      <c r="J198" s="539" t="str">
        <f t="shared" ca="1" si="166"/>
        <v>*</v>
      </c>
      <c r="K198" s="539">
        <f t="shared" ca="1" si="166"/>
        <v>1</v>
      </c>
      <c r="L198" s="539">
        <f t="shared" ca="1" si="166"/>
        <v>1</v>
      </c>
      <c r="M198" s="539" t="str">
        <f t="shared" ca="1" si="166"/>
        <v>*</v>
      </c>
      <c r="N198" s="539" t="str">
        <f t="shared" ca="1" si="166"/>
        <v>*</v>
      </c>
      <c r="O198" s="539">
        <f t="shared" ca="1" si="166"/>
        <v>1</v>
      </c>
      <c r="P198" s="541">
        <f t="shared" ca="1" si="167"/>
        <v>5</v>
      </c>
      <c r="Q198" s="540">
        <f ca="1">IF($Y$82,D193,C198)</f>
        <v>4</v>
      </c>
      <c r="S198" s="1540"/>
      <c r="T198" s="1540"/>
      <c r="U198" s="1541"/>
      <c r="V198" s="1540"/>
      <c r="X198" s="559" t="s">
        <v>1511</v>
      </c>
      <c r="Y198" s="560">
        <f t="shared" si="168"/>
        <v>5</v>
      </c>
      <c r="Z198" s="561" t="s">
        <v>1464</v>
      </c>
      <c r="AA198" s="561" t="s">
        <v>1464</v>
      </c>
      <c r="AB198" s="561" t="s">
        <v>1464</v>
      </c>
      <c r="AC198" s="561" t="s">
        <v>1464</v>
      </c>
      <c r="AD198" s="561">
        <v>1</v>
      </c>
      <c r="AE198" s="561">
        <v>1</v>
      </c>
      <c r="AF198" s="561" t="s">
        <v>1464</v>
      </c>
      <c r="AG198" s="561" t="s">
        <v>1464</v>
      </c>
      <c r="AH198" s="561">
        <v>1</v>
      </c>
      <c r="AI198" s="561" t="s">
        <v>1464</v>
      </c>
      <c r="AJ198" s="561">
        <v>1</v>
      </c>
      <c r="AK198" s="561">
        <v>1</v>
      </c>
      <c r="AL198" s="1026" t="str">
        <f t="shared" si="169"/>
        <v>*</v>
      </c>
      <c r="AM198" s="561" t="str">
        <f t="shared" si="169"/>
        <v>*</v>
      </c>
      <c r="AN198" s="561" t="str">
        <f t="shared" si="169"/>
        <v>*</v>
      </c>
      <c r="AO198" s="561" t="str">
        <f t="shared" si="169"/>
        <v>*</v>
      </c>
      <c r="AP198" s="561">
        <f t="shared" si="169"/>
        <v>1</v>
      </c>
      <c r="AQ198" s="561">
        <f t="shared" si="169"/>
        <v>1</v>
      </c>
      <c r="AR198" s="561" t="str">
        <f t="shared" si="169"/>
        <v>*</v>
      </c>
      <c r="AS198" s="561" t="str">
        <f t="shared" si="169"/>
        <v>*</v>
      </c>
      <c r="AT198" s="561">
        <f t="shared" si="169"/>
        <v>1</v>
      </c>
      <c r="AU198" s="561" t="str">
        <f t="shared" si="169"/>
        <v>*</v>
      </c>
      <c r="AV198" s="561">
        <f t="shared" si="169"/>
        <v>1</v>
      </c>
      <c r="AW198" s="1027">
        <f t="shared" si="169"/>
        <v>1</v>
      </c>
      <c r="AX198" s="1208" t="str">
        <f>MIN($Y$156,$Y$170,$Y$184,$Y$198,$Y$212,$Y$226,$Y$240,$Y$254)&amp;"-"&amp;MAX($Y$156,$Y$170,$Y$184,$Y$198,$Y$212,$Y$226,$Y$240,$Y$254)</f>
        <v>3-9</v>
      </c>
    </row>
    <row r="199" spans="1:51" ht="14.25" x14ac:dyDescent="0.2">
      <c r="A199" s="533" t="str">
        <f>A193&amp;"-"&amp;B199</f>
        <v>Mercury-Venus</v>
      </c>
      <c r="B199" s="559" t="s">
        <v>1519</v>
      </c>
      <c r="C199" s="540">
        <f ca="1">VenusHouse</f>
        <v>3</v>
      </c>
      <c r="D199" s="539">
        <f t="shared" ca="1" si="166"/>
        <v>1</v>
      </c>
      <c r="E199" s="539" t="str">
        <f t="shared" ca="1" si="166"/>
        <v>*</v>
      </c>
      <c r="F199" s="539">
        <f t="shared" ca="1" si="166"/>
        <v>1</v>
      </c>
      <c r="G199" s="539">
        <f t="shared" ca="1" si="166"/>
        <v>1</v>
      </c>
      <c r="H199" s="539">
        <f t="shared" ca="1" si="166"/>
        <v>1</v>
      </c>
      <c r="I199" s="539">
        <f t="shared" ca="1" si="166"/>
        <v>1</v>
      </c>
      <c r="J199" s="539">
        <f t="shared" ca="1" si="166"/>
        <v>1</v>
      </c>
      <c r="K199" s="539" t="str">
        <f t="shared" ca="1" si="166"/>
        <v>*</v>
      </c>
      <c r="L199" s="539" t="str">
        <f t="shared" ca="1" si="166"/>
        <v>*</v>
      </c>
      <c r="M199" s="539">
        <f t="shared" ca="1" si="166"/>
        <v>1</v>
      </c>
      <c r="N199" s="539">
        <f t="shared" ca="1" si="166"/>
        <v>1</v>
      </c>
      <c r="O199" s="539" t="str">
        <f t="shared" ca="1" si="166"/>
        <v>*</v>
      </c>
      <c r="P199" s="541">
        <f t="shared" ca="1" si="167"/>
        <v>8</v>
      </c>
      <c r="Q199" s="540">
        <f ca="1">IF($Y$82,D193,C199)</f>
        <v>3</v>
      </c>
      <c r="S199" s="1540"/>
      <c r="T199" s="1540"/>
      <c r="U199" s="1541"/>
      <c r="V199" s="1540"/>
      <c r="W199" s="1207" t="s">
        <v>4244</v>
      </c>
      <c r="X199" s="559" t="s">
        <v>1519</v>
      </c>
      <c r="Y199" s="560">
        <f t="shared" si="168"/>
        <v>8</v>
      </c>
      <c r="Z199" s="561">
        <v>1</v>
      </c>
      <c r="AA199" s="561">
        <v>1</v>
      </c>
      <c r="AB199" s="561">
        <v>1</v>
      </c>
      <c r="AC199" s="561">
        <v>1</v>
      </c>
      <c r="AD199" s="561">
        <v>1</v>
      </c>
      <c r="AE199" s="561" t="s">
        <v>1464</v>
      </c>
      <c r="AF199" s="561" t="s">
        <v>1464</v>
      </c>
      <c r="AG199" s="561">
        <v>1</v>
      </c>
      <c r="AH199" s="561">
        <v>1</v>
      </c>
      <c r="AI199" s="561" t="s">
        <v>1464</v>
      </c>
      <c r="AJ199" s="561">
        <v>1</v>
      </c>
      <c r="AK199" s="561" t="s">
        <v>1464</v>
      </c>
      <c r="AL199" s="1026">
        <f t="shared" si="169"/>
        <v>1</v>
      </c>
      <c r="AM199" s="561">
        <f t="shared" si="169"/>
        <v>1</v>
      </c>
      <c r="AN199" s="561">
        <f t="shared" si="169"/>
        <v>1</v>
      </c>
      <c r="AO199" s="561">
        <f t="shared" si="169"/>
        <v>1</v>
      </c>
      <c r="AP199" s="561">
        <f t="shared" si="169"/>
        <v>1</v>
      </c>
      <c r="AQ199" s="561" t="str">
        <f t="shared" si="169"/>
        <v>*</v>
      </c>
      <c r="AR199" s="561" t="str">
        <f t="shared" si="169"/>
        <v>*</v>
      </c>
      <c r="AS199" s="561">
        <f t="shared" si="169"/>
        <v>1</v>
      </c>
      <c r="AT199" s="561">
        <f t="shared" si="169"/>
        <v>1</v>
      </c>
      <c r="AU199" s="561" t="str">
        <f t="shared" si="169"/>
        <v>*</v>
      </c>
      <c r="AV199" s="561">
        <f t="shared" si="169"/>
        <v>1</v>
      </c>
      <c r="AW199" s="1027" t="str">
        <f t="shared" si="169"/>
        <v>*</v>
      </c>
      <c r="AX199" s="1208" t="str">
        <f>MIN($Y$157,$Y$171,$Y$185,$Y$199,$Y$213,$Y$227,$Y$241,$Y$255)&amp;"-"&amp;MAX($Y$157,$Y$171,$Y$185,$Y$199,$Y$213,$Y$227,$Y$241,$Y$255)</f>
        <v>3-9</v>
      </c>
    </row>
    <row r="200" spans="1:51" ht="14.25" x14ac:dyDescent="0.2">
      <c r="A200" s="533" t="str">
        <f>A193&amp;"-"&amp;B200</f>
        <v>Mercury-Mercury</v>
      </c>
      <c r="B200" s="559" t="s">
        <v>1517</v>
      </c>
      <c r="C200" s="540">
        <f ca="1">MercuryHouse</f>
        <v>4</v>
      </c>
      <c r="D200" s="539">
        <f t="shared" ca="1" si="166"/>
        <v>1</v>
      </c>
      <c r="E200" s="539">
        <f t="shared" ca="1" si="166"/>
        <v>1</v>
      </c>
      <c r="F200" s="539">
        <f t="shared" ca="1" si="166"/>
        <v>1</v>
      </c>
      <c r="G200" s="539">
        <f t="shared" ca="1" si="166"/>
        <v>1</v>
      </c>
      <c r="H200" s="539" t="str">
        <f t="shared" ca="1" si="166"/>
        <v>*</v>
      </c>
      <c r="I200" s="539">
        <f t="shared" ca="1" si="166"/>
        <v>1</v>
      </c>
      <c r="J200" s="539" t="str">
        <f t="shared" ca="1" si="166"/>
        <v>*</v>
      </c>
      <c r="K200" s="539">
        <f t="shared" ca="1" si="166"/>
        <v>1</v>
      </c>
      <c r="L200" s="539">
        <f t="shared" ca="1" si="166"/>
        <v>1</v>
      </c>
      <c r="M200" s="539" t="str">
        <f t="shared" ca="1" si="166"/>
        <v>*</v>
      </c>
      <c r="N200" s="539" t="str">
        <f t="shared" ca="1" si="166"/>
        <v>*</v>
      </c>
      <c r="O200" s="539">
        <f t="shared" ca="1" si="166"/>
        <v>1</v>
      </c>
      <c r="P200" s="541">
        <f t="shared" ca="1" si="167"/>
        <v>8</v>
      </c>
      <c r="Q200" s="540">
        <f ca="1">IF($Y$82,D193,C200)</f>
        <v>4</v>
      </c>
      <c r="S200" s="1540">
        <f ca="1">M203</f>
        <v>4</v>
      </c>
      <c r="T200" s="1541"/>
      <c r="U200" s="1541"/>
      <c r="V200" s="1540">
        <f ca="1">H203</f>
        <v>5</v>
      </c>
      <c r="W200" s="1207" t="s">
        <v>4244</v>
      </c>
      <c r="X200" s="559" t="s">
        <v>1517</v>
      </c>
      <c r="Y200" s="560">
        <f t="shared" si="168"/>
        <v>8</v>
      </c>
      <c r="Z200" s="561">
        <v>1</v>
      </c>
      <c r="AA200" s="561" t="s">
        <v>1464</v>
      </c>
      <c r="AB200" s="561">
        <v>1</v>
      </c>
      <c r="AC200" s="561" t="s">
        <v>1464</v>
      </c>
      <c r="AD200" s="561">
        <v>1</v>
      </c>
      <c r="AE200" s="561">
        <v>1</v>
      </c>
      <c r="AF200" s="561" t="s">
        <v>1464</v>
      </c>
      <c r="AG200" s="561" t="s">
        <v>1464</v>
      </c>
      <c r="AH200" s="561">
        <v>1</v>
      </c>
      <c r="AI200" s="561">
        <v>1</v>
      </c>
      <c r="AJ200" s="561">
        <v>1</v>
      </c>
      <c r="AK200" s="561">
        <v>1</v>
      </c>
      <c r="AL200" s="1026">
        <f t="shared" si="169"/>
        <v>1</v>
      </c>
      <c r="AM200" s="561" t="str">
        <f t="shared" si="169"/>
        <v>*</v>
      </c>
      <c r="AN200" s="561">
        <f t="shared" si="169"/>
        <v>1</v>
      </c>
      <c r="AO200" s="561" t="str">
        <f t="shared" si="169"/>
        <v>*</v>
      </c>
      <c r="AP200" s="561">
        <f t="shared" si="169"/>
        <v>1</v>
      </c>
      <c r="AQ200" s="561">
        <f t="shared" si="169"/>
        <v>1</v>
      </c>
      <c r="AR200" s="561" t="str">
        <f t="shared" si="169"/>
        <v>*</v>
      </c>
      <c r="AS200" s="561" t="str">
        <f t="shared" si="169"/>
        <v>*</v>
      </c>
      <c r="AT200" s="561">
        <f t="shared" si="169"/>
        <v>1</v>
      </c>
      <c r="AU200" s="561">
        <f t="shared" si="169"/>
        <v>1</v>
      </c>
      <c r="AV200" s="561">
        <f t="shared" si="169"/>
        <v>1</v>
      </c>
      <c r="AW200" s="1027">
        <f t="shared" si="169"/>
        <v>1</v>
      </c>
      <c r="AX200" s="1208" t="str">
        <f>MIN($Y$158,$Y$172,$Y$186,$Y$200,$Y$214,$Y$228,$Y$242,$Y$256)&amp;"-"&amp;MAX($Y$158,$Y$172,$Y$186,$Y$200,$Y$214,$Y$228,$Y$242,$Y$256)</f>
        <v>4-8</v>
      </c>
      <c r="AY200" s="1208" t="s">
        <v>4244</v>
      </c>
    </row>
    <row r="201" spans="1:51" ht="14.25" x14ac:dyDescent="0.2">
      <c r="A201" s="533" t="str">
        <f>A193&amp;"-"&amp;B201</f>
        <v>Mercury-Moon</v>
      </c>
      <c r="B201" s="559" t="s">
        <v>1512</v>
      </c>
      <c r="C201" s="540">
        <f ca="1">MoonHouse</f>
        <v>2</v>
      </c>
      <c r="D201" s="539" t="str">
        <f t="shared" ca="1" si="166"/>
        <v>*</v>
      </c>
      <c r="E201" s="539" t="str">
        <f t="shared" ca="1" si="166"/>
        <v>*</v>
      </c>
      <c r="F201" s="539">
        <f t="shared" ca="1" si="166"/>
        <v>1</v>
      </c>
      <c r="G201" s="539" t="str">
        <f t="shared" ca="1" si="166"/>
        <v>*</v>
      </c>
      <c r="H201" s="539">
        <f t="shared" ca="1" si="166"/>
        <v>1</v>
      </c>
      <c r="I201" s="539" t="str">
        <f t="shared" ca="1" si="166"/>
        <v>*</v>
      </c>
      <c r="J201" s="539">
        <f t="shared" ca="1" si="166"/>
        <v>1</v>
      </c>
      <c r="K201" s="539" t="str">
        <f t="shared" ca="1" si="166"/>
        <v>*</v>
      </c>
      <c r="L201" s="539">
        <f t="shared" ca="1" si="166"/>
        <v>1</v>
      </c>
      <c r="M201" s="539" t="str">
        <f t="shared" ca="1" si="166"/>
        <v>*</v>
      </c>
      <c r="N201" s="539">
        <f t="shared" ca="1" si="166"/>
        <v>1</v>
      </c>
      <c r="O201" s="539">
        <f t="shared" ca="1" si="166"/>
        <v>1</v>
      </c>
      <c r="P201" s="541">
        <f t="shared" ca="1" si="167"/>
        <v>6</v>
      </c>
      <c r="Q201" s="540">
        <f ca="1">IF($Y$82,D193,C201)</f>
        <v>2</v>
      </c>
      <c r="S201" s="1540"/>
      <c r="T201" s="1540"/>
      <c r="U201" s="1541"/>
      <c r="V201" s="1540"/>
      <c r="X201" s="559" t="s">
        <v>1512</v>
      </c>
      <c r="Y201" s="560">
        <f t="shared" si="168"/>
        <v>6</v>
      </c>
      <c r="Z201" s="561" t="s">
        <v>1464</v>
      </c>
      <c r="AA201" s="561">
        <v>1</v>
      </c>
      <c r="AB201" s="561" t="s">
        <v>1464</v>
      </c>
      <c r="AC201" s="561">
        <v>1</v>
      </c>
      <c r="AD201" s="561" t="s">
        <v>1464</v>
      </c>
      <c r="AE201" s="561">
        <v>1</v>
      </c>
      <c r="AF201" s="561" t="s">
        <v>1464</v>
      </c>
      <c r="AG201" s="561">
        <v>1</v>
      </c>
      <c r="AH201" s="561" t="s">
        <v>1464</v>
      </c>
      <c r="AI201" s="561">
        <v>1</v>
      </c>
      <c r="AJ201" s="561">
        <v>1</v>
      </c>
      <c r="AK201" s="561" t="s">
        <v>1464</v>
      </c>
      <c r="AL201" s="1026" t="str">
        <f t="shared" si="169"/>
        <v>*</v>
      </c>
      <c r="AM201" s="561">
        <f t="shared" si="169"/>
        <v>1</v>
      </c>
      <c r="AN201" s="561" t="str">
        <f t="shared" si="169"/>
        <v>*</v>
      </c>
      <c r="AO201" s="561">
        <f t="shared" si="169"/>
        <v>1</v>
      </c>
      <c r="AP201" s="561" t="str">
        <f t="shared" si="169"/>
        <v>*</v>
      </c>
      <c r="AQ201" s="561">
        <f t="shared" si="169"/>
        <v>1</v>
      </c>
      <c r="AR201" s="561" t="str">
        <f t="shared" si="169"/>
        <v>*</v>
      </c>
      <c r="AS201" s="561">
        <f t="shared" si="169"/>
        <v>1</v>
      </c>
      <c r="AT201" s="561" t="str">
        <f t="shared" si="169"/>
        <v>*</v>
      </c>
      <c r="AU201" s="561">
        <f t="shared" si="169"/>
        <v>1</v>
      </c>
      <c r="AV201" s="561">
        <f t="shared" si="169"/>
        <v>1</v>
      </c>
      <c r="AW201" s="1027" t="str">
        <f t="shared" si="169"/>
        <v>*</v>
      </c>
      <c r="AX201" s="1208" t="str">
        <f>MIN($Y$159,$Y$173,$Y$187,$Y$201,$Y$215,$Y$229,$Y$243,$Y$257)&amp;"-"&amp;MAX($Y$159,$Y$173,$Y$187,$Y$201,$Y$215,$Y$229,$Y$243,$Y$257)</f>
        <v>3-9</v>
      </c>
    </row>
    <row r="202" spans="1:51" ht="14.25" x14ac:dyDescent="0.2">
      <c r="A202" s="533" t="str">
        <f>A193&amp;"-"&amp;B202</f>
        <v>Mercury-Lagna</v>
      </c>
      <c r="B202" s="559" t="s">
        <v>1722</v>
      </c>
      <c r="C202" s="540">
        <f ca="1">Lagnahouse</f>
        <v>5</v>
      </c>
      <c r="D202" s="539" t="str">
        <f t="shared" ca="1" si="166"/>
        <v>*</v>
      </c>
      <c r="E202" s="539">
        <f t="shared" ca="1" si="166"/>
        <v>1</v>
      </c>
      <c r="F202" s="539">
        <f t="shared" ca="1" si="166"/>
        <v>1</v>
      </c>
      <c r="G202" s="539" t="str">
        <f t="shared" ca="1" si="166"/>
        <v>*</v>
      </c>
      <c r="H202" s="539">
        <f t="shared" ca="1" si="166"/>
        <v>1</v>
      </c>
      <c r="I202" s="539">
        <f t="shared" ca="1" si="166"/>
        <v>1</v>
      </c>
      <c r="J202" s="539" t="str">
        <f t="shared" ca="1" si="166"/>
        <v>*</v>
      </c>
      <c r="K202" s="539">
        <f t="shared" ca="1" si="166"/>
        <v>1</v>
      </c>
      <c r="L202" s="539" t="str">
        <f t="shared" ca="1" si="166"/>
        <v>*</v>
      </c>
      <c r="M202" s="539">
        <f t="shared" ca="1" si="166"/>
        <v>1</v>
      </c>
      <c r="N202" s="539" t="str">
        <f t="shared" ca="1" si="166"/>
        <v>*</v>
      </c>
      <c r="O202" s="539">
        <f t="shared" ca="1" si="166"/>
        <v>1</v>
      </c>
      <c r="P202" s="541">
        <f t="shared" ca="1" si="167"/>
        <v>7</v>
      </c>
      <c r="Q202" s="540">
        <f ca="1">IF($Y$82,D193,C202)</f>
        <v>5</v>
      </c>
      <c r="S202" s="1540"/>
      <c r="T202" s="1540"/>
      <c r="U202" s="1541"/>
      <c r="V202" s="1540"/>
      <c r="X202" s="559" t="s">
        <v>1722</v>
      </c>
      <c r="Y202" s="560">
        <f t="shared" si="168"/>
        <v>7</v>
      </c>
      <c r="Z202" s="561">
        <v>1</v>
      </c>
      <c r="AA202" s="561">
        <v>1</v>
      </c>
      <c r="AB202" s="561" t="s">
        <v>1464</v>
      </c>
      <c r="AC202" s="561">
        <v>1</v>
      </c>
      <c r="AD202" s="561" t="s">
        <v>1464</v>
      </c>
      <c r="AE202" s="561">
        <v>1</v>
      </c>
      <c r="AF202" s="561" t="s">
        <v>1464</v>
      </c>
      <c r="AG202" s="561">
        <v>1</v>
      </c>
      <c r="AH202" s="561" t="s">
        <v>1464</v>
      </c>
      <c r="AI202" s="561">
        <v>1</v>
      </c>
      <c r="AJ202" s="561">
        <v>1</v>
      </c>
      <c r="AK202" s="561" t="s">
        <v>1464</v>
      </c>
      <c r="AL202" s="1026">
        <f t="shared" si="169"/>
        <v>1</v>
      </c>
      <c r="AM202" s="561">
        <f t="shared" si="169"/>
        <v>1</v>
      </c>
      <c r="AN202" s="561" t="str">
        <f t="shared" si="169"/>
        <v>*</v>
      </c>
      <c r="AO202" s="561">
        <f t="shared" si="169"/>
        <v>1</v>
      </c>
      <c r="AP202" s="561" t="str">
        <f t="shared" si="169"/>
        <v>*</v>
      </c>
      <c r="AQ202" s="561">
        <f t="shared" si="169"/>
        <v>1</v>
      </c>
      <c r="AR202" s="561" t="str">
        <f t="shared" si="169"/>
        <v>*</v>
      </c>
      <c r="AS202" s="561">
        <f t="shared" si="169"/>
        <v>1</v>
      </c>
      <c r="AT202" s="561" t="str">
        <f t="shared" si="169"/>
        <v>*</v>
      </c>
      <c r="AU202" s="561">
        <f t="shared" si="169"/>
        <v>1</v>
      </c>
      <c r="AV202" s="561">
        <f t="shared" si="169"/>
        <v>1</v>
      </c>
      <c r="AW202" s="1027" t="str">
        <f t="shared" si="169"/>
        <v>*</v>
      </c>
      <c r="AX202" s="1208" t="str">
        <f>MIN($Y$160,$Y$174,$Y$188,$Y$202,$Y$216,$Y$230,$Y$244,$Y$258)&amp;"-"&amp;MAX($Y$160,$Y$174,$Y$188,$Y$202,$Y$216,$Y$230,$Y$244,$Y$258)</f>
        <v>4-9</v>
      </c>
    </row>
    <row r="203" spans="1:51" thickBot="1" x14ac:dyDescent="0.25">
      <c r="A203" s="533" t="str">
        <f>A193&amp;"-"&amp;B203</f>
        <v>Mercury-Mercury</v>
      </c>
      <c r="B203" s="562" t="str">
        <f>B193</f>
        <v>Mercury</v>
      </c>
      <c r="C203" s="542"/>
      <c r="D203" s="542">
        <f t="shared" ref="D203:O203" ca="1" si="170">SUM(D195:D202)</f>
        <v>4</v>
      </c>
      <c r="E203" s="542">
        <f t="shared" ca="1" si="170"/>
        <v>4</v>
      </c>
      <c r="F203" s="542">
        <f t="shared" ca="1" si="170"/>
        <v>7</v>
      </c>
      <c r="G203" s="542">
        <f t="shared" ca="1" si="170"/>
        <v>3</v>
      </c>
      <c r="H203" s="542">
        <f t="shared" ca="1" si="170"/>
        <v>5</v>
      </c>
      <c r="I203" s="542">
        <f t="shared" ca="1" si="170"/>
        <v>5</v>
      </c>
      <c r="J203" s="542">
        <f t="shared" ca="1" si="170"/>
        <v>4</v>
      </c>
      <c r="K203" s="542">
        <f t="shared" ca="1" si="170"/>
        <v>5</v>
      </c>
      <c r="L203" s="542">
        <f t="shared" ca="1" si="170"/>
        <v>4</v>
      </c>
      <c r="M203" s="542">
        <f t="shared" ca="1" si="170"/>
        <v>4</v>
      </c>
      <c r="N203" s="542">
        <f t="shared" ca="1" si="170"/>
        <v>4</v>
      </c>
      <c r="O203" s="542">
        <f t="shared" ca="1" si="170"/>
        <v>5</v>
      </c>
      <c r="P203" s="543">
        <f t="shared" ca="1" si="167"/>
        <v>54</v>
      </c>
      <c r="Q203" s="543"/>
      <c r="S203" s="1540">
        <f ca="1">L203</f>
        <v>4</v>
      </c>
      <c r="T203" s="1540">
        <f ca="1">K203</f>
        <v>5</v>
      </c>
      <c r="U203" s="1540">
        <f ca="1">J203</f>
        <v>4</v>
      </c>
      <c r="V203" s="1540">
        <f ca="1">I203</f>
        <v>5</v>
      </c>
      <c r="X203" s="562"/>
      <c r="Y203" s="563">
        <f t="shared" si="168"/>
        <v>54</v>
      </c>
      <c r="Z203" s="564">
        <f t="shared" ref="Z203:AW203" si="171">SUM(Z195:Z202)</f>
        <v>5</v>
      </c>
      <c r="AA203" s="564">
        <f t="shared" si="171"/>
        <v>5</v>
      </c>
      <c r="AB203" s="564">
        <f t="shared" si="171"/>
        <v>2</v>
      </c>
      <c r="AC203" s="564">
        <f t="shared" si="171"/>
        <v>5</v>
      </c>
      <c r="AD203" s="564">
        <f t="shared" si="171"/>
        <v>3</v>
      </c>
      <c r="AE203" s="564">
        <f t="shared" si="171"/>
        <v>5</v>
      </c>
      <c r="AF203" s="564">
        <f t="shared" si="171"/>
        <v>2</v>
      </c>
      <c r="AG203" s="564">
        <f t="shared" si="171"/>
        <v>6</v>
      </c>
      <c r="AH203" s="564">
        <f t="shared" si="171"/>
        <v>5</v>
      </c>
      <c r="AI203" s="564">
        <f t="shared" si="171"/>
        <v>5</v>
      </c>
      <c r="AJ203" s="564">
        <f t="shared" si="171"/>
        <v>8</v>
      </c>
      <c r="AK203" s="564">
        <f t="shared" si="171"/>
        <v>3</v>
      </c>
      <c r="AL203" s="1030">
        <f t="shared" si="171"/>
        <v>5</v>
      </c>
      <c r="AM203" s="564">
        <f t="shared" si="171"/>
        <v>5</v>
      </c>
      <c r="AN203" s="564">
        <f t="shared" si="171"/>
        <v>2</v>
      </c>
      <c r="AO203" s="564">
        <f t="shared" si="171"/>
        <v>5</v>
      </c>
      <c r="AP203" s="564">
        <f t="shared" si="171"/>
        <v>3</v>
      </c>
      <c r="AQ203" s="564">
        <f t="shared" si="171"/>
        <v>5</v>
      </c>
      <c r="AR203" s="564">
        <f t="shared" si="171"/>
        <v>2</v>
      </c>
      <c r="AS203" s="564">
        <f t="shared" si="171"/>
        <v>6</v>
      </c>
      <c r="AT203" s="564">
        <f t="shared" si="171"/>
        <v>5</v>
      </c>
      <c r="AU203" s="564">
        <f t="shared" si="171"/>
        <v>5</v>
      </c>
      <c r="AV203" s="564">
        <f t="shared" si="171"/>
        <v>8</v>
      </c>
      <c r="AW203" s="1031">
        <f t="shared" si="171"/>
        <v>3</v>
      </c>
    </row>
    <row r="204" spans="1:51" thickTop="1" x14ac:dyDescent="0.2">
      <c r="A204" s="533" t="str">
        <f>A193&amp;"-"&amp;B204</f>
        <v>Mercury-</v>
      </c>
      <c r="S204" s="1540"/>
      <c r="T204" s="1540"/>
      <c r="U204" s="1540"/>
      <c r="V204" s="1540"/>
      <c r="X204" s="527" t="s">
        <v>1466</v>
      </c>
    </row>
    <row r="205" spans="1:51" ht="14.25" x14ac:dyDescent="0.2">
      <c r="A205" s="533" t="str">
        <f>A193&amp;"-"&amp;B205</f>
        <v>Mercury-</v>
      </c>
      <c r="S205" s="1540"/>
      <c r="T205" s="1540"/>
      <c r="U205" s="1540"/>
      <c r="V205" s="1540"/>
    </row>
    <row r="206" spans="1:51" ht="14.25" x14ac:dyDescent="0.2">
      <c r="A206" s="533" t="str">
        <f>A193&amp;"-"&amp;B206</f>
        <v>Mercury------</v>
      </c>
      <c r="B206" s="527" t="s">
        <v>1462</v>
      </c>
    </row>
    <row r="207" spans="1:51" thickBot="1" x14ac:dyDescent="0.25">
      <c r="A207" s="533" t="str">
        <f>B207</f>
        <v>Mars</v>
      </c>
      <c r="B207" s="1539" t="str">
        <f>X207</f>
        <v>Mars</v>
      </c>
      <c r="C207" s="1539"/>
      <c r="D207" s="527">
        <f ca="1">INDIRECT(B207&amp;"house")</f>
        <v>10</v>
      </c>
      <c r="S207" s="538"/>
      <c r="T207" s="538"/>
      <c r="U207" s="538"/>
      <c r="V207" s="538"/>
      <c r="X207" s="105" t="s">
        <v>1513</v>
      </c>
      <c r="Y207" s="1207" t="str">
        <f>MIN(Y209:Y216)&amp;"-"&amp;MAX(Y209:Y216)</f>
        <v>3-7</v>
      </c>
      <c r="Z207" s="1205" t="str">
        <f>$Z$83 &amp;  X207</f>
        <v>From Graha Good and Bad Transit of Mars</v>
      </c>
      <c r="AA207" s="1205"/>
      <c r="AB207" s="1205"/>
      <c r="AC207" s="1205"/>
      <c r="AD207" s="1205"/>
      <c r="AE207" s="1205"/>
      <c r="AF207" s="1205"/>
      <c r="AG207" s="1205"/>
      <c r="AH207" s="1205"/>
      <c r="AI207" s="1205"/>
      <c r="AJ207" s="1205"/>
      <c r="AK207" s="1205"/>
      <c r="AL207" s="1205"/>
      <c r="AM207" s="1205"/>
      <c r="AN207" s="1205"/>
      <c r="AO207" s="1205"/>
      <c r="AP207" s="1205"/>
      <c r="AQ207" s="1205"/>
      <c r="AR207" s="1205"/>
      <c r="AS207" s="1205"/>
      <c r="AT207" s="1205"/>
      <c r="AU207" s="1205"/>
      <c r="AV207" s="1205"/>
      <c r="AW207" s="1205"/>
      <c r="AX207" s="1208" t="s">
        <v>4246</v>
      </c>
    </row>
    <row r="208" spans="1:51" thickTop="1" x14ac:dyDescent="0.2">
      <c r="A208" s="533" t="str">
        <f>A207&amp;"-"&amp;B208</f>
        <v>Mars-</v>
      </c>
      <c r="B208" s="534"/>
      <c r="C208" s="535" t="s">
        <v>1438</v>
      </c>
      <c r="D208" s="536">
        <v>1</v>
      </c>
      <c r="E208" s="536">
        <v>2</v>
      </c>
      <c r="F208" s="536">
        <v>3</v>
      </c>
      <c r="G208" s="536">
        <v>4</v>
      </c>
      <c r="H208" s="536">
        <v>5</v>
      </c>
      <c r="I208" s="536">
        <v>6</v>
      </c>
      <c r="J208" s="536">
        <v>7</v>
      </c>
      <c r="K208" s="536">
        <v>8</v>
      </c>
      <c r="L208" s="536">
        <v>9</v>
      </c>
      <c r="M208" s="536">
        <v>10</v>
      </c>
      <c r="N208" s="536">
        <v>11</v>
      </c>
      <c r="O208" s="536">
        <v>12</v>
      </c>
      <c r="P208" s="537"/>
      <c r="Q208" s="537"/>
      <c r="S208" s="1540">
        <f ca="1">O217</f>
        <v>2</v>
      </c>
      <c r="T208" s="1540">
        <f ca="1">D217</f>
        <v>4</v>
      </c>
      <c r="U208" s="1540">
        <f ca="1">E217</f>
        <v>5</v>
      </c>
      <c r="V208" s="1540">
        <f ca="1">F217</f>
        <v>1</v>
      </c>
      <c r="X208" s="535" t="s">
        <v>1463</v>
      </c>
      <c r="Y208" s="557" t="s">
        <v>2413</v>
      </c>
      <c r="Z208" s="558">
        <v>1</v>
      </c>
      <c r="AA208" s="558">
        <v>2</v>
      </c>
      <c r="AB208" s="558">
        <v>3</v>
      </c>
      <c r="AC208" s="558">
        <v>4</v>
      </c>
      <c r="AD208" s="558">
        <v>5</v>
      </c>
      <c r="AE208" s="558">
        <v>6</v>
      </c>
      <c r="AF208" s="558">
        <v>7</v>
      </c>
      <c r="AG208" s="558">
        <v>8</v>
      </c>
      <c r="AH208" s="558">
        <v>9</v>
      </c>
      <c r="AI208" s="558">
        <v>10</v>
      </c>
      <c r="AJ208" s="558">
        <v>11</v>
      </c>
      <c r="AK208" s="558">
        <v>12</v>
      </c>
      <c r="AL208" s="1024">
        <v>1</v>
      </c>
      <c r="AM208" s="536">
        <v>2</v>
      </c>
      <c r="AN208" s="536">
        <v>3</v>
      </c>
      <c r="AO208" s="536">
        <v>4</v>
      </c>
      <c r="AP208" s="536">
        <v>5</v>
      </c>
      <c r="AQ208" s="536">
        <v>6</v>
      </c>
      <c r="AR208" s="536">
        <v>7</v>
      </c>
      <c r="AS208" s="536">
        <v>8</v>
      </c>
      <c r="AT208" s="536">
        <v>9</v>
      </c>
      <c r="AU208" s="536">
        <v>10</v>
      </c>
      <c r="AV208" s="536">
        <v>11</v>
      </c>
      <c r="AW208" s="1025">
        <v>12</v>
      </c>
      <c r="AX208" s="1208"/>
    </row>
    <row r="209" spans="1:51" ht="14.25" x14ac:dyDescent="0.2">
      <c r="A209" s="533" t="str">
        <f>A207&amp;"-"&amp;B209</f>
        <v>Mars-Saturn</v>
      </c>
      <c r="B209" s="559" t="s">
        <v>1516</v>
      </c>
      <c r="C209" s="540">
        <f ca="1">SaturnHouse</f>
        <v>2</v>
      </c>
      <c r="D209" s="539" t="str">
        <f t="shared" ref="D209:O216" ca="1" si="172">INDEX($Z209:$AW209,,12+D$152-$Q209+1)</f>
        <v>*</v>
      </c>
      <c r="E209" s="539">
        <f t="shared" ca="1" si="172"/>
        <v>1</v>
      </c>
      <c r="F209" s="539" t="str">
        <f t="shared" ca="1" si="172"/>
        <v>*</v>
      </c>
      <c r="G209" s="539" t="str">
        <f t="shared" ca="1" si="172"/>
        <v>*</v>
      </c>
      <c r="H209" s="539">
        <f t="shared" ca="1" si="172"/>
        <v>1</v>
      </c>
      <c r="I209" s="539" t="str">
        <f t="shared" ca="1" si="172"/>
        <v>*</v>
      </c>
      <c r="J209" s="539" t="str">
        <f t="shared" ca="1" si="172"/>
        <v>*</v>
      </c>
      <c r="K209" s="539">
        <f t="shared" ca="1" si="172"/>
        <v>1</v>
      </c>
      <c r="L209" s="539">
        <f t="shared" ca="1" si="172"/>
        <v>1</v>
      </c>
      <c r="M209" s="539">
        <f t="shared" ca="1" si="172"/>
        <v>1</v>
      </c>
      <c r="N209" s="539">
        <f t="shared" ca="1" si="172"/>
        <v>1</v>
      </c>
      <c r="O209" s="539">
        <f t="shared" ca="1" si="172"/>
        <v>1</v>
      </c>
      <c r="P209" s="541">
        <f t="shared" ref="P209:P217" ca="1" si="173">SUM(D209:O209)</f>
        <v>7</v>
      </c>
      <c r="Q209" s="540">
        <f ca="1">IF($Y$82,D207,C209)</f>
        <v>2</v>
      </c>
      <c r="S209" s="1540"/>
      <c r="T209" s="1540"/>
      <c r="U209" s="1540"/>
      <c r="V209" s="1540"/>
      <c r="W209" s="1207" t="s">
        <v>4244</v>
      </c>
      <c r="X209" s="559" t="s">
        <v>1516</v>
      </c>
      <c r="Y209" s="560">
        <f t="shared" ref="Y209:Y217" si="174">SUM(Z209:AK209)</f>
        <v>7</v>
      </c>
      <c r="Z209" s="561">
        <v>1</v>
      </c>
      <c r="AA209" s="561" t="s">
        <v>1464</v>
      </c>
      <c r="AB209" s="561" t="s">
        <v>1464</v>
      </c>
      <c r="AC209" s="561">
        <v>1</v>
      </c>
      <c r="AD209" s="561" t="s">
        <v>1464</v>
      </c>
      <c r="AE209" s="561" t="s">
        <v>1464</v>
      </c>
      <c r="AF209" s="561">
        <v>1</v>
      </c>
      <c r="AG209" s="561">
        <v>1</v>
      </c>
      <c r="AH209" s="561">
        <v>1</v>
      </c>
      <c r="AI209" s="561">
        <v>1</v>
      </c>
      <c r="AJ209" s="561">
        <v>1</v>
      </c>
      <c r="AK209" s="561" t="s">
        <v>1464</v>
      </c>
      <c r="AL209" s="1026">
        <f t="shared" ref="AL209:AW216" si="175">Z209</f>
        <v>1</v>
      </c>
      <c r="AM209" s="561" t="str">
        <f t="shared" si="175"/>
        <v>*</v>
      </c>
      <c r="AN209" s="561" t="str">
        <f t="shared" si="175"/>
        <v>*</v>
      </c>
      <c r="AO209" s="561">
        <f t="shared" si="175"/>
        <v>1</v>
      </c>
      <c r="AP209" s="561" t="str">
        <f t="shared" si="175"/>
        <v>*</v>
      </c>
      <c r="AQ209" s="561" t="str">
        <f t="shared" si="175"/>
        <v>*</v>
      </c>
      <c r="AR209" s="561">
        <f t="shared" si="175"/>
        <v>1</v>
      </c>
      <c r="AS209" s="561">
        <f t="shared" si="175"/>
        <v>1</v>
      </c>
      <c r="AT209" s="561">
        <f t="shared" si="175"/>
        <v>1</v>
      </c>
      <c r="AU209" s="561">
        <f t="shared" si="175"/>
        <v>1</v>
      </c>
      <c r="AV209" s="561">
        <f t="shared" si="175"/>
        <v>1</v>
      </c>
      <c r="AW209" s="1027" t="str">
        <f t="shared" si="175"/>
        <v>*</v>
      </c>
      <c r="AX209" s="1208" t="str">
        <f>MIN($Y$153,$Y$167,$Y$181,$Y$195,$Y$209,$Y$223,$Y$237,$Y$251)&amp;"-"&amp;MAX($Y$153,$Y$167,$Y$181,$Y$195,$Y$209,$Y$223,$Y$237,$Y$251)</f>
        <v>4-8</v>
      </c>
    </row>
    <row r="210" spans="1:51" ht="14.25" x14ac:dyDescent="0.2">
      <c r="A210" s="533" t="str">
        <f>A207&amp;"-"&amp;B210</f>
        <v>Mars-Jupiter</v>
      </c>
      <c r="B210" s="559" t="s">
        <v>1515</v>
      </c>
      <c r="C210" s="540">
        <f ca="1">JupiterHouse</f>
        <v>8</v>
      </c>
      <c r="D210" s="539">
        <f t="shared" ca="1" si="172"/>
        <v>1</v>
      </c>
      <c r="E210" s="539" t="str">
        <f t="shared" ca="1" si="172"/>
        <v>*</v>
      </c>
      <c r="F210" s="539" t="str">
        <f t="shared" ca="1" si="172"/>
        <v>*</v>
      </c>
      <c r="G210" s="539" t="str">
        <f t="shared" ca="1" si="172"/>
        <v>*</v>
      </c>
      <c r="H210" s="539">
        <f t="shared" ca="1" si="172"/>
        <v>1</v>
      </c>
      <c r="I210" s="539">
        <f t="shared" ca="1" si="172"/>
        <v>1</v>
      </c>
      <c r="J210" s="539">
        <f t="shared" ca="1" si="172"/>
        <v>1</v>
      </c>
      <c r="K210" s="539" t="str">
        <f t="shared" ca="1" si="172"/>
        <v>*</v>
      </c>
      <c r="L210" s="539" t="str">
        <f t="shared" ca="1" si="172"/>
        <v>*</v>
      </c>
      <c r="M210" s="539" t="str">
        <f t="shared" ca="1" si="172"/>
        <v>*</v>
      </c>
      <c r="N210" s="539" t="str">
        <f t="shared" ca="1" si="172"/>
        <v>*</v>
      </c>
      <c r="O210" s="539" t="str">
        <f t="shared" ca="1" si="172"/>
        <v>*</v>
      </c>
      <c r="P210" s="541">
        <f t="shared" ca="1" si="173"/>
        <v>4</v>
      </c>
      <c r="Q210" s="540">
        <f ca="1">IF($Y$82,D207,C210)</f>
        <v>8</v>
      </c>
      <c r="S210" s="1540"/>
      <c r="T210" s="1540"/>
      <c r="U210" s="1540"/>
      <c r="V210" s="1540"/>
      <c r="X210" s="559" t="s">
        <v>1515</v>
      </c>
      <c r="Y210" s="560">
        <f t="shared" si="174"/>
        <v>4</v>
      </c>
      <c r="Z210" s="561" t="s">
        <v>1464</v>
      </c>
      <c r="AA210" s="561" t="s">
        <v>1464</v>
      </c>
      <c r="AB210" s="561" t="s">
        <v>1464</v>
      </c>
      <c r="AC210" s="561" t="s">
        <v>1464</v>
      </c>
      <c r="AD210" s="561" t="s">
        <v>1464</v>
      </c>
      <c r="AE210" s="561">
        <v>1</v>
      </c>
      <c r="AF210" s="561" t="s">
        <v>1464</v>
      </c>
      <c r="AG210" s="561" t="s">
        <v>1464</v>
      </c>
      <c r="AH210" s="561" t="s">
        <v>1464</v>
      </c>
      <c r="AI210" s="561">
        <v>1</v>
      </c>
      <c r="AJ210" s="561">
        <v>1</v>
      </c>
      <c r="AK210" s="561">
        <v>1</v>
      </c>
      <c r="AL210" s="1026" t="str">
        <f t="shared" si="175"/>
        <v>*</v>
      </c>
      <c r="AM210" s="561" t="str">
        <f t="shared" si="175"/>
        <v>*</v>
      </c>
      <c r="AN210" s="561" t="str">
        <f t="shared" si="175"/>
        <v>*</v>
      </c>
      <c r="AO210" s="561" t="str">
        <f t="shared" si="175"/>
        <v>*</v>
      </c>
      <c r="AP210" s="561" t="str">
        <f t="shared" si="175"/>
        <v>*</v>
      </c>
      <c r="AQ210" s="561">
        <f t="shared" si="175"/>
        <v>1</v>
      </c>
      <c r="AR210" s="561" t="str">
        <f t="shared" si="175"/>
        <v>*</v>
      </c>
      <c r="AS210" s="561" t="str">
        <f t="shared" si="175"/>
        <v>*</v>
      </c>
      <c r="AT210" s="561" t="str">
        <f t="shared" si="175"/>
        <v>*</v>
      </c>
      <c r="AU210" s="561">
        <f t="shared" si="175"/>
        <v>1</v>
      </c>
      <c r="AV210" s="561">
        <f t="shared" si="175"/>
        <v>1</v>
      </c>
      <c r="AW210" s="1027">
        <f t="shared" si="175"/>
        <v>1</v>
      </c>
      <c r="AX210" s="1208" t="str">
        <f>MIN($Y$154,$Y$168,$Y$182,$Y$196,$Y$210,$Y$224,$Y$238,$Y$252)&amp;"-"&amp;MAX($Y$154,$Y$168,$Y$182,$Y$196,$Y$210,$Y$224,$Y$238,$Y$252)</f>
        <v>4-9</v>
      </c>
      <c r="AY210" s="1208" t="s">
        <v>4245</v>
      </c>
    </row>
    <row r="211" spans="1:51" ht="14.25" x14ac:dyDescent="0.2">
      <c r="A211" s="533" t="str">
        <f>A207&amp;"-"&amp;B211</f>
        <v>Mars-Mars</v>
      </c>
      <c r="B211" s="559" t="s">
        <v>1513</v>
      </c>
      <c r="C211" s="540">
        <f ca="1">MarsHouse</f>
        <v>10</v>
      </c>
      <c r="D211" s="539">
        <f t="shared" ca="1" si="172"/>
        <v>1</v>
      </c>
      <c r="E211" s="539" t="str">
        <f t="shared" ca="1" si="172"/>
        <v>*</v>
      </c>
      <c r="F211" s="539" t="str">
        <f t="shared" ca="1" si="172"/>
        <v>*</v>
      </c>
      <c r="G211" s="539">
        <f t="shared" ca="1" si="172"/>
        <v>1</v>
      </c>
      <c r="H211" s="539">
        <f t="shared" ca="1" si="172"/>
        <v>1</v>
      </c>
      <c r="I211" s="539" t="str">
        <f t="shared" ca="1" si="172"/>
        <v>*</v>
      </c>
      <c r="J211" s="539">
        <f t="shared" ca="1" si="172"/>
        <v>1</v>
      </c>
      <c r="K211" s="539">
        <f t="shared" ca="1" si="172"/>
        <v>1</v>
      </c>
      <c r="L211" s="539" t="str">
        <f t="shared" ca="1" si="172"/>
        <v>*</v>
      </c>
      <c r="M211" s="539">
        <f t="shared" ca="1" si="172"/>
        <v>1</v>
      </c>
      <c r="N211" s="539">
        <f t="shared" ca="1" si="172"/>
        <v>1</v>
      </c>
      <c r="O211" s="539" t="str">
        <f t="shared" ca="1" si="172"/>
        <v>*</v>
      </c>
      <c r="P211" s="541">
        <f t="shared" ca="1" si="173"/>
        <v>7</v>
      </c>
      <c r="Q211" s="540">
        <f ca="1">IF($Y$82,D207,C211)</f>
        <v>10</v>
      </c>
      <c r="S211" s="1540">
        <f ca="1">N217</f>
        <v>2</v>
      </c>
      <c r="T211" s="1541" t="str">
        <f ca="1">C207&amp;"  Ashtakavarga  "&amp;P217</f>
        <v xml:space="preserve">  Ashtakavarga  39</v>
      </c>
      <c r="U211" s="1541"/>
      <c r="V211" s="1544">
        <f ca="1">G217</f>
        <v>2</v>
      </c>
      <c r="W211" s="1207" t="s">
        <v>4244</v>
      </c>
      <c r="X211" s="559" t="s">
        <v>1513</v>
      </c>
      <c r="Y211" s="560">
        <f t="shared" si="174"/>
        <v>7</v>
      </c>
      <c r="Z211" s="561">
        <v>1</v>
      </c>
      <c r="AA211" s="561">
        <v>1</v>
      </c>
      <c r="AB211" s="561" t="s">
        <v>1464</v>
      </c>
      <c r="AC211" s="561">
        <v>1</v>
      </c>
      <c r="AD211" s="561" t="s">
        <v>1464</v>
      </c>
      <c r="AE211" s="561" t="s">
        <v>1464</v>
      </c>
      <c r="AF211" s="561">
        <v>1</v>
      </c>
      <c r="AG211" s="561">
        <v>1</v>
      </c>
      <c r="AH211" s="561" t="s">
        <v>1464</v>
      </c>
      <c r="AI211" s="561">
        <v>1</v>
      </c>
      <c r="AJ211" s="561">
        <v>1</v>
      </c>
      <c r="AK211" s="561" t="s">
        <v>1464</v>
      </c>
      <c r="AL211" s="1026">
        <f t="shared" si="175"/>
        <v>1</v>
      </c>
      <c r="AM211" s="561">
        <f t="shared" si="175"/>
        <v>1</v>
      </c>
      <c r="AN211" s="561" t="str">
        <f t="shared" si="175"/>
        <v>*</v>
      </c>
      <c r="AO211" s="561">
        <f t="shared" si="175"/>
        <v>1</v>
      </c>
      <c r="AP211" s="561" t="str">
        <f t="shared" si="175"/>
        <v>*</v>
      </c>
      <c r="AQ211" s="561" t="str">
        <f t="shared" si="175"/>
        <v>*</v>
      </c>
      <c r="AR211" s="561">
        <f t="shared" si="175"/>
        <v>1</v>
      </c>
      <c r="AS211" s="561">
        <f t="shared" si="175"/>
        <v>1</v>
      </c>
      <c r="AT211" s="561" t="str">
        <f t="shared" si="175"/>
        <v>*</v>
      </c>
      <c r="AU211" s="561">
        <f t="shared" si="175"/>
        <v>1</v>
      </c>
      <c r="AV211" s="561">
        <f t="shared" si="175"/>
        <v>1</v>
      </c>
      <c r="AW211" s="1027" t="str">
        <f t="shared" si="175"/>
        <v>*</v>
      </c>
      <c r="AX211" s="1208" t="str">
        <f>MIN($Y$155,$Y$169,$Y$183,$Y$197,$Y$211,$Y$225,$Y$239,$Y$253)&amp;"-"&amp;MAX($Y$155,$Y$169,$Y$183,$Y$197,$Y$211,$Y$225,$Y$239,$Y$253)</f>
        <v>5-8</v>
      </c>
    </row>
    <row r="212" spans="1:51" ht="14.25" x14ac:dyDescent="0.2">
      <c r="A212" s="533" t="str">
        <f>A207&amp;"-"&amp;B212</f>
        <v>Mars-Sun</v>
      </c>
      <c r="B212" s="559" t="s">
        <v>1511</v>
      </c>
      <c r="C212" s="540">
        <f ca="1">SunHouse</f>
        <v>4</v>
      </c>
      <c r="D212" s="539">
        <f t="shared" ca="1" si="172"/>
        <v>1</v>
      </c>
      <c r="E212" s="539">
        <f t="shared" ca="1" si="172"/>
        <v>1</v>
      </c>
      <c r="F212" s="539" t="str">
        <f t="shared" ca="1" si="172"/>
        <v>*</v>
      </c>
      <c r="G212" s="539" t="str">
        <f t="shared" ca="1" si="172"/>
        <v>*</v>
      </c>
      <c r="H212" s="539" t="str">
        <f t="shared" ca="1" si="172"/>
        <v>*</v>
      </c>
      <c r="I212" s="539">
        <f t="shared" ca="1" si="172"/>
        <v>1</v>
      </c>
      <c r="J212" s="539" t="str">
        <f t="shared" ca="1" si="172"/>
        <v>*</v>
      </c>
      <c r="K212" s="539">
        <f t="shared" ca="1" si="172"/>
        <v>1</v>
      </c>
      <c r="L212" s="539">
        <f t="shared" ca="1" si="172"/>
        <v>1</v>
      </c>
      <c r="M212" s="539" t="str">
        <f t="shared" ca="1" si="172"/>
        <v>*</v>
      </c>
      <c r="N212" s="539" t="str">
        <f t="shared" ca="1" si="172"/>
        <v>*</v>
      </c>
      <c r="O212" s="539" t="str">
        <f t="shared" ca="1" si="172"/>
        <v>*</v>
      </c>
      <c r="P212" s="541">
        <f t="shared" ca="1" si="173"/>
        <v>5</v>
      </c>
      <c r="Q212" s="540">
        <f ca="1">IF($Y$82,D207,C212)</f>
        <v>4</v>
      </c>
      <c r="S212" s="1540"/>
      <c r="T212" s="1540"/>
      <c r="U212" s="1541"/>
      <c r="V212" s="1544"/>
      <c r="X212" s="559" t="s">
        <v>1511</v>
      </c>
      <c r="Y212" s="560">
        <f t="shared" si="174"/>
        <v>5</v>
      </c>
      <c r="Z212" s="561" t="s">
        <v>1464</v>
      </c>
      <c r="AA212" s="561" t="s">
        <v>1464</v>
      </c>
      <c r="AB212" s="561">
        <v>1</v>
      </c>
      <c r="AC212" s="561" t="s">
        <v>1464</v>
      </c>
      <c r="AD212" s="561">
        <v>1</v>
      </c>
      <c r="AE212" s="561">
        <v>1</v>
      </c>
      <c r="AF212" s="561" t="s">
        <v>1464</v>
      </c>
      <c r="AG212" s="561" t="s">
        <v>1464</v>
      </c>
      <c r="AH212" s="561" t="s">
        <v>1464</v>
      </c>
      <c r="AI212" s="561">
        <v>1</v>
      </c>
      <c r="AJ212" s="561">
        <v>1</v>
      </c>
      <c r="AK212" s="561" t="s">
        <v>1464</v>
      </c>
      <c r="AL212" s="1026" t="str">
        <f t="shared" si="175"/>
        <v>*</v>
      </c>
      <c r="AM212" s="561" t="str">
        <f t="shared" si="175"/>
        <v>*</v>
      </c>
      <c r="AN212" s="561">
        <f t="shared" si="175"/>
        <v>1</v>
      </c>
      <c r="AO212" s="561" t="str">
        <f t="shared" si="175"/>
        <v>*</v>
      </c>
      <c r="AP212" s="561">
        <f t="shared" si="175"/>
        <v>1</v>
      </c>
      <c r="AQ212" s="561">
        <f t="shared" si="175"/>
        <v>1</v>
      </c>
      <c r="AR212" s="561" t="str">
        <f t="shared" si="175"/>
        <v>*</v>
      </c>
      <c r="AS212" s="561" t="str">
        <f t="shared" si="175"/>
        <v>*</v>
      </c>
      <c r="AT212" s="561" t="str">
        <f t="shared" si="175"/>
        <v>*</v>
      </c>
      <c r="AU212" s="561">
        <f t="shared" si="175"/>
        <v>1</v>
      </c>
      <c r="AV212" s="561">
        <f t="shared" si="175"/>
        <v>1</v>
      </c>
      <c r="AW212" s="1027" t="str">
        <f t="shared" si="175"/>
        <v>*</v>
      </c>
      <c r="AX212" s="1208" t="str">
        <f>MIN($Y$156,$Y$170,$Y$184,$Y$198,$Y$212,$Y$226,$Y$240,$Y$254)&amp;"-"&amp;MAX($Y$156,$Y$170,$Y$184,$Y$198,$Y$212,$Y$226,$Y$240,$Y$254)</f>
        <v>3-9</v>
      </c>
    </row>
    <row r="213" spans="1:51" ht="14.25" x14ac:dyDescent="0.2">
      <c r="A213" s="533" t="str">
        <f>A207&amp;"-"&amp;B213</f>
        <v>Mars-Venus</v>
      </c>
      <c r="B213" s="559" t="s">
        <v>1519</v>
      </c>
      <c r="C213" s="540">
        <f ca="1">VenusHouse</f>
        <v>3</v>
      </c>
      <c r="D213" s="539">
        <f t="shared" ca="1" si="172"/>
        <v>1</v>
      </c>
      <c r="E213" s="539">
        <f t="shared" ca="1" si="172"/>
        <v>1</v>
      </c>
      <c r="F213" s="539" t="str">
        <f t="shared" ca="1" si="172"/>
        <v>*</v>
      </c>
      <c r="G213" s="539" t="str">
        <f t="shared" ca="1" si="172"/>
        <v>*</v>
      </c>
      <c r="H213" s="539" t="str">
        <f t="shared" ca="1" si="172"/>
        <v>*</v>
      </c>
      <c r="I213" s="539" t="str">
        <f t="shared" ca="1" si="172"/>
        <v>*</v>
      </c>
      <c r="J213" s="539" t="str">
        <f t="shared" ca="1" si="172"/>
        <v>*</v>
      </c>
      <c r="K213" s="539">
        <f t="shared" ca="1" si="172"/>
        <v>1</v>
      </c>
      <c r="L213" s="539" t="str">
        <f t="shared" ca="1" si="172"/>
        <v>*</v>
      </c>
      <c r="M213" s="539">
        <f t="shared" ca="1" si="172"/>
        <v>1</v>
      </c>
      <c r="N213" s="539" t="str">
        <f t="shared" ca="1" si="172"/>
        <v>*</v>
      </c>
      <c r="O213" s="539" t="str">
        <f t="shared" ca="1" si="172"/>
        <v>*</v>
      </c>
      <c r="P213" s="541">
        <f t="shared" ca="1" si="173"/>
        <v>4</v>
      </c>
      <c r="Q213" s="540">
        <f ca="1">IF($Y$82,D207,C213)</f>
        <v>3</v>
      </c>
      <c r="S213" s="1540"/>
      <c r="T213" s="1540"/>
      <c r="U213" s="1541"/>
      <c r="V213" s="1544"/>
      <c r="X213" s="559" t="s">
        <v>1519</v>
      </c>
      <c r="Y213" s="560">
        <f t="shared" si="174"/>
        <v>4</v>
      </c>
      <c r="Z213" s="561" t="s">
        <v>1464</v>
      </c>
      <c r="AA213" s="561" t="s">
        <v>1464</v>
      </c>
      <c r="AB213" s="561" t="s">
        <v>1464</v>
      </c>
      <c r="AC213" s="561" t="s">
        <v>1464</v>
      </c>
      <c r="AD213" s="561" t="s">
        <v>1464</v>
      </c>
      <c r="AE213" s="561">
        <v>1</v>
      </c>
      <c r="AF213" s="561" t="s">
        <v>1464</v>
      </c>
      <c r="AG213" s="561">
        <v>1</v>
      </c>
      <c r="AH213" s="561" t="s">
        <v>1464</v>
      </c>
      <c r="AI213" s="561" t="s">
        <v>1464</v>
      </c>
      <c r="AJ213" s="561">
        <v>1</v>
      </c>
      <c r="AK213" s="561">
        <v>1</v>
      </c>
      <c r="AL213" s="1026" t="str">
        <f t="shared" si="175"/>
        <v>*</v>
      </c>
      <c r="AM213" s="561" t="str">
        <f t="shared" si="175"/>
        <v>*</v>
      </c>
      <c r="AN213" s="561" t="str">
        <f t="shared" si="175"/>
        <v>*</v>
      </c>
      <c r="AO213" s="561" t="str">
        <f t="shared" si="175"/>
        <v>*</v>
      </c>
      <c r="AP213" s="561" t="str">
        <f t="shared" si="175"/>
        <v>*</v>
      </c>
      <c r="AQ213" s="561">
        <f t="shared" si="175"/>
        <v>1</v>
      </c>
      <c r="AR213" s="561" t="str">
        <f t="shared" si="175"/>
        <v>*</v>
      </c>
      <c r="AS213" s="561">
        <f t="shared" si="175"/>
        <v>1</v>
      </c>
      <c r="AT213" s="561" t="str">
        <f t="shared" si="175"/>
        <v>*</v>
      </c>
      <c r="AU213" s="561" t="str">
        <f t="shared" si="175"/>
        <v>*</v>
      </c>
      <c r="AV213" s="561">
        <f t="shared" si="175"/>
        <v>1</v>
      </c>
      <c r="AW213" s="1027">
        <f t="shared" si="175"/>
        <v>1</v>
      </c>
      <c r="AX213" s="1208" t="str">
        <f>MIN($Y$157,$Y$171,$Y$185,$Y$199,$Y$213,$Y$227,$Y$241,$Y$255)&amp;"-"&amp;MAX($Y$157,$Y$171,$Y$185,$Y$199,$Y$213,$Y$227,$Y$241,$Y$255)</f>
        <v>3-9</v>
      </c>
    </row>
    <row r="214" spans="1:51" ht="14.25" x14ac:dyDescent="0.2">
      <c r="A214" s="533" t="str">
        <f>A207&amp;"-"&amp;B214</f>
        <v>Mars-Mercury</v>
      </c>
      <c r="B214" s="559" t="s">
        <v>1517</v>
      </c>
      <c r="C214" s="540">
        <f ca="1">MercuryHouse</f>
        <v>4</v>
      </c>
      <c r="D214" s="539" t="str">
        <f t="shared" ca="1" si="172"/>
        <v>*</v>
      </c>
      <c r="E214" s="539">
        <f t="shared" ca="1" si="172"/>
        <v>1</v>
      </c>
      <c r="F214" s="539" t="str">
        <f t="shared" ca="1" si="172"/>
        <v>*</v>
      </c>
      <c r="G214" s="539" t="str">
        <f t="shared" ca="1" si="172"/>
        <v>*</v>
      </c>
      <c r="H214" s="539" t="str">
        <f t="shared" ca="1" si="172"/>
        <v>*</v>
      </c>
      <c r="I214" s="539">
        <f t="shared" ca="1" si="172"/>
        <v>1</v>
      </c>
      <c r="J214" s="539" t="str">
        <f t="shared" ca="1" si="172"/>
        <v>*</v>
      </c>
      <c r="K214" s="539">
        <f t="shared" ca="1" si="172"/>
        <v>1</v>
      </c>
      <c r="L214" s="539">
        <f t="shared" ca="1" si="172"/>
        <v>1</v>
      </c>
      <c r="M214" s="539" t="str">
        <f t="shared" ca="1" si="172"/>
        <v>*</v>
      </c>
      <c r="N214" s="539" t="str">
        <f t="shared" ca="1" si="172"/>
        <v>*</v>
      </c>
      <c r="O214" s="539" t="str">
        <f t="shared" ca="1" si="172"/>
        <v>*</v>
      </c>
      <c r="P214" s="541">
        <f t="shared" ca="1" si="173"/>
        <v>4</v>
      </c>
      <c r="Q214" s="540">
        <f ca="1">IF($Y$82,D207,C214)</f>
        <v>4</v>
      </c>
      <c r="S214" s="1540">
        <f ca="1">M217</f>
        <v>4</v>
      </c>
      <c r="T214" s="1541"/>
      <c r="U214" s="1541"/>
      <c r="V214" s="1540">
        <f ca="1">H217</f>
        <v>4</v>
      </c>
      <c r="X214" s="559" t="s">
        <v>1517</v>
      </c>
      <c r="Y214" s="560">
        <f t="shared" si="174"/>
        <v>4</v>
      </c>
      <c r="Z214" s="561" t="s">
        <v>1464</v>
      </c>
      <c r="AA214" s="561" t="s">
        <v>1464</v>
      </c>
      <c r="AB214" s="561">
        <v>1</v>
      </c>
      <c r="AC214" s="561" t="s">
        <v>1464</v>
      </c>
      <c r="AD214" s="561">
        <v>1</v>
      </c>
      <c r="AE214" s="561">
        <v>1</v>
      </c>
      <c r="AF214" s="561" t="s">
        <v>1464</v>
      </c>
      <c r="AG214" s="561" t="s">
        <v>1464</v>
      </c>
      <c r="AH214" s="561" t="s">
        <v>1464</v>
      </c>
      <c r="AI214" s="561" t="s">
        <v>1464</v>
      </c>
      <c r="AJ214" s="561">
        <v>1</v>
      </c>
      <c r="AK214" s="561" t="s">
        <v>1464</v>
      </c>
      <c r="AL214" s="1026" t="str">
        <f t="shared" si="175"/>
        <v>*</v>
      </c>
      <c r="AM214" s="561" t="str">
        <f t="shared" si="175"/>
        <v>*</v>
      </c>
      <c r="AN214" s="561">
        <f t="shared" si="175"/>
        <v>1</v>
      </c>
      <c r="AO214" s="561" t="str">
        <f t="shared" si="175"/>
        <v>*</v>
      </c>
      <c r="AP214" s="561">
        <f t="shared" si="175"/>
        <v>1</v>
      </c>
      <c r="AQ214" s="561">
        <f t="shared" si="175"/>
        <v>1</v>
      </c>
      <c r="AR214" s="561" t="str">
        <f t="shared" si="175"/>
        <v>*</v>
      </c>
      <c r="AS214" s="561" t="str">
        <f t="shared" si="175"/>
        <v>*</v>
      </c>
      <c r="AT214" s="561" t="str">
        <f t="shared" si="175"/>
        <v>*</v>
      </c>
      <c r="AU214" s="561" t="str">
        <f t="shared" si="175"/>
        <v>*</v>
      </c>
      <c r="AV214" s="561">
        <f t="shared" si="175"/>
        <v>1</v>
      </c>
      <c r="AW214" s="1027" t="str">
        <f t="shared" si="175"/>
        <v>*</v>
      </c>
      <c r="AX214" s="1208" t="str">
        <f>MIN($Y$158,$Y$172,$Y$186,$Y$200,$Y$214,$Y$228,$Y$242,$Y$256)&amp;"-"&amp;MAX($Y$158,$Y$172,$Y$186,$Y$200,$Y$214,$Y$228,$Y$242,$Y$256)</f>
        <v>4-8</v>
      </c>
      <c r="AY214" s="1208" t="s">
        <v>4245</v>
      </c>
    </row>
    <row r="215" spans="1:51" ht="14.25" x14ac:dyDescent="0.2">
      <c r="A215" s="533" t="str">
        <f>A207&amp;"-"&amp;B215</f>
        <v>Mars-Moon</v>
      </c>
      <c r="B215" s="559" t="s">
        <v>1512</v>
      </c>
      <c r="C215" s="540">
        <f ca="1">MoonHouse</f>
        <v>2</v>
      </c>
      <c r="D215" s="539" t="str">
        <f t="shared" ca="1" si="172"/>
        <v>*</v>
      </c>
      <c r="E215" s="539" t="str">
        <f t="shared" ca="1" si="172"/>
        <v>*</v>
      </c>
      <c r="F215" s="539" t="str">
        <f t="shared" ca="1" si="172"/>
        <v>*</v>
      </c>
      <c r="G215" s="539">
        <f t="shared" ca="1" si="172"/>
        <v>1</v>
      </c>
      <c r="H215" s="539" t="str">
        <f t="shared" ca="1" si="172"/>
        <v>*</v>
      </c>
      <c r="I215" s="539" t="str">
        <f t="shared" ca="1" si="172"/>
        <v>*</v>
      </c>
      <c r="J215" s="539">
        <f t="shared" ca="1" si="172"/>
        <v>1</v>
      </c>
      <c r="K215" s="539" t="str">
        <f t="shared" ca="1" si="172"/>
        <v>*</v>
      </c>
      <c r="L215" s="539" t="str">
        <f t="shared" ca="1" si="172"/>
        <v>*</v>
      </c>
      <c r="M215" s="539" t="str">
        <f t="shared" ca="1" si="172"/>
        <v>*</v>
      </c>
      <c r="N215" s="539" t="str">
        <f t="shared" ca="1" si="172"/>
        <v>*</v>
      </c>
      <c r="O215" s="539">
        <f t="shared" ca="1" si="172"/>
        <v>1</v>
      </c>
      <c r="P215" s="541">
        <f t="shared" ca="1" si="173"/>
        <v>3</v>
      </c>
      <c r="Q215" s="540">
        <f ca="1">IF($Y$82,D207,C215)</f>
        <v>2</v>
      </c>
      <c r="S215" s="1540"/>
      <c r="T215" s="1540"/>
      <c r="U215" s="1541"/>
      <c r="V215" s="1540"/>
      <c r="W215" s="1207" t="s">
        <v>4245</v>
      </c>
      <c r="X215" s="559" t="s">
        <v>1512</v>
      </c>
      <c r="Y215" s="560">
        <f t="shared" si="174"/>
        <v>3</v>
      </c>
      <c r="Z215" s="561" t="s">
        <v>1464</v>
      </c>
      <c r="AA215" s="561" t="s">
        <v>1464</v>
      </c>
      <c r="AB215" s="561">
        <v>1</v>
      </c>
      <c r="AC215" s="561" t="s">
        <v>1464</v>
      </c>
      <c r="AD215" s="561" t="s">
        <v>1464</v>
      </c>
      <c r="AE215" s="561">
        <v>1</v>
      </c>
      <c r="AF215" s="561" t="s">
        <v>1464</v>
      </c>
      <c r="AG215" s="561" t="s">
        <v>1464</v>
      </c>
      <c r="AH215" s="561" t="s">
        <v>1464</v>
      </c>
      <c r="AI215" s="561" t="s">
        <v>1464</v>
      </c>
      <c r="AJ215" s="561">
        <v>1</v>
      </c>
      <c r="AK215" s="561" t="s">
        <v>1464</v>
      </c>
      <c r="AL215" s="1026" t="str">
        <f t="shared" si="175"/>
        <v>*</v>
      </c>
      <c r="AM215" s="561" t="str">
        <f t="shared" si="175"/>
        <v>*</v>
      </c>
      <c r="AN215" s="561">
        <f t="shared" si="175"/>
        <v>1</v>
      </c>
      <c r="AO215" s="561" t="str">
        <f t="shared" si="175"/>
        <v>*</v>
      </c>
      <c r="AP215" s="561" t="str">
        <f t="shared" si="175"/>
        <v>*</v>
      </c>
      <c r="AQ215" s="561">
        <f t="shared" si="175"/>
        <v>1</v>
      </c>
      <c r="AR215" s="561" t="str">
        <f t="shared" si="175"/>
        <v>*</v>
      </c>
      <c r="AS215" s="561" t="str">
        <f t="shared" si="175"/>
        <v>*</v>
      </c>
      <c r="AT215" s="561" t="str">
        <f t="shared" si="175"/>
        <v>*</v>
      </c>
      <c r="AU215" s="561" t="str">
        <f t="shared" si="175"/>
        <v>*</v>
      </c>
      <c r="AV215" s="561">
        <f t="shared" si="175"/>
        <v>1</v>
      </c>
      <c r="AW215" s="1027" t="str">
        <f t="shared" si="175"/>
        <v>*</v>
      </c>
      <c r="AX215" s="1208" t="str">
        <f>MIN($Y$159,$Y$173,$Y$187,$Y$201,$Y$215,$Y$229,$Y$243,$Y$257)&amp;"-"&amp;MAX($Y$159,$Y$173,$Y$187,$Y$201,$Y$215,$Y$229,$Y$243,$Y$257)</f>
        <v>3-9</v>
      </c>
      <c r="AY215" s="1208" t="s">
        <v>4245</v>
      </c>
    </row>
    <row r="216" spans="1:51" ht="14.25" x14ac:dyDescent="0.2">
      <c r="A216" s="533" t="str">
        <f>A207&amp;"-"&amp;B216</f>
        <v>Mars-Lagna</v>
      </c>
      <c r="B216" s="559" t="s">
        <v>1722</v>
      </c>
      <c r="C216" s="540">
        <f ca="1">Lagnahouse</f>
        <v>5</v>
      </c>
      <c r="D216" s="539" t="str">
        <f t="shared" ca="1" si="172"/>
        <v>*</v>
      </c>
      <c r="E216" s="539">
        <f t="shared" ca="1" si="172"/>
        <v>1</v>
      </c>
      <c r="F216" s="539">
        <f t="shared" ca="1" si="172"/>
        <v>1</v>
      </c>
      <c r="G216" s="539" t="str">
        <f t="shared" ca="1" si="172"/>
        <v>*</v>
      </c>
      <c r="H216" s="539">
        <f t="shared" ca="1" si="172"/>
        <v>1</v>
      </c>
      <c r="I216" s="539" t="str">
        <f t="shared" ca="1" si="172"/>
        <v>*</v>
      </c>
      <c r="J216" s="539">
        <f t="shared" ca="1" si="172"/>
        <v>1</v>
      </c>
      <c r="K216" s="539" t="str">
        <f t="shared" ca="1" si="172"/>
        <v>*</v>
      </c>
      <c r="L216" s="539" t="str">
        <f t="shared" ca="1" si="172"/>
        <v>*</v>
      </c>
      <c r="M216" s="539">
        <f t="shared" ca="1" si="172"/>
        <v>1</v>
      </c>
      <c r="N216" s="539" t="str">
        <f t="shared" ca="1" si="172"/>
        <v>*</v>
      </c>
      <c r="O216" s="539" t="str">
        <f t="shared" ca="1" si="172"/>
        <v>*</v>
      </c>
      <c r="P216" s="541">
        <f t="shared" ca="1" si="173"/>
        <v>5</v>
      </c>
      <c r="Q216" s="540">
        <f ca="1">IF($Y$82,D207,C216)</f>
        <v>5</v>
      </c>
      <c r="S216" s="1540"/>
      <c r="T216" s="1540"/>
      <c r="U216" s="1541"/>
      <c r="V216" s="1540"/>
      <c r="X216" s="559" t="s">
        <v>1722</v>
      </c>
      <c r="Y216" s="560">
        <f t="shared" si="174"/>
        <v>5</v>
      </c>
      <c r="Z216" s="561">
        <v>1</v>
      </c>
      <c r="AA216" s="561" t="s">
        <v>1464</v>
      </c>
      <c r="AB216" s="561">
        <v>1</v>
      </c>
      <c r="AC216" s="561" t="s">
        <v>1464</v>
      </c>
      <c r="AD216" s="561" t="s">
        <v>1464</v>
      </c>
      <c r="AE216" s="561">
        <v>1</v>
      </c>
      <c r="AF216" s="561" t="s">
        <v>1464</v>
      </c>
      <c r="AG216" s="561" t="s">
        <v>1464</v>
      </c>
      <c r="AH216" s="561" t="s">
        <v>1464</v>
      </c>
      <c r="AI216" s="561">
        <v>1</v>
      </c>
      <c r="AJ216" s="561">
        <v>1</v>
      </c>
      <c r="AK216" s="561" t="s">
        <v>1464</v>
      </c>
      <c r="AL216" s="1026">
        <f t="shared" si="175"/>
        <v>1</v>
      </c>
      <c r="AM216" s="561" t="str">
        <f t="shared" si="175"/>
        <v>*</v>
      </c>
      <c r="AN216" s="561">
        <f t="shared" si="175"/>
        <v>1</v>
      </c>
      <c r="AO216" s="561" t="str">
        <f t="shared" si="175"/>
        <v>*</v>
      </c>
      <c r="AP216" s="561" t="str">
        <f t="shared" si="175"/>
        <v>*</v>
      </c>
      <c r="AQ216" s="561">
        <f t="shared" si="175"/>
        <v>1</v>
      </c>
      <c r="AR216" s="561" t="str">
        <f t="shared" si="175"/>
        <v>*</v>
      </c>
      <c r="AS216" s="561" t="str">
        <f t="shared" si="175"/>
        <v>*</v>
      </c>
      <c r="AT216" s="561" t="str">
        <f t="shared" si="175"/>
        <v>*</v>
      </c>
      <c r="AU216" s="561">
        <f t="shared" si="175"/>
        <v>1</v>
      </c>
      <c r="AV216" s="561">
        <f t="shared" si="175"/>
        <v>1</v>
      </c>
      <c r="AW216" s="1027" t="str">
        <f t="shared" si="175"/>
        <v>*</v>
      </c>
      <c r="AX216" s="1208" t="str">
        <f>MIN($Y$160,$Y$174,$Y$188,$Y$202,$Y$216,$Y$230,$Y$244,$Y$258)&amp;"-"&amp;MAX($Y$160,$Y$174,$Y$188,$Y$202,$Y$216,$Y$230,$Y$244,$Y$258)</f>
        <v>4-9</v>
      </c>
    </row>
    <row r="217" spans="1:51" thickBot="1" x14ac:dyDescent="0.25">
      <c r="A217" s="533" t="str">
        <f>A207&amp;"-"&amp;B217</f>
        <v>Mars-Mars</v>
      </c>
      <c r="B217" s="562" t="str">
        <f>B207</f>
        <v>Mars</v>
      </c>
      <c r="C217" s="542"/>
      <c r="D217" s="542">
        <f t="shared" ref="D217:O217" ca="1" si="176">SUM(D209:D216)</f>
        <v>4</v>
      </c>
      <c r="E217" s="542">
        <f t="shared" ca="1" si="176"/>
        <v>5</v>
      </c>
      <c r="F217" s="542">
        <f t="shared" ca="1" si="176"/>
        <v>1</v>
      </c>
      <c r="G217" s="542">
        <f t="shared" ca="1" si="176"/>
        <v>2</v>
      </c>
      <c r="H217" s="542">
        <f t="shared" ca="1" si="176"/>
        <v>4</v>
      </c>
      <c r="I217" s="542">
        <f t="shared" ca="1" si="176"/>
        <v>3</v>
      </c>
      <c r="J217" s="542">
        <f t="shared" ca="1" si="176"/>
        <v>4</v>
      </c>
      <c r="K217" s="542">
        <f t="shared" ca="1" si="176"/>
        <v>5</v>
      </c>
      <c r="L217" s="542">
        <f t="shared" ca="1" si="176"/>
        <v>3</v>
      </c>
      <c r="M217" s="542">
        <f t="shared" ca="1" si="176"/>
        <v>4</v>
      </c>
      <c r="N217" s="542">
        <f t="shared" ca="1" si="176"/>
        <v>2</v>
      </c>
      <c r="O217" s="542">
        <f t="shared" ca="1" si="176"/>
        <v>2</v>
      </c>
      <c r="P217" s="543">
        <f t="shared" ca="1" si="173"/>
        <v>39</v>
      </c>
      <c r="Q217" s="543"/>
      <c r="S217" s="1540">
        <f ca="1">L217</f>
        <v>3</v>
      </c>
      <c r="T217" s="1540">
        <f ca="1">K217</f>
        <v>5</v>
      </c>
      <c r="U217" s="1540">
        <f ca="1">J217</f>
        <v>4</v>
      </c>
      <c r="V217" s="1543">
        <f ca="1">I217</f>
        <v>3</v>
      </c>
      <c r="X217" s="562"/>
      <c r="Y217" s="563">
        <f t="shared" si="174"/>
        <v>39</v>
      </c>
      <c r="Z217" s="564">
        <f t="shared" ref="Z217:AW217" si="177">SUM(Z209:Z216)</f>
        <v>3</v>
      </c>
      <c r="AA217" s="564">
        <f t="shared" si="177"/>
        <v>1</v>
      </c>
      <c r="AB217" s="564">
        <f t="shared" si="177"/>
        <v>4</v>
      </c>
      <c r="AC217" s="564">
        <f t="shared" si="177"/>
        <v>2</v>
      </c>
      <c r="AD217" s="564">
        <f t="shared" si="177"/>
        <v>2</v>
      </c>
      <c r="AE217" s="564">
        <f t="shared" si="177"/>
        <v>6</v>
      </c>
      <c r="AF217" s="564">
        <f t="shared" si="177"/>
        <v>2</v>
      </c>
      <c r="AG217" s="564">
        <f t="shared" si="177"/>
        <v>3</v>
      </c>
      <c r="AH217" s="564">
        <f t="shared" si="177"/>
        <v>1</v>
      </c>
      <c r="AI217" s="564">
        <f t="shared" si="177"/>
        <v>5</v>
      </c>
      <c r="AJ217" s="564">
        <f t="shared" si="177"/>
        <v>8</v>
      </c>
      <c r="AK217" s="564">
        <f t="shared" si="177"/>
        <v>2</v>
      </c>
      <c r="AL217" s="1030">
        <f t="shared" si="177"/>
        <v>3</v>
      </c>
      <c r="AM217" s="564">
        <f t="shared" si="177"/>
        <v>1</v>
      </c>
      <c r="AN217" s="564">
        <f t="shared" si="177"/>
        <v>4</v>
      </c>
      <c r="AO217" s="564">
        <f t="shared" si="177"/>
        <v>2</v>
      </c>
      <c r="AP217" s="564">
        <f t="shared" si="177"/>
        <v>2</v>
      </c>
      <c r="AQ217" s="564">
        <f t="shared" si="177"/>
        <v>6</v>
      </c>
      <c r="AR217" s="564">
        <f t="shared" si="177"/>
        <v>2</v>
      </c>
      <c r="AS217" s="564">
        <f t="shared" si="177"/>
        <v>3</v>
      </c>
      <c r="AT217" s="564">
        <f t="shared" si="177"/>
        <v>1</v>
      </c>
      <c r="AU217" s="564">
        <f t="shared" si="177"/>
        <v>5</v>
      </c>
      <c r="AV217" s="564">
        <f t="shared" si="177"/>
        <v>8</v>
      </c>
      <c r="AW217" s="1031">
        <f t="shared" si="177"/>
        <v>2</v>
      </c>
    </row>
    <row r="218" spans="1:51" thickTop="1" x14ac:dyDescent="0.2">
      <c r="A218" s="533" t="str">
        <f>A207&amp;"-"&amp;B218</f>
        <v>Mars-</v>
      </c>
      <c r="S218" s="1540"/>
      <c r="T218" s="1540"/>
      <c r="U218" s="1540"/>
      <c r="V218" s="1540"/>
      <c r="X218" s="1205" t="s">
        <v>1465</v>
      </c>
      <c r="Y218" s="1205"/>
      <c r="Z218" s="1205"/>
      <c r="AA218" s="1205"/>
      <c r="AB218" s="1205"/>
      <c r="AC218" s="1205"/>
      <c r="AD218" s="1205"/>
      <c r="AE218" s="1205"/>
      <c r="AF218" s="1205"/>
      <c r="AG218" s="1205"/>
      <c r="AH218" s="1205"/>
      <c r="AI218" s="1205"/>
      <c r="AJ218" s="1205"/>
      <c r="AK218" s="1205"/>
      <c r="AL218" s="1205"/>
    </row>
    <row r="219" spans="1:51" ht="14.25" x14ac:dyDescent="0.2">
      <c r="A219" s="533" t="str">
        <f>A207&amp;"-"&amp;B219</f>
        <v>Mars-</v>
      </c>
      <c r="S219" s="1540"/>
      <c r="T219" s="1540"/>
      <c r="U219" s="1540"/>
      <c r="V219" s="1540"/>
    </row>
    <row r="220" spans="1:51" ht="14.25" x14ac:dyDescent="0.2">
      <c r="A220" s="533" t="str">
        <f>A207&amp;"-"&amp;B220</f>
        <v>Mars------</v>
      </c>
      <c r="B220" s="527" t="s">
        <v>1462</v>
      </c>
    </row>
    <row r="221" spans="1:51" thickBot="1" x14ac:dyDescent="0.25">
      <c r="A221" s="533" t="str">
        <f>B221</f>
        <v>Moon</v>
      </c>
      <c r="B221" s="1539" t="str">
        <f>X221</f>
        <v>Moon</v>
      </c>
      <c r="C221" s="1539"/>
      <c r="D221" s="527">
        <f ca="1">INDIRECT(B221&amp;"house")</f>
        <v>2</v>
      </c>
      <c r="S221" s="538"/>
      <c r="T221" s="538"/>
      <c r="U221" s="538"/>
      <c r="V221" s="538"/>
      <c r="X221" s="105" t="s">
        <v>1512</v>
      </c>
      <c r="Y221" s="1207" t="str">
        <f>MIN(Y223:Y230)&amp;"-"&amp;MAX(Y223:Y230)</f>
        <v>4-8</v>
      </c>
      <c r="Z221" s="1205" t="str">
        <f>$Z$83 &amp;  X221</f>
        <v>From Graha Good and Bad Transit of Moon</v>
      </c>
      <c r="AA221" s="1205"/>
      <c r="AB221" s="1205"/>
      <c r="AC221" s="1205"/>
      <c r="AD221" s="1205"/>
      <c r="AE221" s="1205"/>
      <c r="AF221" s="1205"/>
      <c r="AG221" s="1205"/>
      <c r="AH221" s="1205"/>
      <c r="AI221" s="1205"/>
      <c r="AJ221" s="1205"/>
      <c r="AK221" s="1205"/>
      <c r="AL221" s="1205"/>
      <c r="AM221" s="1205"/>
      <c r="AN221" s="1205"/>
      <c r="AO221" s="1205"/>
      <c r="AP221" s="1205"/>
      <c r="AQ221" s="1205"/>
      <c r="AR221" s="1205"/>
      <c r="AS221" s="1205"/>
      <c r="AT221" s="1205"/>
      <c r="AU221" s="1205"/>
      <c r="AV221" s="1205"/>
      <c r="AW221" s="1205"/>
      <c r="AX221" s="1208" t="s">
        <v>4246</v>
      </c>
    </row>
    <row r="222" spans="1:51" thickTop="1" x14ac:dyDescent="0.2">
      <c r="A222" s="533" t="str">
        <f>A221&amp;"-"&amp;B222</f>
        <v>Moon-</v>
      </c>
      <c r="B222" s="534"/>
      <c r="C222" s="535" t="s">
        <v>1438</v>
      </c>
      <c r="D222" s="536">
        <v>1</v>
      </c>
      <c r="E222" s="536">
        <v>2</v>
      </c>
      <c r="F222" s="536">
        <v>3</v>
      </c>
      <c r="G222" s="536">
        <v>4</v>
      </c>
      <c r="H222" s="536">
        <v>5</v>
      </c>
      <c r="I222" s="536">
        <v>6</v>
      </c>
      <c r="J222" s="536">
        <v>7</v>
      </c>
      <c r="K222" s="536">
        <v>8</v>
      </c>
      <c r="L222" s="536">
        <v>9</v>
      </c>
      <c r="M222" s="536">
        <v>10</v>
      </c>
      <c r="N222" s="536">
        <v>11</v>
      </c>
      <c r="O222" s="536">
        <v>12</v>
      </c>
      <c r="P222" s="537"/>
      <c r="Q222" s="537"/>
      <c r="S222" s="1540">
        <f ca="1">O231</f>
        <v>4</v>
      </c>
      <c r="T222" s="1540">
        <f ca="1">D231</f>
        <v>3</v>
      </c>
      <c r="U222" s="1540">
        <f ca="1">E231</f>
        <v>6</v>
      </c>
      <c r="V222" s="1540">
        <f ca="1">F231</f>
        <v>3</v>
      </c>
      <c r="X222" s="535" t="s">
        <v>1463</v>
      </c>
      <c r="Y222" s="557" t="s">
        <v>2413</v>
      </c>
      <c r="Z222" s="558">
        <v>1</v>
      </c>
      <c r="AA222" s="558">
        <v>2</v>
      </c>
      <c r="AB222" s="558">
        <v>3</v>
      </c>
      <c r="AC222" s="558">
        <v>4</v>
      </c>
      <c r="AD222" s="558">
        <v>5</v>
      </c>
      <c r="AE222" s="558">
        <v>6</v>
      </c>
      <c r="AF222" s="558">
        <v>7</v>
      </c>
      <c r="AG222" s="558">
        <v>8</v>
      </c>
      <c r="AH222" s="558">
        <v>9</v>
      </c>
      <c r="AI222" s="558">
        <v>10</v>
      </c>
      <c r="AJ222" s="558">
        <v>11</v>
      </c>
      <c r="AK222" s="558">
        <v>12</v>
      </c>
      <c r="AL222" s="1024">
        <v>1</v>
      </c>
      <c r="AM222" s="536">
        <v>2</v>
      </c>
      <c r="AN222" s="536">
        <v>3</v>
      </c>
      <c r="AO222" s="536">
        <v>4</v>
      </c>
      <c r="AP222" s="536">
        <v>5</v>
      </c>
      <c r="AQ222" s="536">
        <v>6</v>
      </c>
      <c r="AR222" s="536">
        <v>7</v>
      </c>
      <c r="AS222" s="536">
        <v>8</v>
      </c>
      <c r="AT222" s="536">
        <v>9</v>
      </c>
      <c r="AU222" s="536">
        <v>10</v>
      </c>
      <c r="AV222" s="536">
        <v>11</v>
      </c>
      <c r="AW222" s="1025">
        <v>12</v>
      </c>
      <c r="AX222" s="1208"/>
    </row>
    <row r="223" spans="1:51" ht="14.25" x14ac:dyDescent="0.2">
      <c r="A223" s="533" t="str">
        <f>A221&amp;"-"&amp;B223</f>
        <v>Moon-Saturn</v>
      </c>
      <c r="B223" s="559" t="s">
        <v>1516</v>
      </c>
      <c r="C223" s="540">
        <f ca="1">SaturnHouse</f>
        <v>2</v>
      </c>
      <c r="D223" s="539" t="str">
        <f t="shared" ref="D223:O230" ca="1" si="178">INDEX($Z223:$AW223,,12+D$152-$Q223+1)</f>
        <v>*</v>
      </c>
      <c r="E223" s="539" t="str">
        <f t="shared" ca="1" si="178"/>
        <v>*</v>
      </c>
      <c r="F223" s="539" t="str">
        <f t="shared" ca="1" si="178"/>
        <v>*</v>
      </c>
      <c r="G223" s="539">
        <f t="shared" ca="1" si="178"/>
        <v>1</v>
      </c>
      <c r="H223" s="539" t="str">
        <f t="shared" ca="1" si="178"/>
        <v>*</v>
      </c>
      <c r="I223" s="539">
        <f t="shared" ca="1" si="178"/>
        <v>1</v>
      </c>
      <c r="J223" s="539">
        <f t="shared" ca="1" si="178"/>
        <v>1</v>
      </c>
      <c r="K223" s="539" t="str">
        <f t="shared" ca="1" si="178"/>
        <v>*</v>
      </c>
      <c r="L223" s="539" t="str">
        <f t="shared" ca="1" si="178"/>
        <v>*</v>
      </c>
      <c r="M223" s="539" t="str">
        <f t="shared" ca="1" si="178"/>
        <v>*</v>
      </c>
      <c r="N223" s="539" t="str">
        <f t="shared" ca="1" si="178"/>
        <v>*</v>
      </c>
      <c r="O223" s="539">
        <f t="shared" ca="1" si="178"/>
        <v>1</v>
      </c>
      <c r="P223" s="541">
        <f t="shared" ref="P223:P231" ca="1" si="179">SUM(D223:O223)</f>
        <v>4</v>
      </c>
      <c r="Q223" s="540">
        <f ca="1">IF($Y$82,D221,C223)</f>
        <v>2</v>
      </c>
      <c r="S223" s="1540"/>
      <c r="T223" s="1540"/>
      <c r="U223" s="1540"/>
      <c r="V223" s="1540"/>
      <c r="W223" s="1207" t="s">
        <v>4245</v>
      </c>
      <c r="X223" s="559" t="s">
        <v>1516</v>
      </c>
      <c r="Y223" s="560">
        <f t="shared" ref="Y223:Y231" si="180">SUM(Z223:AK223)</f>
        <v>4</v>
      </c>
      <c r="Z223" s="561" t="s">
        <v>1464</v>
      </c>
      <c r="AA223" s="561" t="s">
        <v>1464</v>
      </c>
      <c r="AB223" s="561">
        <v>1</v>
      </c>
      <c r="AC223" s="561" t="s">
        <v>1464</v>
      </c>
      <c r="AD223" s="561">
        <v>1</v>
      </c>
      <c r="AE223" s="561">
        <v>1</v>
      </c>
      <c r="AF223" s="561" t="s">
        <v>1464</v>
      </c>
      <c r="AG223" s="561" t="s">
        <v>1464</v>
      </c>
      <c r="AH223" s="561" t="s">
        <v>1464</v>
      </c>
      <c r="AI223" s="561" t="s">
        <v>1464</v>
      </c>
      <c r="AJ223" s="561">
        <v>1</v>
      </c>
      <c r="AK223" s="561" t="s">
        <v>1464</v>
      </c>
      <c r="AL223" s="1026" t="str">
        <f t="shared" ref="AL223:AW230" si="181">Z223</f>
        <v>*</v>
      </c>
      <c r="AM223" s="561" t="str">
        <f t="shared" si="181"/>
        <v>*</v>
      </c>
      <c r="AN223" s="561">
        <f t="shared" si="181"/>
        <v>1</v>
      </c>
      <c r="AO223" s="561" t="str">
        <f t="shared" si="181"/>
        <v>*</v>
      </c>
      <c r="AP223" s="561">
        <f t="shared" si="181"/>
        <v>1</v>
      </c>
      <c r="AQ223" s="561">
        <f t="shared" si="181"/>
        <v>1</v>
      </c>
      <c r="AR223" s="561" t="str">
        <f t="shared" si="181"/>
        <v>*</v>
      </c>
      <c r="AS223" s="561" t="str">
        <f t="shared" si="181"/>
        <v>*</v>
      </c>
      <c r="AT223" s="561" t="str">
        <f t="shared" si="181"/>
        <v>*</v>
      </c>
      <c r="AU223" s="561" t="str">
        <f t="shared" si="181"/>
        <v>*</v>
      </c>
      <c r="AV223" s="561">
        <f t="shared" si="181"/>
        <v>1</v>
      </c>
      <c r="AW223" s="1027" t="str">
        <f t="shared" si="181"/>
        <v>*</v>
      </c>
      <c r="AX223" s="1208" t="str">
        <f>MIN($Y$153,$Y$167,$Y$181,$Y$195,$Y$209,$Y$223,$Y$237,$Y$251)&amp;"-"&amp;MAX($Y$153,$Y$167,$Y$181,$Y$195,$Y$209,$Y$223,$Y$237,$Y$251)</f>
        <v>4-8</v>
      </c>
      <c r="AY223" s="1208" t="s">
        <v>4245</v>
      </c>
    </row>
    <row r="224" spans="1:51" ht="14.25" x14ac:dyDescent="0.2">
      <c r="A224" s="533" t="str">
        <f>A221&amp;"-"&amp;B224</f>
        <v>Moon-Jupiter</v>
      </c>
      <c r="B224" s="559" t="s">
        <v>1515</v>
      </c>
      <c r="C224" s="540">
        <f ca="1">JupiterHouse</f>
        <v>8</v>
      </c>
      <c r="D224" s="539" t="str">
        <f t="shared" ca="1" si="178"/>
        <v>*</v>
      </c>
      <c r="E224" s="539">
        <f t="shared" ca="1" si="178"/>
        <v>1</v>
      </c>
      <c r="F224" s="539">
        <f t="shared" ca="1" si="178"/>
        <v>1</v>
      </c>
      <c r="G224" s="539" t="str">
        <f t="shared" ca="1" si="178"/>
        <v>*</v>
      </c>
      <c r="H224" s="539">
        <f t="shared" ca="1" si="178"/>
        <v>1</v>
      </c>
      <c r="I224" s="539">
        <f t="shared" ca="1" si="178"/>
        <v>1</v>
      </c>
      <c r="J224" s="539" t="str">
        <f t="shared" ca="1" si="178"/>
        <v>*</v>
      </c>
      <c r="K224" s="539">
        <f t="shared" ca="1" si="178"/>
        <v>1</v>
      </c>
      <c r="L224" s="539">
        <f t="shared" ca="1" si="178"/>
        <v>1</v>
      </c>
      <c r="M224" s="539" t="str">
        <f t="shared" ca="1" si="178"/>
        <v>*</v>
      </c>
      <c r="N224" s="539">
        <f t="shared" ca="1" si="178"/>
        <v>1</v>
      </c>
      <c r="O224" s="539" t="str">
        <f t="shared" ca="1" si="178"/>
        <v>*</v>
      </c>
      <c r="P224" s="541">
        <f t="shared" ca="1" si="179"/>
        <v>7</v>
      </c>
      <c r="Q224" s="540">
        <f ca="1">IF($Y$82,D221,C224)</f>
        <v>8</v>
      </c>
      <c r="S224" s="1540"/>
      <c r="T224" s="1540"/>
      <c r="U224" s="1540"/>
      <c r="V224" s="1540"/>
      <c r="X224" s="559" t="s">
        <v>1515</v>
      </c>
      <c r="Y224" s="560">
        <f t="shared" si="180"/>
        <v>7</v>
      </c>
      <c r="Z224" s="561">
        <v>1</v>
      </c>
      <c r="AA224" s="561">
        <v>1</v>
      </c>
      <c r="AB224" s="561" t="s">
        <v>1464</v>
      </c>
      <c r="AC224" s="561">
        <v>1</v>
      </c>
      <c r="AD224" s="561" t="s">
        <v>1464</v>
      </c>
      <c r="AE224" s="561" t="s">
        <v>1464</v>
      </c>
      <c r="AF224" s="561">
        <v>1</v>
      </c>
      <c r="AG224" s="561">
        <v>1</v>
      </c>
      <c r="AH224" s="561" t="s">
        <v>1464</v>
      </c>
      <c r="AI224" s="561">
        <v>1</v>
      </c>
      <c r="AJ224" s="561">
        <v>1</v>
      </c>
      <c r="AK224" s="561" t="s">
        <v>1464</v>
      </c>
      <c r="AL224" s="1026">
        <f t="shared" si="181"/>
        <v>1</v>
      </c>
      <c r="AM224" s="561">
        <f t="shared" si="181"/>
        <v>1</v>
      </c>
      <c r="AN224" s="561" t="str">
        <f t="shared" si="181"/>
        <v>*</v>
      </c>
      <c r="AO224" s="561">
        <f t="shared" si="181"/>
        <v>1</v>
      </c>
      <c r="AP224" s="561" t="str">
        <f t="shared" si="181"/>
        <v>*</v>
      </c>
      <c r="AQ224" s="561" t="str">
        <f t="shared" si="181"/>
        <v>*</v>
      </c>
      <c r="AR224" s="561">
        <f t="shared" si="181"/>
        <v>1</v>
      </c>
      <c r="AS224" s="561">
        <f t="shared" si="181"/>
        <v>1</v>
      </c>
      <c r="AT224" s="561" t="str">
        <f t="shared" si="181"/>
        <v>*</v>
      </c>
      <c r="AU224" s="561">
        <f t="shared" si="181"/>
        <v>1</v>
      </c>
      <c r="AV224" s="561">
        <f t="shared" si="181"/>
        <v>1</v>
      </c>
      <c r="AW224" s="1027" t="str">
        <f t="shared" si="181"/>
        <v>*</v>
      </c>
      <c r="AX224" s="1208" t="str">
        <f>MIN($Y$154,$Y$168,$Y$182,$Y$196,$Y$210,$Y$224,$Y$238,$Y$252)&amp;"-"&amp;MAX($Y$154,$Y$168,$Y$182,$Y$196,$Y$210,$Y$224,$Y$238,$Y$252)</f>
        <v>4-9</v>
      </c>
    </row>
    <row r="225" spans="1:51" ht="14.25" x14ac:dyDescent="0.2">
      <c r="A225" s="533" t="str">
        <f>A221&amp;"-"&amp;B225</f>
        <v>Moon-Mars</v>
      </c>
      <c r="B225" s="559" t="s">
        <v>1513</v>
      </c>
      <c r="C225" s="540">
        <f ca="1">MarsHouse</f>
        <v>10</v>
      </c>
      <c r="D225" s="539" t="str">
        <f t="shared" ca="1" si="178"/>
        <v>*</v>
      </c>
      <c r="E225" s="539">
        <f t="shared" ca="1" si="178"/>
        <v>1</v>
      </c>
      <c r="F225" s="539">
        <f t="shared" ca="1" si="178"/>
        <v>1</v>
      </c>
      <c r="G225" s="539" t="str">
        <f t="shared" ca="1" si="178"/>
        <v>*</v>
      </c>
      <c r="H225" s="539" t="str">
        <f t="shared" ca="1" si="178"/>
        <v>*</v>
      </c>
      <c r="I225" s="539" t="str">
        <f t="shared" ca="1" si="178"/>
        <v>*</v>
      </c>
      <c r="J225" s="539">
        <f t="shared" ca="1" si="178"/>
        <v>1</v>
      </c>
      <c r="K225" s="539">
        <f t="shared" ca="1" si="178"/>
        <v>1</v>
      </c>
      <c r="L225" s="539" t="str">
        <f t="shared" ca="1" si="178"/>
        <v>*</v>
      </c>
      <c r="M225" s="539" t="str">
        <f t="shared" ca="1" si="178"/>
        <v>*</v>
      </c>
      <c r="N225" s="539">
        <f t="shared" ca="1" si="178"/>
        <v>1</v>
      </c>
      <c r="O225" s="539">
        <f t="shared" ca="1" si="178"/>
        <v>1</v>
      </c>
      <c r="P225" s="541">
        <f t="shared" ca="1" si="179"/>
        <v>6</v>
      </c>
      <c r="Q225" s="540">
        <f ca="1">IF($Y$82,D221,C225)</f>
        <v>10</v>
      </c>
      <c r="S225" s="1540">
        <f ca="1">N231</f>
        <v>6</v>
      </c>
      <c r="T225" s="1541" t="str">
        <f ca="1">C221&amp;"  Ashtakavarga  "&amp;P231</f>
        <v xml:space="preserve">  Ashtakavarga  49</v>
      </c>
      <c r="U225" s="1541"/>
      <c r="V225" s="1540">
        <f ca="1">G231</f>
        <v>3</v>
      </c>
      <c r="X225" s="559" t="s">
        <v>1513</v>
      </c>
      <c r="Y225" s="560">
        <f t="shared" si="180"/>
        <v>6</v>
      </c>
      <c r="Z225" s="561" t="s">
        <v>1464</v>
      </c>
      <c r="AA225" s="561">
        <v>1</v>
      </c>
      <c r="AB225" s="561">
        <v>1</v>
      </c>
      <c r="AC225" s="561" t="s">
        <v>1464</v>
      </c>
      <c r="AD225" s="561">
        <v>1</v>
      </c>
      <c r="AE225" s="561">
        <v>1</v>
      </c>
      <c r="AF225" s="561" t="s">
        <v>1464</v>
      </c>
      <c r="AG225" s="561" t="s">
        <v>1464</v>
      </c>
      <c r="AH225" s="561" t="s">
        <v>1464</v>
      </c>
      <c r="AI225" s="561">
        <v>1</v>
      </c>
      <c r="AJ225" s="561">
        <v>1</v>
      </c>
      <c r="AK225" s="561" t="s">
        <v>1464</v>
      </c>
      <c r="AL225" s="1026" t="str">
        <f t="shared" si="181"/>
        <v>*</v>
      </c>
      <c r="AM225" s="561">
        <f t="shared" si="181"/>
        <v>1</v>
      </c>
      <c r="AN225" s="561">
        <f t="shared" si="181"/>
        <v>1</v>
      </c>
      <c r="AO225" s="561" t="str">
        <f t="shared" si="181"/>
        <v>*</v>
      </c>
      <c r="AP225" s="561">
        <f t="shared" si="181"/>
        <v>1</v>
      </c>
      <c r="AQ225" s="561">
        <f t="shared" si="181"/>
        <v>1</v>
      </c>
      <c r="AR225" s="561" t="str">
        <f t="shared" si="181"/>
        <v>*</v>
      </c>
      <c r="AS225" s="561" t="str">
        <f t="shared" si="181"/>
        <v>*</v>
      </c>
      <c r="AT225" s="561" t="str">
        <f t="shared" si="181"/>
        <v>*</v>
      </c>
      <c r="AU225" s="561">
        <f t="shared" si="181"/>
        <v>1</v>
      </c>
      <c r="AV225" s="561">
        <f t="shared" si="181"/>
        <v>1</v>
      </c>
      <c r="AW225" s="1027" t="str">
        <f t="shared" si="181"/>
        <v>*</v>
      </c>
      <c r="AX225" s="1208" t="str">
        <f>MIN($Y$155,$Y$169,$Y$183,$Y$197,$Y$211,$Y$225,$Y$239,$Y$253)&amp;"-"&amp;MAX($Y$155,$Y$169,$Y$183,$Y$197,$Y$211,$Y$225,$Y$239,$Y$253)</f>
        <v>5-8</v>
      </c>
    </row>
    <row r="226" spans="1:51" ht="14.25" x14ac:dyDescent="0.2">
      <c r="A226" s="533" t="str">
        <f>A221&amp;"-"&amp;B226</f>
        <v>Moon-Sun</v>
      </c>
      <c r="B226" s="559" t="s">
        <v>1511</v>
      </c>
      <c r="C226" s="540">
        <f ca="1">SunHouse</f>
        <v>4</v>
      </c>
      <c r="D226" s="539">
        <f t="shared" ca="1" si="178"/>
        <v>1</v>
      </c>
      <c r="E226" s="539">
        <f t="shared" ca="1" si="178"/>
        <v>1</v>
      </c>
      <c r="F226" s="539" t="str">
        <f t="shared" ca="1" si="178"/>
        <v>*</v>
      </c>
      <c r="G226" s="539" t="str">
        <f t="shared" ca="1" si="178"/>
        <v>*</v>
      </c>
      <c r="H226" s="539" t="str">
        <f t="shared" ca="1" si="178"/>
        <v>*</v>
      </c>
      <c r="I226" s="539">
        <f t="shared" ca="1" si="178"/>
        <v>1</v>
      </c>
      <c r="J226" s="539" t="str">
        <f t="shared" ca="1" si="178"/>
        <v>*</v>
      </c>
      <c r="K226" s="539" t="str">
        <f t="shared" ca="1" si="178"/>
        <v>*</v>
      </c>
      <c r="L226" s="539">
        <f t="shared" ca="1" si="178"/>
        <v>1</v>
      </c>
      <c r="M226" s="539">
        <f t="shared" ca="1" si="178"/>
        <v>1</v>
      </c>
      <c r="N226" s="539">
        <f t="shared" ca="1" si="178"/>
        <v>1</v>
      </c>
      <c r="O226" s="539" t="str">
        <f t="shared" ca="1" si="178"/>
        <v>*</v>
      </c>
      <c r="P226" s="541">
        <f t="shared" ca="1" si="179"/>
        <v>6</v>
      </c>
      <c r="Q226" s="540">
        <f ca="1">IF($Y$82,D221,C226)</f>
        <v>4</v>
      </c>
      <c r="S226" s="1540"/>
      <c r="T226" s="1540"/>
      <c r="U226" s="1541"/>
      <c r="V226" s="1540"/>
      <c r="X226" s="559" t="s">
        <v>1511</v>
      </c>
      <c r="Y226" s="560">
        <f t="shared" si="180"/>
        <v>6</v>
      </c>
      <c r="Z226" s="561" t="s">
        <v>1464</v>
      </c>
      <c r="AA226" s="561" t="s">
        <v>1464</v>
      </c>
      <c r="AB226" s="561">
        <v>1</v>
      </c>
      <c r="AC226" s="561" t="s">
        <v>1464</v>
      </c>
      <c r="AD226" s="561" t="s">
        <v>1464</v>
      </c>
      <c r="AE226" s="561">
        <v>1</v>
      </c>
      <c r="AF226" s="561">
        <v>1</v>
      </c>
      <c r="AG226" s="561">
        <v>1</v>
      </c>
      <c r="AH226" s="561" t="s">
        <v>1464</v>
      </c>
      <c r="AI226" s="561">
        <v>1</v>
      </c>
      <c r="AJ226" s="561">
        <v>1</v>
      </c>
      <c r="AK226" s="561" t="s">
        <v>1464</v>
      </c>
      <c r="AL226" s="1026" t="str">
        <f t="shared" si="181"/>
        <v>*</v>
      </c>
      <c r="AM226" s="561" t="str">
        <f t="shared" si="181"/>
        <v>*</v>
      </c>
      <c r="AN226" s="561">
        <f t="shared" si="181"/>
        <v>1</v>
      </c>
      <c r="AO226" s="561" t="str">
        <f t="shared" si="181"/>
        <v>*</v>
      </c>
      <c r="AP226" s="561" t="str">
        <f t="shared" si="181"/>
        <v>*</v>
      </c>
      <c r="AQ226" s="561">
        <f t="shared" si="181"/>
        <v>1</v>
      </c>
      <c r="AR226" s="561">
        <f t="shared" si="181"/>
        <v>1</v>
      </c>
      <c r="AS226" s="561">
        <f t="shared" si="181"/>
        <v>1</v>
      </c>
      <c r="AT226" s="561" t="str">
        <f t="shared" si="181"/>
        <v>*</v>
      </c>
      <c r="AU226" s="561">
        <f t="shared" si="181"/>
        <v>1</v>
      </c>
      <c r="AV226" s="561">
        <f t="shared" si="181"/>
        <v>1</v>
      </c>
      <c r="AW226" s="1027" t="str">
        <f t="shared" si="181"/>
        <v>*</v>
      </c>
      <c r="AX226" s="1208" t="str">
        <f>MIN($Y$156,$Y$170,$Y$184,$Y$198,$Y$212,$Y$226,$Y$240,$Y$254)&amp;"-"&amp;MAX($Y$156,$Y$170,$Y$184,$Y$198,$Y$212,$Y$226,$Y$240,$Y$254)</f>
        <v>3-9</v>
      </c>
    </row>
    <row r="227" spans="1:51" ht="14.25" x14ac:dyDescent="0.2">
      <c r="A227" s="533" t="str">
        <f>A221&amp;"-"&amp;B227</f>
        <v>Moon-Venus</v>
      </c>
      <c r="B227" s="559" t="s">
        <v>1519</v>
      </c>
      <c r="C227" s="540">
        <f ca="1">VenusHouse</f>
        <v>3</v>
      </c>
      <c r="D227" s="539">
        <f t="shared" ca="1" si="178"/>
        <v>1</v>
      </c>
      <c r="E227" s="539" t="str">
        <f t="shared" ca="1" si="178"/>
        <v>*</v>
      </c>
      <c r="F227" s="539" t="str">
        <f t="shared" ca="1" si="178"/>
        <v>*</v>
      </c>
      <c r="G227" s="539" t="str">
        <f t="shared" ca="1" si="178"/>
        <v>*</v>
      </c>
      <c r="H227" s="539">
        <f t="shared" ca="1" si="178"/>
        <v>1</v>
      </c>
      <c r="I227" s="539">
        <f t="shared" ca="1" si="178"/>
        <v>1</v>
      </c>
      <c r="J227" s="539">
        <f t="shared" ca="1" si="178"/>
        <v>1</v>
      </c>
      <c r="K227" s="539" t="str">
        <f t="shared" ca="1" si="178"/>
        <v>*</v>
      </c>
      <c r="L227" s="539">
        <f t="shared" ca="1" si="178"/>
        <v>1</v>
      </c>
      <c r="M227" s="539" t="str">
        <f t="shared" ca="1" si="178"/>
        <v>*</v>
      </c>
      <c r="N227" s="539">
        <f t="shared" ca="1" si="178"/>
        <v>1</v>
      </c>
      <c r="O227" s="539">
        <f t="shared" ca="1" si="178"/>
        <v>1</v>
      </c>
      <c r="P227" s="541">
        <f t="shared" ca="1" si="179"/>
        <v>7</v>
      </c>
      <c r="Q227" s="540">
        <f ca="1">IF($Y$82,D221,C227)</f>
        <v>3</v>
      </c>
      <c r="S227" s="1540"/>
      <c r="T227" s="1540"/>
      <c r="U227" s="1541"/>
      <c r="V227" s="1540"/>
      <c r="X227" s="559" t="s">
        <v>1519</v>
      </c>
      <c r="Y227" s="560">
        <f t="shared" si="180"/>
        <v>7</v>
      </c>
      <c r="Z227" s="561" t="s">
        <v>1464</v>
      </c>
      <c r="AA227" s="561" t="s">
        <v>1464</v>
      </c>
      <c r="AB227" s="561">
        <v>1</v>
      </c>
      <c r="AC227" s="561">
        <v>1</v>
      </c>
      <c r="AD227" s="561">
        <v>1</v>
      </c>
      <c r="AE227" s="561" t="s">
        <v>1464</v>
      </c>
      <c r="AF227" s="561">
        <v>1</v>
      </c>
      <c r="AG227" s="561" t="s">
        <v>1464</v>
      </c>
      <c r="AH227" s="561">
        <v>1</v>
      </c>
      <c r="AI227" s="561">
        <v>1</v>
      </c>
      <c r="AJ227" s="561">
        <v>1</v>
      </c>
      <c r="AK227" s="561" t="s">
        <v>1464</v>
      </c>
      <c r="AL227" s="1026" t="str">
        <f t="shared" si="181"/>
        <v>*</v>
      </c>
      <c r="AM227" s="561" t="str">
        <f t="shared" si="181"/>
        <v>*</v>
      </c>
      <c r="AN227" s="561">
        <f t="shared" si="181"/>
        <v>1</v>
      </c>
      <c r="AO227" s="561">
        <f t="shared" si="181"/>
        <v>1</v>
      </c>
      <c r="AP227" s="561">
        <f t="shared" si="181"/>
        <v>1</v>
      </c>
      <c r="AQ227" s="561" t="str">
        <f t="shared" si="181"/>
        <v>*</v>
      </c>
      <c r="AR227" s="561">
        <f t="shared" si="181"/>
        <v>1</v>
      </c>
      <c r="AS227" s="561" t="str">
        <f t="shared" si="181"/>
        <v>*</v>
      </c>
      <c r="AT227" s="561">
        <f t="shared" si="181"/>
        <v>1</v>
      </c>
      <c r="AU227" s="561">
        <f t="shared" si="181"/>
        <v>1</v>
      </c>
      <c r="AV227" s="561">
        <f t="shared" si="181"/>
        <v>1</v>
      </c>
      <c r="AW227" s="1027" t="str">
        <f t="shared" si="181"/>
        <v>*</v>
      </c>
      <c r="AX227" s="1208" t="str">
        <f>MIN($Y$157,$Y$171,$Y$185,$Y$199,$Y$213,$Y$227,$Y$241,$Y$255)&amp;"-"&amp;MAX($Y$157,$Y$171,$Y$185,$Y$199,$Y$213,$Y$227,$Y$241,$Y$255)</f>
        <v>3-9</v>
      </c>
    </row>
    <row r="228" spans="1:51" ht="14.25" x14ac:dyDescent="0.2">
      <c r="A228" s="533" t="str">
        <f>A221&amp;"-"&amp;B228</f>
        <v>Moon-Mercury</v>
      </c>
      <c r="B228" s="559" t="s">
        <v>1517</v>
      </c>
      <c r="C228" s="540">
        <f ca="1">MercuryHouse</f>
        <v>4</v>
      </c>
      <c r="D228" s="539">
        <f t="shared" ca="1" si="178"/>
        <v>1</v>
      </c>
      <c r="E228" s="539">
        <f t="shared" ca="1" si="178"/>
        <v>1</v>
      </c>
      <c r="F228" s="539" t="str">
        <f t="shared" ca="1" si="178"/>
        <v>*</v>
      </c>
      <c r="G228" s="539">
        <f t="shared" ca="1" si="178"/>
        <v>1</v>
      </c>
      <c r="H228" s="539" t="str">
        <f t="shared" ca="1" si="178"/>
        <v>*</v>
      </c>
      <c r="I228" s="539">
        <f t="shared" ca="1" si="178"/>
        <v>1</v>
      </c>
      <c r="J228" s="539">
        <f t="shared" ca="1" si="178"/>
        <v>1</v>
      </c>
      <c r="K228" s="539">
        <f t="shared" ca="1" si="178"/>
        <v>1</v>
      </c>
      <c r="L228" s="539" t="str">
        <f t="shared" ca="1" si="178"/>
        <v>*</v>
      </c>
      <c r="M228" s="539">
        <f t="shared" ca="1" si="178"/>
        <v>1</v>
      </c>
      <c r="N228" s="539">
        <f t="shared" ca="1" si="178"/>
        <v>1</v>
      </c>
      <c r="O228" s="539" t="str">
        <f t="shared" ca="1" si="178"/>
        <v>*</v>
      </c>
      <c r="P228" s="541">
        <f t="shared" ca="1" si="179"/>
        <v>8</v>
      </c>
      <c r="Q228" s="540">
        <f ca="1">IF($Y$82,D221,C228)</f>
        <v>4</v>
      </c>
      <c r="S228" s="1540">
        <f ca="1">M231</f>
        <v>4</v>
      </c>
      <c r="T228" s="1541"/>
      <c r="U228" s="1541"/>
      <c r="V228" s="1540">
        <f ca="1">H231</f>
        <v>2</v>
      </c>
      <c r="W228" s="1207" t="s">
        <v>4244</v>
      </c>
      <c r="X228" s="559" t="s">
        <v>1517</v>
      </c>
      <c r="Y228" s="560">
        <f t="shared" si="180"/>
        <v>8</v>
      </c>
      <c r="Z228" s="561">
        <v>1</v>
      </c>
      <c r="AA228" s="561" t="s">
        <v>1464</v>
      </c>
      <c r="AB228" s="561">
        <v>1</v>
      </c>
      <c r="AC228" s="561">
        <v>1</v>
      </c>
      <c r="AD228" s="561">
        <v>1</v>
      </c>
      <c r="AE228" s="561" t="s">
        <v>1464</v>
      </c>
      <c r="AF228" s="561">
        <v>1</v>
      </c>
      <c r="AG228" s="561">
        <v>1</v>
      </c>
      <c r="AH228" s="561" t="s">
        <v>1464</v>
      </c>
      <c r="AI228" s="561">
        <v>1</v>
      </c>
      <c r="AJ228" s="561">
        <v>1</v>
      </c>
      <c r="AK228" s="561" t="s">
        <v>1464</v>
      </c>
      <c r="AL228" s="1026">
        <f t="shared" si="181"/>
        <v>1</v>
      </c>
      <c r="AM228" s="561" t="str">
        <f t="shared" si="181"/>
        <v>*</v>
      </c>
      <c r="AN228" s="561">
        <f t="shared" si="181"/>
        <v>1</v>
      </c>
      <c r="AO228" s="561">
        <f t="shared" si="181"/>
        <v>1</v>
      </c>
      <c r="AP228" s="561">
        <f t="shared" si="181"/>
        <v>1</v>
      </c>
      <c r="AQ228" s="561" t="str">
        <f t="shared" si="181"/>
        <v>*</v>
      </c>
      <c r="AR228" s="561">
        <f t="shared" si="181"/>
        <v>1</v>
      </c>
      <c r="AS228" s="561">
        <f t="shared" si="181"/>
        <v>1</v>
      </c>
      <c r="AT228" s="561" t="str">
        <f t="shared" si="181"/>
        <v>*</v>
      </c>
      <c r="AU228" s="561">
        <f t="shared" si="181"/>
        <v>1</v>
      </c>
      <c r="AV228" s="561">
        <f t="shared" si="181"/>
        <v>1</v>
      </c>
      <c r="AW228" s="1027" t="str">
        <f t="shared" si="181"/>
        <v>*</v>
      </c>
      <c r="AX228" s="1208" t="str">
        <f>MIN($Y$158,$Y$172,$Y$186,$Y$200,$Y$214,$Y$228,$Y$242,$Y$256)&amp;"-"&amp;MAX($Y$158,$Y$172,$Y$186,$Y$200,$Y$214,$Y$228,$Y$242,$Y$256)</f>
        <v>4-8</v>
      </c>
      <c r="AY228" s="1208" t="s">
        <v>4244</v>
      </c>
    </row>
    <row r="229" spans="1:51" ht="14.25" x14ac:dyDescent="0.2">
      <c r="A229" s="533" t="str">
        <f>A221&amp;"-"&amp;B229</f>
        <v>Moon-Moon</v>
      </c>
      <c r="B229" s="559" t="s">
        <v>1512</v>
      </c>
      <c r="C229" s="540">
        <f ca="1">MoonHouse</f>
        <v>2</v>
      </c>
      <c r="D229" s="539" t="str">
        <f t="shared" ca="1" si="178"/>
        <v>*</v>
      </c>
      <c r="E229" s="539">
        <f t="shared" ca="1" si="178"/>
        <v>1</v>
      </c>
      <c r="F229" s="539" t="str">
        <f t="shared" ca="1" si="178"/>
        <v>*</v>
      </c>
      <c r="G229" s="539">
        <f t="shared" ca="1" si="178"/>
        <v>1</v>
      </c>
      <c r="H229" s="539" t="str">
        <f t="shared" ca="1" si="178"/>
        <v>*</v>
      </c>
      <c r="I229" s="539" t="str">
        <f t="shared" ca="1" si="178"/>
        <v>*</v>
      </c>
      <c r="J229" s="539">
        <f t="shared" ca="1" si="178"/>
        <v>1</v>
      </c>
      <c r="K229" s="539">
        <f t="shared" ca="1" si="178"/>
        <v>1</v>
      </c>
      <c r="L229" s="539" t="str">
        <f t="shared" ca="1" si="178"/>
        <v>*</v>
      </c>
      <c r="M229" s="539">
        <f t="shared" ca="1" si="178"/>
        <v>1</v>
      </c>
      <c r="N229" s="539">
        <f t="shared" ca="1" si="178"/>
        <v>1</v>
      </c>
      <c r="O229" s="539">
        <f t="shared" ca="1" si="178"/>
        <v>1</v>
      </c>
      <c r="P229" s="541">
        <f t="shared" ca="1" si="179"/>
        <v>7</v>
      </c>
      <c r="Q229" s="540">
        <f ca="1">IF($Y$82,D221,C229)</f>
        <v>2</v>
      </c>
      <c r="S229" s="1540"/>
      <c r="T229" s="1540"/>
      <c r="U229" s="1541"/>
      <c r="V229" s="1540"/>
      <c r="X229" s="559" t="s">
        <v>1512</v>
      </c>
      <c r="Y229" s="560">
        <f t="shared" si="180"/>
        <v>7</v>
      </c>
      <c r="Z229" s="561">
        <v>1</v>
      </c>
      <c r="AA229" s="561" t="s">
        <v>1464</v>
      </c>
      <c r="AB229" s="561">
        <v>1</v>
      </c>
      <c r="AC229" s="561" t="s">
        <v>1464</v>
      </c>
      <c r="AD229" s="561" t="s">
        <v>1464</v>
      </c>
      <c r="AE229" s="561">
        <v>1</v>
      </c>
      <c r="AF229" s="561">
        <v>1</v>
      </c>
      <c r="AG229" s="561" t="s">
        <v>1464</v>
      </c>
      <c r="AH229" s="561">
        <v>1</v>
      </c>
      <c r="AI229" s="561">
        <v>1</v>
      </c>
      <c r="AJ229" s="561">
        <v>1</v>
      </c>
      <c r="AK229" s="561" t="s">
        <v>1464</v>
      </c>
      <c r="AL229" s="1026">
        <f t="shared" si="181"/>
        <v>1</v>
      </c>
      <c r="AM229" s="561" t="str">
        <f t="shared" si="181"/>
        <v>*</v>
      </c>
      <c r="AN229" s="561">
        <f t="shared" si="181"/>
        <v>1</v>
      </c>
      <c r="AO229" s="561" t="str">
        <f t="shared" si="181"/>
        <v>*</v>
      </c>
      <c r="AP229" s="561" t="str">
        <f t="shared" si="181"/>
        <v>*</v>
      </c>
      <c r="AQ229" s="561">
        <f t="shared" si="181"/>
        <v>1</v>
      </c>
      <c r="AR229" s="561">
        <f t="shared" si="181"/>
        <v>1</v>
      </c>
      <c r="AS229" s="561" t="str">
        <f t="shared" si="181"/>
        <v>*</v>
      </c>
      <c r="AT229" s="561">
        <f t="shared" si="181"/>
        <v>1</v>
      </c>
      <c r="AU229" s="561">
        <f t="shared" si="181"/>
        <v>1</v>
      </c>
      <c r="AV229" s="561">
        <f t="shared" si="181"/>
        <v>1</v>
      </c>
      <c r="AW229" s="1027" t="str">
        <f t="shared" si="181"/>
        <v>*</v>
      </c>
      <c r="AX229" s="1208" t="str">
        <f>MIN($Y$159,$Y$173,$Y$187,$Y$201,$Y$215,$Y$229,$Y$243,$Y$257)&amp;"-"&amp;MAX($Y$159,$Y$173,$Y$187,$Y$201,$Y$215,$Y$229,$Y$243,$Y$257)</f>
        <v>3-9</v>
      </c>
    </row>
    <row r="230" spans="1:51" ht="14.25" x14ac:dyDescent="0.2">
      <c r="A230" s="533" t="str">
        <f>A221&amp;"-"&amp;B230</f>
        <v>Moon-Lagna</v>
      </c>
      <c r="B230" s="559" t="s">
        <v>1722</v>
      </c>
      <c r="C230" s="540">
        <f ca="1">Lagnahouse</f>
        <v>5</v>
      </c>
      <c r="D230" s="539" t="str">
        <f t="shared" ca="1" si="178"/>
        <v>*</v>
      </c>
      <c r="E230" s="539">
        <f t="shared" ca="1" si="178"/>
        <v>1</v>
      </c>
      <c r="F230" s="539">
        <f t="shared" ca="1" si="178"/>
        <v>1</v>
      </c>
      <c r="G230" s="539" t="str">
        <f t="shared" ca="1" si="178"/>
        <v>*</v>
      </c>
      <c r="H230" s="539" t="str">
        <f t="shared" ca="1" si="178"/>
        <v>*</v>
      </c>
      <c r="I230" s="539" t="str">
        <f t="shared" ca="1" si="178"/>
        <v>*</v>
      </c>
      <c r="J230" s="539">
        <f t="shared" ca="1" si="178"/>
        <v>1</v>
      </c>
      <c r="K230" s="539" t="str">
        <f t="shared" ca="1" si="178"/>
        <v>*</v>
      </c>
      <c r="L230" s="539" t="str">
        <f t="shared" ca="1" si="178"/>
        <v>*</v>
      </c>
      <c r="M230" s="539">
        <f t="shared" ca="1" si="178"/>
        <v>1</v>
      </c>
      <c r="N230" s="539" t="str">
        <f t="shared" ca="1" si="178"/>
        <v>*</v>
      </c>
      <c r="O230" s="539" t="str">
        <f t="shared" ca="1" si="178"/>
        <v>*</v>
      </c>
      <c r="P230" s="541">
        <f t="shared" ca="1" si="179"/>
        <v>4</v>
      </c>
      <c r="Q230" s="540">
        <f ca="1">IF($Y$82,D221,C230)</f>
        <v>5</v>
      </c>
      <c r="S230" s="1540"/>
      <c r="T230" s="1540"/>
      <c r="U230" s="1541"/>
      <c r="V230" s="1540"/>
      <c r="W230" s="1207" t="s">
        <v>4245</v>
      </c>
      <c r="X230" s="559" t="s">
        <v>1722</v>
      </c>
      <c r="Y230" s="560">
        <f t="shared" si="180"/>
        <v>4</v>
      </c>
      <c r="Z230" s="561" t="s">
        <v>1464</v>
      </c>
      <c r="AA230" s="561" t="s">
        <v>1464</v>
      </c>
      <c r="AB230" s="561">
        <v>1</v>
      </c>
      <c r="AC230" s="561" t="s">
        <v>1464</v>
      </c>
      <c r="AD230" s="561" t="s">
        <v>1464</v>
      </c>
      <c r="AE230" s="561">
        <v>1</v>
      </c>
      <c r="AF230" s="561" t="s">
        <v>1464</v>
      </c>
      <c r="AG230" s="561" t="s">
        <v>1464</v>
      </c>
      <c r="AH230" s="561" t="s">
        <v>1464</v>
      </c>
      <c r="AI230" s="561">
        <v>1</v>
      </c>
      <c r="AJ230" s="561">
        <v>1</v>
      </c>
      <c r="AK230" s="561" t="s">
        <v>1464</v>
      </c>
      <c r="AL230" s="1026" t="str">
        <f t="shared" si="181"/>
        <v>*</v>
      </c>
      <c r="AM230" s="561" t="str">
        <f t="shared" si="181"/>
        <v>*</v>
      </c>
      <c r="AN230" s="561">
        <f t="shared" si="181"/>
        <v>1</v>
      </c>
      <c r="AO230" s="561" t="str">
        <f t="shared" si="181"/>
        <v>*</v>
      </c>
      <c r="AP230" s="561" t="str">
        <f t="shared" si="181"/>
        <v>*</v>
      </c>
      <c r="AQ230" s="561">
        <f t="shared" si="181"/>
        <v>1</v>
      </c>
      <c r="AR230" s="561" t="str">
        <f t="shared" si="181"/>
        <v>*</v>
      </c>
      <c r="AS230" s="561" t="str">
        <f t="shared" si="181"/>
        <v>*</v>
      </c>
      <c r="AT230" s="561" t="str">
        <f t="shared" si="181"/>
        <v>*</v>
      </c>
      <c r="AU230" s="561">
        <f t="shared" si="181"/>
        <v>1</v>
      </c>
      <c r="AV230" s="561">
        <f t="shared" si="181"/>
        <v>1</v>
      </c>
      <c r="AW230" s="1027" t="str">
        <f t="shared" si="181"/>
        <v>*</v>
      </c>
      <c r="AX230" s="1208" t="str">
        <f>MIN($Y$160,$Y$174,$Y$188,$Y$202,$Y$216,$Y$230,$Y$244,$Y$258)&amp;"-"&amp;MAX($Y$160,$Y$174,$Y$188,$Y$202,$Y$216,$Y$230,$Y$244,$Y$258)</f>
        <v>4-9</v>
      </c>
      <c r="AY230" s="1208" t="s">
        <v>4245</v>
      </c>
    </row>
    <row r="231" spans="1:51" thickBot="1" x14ac:dyDescent="0.25">
      <c r="A231" s="533" t="str">
        <f>A221&amp;"-"&amp;B231</f>
        <v>Moon-Moon</v>
      </c>
      <c r="B231" s="562" t="str">
        <f>B221</f>
        <v>Moon</v>
      </c>
      <c r="C231" s="542"/>
      <c r="D231" s="542">
        <f t="shared" ref="D231:O231" ca="1" si="182">SUM(D223:D230)</f>
        <v>3</v>
      </c>
      <c r="E231" s="542">
        <f t="shared" ca="1" si="182"/>
        <v>6</v>
      </c>
      <c r="F231" s="542">
        <f t="shared" ca="1" si="182"/>
        <v>3</v>
      </c>
      <c r="G231" s="542">
        <f t="shared" ca="1" si="182"/>
        <v>3</v>
      </c>
      <c r="H231" s="542">
        <f t="shared" ca="1" si="182"/>
        <v>2</v>
      </c>
      <c r="I231" s="542">
        <f t="shared" ca="1" si="182"/>
        <v>5</v>
      </c>
      <c r="J231" s="542">
        <f t="shared" ca="1" si="182"/>
        <v>6</v>
      </c>
      <c r="K231" s="542">
        <f t="shared" ca="1" si="182"/>
        <v>4</v>
      </c>
      <c r="L231" s="542">
        <f t="shared" ca="1" si="182"/>
        <v>3</v>
      </c>
      <c r="M231" s="542">
        <f t="shared" ca="1" si="182"/>
        <v>4</v>
      </c>
      <c r="N231" s="542">
        <f t="shared" ca="1" si="182"/>
        <v>6</v>
      </c>
      <c r="O231" s="542">
        <f t="shared" ca="1" si="182"/>
        <v>4</v>
      </c>
      <c r="P231" s="543">
        <f t="shared" ca="1" si="179"/>
        <v>49</v>
      </c>
      <c r="Q231" s="543"/>
      <c r="S231" s="1540">
        <f ca="1">L231</f>
        <v>3</v>
      </c>
      <c r="T231" s="1540">
        <f ca="1">K231</f>
        <v>4</v>
      </c>
      <c r="U231" s="1540">
        <f ca="1">J231</f>
        <v>6</v>
      </c>
      <c r="V231" s="1540">
        <f ca="1">I231</f>
        <v>5</v>
      </c>
      <c r="X231" s="562"/>
      <c r="Y231" s="563">
        <f t="shared" si="180"/>
        <v>49</v>
      </c>
      <c r="Z231" s="564">
        <f t="shared" ref="Z231:AW231" si="183">SUM(Z223:Z230)</f>
        <v>3</v>
      </c>
      <c r="AA231" s="564">
        <f t="shared" si="183"/>
        <v>2</v>
      </c>
      <c r="AB231" s="564">
        <f t="shared" si="183"/>
        <v>7</v>
      </c>
      <c r="AC231" s="564">
        <f t="shared" si="183"/>
        <v>3</v>
      </c>
      <c r="AD231" s="564">
        <f t="shared" si="183"/>
        <v>4</v>
      </c>
      <c r="AE231" s="564">
        <f t="shared" si="183"/>
        <v>5</v>
      </c>
      <c r="AF231" s="564">
        <f t="shared" si="183"/>
        <v>5</v>
      </c>
      <c r="AG231" s="564">
        <f t="shared" si="183"/>
        <v>3</v>
      </c>
      <c r="AH231" s="564">
        <f t="shared" si="183"/>
        <v>2</v>
      </c>
      <c r="AI231" s="564">
        <f t="shared" si="183"/>
        <v>7</v>
      </c>
      <c r="AJ231" s="564">
        <f t="shared" si="183"/>
        <v>8</v>
      </c>
      <c r="AK231" s="564">
        <f t="shared" si="183"/>
        <v>0</v>
      </c>
      <c r="AL231" s="1030">
        <f t="shared" si="183"/>
        <v>3</v>
      </c>
      <c r="AM231" s="564">
        <f t="shared" si="183"/>
        <v>2</v>
      </c>
      <c r="AN231" s="564">
        <f t="shared" si="183"/>
        <v>7</v>
      </c>
      <c r="AO231" s="564">
        <f t="shared" si="183"/>
        <v>3</v>
      </c>
      <c r="AP231" s="564">
        <f t="shared" si="183"/>
        <v>4</v>
      </c>
      <c r="AQ231" s="564">
        <f t="shared" si="183"/>
        <v>5</v>
      </c>
      <c r="AR231" s="564">
        <f t="shared" si="183"/>
        <v>5</v>
      </c>
      <c r="AS231" s="564">
        <f t="shared" si="183"/>
        <v>3</v>
      </c>
      <c r="AT231" s="564">
        <f t="shared" si="183"/>
        <v>2</v>
      </c>
      <c r="AU231" s="564">
        <f t="shared" si="183"/>
        <v>7</v>
      </c>
      <c r="AV231" s="564">
        <f t="shared" si="183"/>
        <v>8</v>
      </c>
      <c r="AW231" s="1031">
        <f t="shared" si="183"/>
        <v>0</v>
      </c>
    </row>
    <row r="232" spans="1:51" thickTop="1" x14ac:dyDescent="0.2">
      <c r="A232" s="533" t="str">
        <f>A221&amp;"-"&amp;B232</f>
        <v>Moon-</v>
      </c>
      <c r="S232" s="1540"/>
      <c r="T232" s="1540"/>
      <c r="U232" s="1540"/>
      <c r="V232" s="1540"/>
      <c r="X232" s="1205" t="s">
        <v>1465</v>
      </c>
      <c r="Y232" s="1205"/>
      <c r="Z232" s="1205"/>
      <c r="AA232" s="1205"/>
      <c r="AB232" s="1205"/>
      <c r="AC232" s="1205"/>
      <c r="AD232" s="1205"/>
      <c r="AE232" s="1205"/>
      <c r="AF232" s="1205"/>
      <c r="AG232" s="1205"/>
      <c r="AH232" s="1205"/>
      <c r="AI232" s="1205"/>
      <c r="AJ232" s="1205"/>
      <c r="AK232" s="1205"/>
      <c r="AL232" s="1205"/>
    </row>
    <row r="233" spans="1:51" ht="14.25" x14ac:dyDescent="0.2">
      <c r="A233" s="533" t="str">
        <f>A221&amp;"-"&amp;B233</f>
        <v>Moon-</v>
      </c>
      <c r="S233" s="1540"/>
      <c r="T233" s="1540"/>
      <c r="U233" s="1540"/>
      <c r="V233" s="1540"/>
    </row>
    <row r="234" spans="1:51" ht="14.25" x14ac:dyDescent="0.2">
      <c r="A234" s="533" t="str">
        <f>A221&amp;"-"&amp;B234</f>
        <v>Moon------</v>
      </c>
      <c r="B234" s="527" t="s">
        <v>1462</v>
      </c>
    </row>
    <row r="235" spans="1:51" thickBot="1" x14ac:dyDescent="0.25">
      <c r="A235" s="533" t="str">
        <f>B235</f>
        <v>Sun</v>
      </c>
      <c r="B235" s="1539" t="str">
        <f>X235</f>
        <v>Sun</v>
      </c>
      <c r="C235" s="1539"/>
      <c r="D235" s="527">
        <f ca="1">INDIRECT(B235&amp;"house")</f>
        <v>4</v>
      </c>
      <c r="S235" s="538"/>
      <c r="T235" s="538"/>
      <c r="U235" s="538"/>
      <c r="V235" s="538"/>
      <c r="X235" s="105" t="s">
        <v>1511</v>
      </c>
      <c r="Y235" s="1207" t="str">
        <f>MIN(Y237:Y244)&amp;"-"&amp;MAX(Y237:Y244)</f>
        <v>3-8</v>
      </c>
      <c r="Z235" s="1205" t="str">
        <f>$Z$83 &amp;  X235</f>
        <v>From Graha Good and Bad Transit of Sun</v>
      </c>
      <c r="AA235" s="1205"/>
      <c r="AB235" s="1205"/>
      <c r="AC235" s="1205"/>
      <c r="AD235" s="1205"/>
      <c r="AE235" s="1205"/>
      <c r="AF235" s="1205"/>
      <c r="AG235" s="1205"/>
      <c r="AH235" s="1205"/>
      <c r="AI235" s="1205"/>
      <c r="AJ235" s="1205"/>
      <c r="AK235" s="1205"/>
      <c r="AL235" s="1205"/>
      <c r="AM235" s="1205"/>
      <c r="AN235" s="1205"/>
      <c r="AO235" s="1205"/>
      <c r="AP235" s="1205"/>
      <c r="AQ235" s="1205"/>
      <c r="AR235" s="1205"/>
      <c r="AS235" s="1205"/>
      <c r="AT235" s="1205"/>
      <c r="AU235" s="1205"/>
      <c r="AV235" s="1205"/>
      <c r="AW235" s="1205"/>
      <c r="AX235" s="1208" t="s">
        <v>4246</v>
      </c>
    </row>
    <row r="236" spans="1:51" thickTop="1" x14ac:dyDescent="0.2">
      <c r="A236" s="533" t="str">
        <f>A235&amp;"-"&amp;B236</f>
        <v>Sun-</v>
      </c>
      <c r="B236" s="534"/>
      <c r="C236" s="535" t="s">
        <v>1438</v>
      </c>
      <c r="D236" s="536">
        <v>1</v>
      </c>
      <c r="E236" s="536">
        <v>2</v>
      </c>
      <c r="F236" s="536">
        <v>3</v>
      </c>
      <c r="G236" s="536">
        <v>4</v>
      </c>
      <c r="H236" s="536">
        <v>5</v>
      </c>
      <c r="I236" s="536">
        <v>6</v>
      </c>
      <c r="J236" s="536">
        <v>7</v>
      </c>
      <c r="K236" s="536">
        <v>8</v>
      </c>
      <c r="L236" s="536">
        <v>9</v>
      </c>
      <c r="M236" s="536">
        <v>10</v>
      </c>
      <c r="N236" s="536">
        <v>11</v>
      </c>
      <c r="O236" s="536">
        <v>12</v>
      </c>
      <c r="P236" s="537"/>
      <c r="Q236" s="537"/>
      <c r="S236" s="1540">
        <f ca="1">O245</f>
        <v>5</v>
      </c>
      <c r="T236" s="1540">
        <f ca="1">D245</f>
        <v>4</v>
      </c>
      <c r="U236" s="1540">
        <f ca="1">E245</f>
        <v>5</v>
      </c>
      <c r="V236" s="1540">
        <f ca="1">F245</f>
        <v>3</v>
      </c>
      <c r="X236" s="535" t="s">
        <v>1463</v>
      </c>
      <c r="Y236" s="557" t="s">
        <v>2413</v>
      </c>
      <c r="Z236" s="558">
        <v>1</v>
      </c>
      <c r="AA236" s="558">
        <v>2</v>
      </c>
      <c r="AB236" s="558">
        <v>3</v>
      </c>
      <c r="AC236" s="558">
        <v>4</v>
      </c>
      <c r="AD236" s="558">
        <v>5</v>
      </c>
      <c r="AE236" s="558">
        <v>6</v>
      </c>
      <c r="AF236" s="558">
        <v>7</v>
      </c>
      <c r="AG236" s="558">
        <v>8</v>
      </c>
      <c r="AH236" s="558">
        <v>9</v>
      </c>
      <c r="AI236" s="558">
        <v>10</v>
      </c>
      <c r="AJ236" s="558">
        <v>11</v>
      </c>
      <c r="AK236" s="558">
        <v>12</v>
      </c>
      <c r="AL236" s="1024">
        <v>1</v>
      </c>
      <c r="AM236" s="536">
        <v>2</v>
      </c>
      <c r="AN236" s="536">
        <v>3</v>
      </c>
      <c r="AO236" s="536">
        <v>4</v>
      </c>
      <c r="AP236" s="536">
        <v>5</v>
      </c>
      <c r="AQ236" s="536">
        <v>6</v>
      </c>
      <c r="AR236" s="536">
        <v>7</v>
      </c>
      <c r="AS236" s="536">
        <v>8</v>
      </c>
      <c r="AT236" s="536">
        <v>9</v>
      </c>
      <c r="AU236" s="536">
        <v>10</v>
      </c>
      <c r="AV236" s="536">
        <v>11</v>
      </c>
      <c r="AW236" s="1025">
        <v>12</v>
      </c>
      <c r="AX236" s="1208"/>
    </row>
    <row r="237" spans="1:51" ht="14.25" x14ac:dyDescent="0.2">
      <c r="A237" s="533" t="str">
        <f>A235&amp;"-"&amp;B237</f>
        <v>Sun-Saturn</v>
      </c>
      <c r="B237" s="559" t="s">
        <v>1516</v>
      </c>
      <c r="C237" s="540">
        <f ca="1">SaturnHouse</f>
        <v>2</v>
      </c>
      <c r="D237" s="539" t="str">
        <f t="shared" ref="D237:O244" ca="1" si="184">INDEX($Z237:$AW237,,12+D$152-$Q237+1)</f>
        <v>*</v>
      </c>
      <c r="E237" s="539">
        <f t="shared" ca="1" si="184"/>
        <v>1</v>
      </c>
      <c r="F237" s="539">
        <f t="shared" ca="1" si="184"/>
        <v>1</v>
      </c>
      <c r="G237" s="539" t="str">
        <f t="shared" ca="1" si="184"/>
        <v>*</v>
      </c>
      <c r="H237" s="539">
        <f t="shared" ca="1" si="184"/>
        <v>1</v>
      </c>
      <c r="I237" s="539" t="str">
        <f t="shared" ca="1" si="184"/>
        <v>*</v>
      </c>
      <c r="J237" s="539" t="str">
        <f t="shared" ca="1" si="184"/>
        <v>*</v>
      </c>
      <c r="K237" s="539">
        <f t="shared" ca="1" si="184"/>
        <v>1</v>
      </c>
      <c r="L237" s="539">
        <f t="shared" ca="1" si="184"/>
        <v>1</v>
      </c>
      <c r="M237" s="539">
        <f t="shared" ca="1" si="184"/>
        <v>1</v>
      </c>
      <c r="N237" s="539">
        <f t="shared" ca="1" si="184"/>
        <v>1</v>
      </c>
      <c r="O237" s="539">
        <f t="shared" ca="1" si="184"/>
        <v>1</v>
      </c>
      <c r="P237" s="541">
        <f t="shared" ref="P237:P245" ca="1" si="185">SUM(D237:O237)</f>
        <v>8</v>
      </c>
      <c r="Q237" s="540">
        <f ca="1">IF($Y$82,D235,C237)</f>
        <v>2</v>
      </c>
      <c r="S237" s="1540"/>
      <c r="T237" s="1540"/>
      <c r="U237" s="1540"/>
      <c r="V237" s="1540"/>
      <c r="W237" s="1207" t="s">
        <v>4244</v>
      </c>
      <c r="X237" s="559" t="s">
        <v>1516</v>
      </c>
      <c r="Y237" s="560">
        <f t="shared" ref="Y237:Y245" si="186">SUM(Z237:AK237)</f>
        <v>8</v>
      </c>
      <c r="Z237" s="561">
        <v>1</v>
      </c>
      <c r="AA237" s="561">
        <v>1</v>
      </c>
      <c r="AB237" s="561" t="s">
        <v>1464</v>
      </c>
      <c r="AC237" s="561">
        <v>1</v>
      </c>
      <c r="AD237" s="561" t="s">
        <v>1464</v>
      </c>
      <c r="AE237" s="561" t="s">
        <v>1464</v>
      </c>
      <c r="AF237" s="561">
        <v>1</v>
      </c>
      <c r="AG237" s="561">
        <v>1</v>
      </c>
      <c r="AH237" s="561">
        <v>1</v>
      </c>
      <c r="AI237" s="561">
        <v>1</v>
      </c>
      <c r="AJ237" s="561">
        <v>1</v>
      </c>
      <c r="AK237" s="561" t="s">
        <v>1464</v>
      </c>
      <c r="AL237" s="1026">
        <f t="shared" ref="AL237:AW244" si="187">Z237</f>
        <v>1</v>
      </c>
      <c r="AM237" s="561">
        <f t="shared" si="187"/>
        <v>1</v>
      </c>
      <c r="AN237" s="561" t="str">
        <f t="shared" si="187"/>
        <v>*</v>
      </c>
      <c r="AO237" s="561">
        <f t="shared" si="187"/>
        <v>1</v>
      </c>
      <c r="AP237" s="561" t="str">
        <f t="shared" si="187"/>
        <v>*</v>
      </c>
      <c r="AQ237" s="561" t="str">
        <f t="shared" si="187"/>
        <v>*</v>
      </c>
      <c r="AR237" s="561">
        <f t="shared" si="187"/>
        <v>1</v>
      </c>
      <c r="AS237" s="561">
        <f t="shared" si="187"/>
        <v>1</v>
      </c>
      <c r="AT237" s="561">
        <f t="shared" si="187"/>
        <v>1</v>
      </c>
      <c r="AU237" s="561">
        <f t="shared" si="187"/>
        <v>1</v>
      </c>
      <c r="AV237" s="561">
        <f t="shared" si="187"/>
        <v>1</v>
      </c>
      <c r="AW237" s="1027" t="str">
        <f t="shared" si="187"/>
        <v>*</v>
      </c>
      <c r="AX237" s="1208" t="str">
        <f>MIN($Y$153,$Y$167,$Y$181,$Y$195,$Y$209,$Y$223,$Y$237,$Y$251)&amp;"-"&amp;MAX($Y$153,$Y$167,$Y$181,$Y$195,$Y$209,$Y$223,$Y$237,$Y$251)</f>
        <v>4-8</v>
      </c>
      <c r="AY237" s="1208" t="s">
        <v>4244</v>
      </c>
    </row>
    <row r="238" spans="1:51" ht="14.25" x14ac:dyDescent="0.2">
      <c r="A238" s="533" t="str">
        <f>A235&amp;"-"&amp;B238</f>
        <v>Sun-Jupiter</v>
      </c>
      <c r="B238" s="559" t="s">
        <v>1515</v>
      </c>
      <c r="C238" s="540">
        <f ca="1">JupiterHouse</f>
        <v>8</v>
      </c>
      <c r="D238" s="539">
        <f t="shared" ca="1" si="184"/>
        <v>1</v>
      </c>
      <c r="E238" s="539" t="str">
        <f t="shared" ca="1" si="184"/>
        <v>*</v>
      </c>
      <c r="F238" s="539" t="str">
        <f t="shared" ca="1" si="184"/>
        <v>*</v>
      </c>
      <c r="G238" s="539">
        <f t="shared" ca="1" si="184"/>
        <v>1</v>
      </c>
      <c r="H238" s="539" t="str">
        <f t="shared" ca="1" si="184"/>
        <v>*</v>
      </c>
      <c r="I238" s="539">
        <f t="shared" ca="1" si="184"/>
        <v>1</v>
      </c>
      <c r="J238" s="539" t="str">
        <f t="shared" ca="1" si="184"/>
        <v>*</v>
      </c>
      <c r="K238" s="539" t="str">
        <f t="shared" ca="1" si="184"/>
        <v>*</v>
      </c>
      <c r="L238" s="539" t="str">
        <f t="shared" ca="1" si="184"/>
        <v>*</v>
      </c>
      <c r="M238" s="539" t="str">
        <f t="shared" ca="1" si="184"/>
        <v>*</v>
      </c>
      <c r="N238" s="539" t="str">
        <f t="shared" ca="1" si="184"/>
        <v>*</v>
      </c>
      <c r="O238" s="539">
        <f t="shared" ca="1" si="184"/>
        <v>1</v>
      </c>
      <c r="P238" s="541">
        <f t="shared" ca="1" si="185"/>
        <v>4</v>
      </c>
      <c r="Q238" s="540">
        <f ca="1">IF($Y$82,D235,C238)</f>
        <v>8</v>
      </c>
      <c r="S238" s="1540"/>
      <c r="T238" s="1540"/>
      <c r="U238" s="1540"/>
      <c r="V238" s="1540"/>
      <c r="X238" s="559" t="s">
        <v>1515</v>
      </c>
      <c r="Y238" s="560">
        <f t="shared" si="186"/>
        <v>4</v>
      </c>
      <c r="Z238" s="561" t="s">
        <v>1464</v>
      </c>
      <c r="AA238" s="561" t="s">
        <v>1464</v>
      </c>
      <c r="AB238" s="561" t="s">
        <v>1464</v>
      </c>
      <c r="AC238" s="561" t="s">
        <v>1464</v>
      </c>
      <c r="AD238" s="561">
        <v>1</v>
      </c>
      <c r="AE238" s="561">
        <v>1</v>
      </c>
      <c r="AF238" s="561" t="s">
        <v>1464</v>
      </c>
      <c r="AG238" s="561" t="s">
        <v>1464</v>
      </c>
      <c r="AH238" s="561">
        <v>1</v>
      </c>
      <c r="AI238" s="561" t="s">
        <v>1464</v>
      </c>
      <c r="AJ238" s="561">
        <v>1</v>
      </c>
      <c r="AK238" s="561" t="s">
        <v>1464</v>
      </c>
      <c r="AL238" s="1026" t="str">
        <f t="shared" si="187"/>
        <v>*</v>
      </c>
      <c r="AM238" s="561" t="str">
        <f t="shared" si="187"/>
        <v>*</v>
      </c>
      <c r="AN238" s="561" t="str">
        <f t="shared" si="187"/>
        <v>*</v>
      </c>
      <c r="AO238" s="561" t="str">
        <f t="shared" si="187"/>
        <v>*</v>
      </c>
      <c r="AP238" s="561">
        <f t="shared" si="187"/>
        <v>1</v>
      </c>
      <c r="AQ238" s="561">
        <f t="shared" si="187"/>
        <v>1</v>
      </c>
      <c r="AR238" s="561" t="str">
        <f t="shared" si="187"/>
        <v>*</v>
      </c>
      <c r="AS238" s="561" t="str">
        <f t="shared" si="187"/>
        <v>*</v>
      </c>
      <c r="AT238" s="561">
        <f t="shared" si="187"/>
        <v>1</v>
      </c>
      <c r="AU238" s="561" t="str">
        <f t="shared" si="187"/>
        <v>*</v>
      </c>
      <c r="AV238" s="561">
        <f t="shared" si="187"/>
        <v>1</v>
      </c>
      <c r="AW238" s="1027" t="str">
        <f t="shared" si="187"/>
        <v>*</v>
      </c>
      <c r="AX238" s="1208" t="str">
        <f>MIN($Y$154,$Y$168,$Y$182,$Y$196,$Y$210,$Y$224,$Y$238,$Y$252)&amp;"-"&amp;MAX($Y$154,$Y$168,$Y$182,$Y$196,$Y$210,$Y$224,$Y$238,$Y$252)</f>
        <v>4-9</v>
      </c>
      <c r="AY238" s="1208" t="s">
        <v>4245</v>
      </c>
    </row>
    <row r="239" spans="1:51" ht="14.25" x14ac:dyDescent="0.2">
      <c r="A239" s="533" t="str">
        <f>A235&amp;"-"&amp;B239</f>
        <v>Sun-Mars</v>
      </c>
      <c r="B239" s="559" t="s">
        <v>1513</v>
      </c>
      <c r="C239" s="540">
        <f ca="1">MarsHouse</f>
        <v>10</v>
      </c>
      <c r="D239" s="539">
        <f t="shared" ca="1" si="184"/>
        <v>1</v>
      </c>
      <c r="E239" s="539" t="str">
        <f t="shared" ca="1" si="184"/>
        <v>*</v>
      </c>
      <c r="F239" s="539" t="str">
        <f t="shared" ca="1" si="184"/>
        <v>*</v>
      </c>
      <c r="G239" s="539">
        <f t="shared" ca="1" si="184"/>
        <v>1</v>
      </c>
      <c r="H239" s="539">
        <f t="shared" ca="1" si="184"/>
        <v>1</v>
      </c>
      <c r="I239" s="539">
        <f t="shared" ca="1" si="184"/>
        <v>1</v>
      </c>
      <c r="J239" s="539">
        <f t="shared" ca="1" si="184"/>
        <v>1</v>
      </c>
      <c r="K239" s="539">
        <f t="shared" ca="1" si="184"/>
        <v>1</v>
      </c>
      <c r="L239" s="539" t="str">
        <f t="shared" ca="1" si="184"/>
        <v>*</v>
      </c>
      <c r="M239" s="539">
        <f t="shared" ca="1" si="184"/>
        <v>1</v>
      </c>
      <c r="N239" s="539">
        <f t="shared" ca="1" si="184"/>
        <v>1</v>
      </c>
      <c r="O239" s="539" t="str">
        <f t="shared" ca="1" si="184"/>
        <v>*</v>
      </c>
      <c r="P239" s="541">
        <f t="shared" ca="1" si="185"/>
        <v>8</v>
      </c>
      <c r="Q239" s="540">
        <f ca="1">IF($Y$82,D235,C239)</f>
        <v>10</v>
      </c>
      <c r="S239" s="1540">
        <f ca="1">N245</f>
        <v>4</v>
      </c>
      <c r="T239" s="1541" t="str">
        <f ca="1">C235&amp;"  Ashtakavarga  "&amp;P245</f>
        <v xml:space="preserve">  Ashtakavarga  48</v>
      </c>
      <c r="U239" s="1541"/>
      <c r="V239" s="1540">
        <f ca="1">G245</f>
        <v>5</v>
      </c>
      <c r="X239" s="559" t="s">
        <v>1513</v>
      </c>
      <c r="Y239" s="560">
        <f t="shared" si="186"/>
        <v>8</v>
      </c>
      <c r="Z239" s="561">
        <v>1</v>
      </c>
      <c r="AA239" s="561">
        <v>1</v>
      </c>
      <c r="AB239" s="561" t="s">
        <v>1464</v>
      </c>
      <c r="AC239" s="561">
        <v>1</v>
      </c>
      <c r="AD239" s="561" t="s">
        <v>1464</v>
      </c>
      <c r="AE239" s="561" t="s">
        <v>1464</v>
      </c>
      <c r="AF239" s="561">
        <v>1</v>
      </c>
      <c r="AG239" s="561">
        <v>1</v>
      </c>
      <c r="AH239" s="561">
        <v>1</v>
      </c>
      <c r="AI239" s="561">
        <v>1</v>
      </c>
      <c r="AJ239" s="561">
        <v>1</v>
      </c>
      <c r="AK239" s="561" t="s">
        <v>1464</v>
      </c>
      <c r="AL239" s="1026">
        <f t="shared" si="187"/>
        <v>1</v>
      </c>
      <c r="AM239" s="561">
        <f t="shared" si="187"/>
        <v>1</v>
      </c>
      <c r="AN239" s="561" t="str">
        <f t="shared" si="187"/>
        <v>*</v>
      </c>
      <c r="AO239" s="561">
        <f t="shared" si="187"/>
        <v>1</v>
      </c>
      <c r="AP239" s="561" t="str">
        <f t="shared" si="187"/>
        <v>*</v>
      </c>
      <c r="AQ239" s="561" t="str">
        <f t="shared" si="187"/>
        <v>*</v>
      </c>
      <c r="AR239" s="561">
        <f t="shared" si="187"/>
        <v>1</v>
      </c>
      <c r="AS239" s="561">
        <f t="shared" si="187"/>
        <v>1</v>
      </c>
      <c r="AT239" s="561">
        <f t="shared" si="187"/>
        <v>1</v>
      </c>
      <c r="AU239" s="561">
        <f t="shared" si="187"/>
        <v>1</v>
      </c>
      <c r="AV239" s="561">
        <f t="shared" si="187"/>
        <v>1</v>
      </c>
      <c r="AW239" s="1027" t="str">
        <f t="shared" si="187"/>
        <v>*</v>
      </c>
      <c r="AX239" s="1208" t="str">
        <f>MIN($Y$155,$Y$169,$Y$183,$Y$197,$Y$211,$Y$225,$Y$239,$Y$253)&amp;"-"&amp;MAX($Y$155,$Y$169,$Y$183,$Y$197,$Y$211,$Y$225,$Y$239,$Y$253)</f>
        <v>5-8</v>
      </c>
      <c r="AY239" s="1208" t="s">
        <v>4244</v>
      </c>
    </row>
    <row r="240" spans="1:51" ht="14.25" x14ac:dyDescent="0.2">
      <c r="A240" s="533" t="str">
        <f>A235&amp;"-"&amp;B240</f>
        <v>Sun-Sun</v>
      </c>
      <c r="B240" s="559" t="s">
        <v>1511</v>
      </c>
      <c r="C240" s="540">
        <f ca="1">SunHouse</f>
        <v>4</v>
      </c>
      <c r="D240" s="539">
        <f t="shared" ca="1" si="184"/>
        <v>1</v>
      </c>
      <c r="E240" s="539">
        <f t="shared" ca="1" si="184"/>
        <v>1</v>
      </c>
      <c r="F240" s="539" t="str">
        <f t="shared" ca="1" si="184"/>
        <v>*</v>
      </c>
      <c r="G240" s="539">
        <f t="shared" ca="1" si="184"/>
        <v>1</v>
      </c>
      <c r="H240" s="539">
        <f t="shared" ca="1" si="184"/>
        <v>1</v>
      </c>
      <c r="I240" s="539" t="str">
        <f t="shared" ca="1" si="184"/>
        <v>*</v>
      </c>
      <c r="J240" s="539">
        <f t="shared" ca="1" si="184"/>
        <v>1</v>
      </c>
      <c r="K240" s="539" t="str">
        <f t="shared" ca="1" si="184"/>
        <v>*</v>
      </c>
      <c r="L240" s="539" t="str">
        <f t="shared" ca="1" si="184"/>
        <v>*</v>
      </c>
      <c r="M240" s="539">
        <f t="shared" ca="1" si="184"/>
        <v>1</v>
      </c>
      <c r="N240" s="539">
        <f t="shared" ca="1" si="184"/>
        <v>1</v>
      </c>
      <c r="O240" s="539">
        <f t="shared" ca="1" si="184"/>
        <v>1</v>
      </c>
      <c r="P240" s="541">
        <f t="shared" ca="1" si="185"/>
        <v>8</v>
      </c>
      <c r="Q240" s="540">
        <f ca="1">IF($Y$82,D235,C240)</f>
        <v>4</v>
      </c>
      <c r="S240" s="1540"/>
      <c r="T240" s="1540"/>
      <c r="U240" s="1541"/>
      <c r="V240" s="1540"/>
      <c r="W240" s="1207" t="s">
        <v>4244</v>
      </c>
      <c r="X240" s="559" t="s">
        <v>1511</v>
      </c>
      <c r="Y240" s="560">
        <f t="shared" si="186"/>
        <v>8</v>
      </c>
      <c r="Z240" s="561">
        <v>1</v>
      </c>
      <c r="AA240" s="561">
        <v>1</v>
      </c>
      <c r="AB240" s="561" t="s">
        <v>1464</v>
      </c>
      <c r="AC240" s="561">
        <v>1</v>
      </c>
      <c r="AD240" s="561" t="s">
        <v>1464</v>
      </c>
      <c r="AE240" s="561" t="s">
        <v>1464</v>
      </c>
      <c r="AF240" s="561">
        <v>1</v>
      </c>
      <c r="AG240" s="561">
        <v>1</v>
      </c>
      <c r="AH240" s="561">
        <v>1</v>
      </c>
      <c r="AI240" s="561">
        <v>1</v>
      </c>
      <c r="AJ240" s="561">
        <v>1</v>
      </c>
      <c r="AK240" s="561" t="s">
        <v>1464</v>
      </c>
      <c r="AL240" s="1026">
        <f t="shared" si="187"/>
        <v>1</v>
      </c>
      <c r="AM240" s="561">
        <f t="shared" si="187"/>
        <v>1</v>
      </c>
      <c r="AN240" s="561" t="str">
        <f t="shared" si="187"/>
        <v>*</v>
      </c>
      <c r="AO240" s="561">
        <f t="shared" si="187"/>
        <v>1</v>
      </c>
      <c r="AP240" s="561" t="str">
        <f t="shared" si="187"/>
        <v>*</v>
      </c>
      <c r="AQ240" s="561" t="str">
        <f t="shared" si="187"/>
        <v>*</v>
      </c>
      <c r="AR240" s="561">
        <f t="shared" si="187"/>
        <v>1</v>
      </c>
      <c r="AS240" s="561">
        <f t="shared" si="187"/>
        <v>1</v>
      </c>
      <c r="AT240" s="561">
        <f t="shared" si="187"/>
        <v>1</v>
      </c>
      <c r="AU240" s="561">
        <f t="shared" si="187"/>
        <v>1</v>
      </c>
      <c r="AV240" s="561">
        <f t="shared" si="187"/>
        <v>1</v>
      </c>
      <c r="AW240" s="1027" t="str">
        <f t="shared" si="187"/>
        <v>*</v>
      </c>
      <c r="AX240" s="1208" t="str">
        <f>MIN($Y$156,$Y$170,$Y$184,$Y$198,$Y$212,$Y$226,$Y$240,$Y$254)&amp;"-"&amp;MAX($Y$156,$Y$170,$Y$184,$Y$198,$Y$212,$Y$226,$Y$240,$Y$254)</f>
        <v>3-9</v>
      </c>
    </row>
    <row r="241" spans="1:51" ht="14.25" x14ac:dyDescent="0.2">
      <c r="A241" s="533" t="str">
        <f>A235&amp;"-"&amp;B241</f>
        <v>Sun-Venus</v>
      </c>
      <c r="B241" s="559" t="s">
        <v>1519</v>
      </c>
      <c r="C241" s="540">
        <f ca="1">VenusHouse</f>
        <v>3</v>
      </c>
      <c r="D241" s="539" t="str">
        <f t="shared" ca="1" si="184"/>
        <v>*</v>
      </c>
      <c r="E241" s="539">
        <f t="shared" ca="1" si="184"/>
        <v>1</v>
      </c>
      <c r="F241" s="539" t="str">
        <f t="shared" ca="1" si="184"/>
        <v>*</v>
      </c>
      <c r="G241" s="539" t="str">
        <f t="shared" ca="1" si="184"/>
        <v>*</v>
      </c>
      <c r="H241" s="539" t="str">
        <f t="shared" ca="1" si="184"/>
        <v>*</v>
      </c>
      <c r="I241" s="539" t="str">
        <f t="shared" ca="1" si="184"/>
        <v>*</v>
      </c>
      <c r="J241" s="539" t="str">
        <f t="shared" ca="1" si="184"/>
        <v>*</v>
      </c>
      <c r="K241" s="539">
        <f t="shared" ca="1" si="184"/>
        <v>1</v>
      </c>
      <c r="L241" s="539">
        <f t="shared" ca="1" si="184"/>
        <v>1</v>
      </c>
      <c r="M241" s="539" t="str">
        <f t="shared" ca="1" si="184"/>
        <v>*</v>
      </c>
      <c r="N241" s="539" t="str">
        <f t="shared" ca="1" si="184"/>
        <v>*</v>
      </c>
      <c r="O241" s="539" t="str">
        <f t="shared" ca="1" si="184"/>
        <v>*</v>
      </c>
      <c r="P241" s="541">
        <f t="shared" ca="1" si="185"/>
        <v>3</v>
      </c>
      <c r="Q241" s="540">
        <f ca="1">IF($Y$82,D235,C241)</f>
        <v>3</v>
      </c>
      <c r="S241" s="1540"/>
      <c r="T241" s="1540"/>
      <c r="U241" s="1541"/>
      <c r="V241" s="1540"/>
      <c r="W241" s="1207" t="s">
        <v>4245</v>
      </c>
      <c r="X241" s="559" t="s">
        <v>1519</v>
      </c>
      <c r="Y241" s="560">
        <f t="shared" si="186"/>
        <v>3</v>
      </c>
      <c r="Z241" s="561" t="s">
        <v>1464</v>
      </c>
      <c r="AA241" s="561" t="s">
        <v>1464</v>
      </c>
      <c r="AB241" s="561" t="s">
        <v>1464</v>
      </c>
      <c r="AC241" s="561" t="s">
        <v>1464</v>
      </c>
      <c r="AD241" s="561" t="s">
        <v>1464</v>
      </c>
      <c r="AE241" s="561">
        <v>1</v>
      </c>
      <c r="AF241" s="561">
        <v>1</v>
      </c>
      <c r="AG241" s="561" t="s">
        <v>1464</v>
      </c>
      <c r="AH241" s="561" t="s">
        <v>1464</v>
      </c>
      <c r="AI241" s="561" t="s">
        <v>1464</v>
      </c>
      <c r="AJ241" s="561" t="s">
        <v>1464</v>
      </c>
      <c r="AK241" s="561">
        <v>1</v>
      </c>
      <c r="AL241" s="1026" t="str">
        <f t="shared" si="187"/>
        <v>*</v>
      </c>
      <c r="AM241" s="561" t="str">
        <f t="shared" si="187"/>
        <v>*</v>
      </c>
      <c r="AN241" s="561" t="str">
        <f t="shared" si="187"/>
        <v>*</v>
      </c>
      <c r="AO241" s="561" t="str">
        <f t="shared" si="187"/>
        <v>*</v>
      </c>
      <c r="AP241" s="561" t="str">
        <f t="shared" si="187"/>
        <v>*</v>
      </c>
      <c r="AQ241" s="561">
        <f t="shared" si="187"/>
        <v>1</v>
      </c>
      <c r="AR241" s="561">
        <f t="shared" si="187"/>
        <v>1</v>
      </c>
      <c r="AS241" s="561" t="str">
        <f t="shared" si="187"/>
        <v>*</v>
      </c>
      <c r="AT241" s="561" t="str">
        <f t="shared" si="187"/>
        <v>*</v>
      </c>
      <c r="AU241" s="561" t="str">
        <f t="shared" si="187"/>
        <v>*</v>
      </c>
      <c r="AV241" s="561" t="str">
        <f t="shared" si="187"/>
        <v>*</v>
      </c>
      <c r="AW241" s="1027">
        <f t="shared" si="187"/>
        <v>1</v>
      </c>
      <c r="AX241" s="1208" t="str">
        <f>MIN($Y$157,$Y$171,$Y$185,$Y$199,$Y$213,$Y$227,$Y$241,$Y$255)&amp;"-"&amp;MAX($Y$157,$Y$171,$Y$185,$Y$199,$Y$213,$Y$227,$Y$241,$Y$255)</f>
        <v>3-9</v>
      </c>
      <c r="AY241" s="1208" t="s">
        <v>4245</v>
      </c>
    </row>
    <row r="242" spans="1:51" ht="14.25" x14ac:dyDescent="0.2">
      <c r="A242" s="533" t="str">
        <f>A235&amp;"-"&amp;B242</f>
        <v>Sun-Mercury</v>
      </c>
      <c r="B242" s="559" t="s">
        <v>1517</v>
      </c>
      <c r="C242" s="540">
        <f ca="1">MercuryHouse</f>
        <v>4</v>
      </c>
      <c r="D242" s="539">
        <f t="shared" ca="1" si="184"/>
        <v>1</v>
      </c>
      <c r="E242" s="539">
        <f t="shared" ca="1" si="184"/>
        <v>1</v>
      </c>
      <c r="F242" s="539">
        <f t="shared" ca="1" si="184"/>
        <v>1</v>
      </c>
      <c r="G242" s="539" t="str">
        <f t="shared" ca="1" si="184"/>
        <v>*</v>
      </c>
      <c r="H242" s="539" t="str">
        <f t="shared" ca="1" si="184"/>
        <v>*</v>
      </c>
      <c r="I242" s="539">
        <f t="shared" ca="1" si="184"/>
        <v>1</v>
      </c>
      <c r="J242" s="539" t="str">
        <f t="shared" ca="1" si="184"/>
        <v>*</v>
      </c>
      <c r="K242" s="539">
        <f t="shared" ca="1" si="184"/>
        <v>1</v>
      </c>
      <c r="L242" s="539">
        <f t="shared" ca="1" si="184"/>
        <v>1</v>
      </c>
      <c r="M242" s="539" t="str">
        <f t="shared" ca="1" si="184"/>
        <v>*</v>
      </c>
      <c r="N242" s="539" t="str">
        <f t="shared" ca="1" si="184"/>
        <v>*</v>
      </c>
      <c r="O242" s="539">
        <f t="shared" ca="1" si="184"/>
        <v>1</v>
      </c>
      <c r="P242" s="541">
        <f t="shared" ca="1" si="185"/>
        <v>7</v>
      </c>
      <c r="Q242" s="540">
        <f ca="1">IF($Y$82,D235,C242)</f>
        <v>4</v>
      </c>
      <c r="S242" s="1540">
        <f ca="1">M245</f>
        <v>4</v>
      </c>
      <c r="T242" s="1541"/>
      <c r="U242" s="1541"/>
      <c r="V242" s="1540">
        <f ca="1">H245</f>
        <v>3</v>
      </c>
      <c r="X242" s="559" t="s">
        <v>1517</v>
      </c>
      <c r="Y242" s="560">
        <f t="shared" si="186"/>
        <v>7</v>
      </c>
      <c r="Z242" s="561" t="s">
        <v>1464</v>
      </c>
      <c r="AA242" s="561" t="s">
        <v>1464</v>
      </c>
      <c r="AB242" s="561">
        <v>1</v>
      </c>
      <c r="AC242" s="561" t="s">
        <v>1464</v>
      </c>
      <c r="AD242" s="561">
        <v>1</v>
      </c>
      <c r="AE242" s="561">
        <v>1</v>
      </c>
      <c r="AF242" s="561" t="s">
        <v>1464</v>
      </c>
      <c r="AG242" s="561" t="s">
        <v>1464</v>
      </c>
      <c r="AH242" s="561">
        <v>1</v>
      </c>
      <c r="AI242" s="561">
        <v>1</v>
      </c>
      <c r="AJ242" s="561">
        <v>1</v>
      </c>
      <c r="AK242" s="561">
        <v>1</v>
      </c>
      <c r="AL242" s="1026" t="str">
        <f t="shared" si="187"/>
        <v>*</v>
      </c>
      <c r="AM242" s="561" t="str">
        <f t="shared" si="187"/>
        <v>*</v>
      </c>
      <c r="AN242" s="561">
        <f t="shared" si="187"/>
        <v>1</v>
      </c>
      <c r="AO242" s="561" t="str">
        <f t="shared" si="187"/>
        <v>*</v>
      </c>
      <c r="AP242" s="561">
        <f t="shared" si="187"/>
        <v>1</v>
      </c>
      <c r="AQ242" s="561">
        <f t="shared" si="187"/>
        <v>1</v>
      </c>
      <c r="AR242" s="561" t="str">
        <f t="shared" si="187"/>
        <v>*</v>
      </c>
      <c r="AS242" s="561" t="str">
        <f t="shared" si="187"/>
        <v>*</v>
      </c>
      <c r="AT242" s="561">
        <f t="shared" si="187"/>
        <v>1</v>
      </c>
      <c r="AU242" s="561">
        <f t="shared" si="187"/>
        <v>1</v>
      </c>
      <c r="AV242" s="561">
        <f t="shared" si="187"/>
        <v>1</v>
      </c>
      <c r="AW242" s="1027">
        <f t="shared" si="187"/>
        <v>1</v>
      </c>
      <c r="AX242" s="1208" t="str">
        <f>MIN($Y$158,$Y$172,$Y$186,$Y$200,$Y$214,$Y$228,$Y$242,$Y$256)&amp;"-"&amp;MAX($Y$158,$Y$172,$Y$186,$Y$200,$Y$214,$Y$228,$Y$242,$Y$256)</f>
        <v>4-8</v>
      </c>
    </row>
    <row r="243" spans="1:51" ht="14.25" x14ac:dyDescent="0.2">
      <c r="A243" s="533" t="str">
        <f>A235&amp;"-"&amp;B243</f>
        <v>Sun-Moon</v>
      </c>
      <c r="B243" s="559" t="s">
        <v>1512</v>
      </c>
      <c r="C243" s="540">
        <f ca="1">MoonHouse</f>
        <v>2</v>
      </c>
      <c r="D243" s="539" t="str">
        <f t="shared" ca="1" si="184"/>
        <v>*</v>
      </c>
      <c r="E243" s="539" t="str">
        <f t="shared" ca="1" si="184"/>
        <v>*</v>
      </c>
      <c r="F243" s="539" t="str">
        <f t="shared" ca="1" si="184"/>
        <v>*</v>
      </c>
      <c r="G243" s="539">
        <f t="shared" ca="1" si="184"/>
        <v>1</v>
      </c>
      <c r="H243" s="539" t="str">
        <f t="shared" ca="1" si="184"/>
        <v>*</v>
      </c>
      <c r="I243" s="539" t="str">
        <f t="shared" ca="1" si="184"/>
        <v>*</v>
      </c>
      <c r="J243" s="539">
        <f t="shared" ca="1" si="184"/>
        <v>1</v>
      </c>
      <c r="K243" s="539" t="str">
        <f t="shared" ca="1" si="184"/>
        <v>*</v>
      </c>
      <c r="L243" s="539" t="str">
        <f t="shared" ca="1" si="184"/>
        <v>*</v>
      </c>
      <c r="M243" s="539" t="str">
        <f t="shared" ca="1" si="184"/>
        <v>*</v>
      </c>
      <c r="N243" s="539">
        <f t="shared" ca="1" si="184"/>
        <v>1</v>
      </c>
      <c r="O243" s="539">
        <f t="shared" ca="1" si="184"/>
        <v>1</v>
      </c>
      <c r="P243" s="541">
        <f t="shared" ca="1" si="185"/>
        <v>4</v>
      </c>
      <c r="Q243" s="540">
        <f ca="1">IF($Y$82,D235,C243)</f>
        <v>2</v>
      </c>
      <c r="S243" s="1540"/>
      <c r="T243" s="1540"/>
      <c r="U243" s="1541"/>
      <c r="V243" s="1540"/>
      <c r="X243" s="559" t="s">
        <v>1512</v>
      </c>
      <c r="Y243" s="560">
        <f t="shared" si="186"/>
        <v>4</v>
      </c>
      <c r="Z243" s="561" t="s">
        <v>1464</v>
      </c>
      <c r="AA243" s="561" t="s">
        <v>1464</v>
      </c>
      <c r="AB243" s="561">
        <v>1</v>
      </c>
      <c r="AC243" s="561" t="s">
        <v>1464</v>
      </c>
      <c r="AD243" s="561" t="s">
        <v>1464</v>
      </c>
      <c r="AE243" s="561">
        <v>1</v>
      </c>
      <c r="AF243" s="561" t="s">
        <v>1464</v>
      </c>
      <c r="AG243" s="561" t="s">
        <v>1464</v>
      </c>
      <c r="AH243" s="561" t="s">
        <v>1464</v>
      </c>
      <c r="AI243" s="561">
        <v>1</v>
      </c>
      <c r="AJ243" s="561">
        <v>1</v>
      </c>
      <c r="AK243" s="561" t="s">
        <v>1464</v>
      </c>
      <c r="AL243" s="1026" t="str">
        <f t="shared" si="187"/>
        <v>*</v>
      </c>
      <c r="AM243" s="561" t="str">
        <f t="shared" si="187"/>
        <v>*</v>
      </c>
      <c r="AN243" s="561">
        <f t="shared" si="187"/>
        <v>1</v>
      </c>
      <c r="AO243" s="561" t="str">
        <f t="shared" si="187"/>
        <v>*</v>
      </c>
      <c r="AP243" s="561" t="str">
        <f t="shared" si="187"/>
        <v>*</v>
      </c>
      <c r="AQ243" s="561">
        <f t="shared" si="187"/>
        <v>1</v>
      </c>
      <c r="AR243" s="561" t="str">
        <f t="shared" si="187"/>
        <v>*</v>
      </c>
      <c r="AS243" s="561" t="str">
        <f t="shared" si="187"/>
        <v>*</v>
      </c>
      <c r="AT243" s="561" t="str">
        <f t="shared" si="187"/>
        <v>*</v>
      </c>
      <c r="AU243" s="561">
        <f t="shared" si="187"/>
        <v>1</v>
      </c>
      <c r="AV243" s="561">
        <f t="shared" si="187"/>
        <v>1</v>
      </c>
      <c r="AW243" s="1027" t="str">
        <f t="shared" si="187"/>
        <v>*</v>
      </c>
      <c r="AX243" s="1208" t="str">
        <f>MIN($Y$159,$Y$173,$Y$187,$Y$201,$Y$215,$Y$229,$Y$243,$Y$257)&amp;"-"&amp;MAX($Y$159,$Y$173,$Y$187,$Y$201,$Y$215,$Y$229,$Y$243,$Y$257)</f>
        <v>3-9</v>
      </c>
    </row>
    <row r="244" spans="1:51" ht="14.25" x14ac:dyDescent="0.2">
      <c r="A244" s="533" t="str">
        <f>A235&amp;"-"&amp;B244</f>
        <v>Sun-Lagna</v>
      </c>
      <c r="B244" s="559" t="s">
        <v>1722</v>
      </c>
      <c r="C244" s="540">
        <f ca="1">Lagnahouse</f>
        <v>5</v>
      </c>
      <c r="D244" s="539" t="str">
        <f t="shared" ca="1" si="184"/>
        <v>*</v>
      </c>
      <c r="E244" s="539">
        <f t="shared" ca="1" si="184"/>
        <v>1</v>
      </c>
      <c r="F244" s="539">
        <f t="shared" ca="1" si="184"/>
        <v>1</v>
      </c>
      <c r="G244" s="539">
        <f t="shared" ca="1" si="184"/>
        <v>1</v>
      </c>
      <c r="H244" s="539" t="str">
        <f t="shared" ca="1" si="184"/>
        <v>*</v>
      </c>
      <c r="I244" s="539" t="str">
        <f t="shared" ca="1" si="184"/>
        <v>*</v>
      </c>
      <c r="J244" s="539">
        <f t="shared" ca="1" si="184"/>
        <v>1</v>
      </c>
      <c r="K244" s="539">
        <f t="shared" ca="1" si="184"/>
        <v>1</v>
      </c>
      <c r="L244" s="539" t="str">
        <f t="shared" ca="1" si="184"/>
        <v>*</v>
      </c>
      <c r="M244" s="539">
        <f t="shared" ca="1" si="184"/>
        <v>1</v>
      </c>
      <c r="N244" s="539" t="str">
        <f t="shared" ca="1" si="184"/>
        <v>*</v>
      </c>
      <c r="O244" s="539" t="str">
        <f t="shared" ca="1" si="184"/>
        <v>*</v>
      </c>
      <c r="P244" s="541">
        <f t="shared" ca="1" si="185"/>
        <v>6</v>
      </c>
      <c r="Q244" s="540">
        <f ca="1">IF($Y$82,D235,C244)</f>
        <v>5</v>
      </c>
      <c r="S244" s="1540"/>
      <c r="T244" s="1540"/>
      <c r="U244" s="1541"/>
      <c r="V244" s="1540"/>
      <c r="X244" s="559" t="s">
        <v>1722</v>
      </c>
      <c r="Y244" s="560">
        <f t="shared" si="186"/>
        <v>6</v>
      </c>
      <c r="Z244" s="561" t="s">
        <v>1464</v>
      </c>
      <c r="AA244" s="561" t="s">
        <v>1464</v>
      </c>
      <c r="AB244" s="561">
        <v>1</v>
      </c>
      <c r="AC244" s="561">
        <v>1</v>
      </c>
      <c r="AD244" s="561" t="s">
        <v>1464</v>
      </c>
      <c r="AE244" s="561">
        <v>1</v>
      </c>
      <c r="AF244" s="561" t="s">
        <v>1464</v>
      </c>
      <c r="AG244" s="561" t="s">
        <v>1464</v>
      </c>
      <c r="AH244" s="561" t="s">
        <v>1464</v>
      </c>
      <c r="AI244" s="561">
        <v>1</v>
      </c>
      <c r="AJ244" s="561">
        <v>1</v>
      </c>
      <c r="AK244" s="561">
        <v>1</v>
      </c>
      <c r="AL244" s="1026" t="str">
        <f t="shared" si="187"/>
        <v>*</v>
      </c>
      <c r="AM244" s="561" t="str">
        <f t="shared" si="187"/>
        <v>*</v>
      </c>
      <c r="AN244" s="561">
        <f t="shared" si="187"/>
        <v>1</v>
      </c>
      <c r="AO244" s="561">
        <f t="shared" si="187"/>
        <v>1</v>
      </c>
      <c r="AP244" s="561" t="str">
        <f t="shared" si="187"/>
        <v>*</v>
      </c>
      <c r="AQ244" s="561">
        <f t="shared" si="187"/>
        <v>1</v>
      </c>
      <c r="AR244" s="561" t="str">
        <f t="shared" si="187"/>
        <v>*</v>
      </c>
      <c r="AS244" s="561" t="str">
        <f t="shared" si="187"/>
        <v>*</v>
      </c>
      <c r="AT244" s="561" t="str">
        <f t="shared" si="187"/>
        <v>*</v>
      </c>
      <c r="AU244" s="561">
        <f t="shared" si="187"/>
        <v>1</v>
      </c>
      <c r="AV244" s="561">
        <f t="shared" si="187"/>
        <v>1</v>
      </c>
      <c r="AW244" s="1027">
        <f t="shared" si="187"/>
        <v>1</v>
      </c>
      <c r="AX244" s="1208" t="str">
        <f>MIN($Y$160,$Y$174,$Y$188,$Y$202,$Y$216,$Y$230,$Y$244,$Y$258)&amp;"-"&amp;MAX($Y$160,$Y$174,$Y$188,$Y$202,$Y$216,$Y$230,$Y$244,$Y$258)</f>
        <v>4-9</v>
      </c>
    </row>
    <row r="245" spans="1:51" thickBot="1" x14ac:dyDescent="0.25">
      <c r="A245" s="533" t="str">
        <f>A235&amp;"-"&amp;B245</f>
        <v>Sun-Sun</v>
      </c>
      <c r="B245" s="562" t="str">
        <f>B235</f>
        <v>Sun</v>
      </c>
      <c r="C245" s="542"/>
      <c r="D245" s="542">
        <f t="shared" ref="D245:O245" ca="1" si="188">SUM(D237:D244)</f>
        <v>4</v>
      </c>
      <c r="E245" s="542">
        <f t="shared" ca="1" si="188"/>
        <v>5</v>
      </c>
      <c r="F245" s="542">
        <f t="shared" ca="1" si="188"/>
        <v>3</v>
      </c>
      <c r="G245" s="542">
        <f t="shared" ca="1" si="188"/>
        <v>5</v>
      </c>
      <c r="H245" s="542">
        <f t="shared" ca="1" si="188"/>
        <v>3</v>
      </c>
      <c r="I245" s="542">
        <f t="shared" ca="1" si="188"/>
        <v>3</v>
      </c>
      <c r="J245" s="542">
        <f t="shared" ca="1" si="188"/>
        <v>4</v>
      </c>
      <c r="K245" s="542">
        <f t="shared" ca="1" si="188"/>
        <v>5</v>
      </c>
      <c r="L245" s="542">
        <f t="shared" ca="1" si="188"/>
        <v>3</v>
      </c>
      <c r="M245" s="542">
        <f t="shared" ca="1" si="188"/>
        <v>4</v>
      </c>
      <c r="N245" s="542">
        <f t="shared" ca="1" si="188"/>
        <v>4</v>
      </c>
      <c r="O245" s="542">
        <f t="shared" ca="1" si="188"/>
        <v>5</v>
      </c>
      <c r="P245" s="543">
        <f t="shared" ca="1" si="185"/>
        <v>48</v>
      </c>
      <c r="Q245" s="543"/>
      <c r="S245" s="1540">
        <f ca="1">L245</f>
        <v>3</v>
      </c>
      <c r="T245" s="1540">
        <f ca="1">K245</f>
        <v>5</v>
      </c>
      <c r="U245" s="1540">
        <f ca="1">J245</f>
        <v>4</v>
      </c>
      <c r="V245" s="1540">
        <f ca="1">I245</f>
        <v>3</v>
      </c>
      <c r="X245" s="562"/>
      <c r="Y245" s="563">
        <f t="shared" si="186"/>
        <v>48</v>
      </c>
      <c r="Z245" s="564">
        <f t="shared" ref="Z245:AW245" si="189">SUM(Z237:Z244)</f>
        <v>3</v>
      </c>
      <c r="AA245" s="564">
        <f t="shared" si="189"/>
        <v>3</v>
      </c>
      <c r="AB245" s="564">
        <f t="shared" si="189"/>
        <v>3</v>
      </c>
      <c r="AC245" s="564">
        <f t="shared" si="189"/>
        <v>4</v>
      </c>
      <c r="AD245" s="564">
        <f t="shared" si="189"/>
        <v>2</v>
      </c>
      <c r="AE245" s="564">
        <f t="shared" si="189"/>
        <v>5</v>
      </c>
      <c r="AF245" s="564">
        <f t="shared" si="189"/>
        <v>4</v>
      </c>
      <c r="AG245" s="564">
        <f t="shared" si="189"/>
        <v>3</v>
      </c>
      <c r="AH245" s="564">
        <f t="shared" si="189"/>
        <v>5</v>
      </c>
      <c r="AI245" s="564">
        <f t="shared" si="189"/>
        <v>6</v>
      </c>
      <c r="AJ245" s="564">
        <f t="shared" si="189"/>
        <v>7</v>
      </c>
      <c r="AK245" s="564">
        <f t="shared" si="189"/>
        <v>3</v>
      </c>
      <c r="AL245" s="1030">
        <f t="shared" si="189"/>
        <v>3</v>
      </c>
      <c r="AM245" s="564">
        <f t="shared" si="189"/>
        <v>3</v>
      </c>
      <c r="AN245" s="564">
        <f t="shared" si="189"/>
        <v>3</v>
      </c>
      <c r="AO245" s="564">
        <f t="shared" si="189"/>
        <v>4</v>
      </c>
      <c r="AP245" s="564">
        <f t="shared" si="189"/>
        <v>2</v>
      </c>
      <c r="AQ245" s="564">
        <f t="shared" si="189"/>
        <v>5</v>
      </c>
      <c r="AR245" s="564">
        <f t="shared" si="189"/>
        <v>4</v>
      </c>
      <c r="AS245" s="564">
        <f t="shared" si="189"/>
        <v>3</v>
      </c>
      <c r="AT245" s="564">
        <f t="shared" si="189"/>
        <v>5</v>
      </c>
      <c r="AU245" s="564">
        <f t="shared" si="189"/>
        <v>6</v>
      </c>
      <c r="AV245" s="564">
        <f t="shared" si="189"/>
        <v>7</v>
      </c>
      <c r="AW245" s="1031">
        <f t="shared" si="189"/>
        <v>3</v>
      </c>
    </row>
    <row r="246" spans="1:51" thickTop="1" x14ac:dyDescent="0.2">
      <c r="A246" s="533" t="str">
        <f>A235&amp;"-"&amp;B246</f>
        <v>Sun-</v>
      </c>
      <c r="S246" s="1540"/>
      <c r="T246" s="1540"/>
      <c r="U246" s="1540"/>
      <c r="V246" s="1540"/>
      <c r="X246" s="1205" t="s">
        <v>1465</v>
      </c>
      <c r="Y246" s="1205"/>
      <c r="Z246" s="1205"/>
      <c r="AA246" s="1205"/>
      <c r="AB246" s="1205"/>
      <c r="AC246" s="1205"/>
      <c r="AD246" s="1205"/>
      <c r="AE246" s="1205"/>
      <c r="AF246" s="1205"/>
      <c r="AG246" s="1205"/>
      <c r="AH246" s="1205"/>
      <c r="AI246" s="1205"/>
      <c r="AJ246" s="1205"/>
      <c r="AK246" s="1205"/>
      <c r="AL246" s="1205"/>
    </row>
    <row r="247" spans="1:51" ht="14.25" x14ac:dyDescent="0.2">
      <c r="A247" s="533" t="str">
        <f>A235&amp;"-"&amp;B247</f>
        <v>Sun-</v>
      </c>
      <c r="S247" s="1540"/>
      <c r="T247" s="1540"/>
      <c r="U247" s="1540"/>
      <c r="V247" s="1540"/>
    </row>
    <row r="248" spans="1:51" ht="14.25" x14ac:dyDescent="0.2">
      <c r="A248" s="533" t="str">
        <f>A235&amp;"-"&amp;B248</f>
        <v>Sun------</v>
      </c>
      <c r="B248" s="527" t="s">
        <v>1462</v>
      </c>
    </row>
    <row r="249" spans="1:51" thickBot="1" x14ac:dyDescent="0.25">
      <c r="A249" s="533" t="str">
        <f>B249</f>
        <v>Lagna</v>
      </c>
      <c r="B249" s="1539" t="str">
        <f>X249</f>
        <v>Lagna</v>
      </c>
      <c r="C249" s="1539"/>
      <c r="D249" s="527">
        <f ca="1">INDIRECT(B249&amp;"house")</f>
        <v>5</v>
      </c>
      <c r="S249" s="538"/>
      <c r="T249" s="538"/>
      <c r="U249" s="538"/>
      <c r="V249" s="538"/>
      <c r="X249" s="105" t="s">
        <v>1722</v>
      </c>
      <c r="Y249" s="1207" t="str">
        <f>MIN(Y251:Y258)&amp;"-"&amp;MAX(Y251:Y258)</f>
        <v>4-9</v>
      </c>
      <c r="Z249" s="1205" t="str">
        <f>$Z$83 &amp;  X249</f>
        <v>From Graha Good and Bad Transit of Lagna</v>
      </c>
      <c r="AA249" s="1205"/>
      <c r="AB249" s="1205"/>
      <c r="AC249" s="1205"/>
      <c r="AD249" s="1205"/>
      <c r="AE249" s="1205"/>
      <c r="AF249" s="1205"/>
      <c r="AG249" s="1205"/>
      <c r="AH249" s="1205"/>
      <c r="AI249" s="1205"/>
      <c r="AJ249" s="1205"/>
      <c r="AK249" s="1205"/>
      <c r="AL249" s="1205"/>
      <c r="AM249" s="1205"/>
      <c r="AN249" s="1205"/>
      <c r="AO249" s="1205"/>
      <c r="AP249" s="1205"/>
      <c r="AQ249" s="1205"/>
      <c r="AR249" s="1205"/>
      <c r="AS249" s="1205"/>
      <c r="AT249" s="1205"/>
      <c r="AU249" s="1205"/>
      <c r="AV249" s="1205"/>
      <c r="AW249" s="1205"/>
      <c r="AX249" s="1208" t="s">
        <v>4246</v>
      </c>
    </row>
    <row r="250" spans="1:51" thickTop="1" x14ac:dyDescent="0.2">
      <c r="A250" s="533" t="str">
        <f>A249&amp;"-"&amp;B250</f>
        <v>Lagna-</v>
      </c>
      <c r="B250" s="534"/>
      <c r="C250" s="535" t="s">
        <v>1438</v>
      </c>
      <c r="D250" s="536">
        <v>1</v>
      </c>
      <c r="E250" s="536">
        <v>2</v>
      </c>
      <c r="F250" s="536">
        <v>3</v>
      </c>
      <c r="G250" s="536">
        <v>4</v>
      </c>
      <c r="H250" s="536">
        <v>5</v>
      </c>
      <c r="I250" s="536">
        <v>6</v>
      </c>
      <c r="J250" s="536">
        <v>7</v>
      </c>
      <c r="K250" s="536">
        <v>8</v>
      </c>
      <c r="L250" s="536">
        <v>9</v>
      </c>
      <c r="M250" s="536">
        <v>10</v>
      </c>
      <c r="N250" s="536">
        <v>11</v>
      </c>
      <c r="O250" s="536">
        <v>12</v>
      </c>
      <c r="P250" s="537"/>
      <c r="Q250" s="537"/>
      <c r="S250" s="1540">
        <f ca="1">O259</f>
        <v>4</v>
      </c>
      <c r="T250" s="1540">
        <f ca="1">D259</f>
        <v>4</v>
      </c>
      <c r="U250" s="1540">
        <f ca="1">E259</f>
        <v>5</v>
      </c>
      <c r="V250" s="1540">
        <f ca="1">F259</f>
        <v>4</v>
      </c>
      <c r="X250" s="535" t="s">
        <v>1463</v>
      </c>
      <c r="Y250" s="557" t="s">
        <v>2413</v>
      </c>
      <c r="Z250" s="558">
        <v>1</v>
      </c>
      <c r="AA250" s="558">
        <v>2</v>
      </c>
      <c r="AB250" s="558">
        <v>3</v>
      </c>
      <c r="AC250" s="558">
        <v>4</v>
      </c>
      <c r="AD250" s="558">
        <v>5</v>
      </c>
      <c r="AE250" s="558">
        <v>6</v>
      </c>
      <c r="AF250" s="558">
        <v>7</v>
      </c>
      <c r="AG250" s="558">
        <v>8</v>
      </c>
      <c r="AH250" s="558">
        <v>9</v>
      </c>
      <c r="AI250" s="558">
        <v>10</v>
      </c>
      <c r="AJ250" s="558">
        <v>11</v>
      </c>
      <c r="AK250" s="558">
        <v>12</v>
      </c>
      <c r="AL250" s="1024">
        <v>1</v>
      </c>
      <c r="AM250" s="536">
        <v>2</v>
      </c>
      <c r="AN250" s="536">
        <v>3</v>
      </c>
      <c r="AO250" s="536">
        <v>4</v>
      </c>
      <c r="AP250" s="536">
        <v>5</v>
      </c>
      <c r="AQ250" s="536">
        <v>6</v>
      </c>
      <c r="AR250" s="536">
        <v>7</v>
      </c>
      <c r="AS250" s="536">
        <v>8</v>
      </c>
      <c r="AT250" s="536">
        <v>9</v>
      </c>
      <c r="AU250" s="536">
        <v>10</v>
      </c>
      <c r="AV250" s="536">
        <v>11</v>
      </c>
      <c r="AW250" s="1025">
        <v>12</v>
      </c>
      <c r="AX250" s="1208"/>
    </row>
    <row r="251" spans="1:51" ht="14.25" x14ac:dyDescent="0.2">
      <c r="A251" s="533" t="str">
        <f>A249&amp;"-"&amp;B251</f>
        <v>Lagna-Saturn</v>
      </c>
      <c r="B251" s="559" t="s">
        <v>1516</v>
      </c>
      <c r="C251" s="540">
        <f ca="1">SaturnHouse</f>
        <v>2</v>
      </c>
      <c r="D251" s="539" t="str">
        <f t="shared" ref="D251:O258" ca="1" si="190">INDEX($Z251:$AW251,,12+D$152-$Q251+1)</f>
        <v>*</v>
      </c>
      <c r="E251" s="539">
        <f t="shared" ca="1" si="190"/>
        <v>1</v>
      </c>
      <c r="F251" s="539" t="str">
        <f t="shared" ca="1" si="190"/>
        <v>*</v>
      </c>
      <c r="G251" s="539">
        <f t="shared" ca="1" si="190"/>
        <v>1</v>
      </c>
      <c r="H251" s="539">
        <f t="shared" ca="1" si="190"/>
        <v>1</v>
      </c>
      <c r="I251" s="539" t="str">
        <f t="shared" ca="1" si="190"/>
        <v>*</v>
      </c>
      <c r="J251" s="539">
        <f t="shared" ca="1" si="190"/>
        <v>1</v>
      </c>
      <c r="K251" s="539" t="str">
        <f t="shared" ca="1" si="190"/>
        <v>*</v>
      </c>
      <c r="L251" s="539" t="str">
        <f t="shared" ca="1" si="190"/>
        <v>*</v>
      </c>
      <c r="M251" s="539" t="str">
        <f t="shared" ca="1" si="190"/>
        <v>*</v>
      </c>
      <c r="N251" s="539">
        <f t="shared" ca="1" si="190"/>
        <v>1</v>
      </c>
      <c r="O251" s="539">
        <f t="shared" ca="1" si="190"/>
        <v>1</v>
      </c>
      <c r="P251" s="541">
        <f t="shared" ref="P251:P259" ca="1" si="191">SUM(D251:O251)</f>
        <v>6</v>
      </c>
      <c r="Q251" s="540">
        <f ca="1">IF($Y$82,D249,C251)</f>
        <v>2</v>
      </c>
      <c r="S251" s="1540"/>
      <c r="T251" s="1540"/>
      <c r="U251" s="1540"/>
      <c r="V251" s="1540"/>
      <c r="X251" s="559" t="s">
        <v>1516</v>
      </c>
      <c r="Y251" s="560">
        <f t="shared" ref="Y251:Y259" si="192">SUM(Z251:AK251)</f>
        <v>6</v>
      </c>
      <c r="Z251" s="568">
        <v>1</v>
      </c>
      <c r="AA251" s="568" t="s">
        <v>1464</v>
      </c>
      <c r="AB251" s="568">
        <v>1</v>
      </c>
      <c r="AC251" s="568">
        <v>1</v>
      </c>
      <c r="AD251" s="568" t="s">
        <v>1464</v>
      </c>
      <c r="AE251" s="568">
        <v>1</v>
      </c>
      <c r="AF251" s="568" t="s">
        <v>1464</v>
      </c>
      <c r="AG251" s="568" t="s">
        <v>1464</v>
      </c>
      <c r="AH251" s="568" t="s">
        <v>1464</v>
      </c>
      <c r="AI251" s="568">
        <v>1</v>
      </c>
      <c r="AJ251" s="568">
        <v>1</v>
      </c>
      <c r="AK251" s="568" t="s">
        <v>1464</v>
      </c>
      <c r="AL251" s="1032">
        <f t="shared" ref="AL251:AW258" si="193">Z251</f>
        <v>1</v>
      </c>
      <c r="AM251" s="568" t="str">
        <f t="shared" si="193"/>
        <v>*</v>
      </c>
      <c r="AN251" s="568">
        <f t="shared" si="193"/>
        <v>1</v>
      </c>
      <c r="AO251" s="568">
        <f t="shared" si="193"/>
        <v>1</v>
      </c>
      <c r="AP251" s="568" t="str">
        <f t="shared" si="193"/>
        <v>*</v>
      </c>
      <c r="AQ251" s="568">
        <f t="shared" si="193"/>
        <v>1</v>
      </c>
      <c r="AR251" s="568" t="str">
        <f t="shared" si="193"/>
        <v>*</v>
      </c>
      <c r="AS251" s="568" t="str">
        <f t="shared" si="193"/>
        <v>*</v>
      </c>
      <c r="AT251" s="568" t="str">
        <f t="shared" si="193"/>
        <v>*</v>
      </c>
      <c r="AU251" s="568">
        <f t="shared" si="193"/>
        <v>1</v>
      </c>
      <c r="AV251" s="568">
        <f t="shared" si="193"/>
        <v>1</v>
      </c>
      <c r="AW251" s="1033" t="str">
        <f t="shared" si="193"/>
        <v>*</v>
      </c>
      <c r="AX251" s="1208" t="str">
        <f>MIN($Y$153,$Y$167,$Y$181,$Y$195,$Y$209,$Y$223,$Y$237,$Y$251)&amp;"-"&amp;MAX($Y$153,$Y$167,$Y$181,$Y$195,$Y$209,$Y$223,$Y$237,$Y$251)</f>
        <v>4-8</v>
      </c>
    </row>
    <row r="252" spans="1:51" ht="14.25" x14ac:dyDescent="0.2">
      <c r="A252" s="533" t="str">
        <f>A249&amp;"-"&amp;B252</f>
        <v>Lagna-Jupiter</v>
      </c>
      <c r="B252" s="559" t="s">
        <v>1515</v>
      </c>
      <c r="C252" s="540">
        <f ca="1">JupiterHouse</f>
        <v>8</v>
      </c>
      <c r="D252" s="539">
        <f t="shared" ca="1" si="190"/>
        <v>1</v>
      </c>
      <c r="E252" s="539">
        <f t="shared" ca="1" si="190"/>
        <v>1</v>
      </c>
      <c r="F252" s="539" t="str">
        <f t="shared" ca="1" si="190"/>
        <v>*</v>
      </c>
      <c r="G252" s="539">
        <f t="shared" ca="1" si="190"/>
        <v>1</v>
      </c>
      <c r="H252" s="539">
        <f t="shared" ca="1" si="190"/>
        <v>1</v>
      </c>
      <c r="I252" s="539">
        <f t="shared" ca="1" si="190"/>
        <v>1</v>
      </c>
      <c r="J252" s="539" t="str">
        <f t="shared" ca="1" si="190"/>
        <v>*</v>
      </c>
      <c r="K252" s="539">
        <f t="shared" ca="1" si="190"/>
        <v>1</v>
      </c>
      <c r="L252" s="539">
        <f t="shared" ca="1" si="190"/>
        <v>1</v>
      </c>
      <c r="M252" s="539" t="str">
        <f t="shared" ca="1" si="190"/>
        <v>*</v>
      </c>
      <c r="N252" s="539">
        <f t="shared" ca="1" si="190"/>
        <v>1</v>
      </c>
      <c r="O252" s="539">
        <f t="shared" ca="1" si="190"/>
        <v>1</v>
      </c>
      <c r="P252" s="541">
        <f t="shared" ca="1" si="191"/>
        <v>9</v>
      </c>
      <c r="Q252" s="540">
        <f ca="1">IF($Y$82,D249,C252)</f>
        <v>8</v>
      </c>
      <c r="S252" s="1540"/>
      <c r="T252" s="1540"/>
      <c r="U252" s="1540"/>
      <c r="V252" s="1540"/>
      <c r="W252" s="1207" t="s">
        <v>4244</v>
      </c>
      <c r="X252" s="559" t="s">
        <v>1515</v>
      </c>
      <c r="Y252" s="560">
        <f t="shared" si="192"/>
        <v>9</v>
      </c>
      <c r="Z252" s="568">
        <v>1</v>
      </c>
      <c r="AA252" s="568">
        <v>1</v>
      </c>
      <c r="AB252" s="568" t="s">
        <v>1464</v>
      </c>
      <c r="AC252" s="568">
        <v>1</v>
      </c>
      <c r="AD252" s="568">
        <v>1</v>
      </c>
      <c r="AE252" s="568">
        <v>1</v>
      </c>
      <c r="AF252" s="568">
        <v>1</v>
      </c>
      <c r="AG252" s="568" t="s">
        <v>1464</v>
      </c>
      <c r="AH252" s="568">
        <v>1</v>
      </c>
      <c r="AI252" s="568">
        <v>1</v>
      </c>
      <c r="AJ252" s="568">
        <v>1</v>
      </c>
      <c r="AK252" s="568" t="s">
        <v>1464</v>
      </c>
      <c r="AL252" s="1032">
        <f t="shared" si="193"/>
        <v>1</v>
      </c>
      <c r="AM252" s="568">
        <f t="shared" si="193"/>
        <v>1</v>
      </c>
      <c r="AN252" s="568" t="str">
        <f t="shared" si="193"/>
        <v>*</v>
      </c>
      <c r="AO252" s="568">
        <f t="shared" si="193"/>
        <v>1</v>
      </c>
      <c r="AP252" s="568">
        <f t="shared" si="193"/>
        <v>1</v>
      </c>
      <c r="AQ252" s="568">
        <f t="shared" si="193"/>
        <v>1</v>
      </c>
      <c r="AR252" s="568">
        <f t="shared" si="193"/>
        <v>1</v>
      </c>
      <c r="AS252" s="568" t="str">
        <f t="shared" si="193"/>
        <v>*</v>
      </c>
      <c r="AT252" s="568">
        <f t="shared" si="193"/>
        <v>1</v>
      </c>
      <c r="AU252" s="568">
        <f t="shared" si="193"/>
        <v>1</v>
      </c>
      <c r="AV252" s="568">
        <f t="shared" si="193"/>
        <v>1</v>
      </c>
      <c r="AW252" s="1033" t="str">
        <f t="shared" si="193"/>
        <v>*</v>
      </c>
      <c r="AX252" s="1208" t="str">
        <f>MIN($Y$154,$Y$168,$Y$182,$Y$196,$Y$210,$Y$224,$Y$238,$Y$252)&amp;"-"&amp;MAX($Y$154,$Y$168,$Y$182,$Y$196,$Y$210,$Y$224,$Y$238,$Y$252)</f>
        <v>4-9</v>
      </c>
      <c r="AY252" s="1208" t="s">
        <v>4244</v>
      </c>
    </row>
    <row r="253" spans="1:51" ht="14.25" x14ac:dyDescent="0.2">
      <c r="A253" s="533" t="str">
        <f>A249&amp;"-"&amp;B253</f>
        <v>Lagna-Mars</v>
      </c>
      <c r="B253" s="559" t="s">
        <v>1513</v>
      </c>
      <c r="C253" s="540">
        <f ca="1">MarsHouse</f>
        <v>10</v>
      </c>
      <c r="D253" s="539" t="str">
        <f t="shared" ca="1" si="190"/>
        <v>*</v>
      </c>
      <c r="E253" s="539" t="str">
        <f t="shared" ca="1" si="190"/>
        <v>*</v>
      </c>
      <c r="F253" s="539">
        <f t="shared" ca="1" si="190"/>
        <v>1</v>
      </c>
      <c r="G253" s="539" t="str">
        <f t="shared" ca="1" si="190"/>
        <v>*</v>
      </c>
      <c r="H253" s="539" t="str">
        <f t="shared" ca="1" si="190"/>
        <v>*</v>
      </c>
      <c r="I253" s="539" t="str">
        <f t="shared" ca="1" si="190"/>
        <v>*</v>
      </c>
      <c r="J253" s="539">
        <f t="shared" ca="1" si="190"/>
        <v>1</v>
      </c>
      <c r="K253" s="539">
        <f t="shared" ca="1" si="190"/>
        <v>1</v>
      </c>
      <c r="L253" s="539" t="str">
        <f t="shared" ca="1" si="190"/>
        <v>*</v>
      </c>
      <c r="M253" s="539">
        <f t="shared" ca="1" si="190"/>
        <v>1</v>
      </c>
      <c r="N253" s="539" t="str">
        <f t="shared" ca="1" si="190"/>
        <v>*</v>
      </c>
      <c r="O253" s="539">
        <f t="shared" ca="1" si="190"/>
        <v>1</v>
      </c>
      <c r="P253" s="541">
        <f t="shared" ca="1" si="191"/>
        <v>5</v>
      </c>
      <c r="Q253" s="540">
        <f ca="1">IF($Y$82,D249,C253)</f>
        <v>10</v>
      </c>
      <c r="S253" s="1540">
        <f ca="1">N259</f>
        <v>5</v>
      </c>
      <c r="T253" s="1541" t="str">
        <f ca="1">C249&amp;"  Ashtakavarga  "&amp;P259</f>
        <v xml:space="preserve">  Ashtakavarga  49</v>
      </c>
      <c r="U253" s="1541"/>
      <c r="V253" s="1540">
        <f ca="1">G259</f>
        <v>5</v>
      </c>
      <c r="X253" s="559" t="s">
        <v>1513</v>
      </c>
      <c r="Y253" s="560">
        <f t="shared" si="192"/>
        <v>5</v>
      </c>
      <c r="Z253" s="568">
        <v>1</v>
      </c>
      <c r="AA253" s="568" t="s">
        <v>1464</v>
      </c>
      <c r="AB253" s="568">
        <v>1</v>
      </c>
      <c r="AC253" s="568" t="s">
        <v>1464</v>
      </c>
      <c r="AD253" s="568" t="s">
        <v>1464</v>
      </c>
      <c r="AE253" s="568">
        <v>1</v>
      </c>
      <c r="AF253" s="568" t="s">
        <v>1464</v>
      </c>
      <c r="AG253" s="568" t="s">
        <v>1464</v>
      </c>
      <c r="AH253" s="568" t="s">
        <v>1464</v>
      </c>
      <c r="AI253" s="568">
        <v>1</v>
      </c>
      <c r="AJ253" s="568">
        <v>1</v>
      </c>
      <c r="AK253" s="568" t="s">
        <v>1464</v>
      </c>
      <c r="AL253" s="1032">
        <f t="shared" si="193"/>
        <v>1</v>
      </c>
      <c r="AM253" s="568" t="str">
        <f t="shared" si="193"/>
        <v>*</v>
      </c>
      <c r="AN253" s="568">
        <f t="shared" si="193"/>
        <v>1</v>
      </c>
      <c r="AO253" s="568" t="str">
        <f t="shared" si="193"/>
        <v>*</v>
      </c>
      <c r="AP253" s="568" t="str">
        <f t="shared" si="193"/>
        <v>*</v>
      </c>
      <c r="AQ253" s="568">
        <f t="shared" si="193"/>
        <v>1</v>
      </c>
      <c r="AR253" s="568" t="str">
        <f t="shared" si="193"/>
        <v>*</v>
      </c>
      <c r="AS253" s="568" t="str">
        <f t="shared" si="193"/>
        <v>*</v>
      </c>
      <c r="AT253" s="568" t="str">
        <f t="shared" si="193"/>
        <v>*</v>
      </c>
      <c r="AU253" s="568">
        <f t="shared" si="193"/>
        <v>1</v>
      </c>
      <c r="AV253" s="568">
        <f t="shared" si="193"/>
        <v>1</v>
      </c>
      <c r="AW253" s="1033" t="str">
        <f t="shared" si="193"/>
        <v>*</v>
      </c>
      <c r="AX253" s="1208" t="str">
        <f>MIN($Y$155,$Y$169,$Y$183,$Y$197,$Y$211,$Y$225,$Y$239,$Y$253)&amp;"-"&amp;MAX($Y$155,$Y$169,$Y$183,$Y$197,$Y$211,$Y$225,$Y$239,$Y$253)</f>
        <v>5-8</v>
      </c>
      <c r="AY253" s="1208" t="s">
        <v>4245</v>
      </c>
    </row>
    <row r="254" spans="1:51" ht="14.25" x14ac:dyDescent="0.2">
      <c r="A254" s="533" t="str">
        <f>A249&amp;"-"&amp;B254</f>
        <v>Lagna-Sun</v>
      </c>
      <c r="B254" s="559" t="s">
        <v>1511</v>
      </c>
      <c r="C254" s="540">
        <f ca="1">SunHouse</f>
        <v>4</v>
      </c>
      <c r="D254" s="539">
        <f t="shared" ca="1" si="190"/>
        <v>1</v>
      </c>
      <c r="E254" s="539">
        <f t="shared" ca="1" si="190"/>
        <v>1</v>
      </c>
      <c r="F254" s="539">
        <f t="shared" ca="1" si="190"/>
        <v>1</v>
      </c>
      <c r="G254" s="539" t="str">
        <f t="shared" ca="1" si="190"/>
        <v>*</v>
      </c>
      <c r="H254" s="539" t="str">
        <f t="shared" ca="1" si="190"/>
        <v>*</v>
      </c>
      <c r="I254" s="539">
        <f t="shared" ca="1" si="190"/>
        <v>1</v>
      </c>
      <c r="J254" s="539">
        <f t="shared" ca="1" si="190"/>
        <v>1</v>
      </c>
      <c r="K254" s="539" t="str">
        <f t="shared" ca="1" si="190"/>
        <v>*</v>
      </c>
      <c r="L254" s="539">
        <f t="shared" ca="1" si="190"/>
        <v>1</v>
      </c>
      <c r="M254" s="539" t="str">
        <f t="shared" ca="1" si="190"/>
        <v>*</v>
      </c>
      <c r="N254" s="539" t="str">
        <f t="shared" ca="1" si="190"/>
        <v>*</v>
      </c>
      <c r="O254" s="539" t="str">
        <f t="shared" ca="1" si="190"/>
        <v>*</v>
      </c>
      <c r="P254" s="541">
        <f t="shared" ca="1" si="191"/>
        <v>6</v>
      </c>
      <c r="Q254" s="540">
        <f ca="1">IF($Y$82,D249,C254)</f>
        <v>4</v>
      </c>
      <c r="S254" s="1540"/>
      <c r="T254" s="1540"/>
      <c r="U254" s="1541"/>
      <c r="V254" s="1540"/>
      <c r="X254" s="559" t="s">
        <v>1511</v>
      </c>
      <c r="Y254" s="560">
        <f t="shared" si="192"/>
        <v>6</v>
      </c>
      <c r="Z254" s="568" t="s">
        <v>1464</v>
      </c>
      <c r="AA254" s="568" t="s">
        <v>1464</v>
      </c>
      <c r="AB254" s="568">
        <v>1</v>
      </c>
      <c r="AC254" s="568">
        <v>1</v>
      </c>
      <c r="AD254" s="568" t="s">
        <v>1464</v>
      </c>
      <c r="AE254" s="568">
        <v>1</v>
      </c>
      <c r="AF254" s="568" t="s">
        <v>1464</v>
      </c>
      <c r="AG254" s="568" t="s">
        <v>1464</v>
      </c>
      <c r="AH254" s="568" t="s">
        <v>1464</v>
      </c>
      <c r="AI254" s="568">
        <v>1</v>
      </c>
      <c r="AJ254" s="568">
        <v>1</v>
      </c>
      <c r="AK254" s="568">
        <v>1</v>
      </c>
      <c r="AL254" s="1032" t="str">
        <f t="shared" si="193"/>
        <v>*</v>
      </c>
      <c r="AM254" s="568" t="str">
        <f t="shared" si="193"/>
        <v>*</v>
      </c>
      <c r="AN254" s="568">
        <f t="shared" si="193"/>
        <v>1</v>
      </c>
      <c r="AO254" s="568">
        <f t="shared" si="193"/>
        <v>1</v>
      </c>
      <c r="AP254" s="568" t="str">
        <f t="shared" si="193"/>
        <v>*</v>
      </c>
      <c r="AQ254" s="568">
        <f t="shared" si="193"/>
        <v>1</v>
      </c>
      <c r="AR254" s="568" t="str">
        <f t="shared" si="193"/>
        <v>*</v>
      </c>
      <c r="AS254" s="568" t="str">
        <f t="shared" si="193"/>
        <v>*</v>
      </c>
      <c r="AT254" s="568" t="str">
        <f t="shared" si="193"/>
        <v>*</v>
      </c>
      <c r="AU254" s="568">
        <f t="shared" si="193"/>
        <v>1</v>
      </c>
      <c r="AV254" s="568">
        <f t="shared" si="193"/>
        <v>1</v>
      </c>
      <c r="AW254" s="1033">
        <f t="shared" si="193"/>
        <v>1</v>
      </c>
      <c r="AX254" s="1208" t="str">
        <f>MIN($Y$156,$Y$170,$Y$184,$Y$198,$Y$212,$Y$226,$Y$240,$Y$254)&amp;"-"&amp;MAX($Y$156,$Y$170,$Y$184,$Y$198,$Y$212,$Y$226,$Y$240,$Y$254)</f>
        <v>3-9</v>
      </c>
    </row>
    <row r="255" spans="1:51" ht="14.25" x14ac:dyDescent="0.2">
      <c r="A255" s="533" t="str">
        <f>A249&amp;"-"&amp;B255</f>
        <v>Lagna-Venus</v>
      </c>
      <c r="B255" s="559" t="s">
        <v>1519</v>
      </c>
      <c r="C255" s="540">
        <f ca="1">VenusHouse</f>
        <v>3</v>
      </c>
      <c r="D255" s="539" t="str">
        <f t="shared" ca="1" si="190"/>
        <v>*</v>
      </c>
      <c r="E255" s="539" t="str">
        <f t="shared" ca="1" si="190"/>
        <v>*</v>
      </c>
      <c r="F255" s="539">
        <f t="shared" ca="1" si="190"/>
        <v>1</v>
      </c>
      <c r="G255" s="539">
        <f t="shared" ca="1" si="190"/>
        <v>1</v>
      </c>
      <c r="H255" s="539">
        <f t="shared" ca="1" si="190"/>
        <v>1</v>
      </c>
      <c r="I255" s="539">
        <f t="shared" ca="1" si="190"/>
        <v>1</v>
      </c>
      <c r="J255" s="539">
        <f t="shared" ca="1" si="190"/>
        <v>1</v>
      </c>
      <c r="K255" s="539" t="str">
        <f t="shared" ca="1" si="190"/>
        <v>*</v>
      </c>
      <c r="L255" s="539" t="str">
        <f t="shared" ca="1" si="190"/>
        <v>*</v>
      </c>
      <c r="M255" s="539">
        <f t="shared" ca="1" si="190"/>
        <v>1</v>
      </c>
      <c r="N255" s="539">
        <f t="shared" ca="1" si="190"/>
        <v>1</v>
      </c>
      <c r="O255" s="539" t="str">
        <f t="shared" ca="1" si="190"/>
        <v>*</v>
      </c>
      <c r="P255" s="541">
        <f t="shared" ca="1" si="191"/>
        <v>7</v>
      </c>
      <c r="Q255" s="540">
        <f ca="1">IF($Y$82,D249,C255)</f>
        <v>3</v>
      </c>
      <c r="S255" s="1540"/>
      <c r="T255" s="1540"/>
      <c r="U255" s="1541"/>
      <c r="V255" s="1540"/>
      <c r="X255" s="559" t="s">
        <v>1519</v>
      </c>
      <c r="Y255" s="560">
        <f t="shared" si="192"/>
        <v>7</v>
      </c>
      <c r="Z255" s="568">
        <v>1</v>
      </c>
      <c r="AA255" s="568">
        <v>1</v>
      </c>
      <c r="AB255" s="568">
        <v>1</v>
      </c>
      <c r="AC255" s="568">
        <v>1</v>
      </c>
      <c r="AD255" s="568">
        <v>1</v>
      </c>
      <c r="AE255" s="568" t="s">
        <v>1464</v>
      </c>
      <c r="AF255" s="568" t="s">
        <v>1464</v>
      </c>
      <c r="AG255" s="568">
        <v>1</v>
      </c>
      <c r="AH255" s="568">
        <v>1</v>
      </c>
      <c r="AI255" s="568" t="s">
        <v>1464</v>
      </c>
      <c r="AJ255" s="568" t="s">
        <v>1464</v>
      </c>
      <c r="AK255" s="568" t="s">
        <v>1464</v>
      </c>
      <c r="AL255" s="1032">
        <f t="shared" si="193"/>
        <v>1</v>
      </c>
      <c r="AM255" s="568">
        <f t="shared" si="193"/>
        <v>1</v>
      </c>
      <c r="AN255" s="568">
        <f t="shared" si="193"/>
        <v>1</v>
      </c>
      <c r="AO255" s="568">
        <f t="shared" si="193"/>
        <v>1</v>
      </c>
      <c r="AP255" s="568">
        <f t="shared" si="193"/>
        <v>1</v>
      </c>
      <c r="AQ255" s="568" t="str">
        <f t="shared" si="193"/>
        <v>*</v>
      </c>
      <c r="AR255" s="568" t="str">
        <f t="shared" si="193"/>
        <v>*</v>
      </c>
      <c r="AS255" s="568">
        <f t="shared" si="193"/>
        <v>1</v>
      </c>
      <c r="AT255" s="568">
        <f t="shared" si="193"/>
        <v>1</v>
      </c>
      <c r="AU255" s="568" t="str">
        <f t="shared" si="193"/>
        <v>*</v>
      </c>
      <c r="AV255" s="568" t="str">
        <f t="shared" si="193"/>
        <v>*</v>
      </c>
      <c r="AW255" s="1033" t="str">
        <f t="shared" si="193"/>
        <v>*</v>
      </c>
      <c r="AX255" s="1208" t="str">
        <f>MIN($Y$157,$Y$171,$Y$185,$Y$199,$Y$213,$Y$227,$Y$241,$Y$255)&amp;"-"&amp;MAX($Y$157,$Y$171,$Y$185,$Y$199,$Y$213,$Y$227,$Y$241,$Y$255)</f>
        <v>3-9</v>
      </c>
    </row>
    <row r="256" spans="1:51" ht="14.25" x14ac:dyDescent="0.2">
      <c r="A256" s="533" t="str">
        <f>A249&amp;"-"&amp;B256</f>
        <v>Lagna-Mercury</v>
      </c>
      <c r="B256" s="559" t="s">
        <v>1517</v>
      </c>
      <c r="C256" s="540">
        <f ca="1">MercuryHouse</f>
        <v>4</v>
      </c>
      <c r="D256" s="539">
        <f t="shared" ca="1" si="190"/>
        <v>1</v>
      </c>
      <c r="E256" s="539">
        <f t="shared" ca="1" si="190"/>
        <v>1</v>
      </c>
      <c r="F256" s="539" t="str">
        <f t="shared" ca="1" si="190"/>
        <v>*</v>
      </c>
      <c r="G256" s="539">
        <f t="shared" ca="1" si="190"/>
        <v>1</v>
      </c>
      <c r="H256" s="539">
        <f t="shared" ca="1" si="190"/>
        <v>1</v>
      </c>
      <c r="I256" s="539" t="str">
        <f t="shared" ca="1" si="190"/>
        <v>*</v>
      </c>
      <c r="J256" s="539">
        <f t="shared" ca="1" si="190"/>
        <v>1</v>
      </c>
      <c r="K256" s="539" t="str">
        <f t="shared" ca="1" si="190"/>
        <v>*</v>
      </c>
      <c r="L256" s="539">
        <f t="shared" ca="1" si="190"/>
        <v>1</v>
      </c>
      <c r="M256" s="539" t="str">
        <f t="shared" ca="1" si="190"/>
        <v>*</v>
      </c>
      <c r="N256" s="539">
        <f t="shared" ca="1" si="190"/>
        <v>1</v>
      </c>
      <c r="O256" s="539" t="str">
        <f t="shared" ca="1" si="190"/>
        <v>*</v>
      </c>
      <c r="P256" s="541">
        <f t="shared" ca="1" si="191"/>
        <v>7</v>
      </c>
      <c r="Q256" s="540">
        <f ca="1">IF($Y$82,D249,C256)</f>
        <v>4</v>
      </c>
      <c r="S256" s="1540">
        <f ca="1">M259</f>
        <v>3</v>
      </c>
      <c r="T256" s="1541"/>
      <c r="U256" s="1541"/>
      <c r="V256" s="1540">
        <f ca="1">H259</f>
        <v>4</v>
      </c>
      <c r="X256" s="559" t="s">
        <v>1517</v>
      </c>
      <c r="Y256" s="560">
        <f t="shared" si="192"/>
        <v>7</v>
      </c>
      <c r="Z256" s="568">
        <v>1</v>
      </c>
      <c r="AA256" s="568">
        <v>1</v>
      </c>
      <c r="AB256" s="568" t="s">
        <v>1464</v>
      </c>
      <c r="AC256" s="568">
        <v>1</v>
      </c>
      <c r="AD256" s="568" t="s">
        <v>1464</v>
      </c>
      <c r="AE256" s="568">
        <v>1</v>
      </c>
      <c r="AF256" s="568" t="s">
        <v>1464</v>
      </c>
      <c r="AG256" s="568">
        <v>1</v>
      </c>
      <c r="AH256" s="568" t="s">
        <v>1464</v>
      </c>
      <c r="AI256" s="568">
        <v>1</v>
      </c>
      <c r="AJ256" s="568">
        <v>1</v>
      </c>
      <c r="AK256" s="568" t="s">
        <v>1464</v>
      </c>
      <c r="AL256" s="1032">
        <f t="shared" si="193"/>
        <v>1</v>
      </c>
      <c r="AM256" s="568">
        <f t="shared" si="193"/>
        <v>1</v>
      </c>
      <c r="AN256" s="568" t="str">
        <f t="shared" si="193"/>
        <v>*</v>
      </c>
      <c r="AO256" s="568">
        <f t="shared" si="193"/>
        <v>1</v>
      </c>
      <c r="AP256" s="568" t="str">
        <f t="shared" si="193"/>
        <v>*</v>
      </c>
      <c r="AQ256" s="568">
        <f t="shared" si="193"/>
        <v>1</v>
      </c>
      <c r="AR256" s="568" t="str">
        <f t="shared" si="193"/>
        <v>*</v>
      </c>
      <c r="AS256" s="568">
        <f t="shared" si="193"/>
        <v>1</v>
      </c>
      <c r="AT256" s="568" t="str">
        <f t="shared" si="193"/>
        <v>*</v>
      </c>
      <c r="AU256" s="568">
        <f t="shared" si="193"/>
        <v>1</v>
      </c>
      <c r="AV256" s="568">
        <f t="shared" si="193"/>
        <v>1</v>
      </c>
      <c r="AW256" s="1033" t="str">
        <f t="shared" si="193"/>
        <v>*</v>
      </c>
      <c r="AX256" s="1208" t="str">
        <f>MIN($Y$158,$Y$172,$Y$186,$Y$200,$Y$214,$Y$228,$Y$242,$Y$256)&amp;"-"&amp;MAX($Y$158,$Y$172,$Y$186,$Y$200,$Y$214,$Y$228,$Y$242,$Y$256)</f>
        <v>4-8</v>
      </c>
    </row>
    <row r="257" spans="1:51" ht="14.25" x14ac:dyDescent="0.2">
      <c r="A257" s="533" t="str">
        <f>A249&amp;"-"&amp;B257</f>
        <v>Lagna-Moon</v>
      </c>
      <c r="B257" s="559" t="s">
        <v>1512</v>
      </c>
      <c r="C257" s="540">
        <f ca="1">MoonHouse</f>
        <v>2</v>
      </c>
      <c r="D257" s="539">
        <f t="shared" ca="1" si="190"/>
        <v>1</v>
      </c>
      <c r="E257" s="539" t="str">
        <f t="shared" ca="1" si="190"/>
        <v>*</v>
      </c>
      <c r="F257" s="539" t="str">
        <f t="shared" ca="1" si="190"/>
        <v>*</v>
      </c>
      <c r="G257" s="539">
        <f t="shared" ca="1" si="190"/>
        <v>1</v>
      </c>
      <c r="H257" s="539" t="str">
        <f t="shared" ca="1" si="190"/>
        <v>*</v>
      </c>
      <c r="I257" s="539" t="str">
        <f t="shared" ca="1" si="190"/>
        <v>*</v>
      </c>
      <c r="J257" s="539">
        <f t="shared" ca="1" si="190"/>
        <v>1</v>
      </c>
      <c r="K257" s="539" t="str">
        <f t="shared" ca="1" si="190"/>
        <v>*</v>
      </c>
      <c r="L257" s="539" t="str">
        <f t="shared" ca="1" si="190"/>
        <v>*</v>
      </c>
      <c r="M257" s="539" t="str">
        <f t="shared" ca="1" si="190"/>
        <v>*</v>
      </c>
      <c r="N257" s="539">
        <f t="shared" ca="1" si="190"/>
        <v>1</v>
      </c>
      <c r="O257" s="539">
        <f t="shared" ca="1" si="190"/>
        <v>1</v>
      </c>
      <c r="P257" s="541">
        <f t="shared" ca="1" si="191"/>
        <v>5</v>
      </c>
      <c r="Q257" s="540">
        <f ca="1">IF($Y$82,D249,C257)</f>
        <v>2</v>
      </c>
      <c r="S257" s="1540"/>
      <c r="T257" s="1540"/>
      <c r="U257" s="1541"/>
      <c r="V257" s="1540"/>
      <c r="X257" s="559" t="s">
        <v>1512</v>
      </c>
      <c r="Y257" s="560">
        <f t="shared" si="192"/>
        <v>5</v>
      </c>
      <c r="Z257" s="568" t="s">
        <v>1464</v>
      </c>
      <c r="AA257" s="568" t="s">
        <v>1464</v>
      </c>
      <c r="AB257" s="568">
        <v>1</v>
      </c>
      <c r="AC257" s="568" t="s">
        <v>1464</v>
      </c>
      <c r="AD257" s="568" t="s">
        <v>1464</v>
      </c>
      <c r="AE257" s="568">
        <v>1</v>
      </c>
      <c r="AF257" s="568" t="s">
        <v>1464</v>
      </c>
      <c r="AG257" s="568" t="s">
        <v>1464</v>
      </c>
      <c r="AH257" s="568" t="s">
        <v>1464</v>
      </c>
      <c r="AI257" s="568">
        <v>1</v>
      </c>
      <c r="AJ257" s="568">
        <v>1</v>
      </c>
      <c r="AK257" s="568">
        <v>1</v>
      </c>
      <c r="AL257" s="1032" t="str">
        <f t="shared" si="193"/>
        <v>*</v>
      </c>
      <c r="AM257" s="568" t="str">
        <f t="shared" si="193"/>
        <v>*</v>
      </c>
      <c r="AN257" s="568">
        <f t="shared" si="193"/>
        <v>1</v>
      </c>
      <c r="AO257" s="568" t="str">
        <f t="shared" si="193"/>
        <v>*</v>
      </c>
      <c r="AP257" s="568" t="str">
        <f t="shared" si="193"/>
        <v>*</v>
      </c>
      <c r="AQ257" s="568">
        <f t="shared" si="193"/>
        <v>1</v>
      </c>
      <c r="AR257" s="568" t="str">
        <f t="shared" si="193"/>
        <v>*</v>
      </c>
      <c r="AS257" s="568" t="str">
        <f t="shared" si="193"/>
        <v>*</v>
      </c>
      <c r="AT257" s="568" t="str">
        <f t="shared" si="193"/>
        <v>*</v>
      </c>
      <c r="AU257" s="568">
        <f t="shared" si="193"/>
        <v>1</v>
      </c>
      <c r="AV257" s="568">
        <f t="shared" si="193"/>
        <v>1</v>
      </c>
      <c r="AW257" s="1033">
        <f t="shared" si="193"/>
        <v>1</v>
      </c>
      <c r="AX257" s="1208" t="str">
        <f>MIN($Y$159,$Y$173,$Y$187,$Y$201,$Y$215,$Y$229,$Y$243,$Y$257)&amp;"-"&amp;MAX($Y$159,$Y$173,$Y$187,$Y$201,$Y$215,$Y$229,$Y$243,$Y$257)</f>
        <v>3-9</v>
      </c>
    </row>
    <row r="258" spans="1:51" ht="14.25" x14ac:dyDescent="0.2">
      <c r="A258" s="533" t="str">
        <f>A249&amp;"-"&amp;B258</f>
        <v>Lagna-Lagna</v>
      </c>
      <c r="B258" s="559" t="s">
        <v>1722</v>
      </c>
      <c r="C258" s="540">
        <f ca="1">Lagnahouse</f>
        <v>5</v>
      </c>
      <c r="D258" s="539" t="str">
        <f t="shared" ca="1" si="190"/>
        <v>*</v>
      </c>
      <c r="E258" s="539">
        <f t="shared" ca="1" si="190"/>
        <v>1</v>
      </c>
      <c r="F258" s="539">
        <f t="shared" ca="1" si="190"/>
        <v>1</v>
      </c>
      <c r="G258" s="539" t="str">
        <f t="shared" ca="1" si="190"/>
        <v>*</v>
      </c>
      <c r="H258" s="539" t="str">
        <f t="shared" ca="1" si="190"/>
        <v>*</v>
      </c>
      <c r="I258" s="539" t="str">
        <f t="shared" ca="1" si="190"/>
        <v>*</v>
      </c>
      <c r="J258" s="539">
        <f t="shared" ca="1" si="190"/>
        <v>1</v>
      </c>
      <c r="K258" s="539" t="str">
        <f t="shared" ca="1" si="190"/>
        <v>*</v>
      </c>
      <c r="L258" s="539" t="str">
        <f t="shared" ca="1" si="190"/>
        <v>*</v>
      </c>
      <c r="M258" s="539">
        <f t="shared" ca="1" si="190"/>
        <v>1</v>
      </c>
      <c r="N258" s="539" t="str">
        <f t="shared" ca="1" si="190"/>
        <v>*</v>
      </c>
      <c r="O258" s="539" t="str">
        <f t="shared" ca="1" si="190"/>
        <v>*</v>
      </c>
      <c r="P258" s="541">
        <f t="shared" ca="1" si="191"/>
        <v>4</v>
      </c>
      <c r="Q258" s="540">
        <f ca="1">IF($Y$82,D249,C258)</f>
        <v>5</v>
      </c>
      <c r="S258" s="1540"/>
      <c r="T258" s="1540"/>
      <c r="U258" s="1541"/>
      <c r="V258" s="1540"/>
      <c r="W258" s="1207" t="s">
        <v>4245</v>
      </c>
      <c r="X258" s="559" t="s">
        <v>1722</v>
      </c>
      <c r="Y258" s="560">
        <f t="shared" si="192"/>
        <v>4</v>
      </c>
      <c r="Z258" s="568" t="s">
        <v>1464</v>
      </c>
      <c r="AA258" s="568" t="s">
        <v>1464</v>
      </c>
      <c r="AB258" s="568">
        <v>1</v>
      </c>
      <c r="AC258" s="568" t="s">
        <v>1464</v>
      </c>
      <c r="AD258" s="568" t="s">
        <v>1464</v>
      </c>
      <c r="AE258" s="568">
        <v>1</v>
      </c>
      <c r="AF258" s="568" t="s">
        <v>1464</v>
      </c>
      <c r="AG258" s="568" t="s">
        <v>1464</v>
      </c>
      <c r="AH258" s="568" t="s">
        <v>1464</v>
      </c>
      <c r="AI258" s="568">
        <v>1</v>
      </c>
      <c r="AJ258" s="568">
        <v>1</v>
      </c>
      <c r="AK258" s="568" t="s">
        <v>1464</v>
      </c>
      <c r="AL258" s="1032" t="str">
        <f t="shared" si="193"/>
        <v>*</v>
      </c>
      <c r="AM258" s="568" t="str">
        <f t="shared" si="193"/>
        <v>*</v>
      </c>
      <c r="AN258" s="568">
        <f t="shared" si="193"/>
        <v>1</v>
      </c>
      <c r="AO258" s="568" t="str">
        <f t="shared" si="193"/>
        <v>*</v>
      </c>
      <c r="AP258" s="568" t="str">
        <f t="shared" si="193"/>
        <v>*</v>
      </c>
      <c r="AQ258" s="568">
        <f t="shared" si="193"/>
        <v>1</v>
      </c>
      <c r="AR258" s="568" t="str">
        <f t="shared" si="193"/>
        <v>*</v>
      </c>
      <c r="AS258" s="568" t="str">
        <f t="shared" si="193"/>
        <v>*</v>
      </c>
      <c r="AT258" s="568" t="str">
        <f t="shared" si="193"/>
        <v>*</v>
      </c>
      <c r="AU258" s="568">
        <f t="shared" si="193"/>
        <v>1</v>
      </c>
      <c r="AV258" s="568">
        <f t="shared" si="193"/>
        <v>1</v>
      </c>
      <c r="AW258" s="1033" t="str">
        <f t="shared" si="193"/>
        <v>*</v>
      </c>
      <c r="AX258" s="1208" t="str">
        <f>MIN($Y$160,$Y$174,$Y$188,$Y$202,$Y$216,$Y$230,$Y$244,$Y$258)&amp;"-"&amp;MAX($Y$160,$Y$174,$Y$188,$Y$202,$Y$216,$Y$230,$Y$244,$Y$258)</f>
        <v>4-9</v>
      </c>
      <c r="AY258" s="1208" t="s">
        <v>4245</v>
      </c>
    </row>
    <row r="259" spans="1:51" thickBot="1" x14ac:dyDescent="0.25">
      <c r="A259" s="533" t="str">
        <f>A249&amp;"-"&amp;B259</f>
        <v>Lagna-Lagna</v>
      </c>
      <c r="B259" s="562" t="str">
        <f>B249</f>
        <v>Lagna</v>
      </c>
      <c r="C259" s="542"/>
      <c r="D259" s="542">
        <f t="shared" ref="D259:O259" ca="1" si="194">SUM(D251:D258)</f>
        <v>4</v>
      </c>
      <c r="E259" s="542">
        <f t="shared" ca="1" si="194"/>
        <v>5</v>
      </c>
      <c r="F259" s="542">
        <f t="shared" ca="1" si="194"/>
        <v>4</v>
      </c>
      <c r="G259" s="542">
        <f t="shared" ca="1" si="194"/>
        <v>5</v>
      </c>
      <c r="H259" s="542">
        <f t="shared" ca="1" si="194"/>
        <v>4</v>
      </c>
      <c r="I259" s="542">
        <f t="shared" ca="1" si="194"/>
        <v>3</v>
      </c>
      <c r="J259" s="542">
        <f t="shared" ca="1" si="194"/>
        <v>7</v>
      </c>
      <c r="K259" s="542">
        <f t="shared" ca="1" si="194"/>
        <v>2</v>
      </c>
      <c r="L259" s="542">
        <f t="shared" ca="1" si="194"/>
        <v>3</v>
      </c>
      <c r="M259" s="542">
        <f t="shared" ca="1" si="194"/>
        <v>3</v>
      </c>
      <c r="N259" s="542">
        <f t="shared" ca="1" si="194"/>
        <v>5</v>
      </c>
      <c r="O259" s="542">
        <f t="shared" ca="1" si="194"/>
        <v>4</v>
      </c>
      <c r="P259" s="543">
        <f t="shared" ca="1" si="191"/>
        <v>49</v>
      </c>
      <c r="Q259" s="543"/>
      <c r="S259" s="1540">
        <f ca="1">L259</f>
        <v>3</v>
      </c>
      <c r="T259" s="1540">
        <f ca="1">K259</f>
        <v>2</v>
      </c>
      <c r="U259" s="1540">
        <f ca="1">J259</f>
        <v>7</v>
      </c>
      <c r="V259" s="1540">
        <f ca="1">I259</f>
        <v>3</v>
      </c>
      <c r="X259" s="562"/>
      <c r="Y259" s="563">
        <f t="shared" si="192"/>
        <v>49</v>
      </c>
      <c r="Z259" s="564">
        <f t="shared" ref="Z259:AW259" si="195">SUM(Z251:Z258)</f>
        <v>5</v>
      </c>
      <c r="AA259" s="564">
        <f t="shared" si="195"/>
        <v>3</v>
      </c>
      <c r="AB259" s="564">
        <f t="shared" si="195"/>
        <v>6</v>
      </c>
      <c r="AC259" s="564">
        <f t="shared" si="195"/>
        <v>5</v>
      </c>
      <c r="AD259" s="564">
        <f t="shared" si="195"/>
        <v>2</v>
      </c>
      <c r="AE259" s="564">
        <f t="shared" si="195"/>
        <v>7</v>
      </c>
      <c r="AF259" s="564">
        <f t="shared" si="195"/>
        <v>1</v>
      </c>
      <c r="AG259" s="564">
        <f t="shared" si="195"/>
        <v>2</v>
      </c>
      <c r="AH259" s="564">
        <f t="shared" si="195"/>
        <v>2</v>
      </c>
      <c r="AI259" s="564">
        <f t="shared" si="195"/>
        <v>7</v>
      </c>
      <c r="AJ259" s="564">
        <f t="shared" si="195"/>
        <v>7</v>
      </c>
      <c r="AK259" s="564">
        <f t="shared" si="195"/>
        <v>2</v>
      </c>
      <c r="AL259" s="1028">
        <f t="shared" si="195"/>
        <v>5</v>
      </c>
      <c r="AM259" s="565">
        <f t="shared" si="195"/>
        <v>3</v>
      </c>
      <c r="AN259" s="565">
        <f t="shared" si="195"/>
        <v>6</v>
      </c>
      <c r="AO259" s="565">
        <f t="shared" si="195"/>
        <v>5</v>
      </c>
      <c r="AP259" s="565">
        <f t="shared" si="195"/>
        <v>2</v>
      </c>
      <c r="AQ259" s="565">
        <f t="shared" si="195"/>
        <v>7</v>
      </c>
      <c r="AR259" s="565">
        <f t="shared" si="195"/>
        <v>1</v>
      </c>
      <c r="AS259" s="565">
        <f t="shared" si="195"/>
        <v>2</v>
      </c>
      <c r="AT259" s="565">
        <f t="shared" si="195"/>
        <v>2</v>
      </c>
      <c r="AU259" s="565">
        <f t="shared" si="195"/>
        <v>7</v>
      </c>
      <c r="AV259" s="565">
        <f t="shared" si="195"/>
        <v>7</v>
      </c>
      <c r="AW259" s="1029">
        <f t="shared" si="195"/>
        <v>2</v>
      </c>
    </row>
    <row r="260" spans="1:51" thickTop="1" x14ac:dyDescent="0.2">
      <c r="A260" s="533" t="str">
        <f>A249&amp;"-"&amp;B260</f>
        <v>Lagna-</v>
      </c>
      <c r="S260" s="1540"/>
      <c r="T260" s="1540"/>
      <c r="U260" s="1540"/>
      <c r="V260" s="1540"/>
      <c r="X260" s="1205" t="s">
        <v>1465</v>
      </c>
      <c r="Y260" s="1205"/>
      <c r="Z260" s="1205"/>
      <c r="AA260" s="1205"/>
      <c r="AB260" s="1205"/>
      <c r="AC260" s="1205"/>
      <c r="AD260" s="1205"/>
      <c r="AE260" s="1205"/>
      <c r="AF260" s="1205"/>
      <c r="AG260" s="1205"/>
      <c r="AH260" s="1205"/>
      <c r="AI260" s="1205"/>
      <c r="AJ260" s="1205"/>
      <c r="AK260" s="1205"/>
      <c r="AL260" s="1205"/>
    </row>
    <row r="261" spans="1:51" ht="14.25" x14ac:dyDescent="0.2">
      <c r="A261" s="533" t="str">
        <f>A249&amp;"-"&amp;B261</f>
        <v>Lagna-</v>
      </c>
      <c r="S261" s="1540"/>
      <c r="T261" s="1540"/>
      <c r="U261" s="1540"/>
      <c r="V261" s="1540"/>
    </row>
    <row r="262" spans="1:51" ht="14.25" x14ac:dyDescent="0.2">
      <c r="A262" s="533" t="str">
        <f>A249&amp;"-"&amp;B262</f>
        <v>Lagna------</v>
      </c>
      <c r="B262" s="527" t="s">
        <v>1462</v>
      </c>
    </row>
    <row r="263" spans="1:51" s="530" customFormat="1" thickBot="1" x14ac:dyDescent="0.25">
      <c r="A263" s="529" t="str">
        <f>B263</f>
        <v>Sarva2</v>
      </c>
      <c r="B263" s="1542" t="s">
        <v>1467</v>
      </c>
      <c r="C263" s="1542"/>
      <c r="D263" s="530">
        <f ca="1">Lagnahouse</f>
        <v>5</v>
      </c>
      <c r="P263" s="531"/>
      <c r="Q263" s="531"/>
      <c r="S263" s="532"/>
      <c r="T263" s="532"/>
      <c r="U263" s="532"/>
      <c r="V263" s="532"/>
      <c r="AL263" s="1205"/>
      <c r="AM263" s="1205"/>
      <c r="AN263" s="1205"/>
      <c r="AO263" s="1205"/>
      <c r="AP263" s="1205"/>
      <c r="AQ263" s="1205"/>
      <c r="AR263" s="1205"/>
      <c r="AS263" s="1205"/>
      <c r="AT263" s="1205"/>
      <c r="AU263" s="1205"/>
      <c r="AV263" s="1205"/>
      <c r="AW263" s="1205"/>
      <c r="AX263" s="1208" t="s">
        <v>4246</v>
      </c>
    </row>
    <row r="264" spans="1:51" thickTop="1" x14ac:dyDescent="0.2">
      <c r="A264" s="533" t="str">
        <f t="shared" ref="A264:A279" si="196">A263</f>
        <v>Sarva2</v>
      </c>
      <c r="B264" s="534"/>
      <c r="C264" s="535" t="s">
        <v>1438</v>
      </c>
      <c r="D264" s="536">
        <v>1</v>
      </c>
      <c r="E264" s="536">
        <v>2</v>
      </c>
      <c r="F264" s="536">
        <v>3</v>
      </c>
      <c r="G264" s="536">
        <v>4</v>
      </c>
      <c r="H264" s="536">
        <v>5</v>
      </c>
      <c r="I264" s="536">
        <v>6</v>
      </c>
      <c r="J264" s="536">
        <v>7</v>
      </c>
      <c r="K264" s="536">
        <v>8</v>
      </c>
      <c r="L264" s="536">
        <v>9</v>
      </c>
      <c r="M264" s="536">
        <v>10</v>
      </c>
      <c r="N264" s="536">
        <v>11</v>
      </c>
      <c r="O264" s="536">
        <v>12</v>
      </c>
      <c r="P264" s="537"/>
      <c r="Q264" s="537"/>
      <c r="S264" s="1540">
        <f ca="1">O273</f>
        <v>36</v>
      </c>
      <c r="T264" s="1540">
        <f ca="1">D273</f>
        <v>33</v>
      </c>
      <c r="U264" s="1540">
        <f ca="1">E273</f>
        <v>37</v>
      </c>
      <c r="V264" s="1540">
        <f ca="1">F273</f>
        <v>30</v>
      </c>
      <c r="X264" s="534"/>
      <c r="Y264" s="557" t="s">
        <v>2413</v>
      </c>
      <c r="Z264" s="536">
        <v>1</v>
      </c>
      <c r="AA264" s="536">
        <v>2</v>
      </c>
      <c r="AB264" s="536">
        <v>3</v>
      </c>
      <c r="AC264" s="536">
        <v>4</v>
      </c>
      <c r="AD264" s="536">
        <v>5</v>
      </c>
      <c r="AE264" s="536">
        <v>6</v>
      </c>
      <c r="AF264" s="536">
        <v>7</v>
      </c>
      <c r="AG264" s="536">
        <v>8</v>
      </c>
      <c r="AH264" s="536">
        <v>9</v>
      </c>
      <c r="AI264" s="536">
        <v>10</v>
      </c>
      <c r="AJ264" s="536">
        <v>11</v>
      </c>
      <c r="AK264" s="536">
        <v>12</v>
      </c>
      <c r="AL264" s="1024">
        <v>1</v>
      </c>
      <c r="AM264" s="536">
        <v>2</v>
      </c>
      <c r="AN264" s="536">
        <v>3</v>
      </c>
      <c r="AO264" s="536">
        <v>4</v>
      </c>
      <c r="AP264" s="536">
        <v>5</v>
      </c>
      <c r="AQ264" s="536">
        <v>6</v>
      </c>
      <c r="AR264" s="536">
        <v>7</v>
      </c>
      <c r="AS264" s="536">
        <v>8</v>
      </c>
      <c r="AT264" s="536">
        <v>9</v>
      </c>
      <c r="AU264" s="536">
        <v>10</v>
      </c>
      <c r="AV264" s="536">
        <v>11</v>
      </c>
      <c r="AW264" s="1025">
        <v>12</v>
      </c>
      <c r="AX264" s="1208"/>
    </row>
    <row r="265" spans="1:51" x14ac:dyDescent="0.2">
      <c r="A265" s="533" t="str">
        <f t="shared" si="196"/>
        <v>Sarva2</v>
      </c>
      <c r="B265" s="559" t="s">
        <v>1516</v>
      </c>
      <c r="C265" s="540">
        <f ca="1">SaturnHouse</f>
        <v>2</v>
      </c>
      <c r="D265" s="539">
        <f t="shared" ref="D265:O265" ca="1" si="197">SUM(D251,D237,D223,D209,D195,D181,D167,D153)</f>
        <v>1</v>
      </c>
      <c r="E265" s="539">
        <f t="shared" ca="1" si="197"/>
        <v>4</v>
      </c>
      <c r="F265" s="539">
        <f t="shared" ca="1" si="197"/>
        <v>2</v>
      </c>
      <c r="G265" s="539">
        <f t="shared" ca="1" si="197"/>
        <v>5</v>
      </c>
      <c r="H265" s="539">
        <f t="shared" ca="1" si="197"/>
        <v>5</v>
      </c>
      <c r="I265" s="539">
        <f t="shared" ca="1" si="197"/>
        <v>4</v>
      </c>
      <c r="J265" s="539">
        <f t="shared" ca="1" si="197"/>
        <v>4</v>
      </c>
      <c r="K265" s="539">
        <f t="shared" ca="1" si="197"/>
        <v>3</v>
      </c>
      <c r="L265" s="539">
        <f t="shared" ca="1" si="197"/>
        <v>4</v>
      </c>
      <c r="M265" s="539">
        <f t="shared" ca="1" si="197"/>
        <v>4</v>
      </c>
      <c r="N265" s="539">
        <f t="shared" ca="1" si="197"/>
        <v>5</v>
      </c>
      <c r="O265" s="539">
        <f t="shared" ca="1" si="197"/>
        <v>7</v>
      </c>
      <c r="P265" s="541">
        <f t="shared" ref="P265:P273" ca="1" si="198">SUM(D265:O265)</f>
        <v>48</v>
      </c>
      <c r="Q265" s="541"/>
      <c r="S265" s="1540"/>
      <c r="T265" s="1540"/>
      <c r="U265" s="1540"/>
      <c r="V265" s="1540"/>
      <c r="X265" s="559" t="s">
        <v>1516</v>
      </c>
      <c r="Y265" s="560">
        <f t="shared" ref="Y265:Y272" si="199">SUM(Z265:AK265)</f>
        <v>48</v>
      </c>
      <c r="Z265" s="1209">
        <f t="shared" ref="Z265:AK265" si="200">SUM(Z251,Z237,Z223,Z209,Z195,Z181,Z167,Z153)</f>
        <v>4</v>
      </c>
      <c r="AA265" s="1209">
        <f t="shared" si="200"/>
        <v>2</v>
      </c>
      <c r="AB265" s="1209">
        <f t="shared" si="200"/>
        <v>5</v>
      </c>
      <c r="AC265" s="1209">
        <f t="shared" si="200"/>
        <v>5</v>
      </c>
      <c r="AD265" s="1209">
        <f t="shared" si="200"/>
        <v>4</v>
      </c>
      <c r="AE265" s="1209">
        <f t="shared" si="200"/>
        <v>4</v>
      </c>
      <c r="AF265" s="1209">
        <f t="shared" si="200"/>
        <v>3</v>
      </c>
      <c r="AG265" s="1209">
        <f t="shared" si="200"/>
        <v>4</v>
      </c>
      <c r="AH265" s="1209">
        <f t="shared" si="200"/>
        <v>4</v>
      </c>
      <c r="AI265" s="1209">
        <f t="shared" si="200"/>
        <v>5</v>
      </c>
      <c r="AJ265" s="1209">
        <f t="shared" si="200"/>
        <v>7</v>
      </c>
      <c r="AK265" s="1209">
        <f t="shared" si="200"/>
        <v>1</v>
      </c>
      <c r="AL265">
        <f t="shared" ref="AL265:AL272" si="201">Z265</f>
        <v>4</v>
      </c>
      <c r="AM265">
        <f t="shared" ref="AM265:AM272" si="202">AA265</f>
        <v>2</v>
      </c>
      <c r="AN265">
        <f t="shared" ref="AN265:AN272" si="203">AB265</f>
        <v>5</v>
      </c>
      <c r="AO265">
        <f t="shared" ref="AO265:AO272" si="204">AC265</f>
        <v>5</v>
      </c>
      <c r="AP265">
        <f t="shared" ref="AP265:AP272" si="205">AD265</f>
        <v>4</v>
      </c>
      <c r="AQ265">
        <f t="shared" ref="AQ265:AQ272" si="206">AE265</f>
        <v>4</v>
      </c>
      <c r="AR265">
        <f t="shared" ref="AR265:AR272" si="207">AF265</f>
        <v>3</v>
      </c>
      <c r="AS265">
        <f t="shared" ref="AS265:AS272" si="208">AG265</f>
        <v>4</v>
      </c>
      <c r="AT265">
        <f t="shared" ref="AT265:AT272" si="209">AH265</f>
        <v>4</v>
      </c>
      <c r="AU265">
        <f t="shared" ref="AU265:AU272" si="210">AI265</f>
        <v>5</v>
      </c>
      <c r="AV265">
        <f t="shared" ref="AV265:AV272" si="211">AJ265</f>
        <v>7</v>
      </c>
      <c r="AW265">
        <f t="shared" ref="AW265:AW272" si="212">AK265</f>
        <v>1</v>
      </c>
      <c r="AX265" s="1208" t="str">
        <f>MIN($Y$153,$Y$167,$Y$181,$Y$195,$Y$209,$Y$223,$Y$237,$Y$251)&amp;"-"&amp;MAX($Y$153,$Y$167,$Y$181,$Y$195,$Y$209,$Y$223,$Y$237,$Y$251)</f>
        <v>4-8</v>
      </c>
    </row>
    <row r="266" spans="1:51" x14ac:dyDescent="0.2">
      <c r="A266" s="533" t="str">
        <f t="shared" si="196"/>
        <v>Sarva2</v>
      </c>
      <c r="B266" s="559" t="s">
        <v>1515</v>
      </c>
      <c r="C266" s="540">
        <f ca="1">JupiterHouse</f>
        <v>8</v>
      </c>
      <c r="D266" s="539">
        <f t="shared" ref="D266:O266" ca="1" si="213">SUM(D252,D238,D224,D210,D196,D182,D168,D154)</f>
        <v>5</v>
      </c>
      <c r="E266" s="539">
        <f t="shared" ca="1" si="213"/>
        <v>3</v>
      </c>
      <c r="F266" s="539">
        <f t="shared" ca="1" si="213"/>
        <v>4</v>
      </c>
      <c r="G266" s="539">
        <f t="shared" ca="1" si="213"/>
        <v>3</v>
      </c>
      <c r="H266" s="539">
        <f t="shared" ca="1" si="213"/>
        <v>5</v>
      </c>
      <c r="I266" s="539">
        <f t="shared" ca="1" si="213"/>
        <v>8</v>
      </c>
      <c r="J266" s="539">
        <f t="shared" ca="1" si="213"/>
        <v>3</v>
      </c>
      <c r="K266" s="539">
        <f t="shared" ca="1" si="213"/>
        <v>3</v>
      </c>
      <c r="L266" s="539">
        <f t="shared" ca="1" si="213"/>
        <v>3</v>
      </c>
      <c r="M266" s="539">
        <f t="shared" ca="1" si="213"/>
        <v>1</v>
      </c>
      <c r="N266" s="539">
        <f t="shared" ca="1" si="213"/>
        <v>3</v>
      </c>
      <c r="O266" s="539">
        <f t="shared" ca="1" si="213"/>
        <v>4</v>
      </c>
      <c r="P266" s="541">
        <f t="shared" ca="1" si="198"/>
        <v>45</v>
      </c>
      <c r="Q266" s="541"/>
      <c r="S266" s="1540"/>
      <c r="T266" s="1540"/>
      <c r="U266" s="1540"/>
      <c r="V266" s="1540"/>
      <c r="X266" s="559" t="s">
        <v>1515</v>
      </c>
      <c r="Y266" s="560">
        <f t="shared" si="199"/>
        <v>45</v>
      </c>
      <c r="Z266" s="1209">
        <f t="shared" ref="Z266:AK266" si="214">SUM(Z252,Z238,Z224,Z210,Z196,Z182,Z168,Z154)</f>
        <v>3</v>
      </c>
      <c r="AA266" s="1209">
        <f t="shared" si="214"/>
        <v>3</v>
      </c>
      <c r="AB266" s="1209">
        <f t="shared" si="214"/>
        <v>1</v>
      </c>
      <c r="AC266" s="1209">
        <f t="shared" si="214"/>
        <v>3</v>
      </c>
      <c r="AD266" s="1209">
        <f t="shared" si="214"/>
        <v>4</v>
      </c>
      <c r="AE266" s="1209">
        <f t="shared" si="214"/>
        <v>5</v>
      </c>
      <c r="AF266" s="1209">
        <f t="shared" si="214"/>
        <v>3</v>
      </c>
      <c r="AG266" s="1209">
        <f t="shared" si="214"/>
        <v>4</v>
      </c>
      <c r="AH266" s="1209">
        <f t="shared" si="214"/>
        <v>3</v>
      </c>
      <c r="AI266" s="1209">
        <f t="shared" si="214"/>
        <v>5</v>
      </c>
      <c r="AJ266" s="1209">
        <f t="shared" si="214"/>
        <v>8</v>
      </c>
      <c r="AK266" s="1209">
        <f t="shared" si="214"/>
        <v>3</v>
      </c>
      <c r="AL266">
        <f t="shared" si="201"/>
        <v>3</v>
      </c>
      <c r="AM266">
        <f t="shared" si="202"/>
        <v>3</v>
      </c>
      <c r="AN266">
        <f t="shared" si="203"/>
        <v>1</v>
      </c>
      <c r="AO266">
        <f t="shared" si="204"/>
        <v>3</v>
      </c>
      <c r="AP266">
        <f t="shared" si="205"/>
        <v>4</v>
      </c>
      <c r="AQ266">
        <f t="shared" si="206"/>
        <v>5</v>
      </c>
      <c r="AR266">
        <f t="shared" si="207"/>
        <v>3</v>
      </c>
      <c r="AS266">
        <f t="shared" si="208"/>
        <v>4</v>
      </c>
      <c r="AT266">
        <f t="shared" si="209"/>
        <v>3</v>
      </c>
      <c r="AU266">
        <f t="shared" si="210"/>
        <v>5</v>
      </c>
      <c r="AV266">
        <f t="shared" si="211"/>
        <v>8</v>
      </c>
      <c r="AW266">
        <f t="shared" si="212"/>
        <v>3</v>
      </c>
      <c r="AX266" s="1208" t="str">
        <f>MIN($Y$154,$Y$168,$Y$182,$Y$196,$Y$210,$Y$224,$Y$238,$Y$252)&amp;"-"&amp;MAX($Y$154,$Y$168,$Y$182,$Y$196,$Y$210,$Y$224,$Y$238,$Y$252)</f>
        <v>4-9</v>
      </c>
    </row>
    <row r="267" spans="1:51" x14ac:dyDescent="0.2">
      <c r="A267" s="533" t="str">
        <f t="shared" si="196"/>
        <v>Sarva2</v>
      </c>
      <c r="B267" s="559" t="s">
        <v>1513</v>
      </c>
      <c r="C267" s="540">
        <f ca="1">MarsHouse</f>
        <v>10</v>
      </c>
      <c r="D267" s="539">
        <f t="shared" ref="D267:O267" ca="1" si="215">SUM(D253,D239,D225,D211,D197,D183,D169,D155)</f>
        <v>5</v>
      </c>
      <c r="E267" s="539">
        <f t="shared" ca="1" si="215"/>
        <v>2</v>
      </c>
      <c r="F267" s="539">
        <f t="shared" ca="1" si="215"/>
        <v>4</v>
      </c>
      <c r="G267" s="539">
        <f t="shared" ca="1" si="215"/>
        <v>4</v>
      </c>
      <c r="H267" s="539">
        <f t="shared" ca="1" si="215"/>
        <v>4</v>
      </c>
      <c r="I267" s="539">
        <f t="shared" ca="1" si="215"/>
        <v>3</v>
      </c>
      <c r="J267" s="539">
        <f t="shared" ca="1" si="215"/>
        <v>7</v>
      </c>
      <c r="K267" s="539">
        <f t="shared" ca="1" si="215"/>
        <v>8</v>
      </c>
      <c r="L267" s="539">
        <f t="shared" ca="1" si="215"/>
        <v>2</v>
      </c>
      <c r="M267" s="539">
        <f t="shared" ca="1" si="215"/>
        <v>5</v>
      </c>
      <c r="N267" s="539">
        <f t="shared" ca="1" si="215"/>
        <v>5</v>
      </c>
      <c r="O267" s="539">
        <f t="shared" ca="1" si="215"/>
        <v>4</v>
      </c>
      <c r="P267" s="541">
        <f t="shared" ca="1" si="198"/>
        <v>53</v>
      </c>
      <c r="Q267" s="541"/>
      <c r="S267" s="1540">
        <f ca="1">N273</f>
        <v>31</v>
      </c>
      <c r="T267" s="1541" t="str">
        <f ca="1">C263&amp;"  Ashtakavarga  "&amp;P273</f>
        <v xml:space="preserve">  Ashtakavarga  386</v>
      </c>
      <c r="U267" s="1541"/>
      <c r="V267" s="1540">
        <f ca="1">G273</f>
        <v>30</v>
      </c>
      <c r="X267" s="559" t="s">
        <v>1513</v>
      </c>
      <c r="Y267" s="560">
        <f t="shared" si="199"/>
        <v>53</v>
      </c>
      <c r="Z267" s="1209">
        <f t="shared" ref="Z267:AK267" si="216">SUM(Z253,Z239,Z225,Z211,Z197,Z183,Z169,Z155)</f>
        <v>5</v>
      </c>
      <c r="AA267" s="1209">
        <f t="shared" si="216"/>
        <v>5</v>
      </c>
      <c r="AB267" s="1209">
        <f t="shared" si="216"/>
        <v>4</v>
      </c>
      <c r="AC267" s="1209">
        <f t="shared" si="216"/>
        <v>5</v>
      </c>
      <c r="AD267" s="1209">
        <f t="shared" si="216"/>
        <v>2</v>
      </c>
      <c r="AE267" s="1209">
        <f t="shared" si="216"/>
        <v>4</v>
      </c>
      <c r="AF267" s="1209">
        <f t="shared" si="216"/>
        <v>4</v>
      </c>
      <c r="AG267" s="1209">
        <f t="shared" si="216"/>
        <v>4</v>
      </c>
      <c r="AH267" s="1209">
        <f t="shared" si="216"/>
        <v>3</v>
      </c>
      <c r="AI267" s="1209">
        <f t="shared" si="216"/>
        <v>7</v>
      </c>
      <c r="AJ267" s="1209">
        <f t="shared" si="216"/>
        <v>8</v>
      </c>
      <c r="AK267" s="1209">
        <f t="shared" si="216"/>
        <v>2</v>
      </c>
      <c r="AL267">
        <f t="shared" si="201"/>
        <v>5</v>
      </c>
      <c r="AM267">
        <f t="shared" si="202"/>
        <v>5</v>
      </c>
      <c r="AN267">
        <f t="shared" si="203"/>
        <v>4</v>
      </c>
      <c r="AO267">
        <f t="shared" si="204"/>
        <v>5</v>
      </c>
      <c r="AP267">
        <f t="shared" si="205"/>
        <v>2</v>
      </c>
      <c r="AQ267">
        <f t="shared" si="206"/>
        <v>4</v>
      </c>
      <c r="AR267">
        <f t="shared" si="207"/>
        <v>4</v>
      </c>
      <c r="AS267">
        <f t="shared" si="208"/>
        <v>4</v>
      </c>
      <c r="AT267">
        <f t="shared" si="209"/>
        <v>3</v>
      </c>
      <c r="AU267">
        <f t="shared" si="210"/>
        <v>7</v>
      </c>
      <c r="AV267">
        <f t="shared" si="211"/>
        <v>8</v>
      </c>
      <c r="AW267">
        <f t="shared" si="212"/>
        <v>2</v>
      </c>
      <c r="AX267" s="1208" t="str">
        <f>MIN($Y$155,$Y$169,$Y$183,$Y$197,$Y$211,$Y$225,$Y$239,$Y$253)&amp;"-"&amp;MAX($Y$155,$Y$169,$Y$183,$Y$197,$Y$211,$Y$225,$Y$239,$Y$253)</f>
        <v>5-8</v>
      </c>
    </row>
    <row r="268" spans="1:51" x14ac:dyDescent="0.2">
      <c r="A268" s="533" t="str">
        <f t="shared" si="196"/>
        <v>Sarva2</v>
      </c>
      <c r="B268" s="559" t="s">
        <v>1511</v>
      </c>
      <c r="C268" s="540">
        <f ca="1">SunHouse</f>
        <v>4</v>
      </c>
      <c r="D268" s="539">
        <f t="shared" ref="D268:O268" ca="1" si="217">SUM(D254,D240,D226,D212,D198,D184,D170,D156)</f>
        <v>6</v>
      </c>
      <c r="E268" s="539">
        <f t="shared" ca="1" si="217"/>
        <v>8</v>
      </c>
      <c r="F268" s="539">
        <f t="shared" ca="1" si="217"/>
        <v>3</v>
      </c>
      <c r="G268" s="539">
        <f t="shared" ca="1" si="217"/>
        <v>3</v>
      </c>
      <c r="H268" s="539">
        <f t="shared" ca="1" si="217"/>
        <v>3</v>
      </c>
      <c r="I268" s="539">
        <f t="shared" ca="1" si="217"/>
        <v>4</v>
      </c>
      <c r="J268" s="539">
        <f t="shared" ca="1" si="217"/>
        <v>4</v>
      </c>
      <c r="K268" s="539">
        <f t="shared" ca="1" si="217"/>
        <v>2</v>
      </c>
      <c r="L268" s="539">
        <f t="shared" ca="1" si="217"/>
        <v>4</v>
      </c>
      <c r="M268" s="539">
        <f t="shared" ca="1" si="217"/>
        <v>4</v>
      </c>
      <c r="N268" s="539">
        <f t="shared" ca="1" si="217"/>
        <v>5</v>
      </c>
      <c r="O268" s="539">
        <f t="shared" ca="1" si="217"/>
        <v>3</v>
      </c>
      <c r="P268" s="541">
        <f t="shared" ca="1" si="198"/>
        <v>49</v>
      </c>
      <c r="Q268" s="541"/>
      <c r="S268" s="1540"/>
      <c r="T268" s="1540"/>
      <c r="U268" s="1541"/>
      <c r="V268" s="1540"/>
      <c r="X268" s="559" t="s">
        <v>1511</v>
      </c>
      <c r="Y268" s="560">
        <f t="shared" si="199"/>
        <v>49</v>
      </c>
      <c r="Z268" s="1209">
        <f t="shared" ref="Z268:AK268" si="218">SUM(Z254,Z240,Z226,Z212,Z198,Z184,Z170,Z156)</f>
        <v>3</v>
      </c>
      <c r="AA268" s="1209">
        <f t="shared" si="218"/>
        <v>3</v>
      </c>
      <c r="AB268" s="1209">
        <f t="shared" si="218"/>
        <v>4</v>
      </c>
      <c r="AC268" s="1209">
        <f t="shared" si="218"/>
        <v>4</v>
      </c>
      <c r="AD268" s="1209">
        <f t="shared" si="218"/>
        <v>2</v>
      </c>
      <c r="AE268" s="1209">
        <f t="shared" si="218"/>
        <v>4</v>
      </c>
      <c r="AF268" s="1209">
        <f t="shared" si="218"/>
        <v>4</v>
      </c>
      <c r="AG268" s="1209">
        <f t="shared" si="218"/>
        <v>5</v>
      </c>
      <c r="AH268" s="1209">
        <f t="shared" si="218"/>
        <v>3</v>
      </c>
      <c r="AI268" s="1209">
        <f t="shared" si="218"/>
        <v>6</v>
      </c>
      <c r="AJ268" s="1209">
        <f t="shared" si="218"/>
        <v>8</v>
      </c>
      <c r="AK268" s="1209">
        <f t="shared" si="218"/>
        <v>3</v>
      </c>
      <c r="AL268">
        <f t="shared" si="201"/>
        <v>3</v>
      </c>
      <c r="AM268">
        <f t="shared" si="202"/>
        <v>3</v>
      </c>
      <c r="AN268">
        <f t="shared" si="203"/>
        <v>4</v>
      </c>
      <c r="AO268">
        <f t="shared" si="204"/>
        <v>4</v>
      </c>
      <c r="AP268">
        <f t="shared" si="205"/>
        <v>2</v>
      </c>
      <c r="AQ268">
        <f t="shared" si="206"/>
        <v>4</v>
      </c>
      <c r="AR268">
        <f t="shared" si="207"/>
        <v>4</v>
      </c>
      <c r="AS268">
        <f t="shared" si="208"/>
        <v>5</v>
      </c>
      <c r="AT268">
        <f t="shared" si="209"/>
        <v>3</v>
      </c>
      <c r="AU268">
        <f t="shared" si="210"/>
        <v>6</v>
      </c>
      <c r="AV268">
        <f t="shared" si="211"/>
        <v>8</v>
      </c>
      <c r="AW268">
        <f t="shared" si="212"/>
        <v>3</v>
      </c>
      <c r="AX268" s="1208" t="str">
        <f>MIN($Y$156,$Y$170,$Y$184,$Y$198,$Y$212,$Y$226,$Y$240,$Y$254)&amp;"-"&amp;MAX($Y$156,$Y$170,$Y$184,$Y$198,$Y$212,$Y$226,$Y$240,$Y$254)</f>
        <v>3-9</v>
      </c>
    </row>
    <row r="269" spans="1:51" x14ac:dyDescent="0.2">
      <c r="A269" s="533" t="str">
        <f t="shared" si="196"/>
        <v>Sarva2</v>
      </c>
      <c r="B269" s="559" t="s">
        <v>1519</v>
      </c>
      <c r="C269" s="540">
        <f ca="1">VenusHouse</f>
        <v>3</v>
      </c>
      <c r="D269" s="539">
        <f t="shared" ref="D269:O269" ca="1" si="219">SUM(D255,D241,D227,D213,D199,D185,D171,D157)</f>
        <v>6</v>
      </c>
      <c r="E269" s="539">
        <f t="shared" ca="1" si="219"/>
        <v>3</v>
      </c>
      <c r="F269" s="539">
        <f t="shared" ca="1" si="219"/>
        <v>3</v>
      </c>
      <c r="G269" s="539">
        <f t="shared" ca="1" si="219"/>
        <v>4</v>
      </c>
      <c r="H269" s="539">
        <f t="shared" ca="1" si="219"/>
        <v>4</v>
      </c>
      <c r="I269" s="539">
        <f t="shared" ca="1" si="219"/>
        <v>4</v>
      </c>
      <c r="J269" s="539">
        <f t="shared" ca="1" si="219"/>
        <v>5</v>
      </c>
      <c r="K269" s="539">
        <f t="shared" ca="1" si="219"/>
        <v>4</v>
      </c>
      <c r="L269" s="539">
        <f t="shared" ca="1" si="219"/>
        <v>2</v>
      </c>
      <c r="M269" s="539">
        <f t="shared" ca="1" si="219"/>
        <v>4</v>
      </c>
      <c r="N269" s="539">
        <f t="shared" ca="1" si="219"/>
        <v>5</v>
      </c>
      <c r="O269" s="539">
        <f t="shared" ca="1" si="219"/>
        <v>3</v>
      </c>
      <c r="P269" s="541">
        <f t="shared" ca="1" si="198"/>
        <v>47</v>
      </c>
      <c r="Q269" s="541"/>
      <c r="S269" s="1540"/>
      <c r="T269" s="1540"/>
      <c r="U269" s="1541"/>
      <c r="V269" s="1540"/>
      <c r="X269" s="559" t="s">
        <v>1519</v>
      </c>
      <c r="Y269" s="560">
        <f t="shared" si="199"/>
        <v>47</v>
      </c>
      <c r="Z269" s="1209">
        <f t="shared" ref="Z269:AK269" si="220">SUM(Z255,Z241,Z227,Z213,Z199,Z185,Z171,Z157)</f>
        <v>3</v>
      </c>
      <c r="AA269" s="1209">
        <f t="shared" si="220"/>
        <v>4</v>
      </c>
      <c r="AB269" s="1209">
        <f t="shared" si="220"/>
        <v>4</v>
      </c>
      <c r="AC269" s="1209">
        <f t="shared" si="220"/>
        <v>4</v>
      </c>
      <c r="AD269" s="1209">
        <f t="shared" si="220"/>
        <v>5</v>
      </c>
      <c r="AE269" s="1209">
        <f t="shared" si="220"/>
        <v>4</v>
      </c>
      <c r="AF269" s="1209">
        <f t="shared" si="220"/>
        <v>2</v>
      </c>
      <c r="AG269" s="1209">
        <f t="shared" si="220"/>
        <v>4</v>
      </c>
      <c r="AH269" s="1209">
        <f t="shared" si="220"/>
        <v>5</v>
      </c>
      <c r="AI269" s="1209">
        <f t="shared" si="220"/>
        <v>3</v>
      </c>
      <c r="AJ269" s="1209">
        <f t="shared" si="220"/>
        <v>6</v>
      </c>
      <c r="AK269" s="1209">
        <f t="shared" si="220"/>
        <v>3</v>
      </c>
      <c r="AL269">
        <f t="shared" si="201"/>
        <v>3</v>
      </c>
      <c r="AM269">
        <f t="shared" si="202"/>
        <v>4</v>
      </c>
      <c r="AN269">
        <f t="shared" si="203"/>
        <v>4</v>
      </c>
      <c r="AO269">
        <f t="shared" si="204"/>
        <v>4</v>
      </c>
      <c r="AP269">
        <f t="shared" si="205"/>
        <v>5</v>
      </c>
      <c r="AQ269">
        <f t="shared" si="206"/>
        <v>4</v>
      </c>
      <c r="AR269">
        <f t="shared" si="207"/>
        <v>2</v>
      </c>
      <c r="AS269">
        <f t="shared" si="208"/>
        <v>4</v>
      </c>
      <c r="AT269">
        <f t="shared" si="209"/>
        <v>5</v>
      </c>
      <c r="AU269">
        <f t="shared" si="210"/>
        <v>3</v>
      </c>
      <c r="AV269">
        <f t="shared" si="211"/>
        <v>6</v>
      </c>
      <c r="AW269">
        <f t="shared" si="212"/>
        <v>3</v>
      </c>
      <c r="AX269" s="1208" t="str">
        <f>MIN($Y$157,$Y$171,$Y$185,$Y$199,$Y$213,$Y$227,$Y$241,$Y$255)&amp;"-"&amp;MAX($Y$157,$Y$171,$Y$185,$Y$199,$Y$213,$Y$227,$Y$241,$Y$255)</f>
        <v>3-9</v>
      </c>
    </row>
    <row r="270" spans="1:51" x14ac:dyDescent="0.2">
      <c r="A270" s="533" t="str">
        <f t="shared" si="196"/>
        <v>Sarva2</v>
      </c>
      <c r="B270" s="559" t="s">
        <v>1517</v>
      </c>
      <c r="C270" s="540">
        <f ca="1">MercuryHouse</f>
        <v>4</v>
      </c>
      <c r="D270" s="539">
        <f t="shared" ref="D270:O270" ca="1" si="221">SUM(D256,D242,D228,D214,D200,D186,D172,D158)</f>
        <v>6</v>
      </c>
      <c r="E270" s="539">
        <f t="shared" ca="1" si="221"/>
        <v>8</v>
      </c>
      <c r="F270" s="539">
        <f t="shared" ca="1" si="221"/>
        <v>3</v>
      </c>
      <c r="G270" s="539">
        <f t="shared" ca="1" si="221"/>
        <v>4</v>
      </c>
      <c r="H270" s="539">
        <f t="shared" ca="1" si="221"/>
        <v>2</v>
      </c>
      <c r="I270" s="539">
        <f t="shared" ca="1" si="221"/>
        <v>5</v>
      </c>
      <c r="J270" s="539">
        <f t="shared" ca="1" si="221"/>
        <v>3</v>
      </c>
      <c r="K270" s="539">
        <f t="shared" ca="1" si="221"/>
        <v>6</v>
      </c>
      <c r="L270" s="539">
        <f t="shared" ca="1" si="221"/>
        <v>7</v>
      </c>
      <c r="M270" s="539">
        <f t="shared" ca="1" si="221"/>
        <v>1</v>
      </c>
      <c r="N270" s="539">
        <f t="shared" ca="1" si="221"/>
        <v>3</v>
      </c>
      <c r="O270" s="539">
        <f t="shared" ca="1" si="221"/>
        <v>5</v>
      </c>
      <c r="P270" s="541">
        <f t="shared" ca="1" si="198"/>
        <v>53</v>
      </c>
      <c r="Q270" s="541"/>
      <c r="S270" s="1540">
        <f ca="1">M273</f>
        <v>29</v>
      </c>
      <c r="T270" s="1541"/>
      <c r="U270" s="1541"/>
      <c r="V270" s="1540">
        <f ca="1">H273</f>
        <v>30</v>
      </c>
      <c r="X270" s="559" t="s">
        <v>1517</v>
      </c>
      <c r="Y270" s="560">
        <f t="shared" si="199"/>
        <v>53</v>
      </c>
      <c r="Z270" s="1209">
        <f t="shared" ref="Z270:AK270" si="222">SUM(Z256,Z242,Z228,Z214,Z200,Z186,Z172,Z158)</f>
        <v>4</v>
      </c>
      <c r="AA270" s="1209">
        <f t="shared" si="222"/>
        <v>2</v>
      </c>
      <c r="AB270" s="1209">
        <f t="shared" si="222"/>
        <v>5</v>
      </c>
      <c r="AC270" s="1209">
        <f t="shared" si="222"/>
        <v>3</v>
      </c>
      <c r="AD270" s="1209">
        <f t="shared" si="222"/>
        <v>6</v>
      </c>
      <c r="AE270" s="1209">
        <f t="shared" si="222"/>
        <v>7</v>
      </c>
      <c r="AF270" s="1209">
        <f t="shared" si="222"/>
        <v>1</v>
      </c>
      <c r="AG270" s="1209">
        <f t="shared" si="222"/>
        <v>3</v>
      </c>
      <c r="AH270" s="1209">
        <f t="shared" si="222"/>
        <v>5</v>
      </c>
      <c r="AI270" s="1209">
        <f t="shared" si="222"/>
        <v>6</v>
      </c>
      <c r="AJ270" s="1209">
        <f t="shared" si="222"/>
        <v>8</v>
      </c>
      <c r="AK270" s="1209">
        <f t="shared" si="222"/>
        <v>3</v>
      </c>
      <c r="AL270">
        <f t="shared" si="201"/>
        <v>4</v>
      </c>
      <c r="AM270">
        <f t="shared" si="202"/>
        <v>2</v>
      </c>
      <c r="AN270">
        <f t="shared" si="203"/>
        <v>5</v>
      </c>
      <c r="AO270">
        <f t="shared" si="204"/>
        <v>3</v>
      </c>
      <c r="AP270">
        <f t="shared" si="205"/>
        <v>6</v>
      </c>
      <c r="AQ270">
        <f t="shared" si="206"/>
        <v>7</v>
      </c>
      <c r="AR270">
        <f t="shared" si="207"/>
        <v>1</v>
      </c>
      <c r="AS270">
        <f t="shared" si="208"/>
        <v>3</v>
      </c>
      <c r="AT270">
        <f t="shared" si="209"/>
        <v>5</v>
      </c>
      <c r="AU270">
        <f t="shared" si="210"/>
        <v>6</v>
      </c>
      <c r="AV270">
        <f t="shared" si="211"/>
        <v>8</v>
      </c>
      <c r="AW270">
        <f t="shared" si="212"/>
        <v>3</v>
      </c>
      <c r="AX270" s="1208" t="str">
        <f>MIN($Y$158,$Y$172,$Y$186,$Y$200,$Y$214,$Y$228,$Y$242,$Y$256)&amp;"-"&amp;MAX($Y$158,$Y$172,$Y$186,$Y$200,$Y$214,$Y$228,$Y$242,$Y$256)</f>
        <v>4-8</v>
      </c>
    </row>
    <row r="271" spans="1:51" x14ac:dyDescent="0.2">
      <c r="A271" s="533" t="str">
        <f t="shared" si="196"/>
        <v>Sarva2</v>
      </c>
      <c r="B271" s="559" t="s">
        <v>1512</v>
      </c>
      <c r="C271" s="540">
        <f ca="1">MoonHouse</f>
        <v>2</v>
      </c>
      <c r="D271" s="539">
        <f t="shared" ref="D271:O271" ca="1" si="223">SUM(D257,D243,D229,D215,D201,D187,D173,D159)</f>
        <v>2</v>
      </c>
      <c r="E271" s="539">
        <f t="shared" ca="1" si="223"/>
        <v>2</v>
      </c>
      <c r="F271" s="539">
        <f t="shared" ca="1" si="223"/>
        <v>3</v>
      </c>
      <c r="G271" s="539">
        <f t="shared" ca="1" si="223"/>
        <v>6</v>
      </c>
      <c r="H271" s="539">
        <f t="shared" ca="1" si="223"/>
        <v>2</v>
      </c>
      <c r="I271" s="539">
        <f t="shared" ca="1" si="223"/>
        <v>2</v>
      </c>
      <c r="J271" s="539">
        <f t="shared" ca="1" si="223"/>
        <v>6</v>
      </c>
      <c r="K271" s="539">
        <f t="shared" ca="1" si="223"/>
        <v>2</v>
      </c>
      <c r="L271" s="539">
        <f t="shared" ca="1" si="223"/>
        <v>2</v>
      </c>
      <c r="M271" s="539">
        <f t="shared" ca="1" si="223"/>
        <v>3</v>
      </c>
      <c r="N271" s="539">
        <f t="shared" ca="1" si="223"/>
        <v>4</v>
      </c>
      <c r="O271" s="539">
        <f t="shared" ca="1" si="223"/>
        <v>8</v>
      </c>
      <c r="P271" s="541">
        <f t="shared" ca="1" si="198"/>
        <v>42</v>
      </c>
      <c r="Q271" s="541"/>
      <c r="S271" s="1540"/>
      <c r="T271" s="1540"/>
      <c r="U271" s="1541"/>
      <c r="V271" s="1540"/>
      <c r="X271" s="559" t="s">
        <v>1512</v>
      </c>
      <c r="Y271" s="560">
        <f t="shared" si="199"/>
        <v>42</v>
      </c>
      <c r="Z271" s="1209">
        <f t="shared" ref="Z271:AK271" si="224">SUM(Z257,Z243,Z229,Z215,Z201,Z187,Z173,Z159)</f>
        <v>2</v>
      </c>
      <c r="AA271" s="1209">
        <f t="shared" si="224"/>
        <v>3</v>
      </c>
      <c r="AB271" s="1209">
        <f t="shared" si="224"/>
        <v>6</v>
      </c>
      <c r="AC271" s="1209">
        <f t="shared" si="224"/>
        <v>2</v>
      </c>
      <c r="AD271" s="1209">
        <f t="shared" si="224"/>
        <v>2</v>
      </c>
      <c r="AE271" s="1209">
        <f t="shared" si="224"/>
        <v>6</v>
      </c>
      <c r="AF271" s="1209">
        <f t="shared" si="224"/>
        <v>2</v>
      </c>
      <c r="AG271" s="1209">
        <f t="shared" si="224"/>
        <v>2</v>
      </c>
      <c r="AH271" s="1209">
        <f t="shared" si="224"/>
        <v>3</v>
      </c>
      <c r="AI271" s="1209">
        <f t="shared" si="224"/>
        <v>4</v>
      </c>
      <c r="AJ271" s="1209">
        <f t="shared" si="224"/>
        <v>8</v>
      </c>
      <c r="AK271" s="1209">
        <f t="shared" si="224"/>
        <v>2</v>
      </c>
      <c r="AL271">
        <f t="shared" si="201"/>
        <v>2</v>
      </c>
      <c r="AM271">
        <f t="shared" si="202"/>
        <v>3</v>
      </c>
      <c r="AN271">
        <f t="shared" si="203"/>
        <v>6</v>
      </c>
      <c r="AO271">
        <f t="shared" si="204"/>
        <v>2</v>
      </c>
      <c r="AP271">
        <f t="shared" si="205"/>
        <v>2</v>
      </c>
      <c r="AQ271">
        <f t="shared" si="206"/>
        <v>6</v>
      </c>
      <c r="AR271">
        <f t="shared" si="207"/>
        <v>2</v>
      </c>
      <c r="AS271">
        <f t="shared" si="208"/>
        <v>2</v>
      </c>
      <c r="AT271">
        <f t="shared" si="209"/>
        <v>3</v>
      </c>
      <c r="AU271">
        <f t="shared" si="210"/>
        <v>4</v>
      </c>
      <c r="AV271">
        <f t="shared" si="211"/>
        <v>8</v>
      </c>
      <c r="AW271">
        <f t="shared" si="212"/>
        <v>2</v>
      </c>
      <c r="AX271" s="1208" t="str">
        <f>MIN($Y$159,$Y$173,$Y$187,$Y$201,$Y$215,$Y$229,$Y$243,$Y$257)&amp;"-"&amp;MAX($Y$159,$Y$173,$Y$187,$Y$201,$Y$215,$Y$229,$Y$243,$Y$257)</f>
        <v>3-9</v>
      </c>
    </row>
    <row r="272" spans="1:51" x14ac:dyDescent="0.2">
      <c r="A272" s="533" t="str">
        <f t="shared" si="196"/>
        <v>Sarva2</v>
      </c>
      <c r="B272" s="559" t="s">
        <v>1722</v>
      </c>
      <c r="C272" s="540">
        <f ca="1">Lagnahouse</f>
        <v>5</v>
      </c>
      <c r="D272" s="539">
        <f t="shared" ref="D272:O272" ca="1" si="225">SUM(D258,D244,D230,D216,D202,D188,D174,D160)</f>
        <v>2</v>
      </c>
      <c r="E272" s="539">
        <f t="shared" ca="1" si="225"/>
        <v>7</v>
      </c>
      <c r="F272" s="539">
        <f t="shared" ca="1" si="225"/>
        <v>8</v>
      </c>
      <c r="G272" s="539">
        <f t="shared" ca="1" si="225"/>
        <v>1</v>
      </c>
      <c r="H272" s="539">
        <f t="shared" ca="1" si="225"/>
        <v>5</v>
      </c>
      <c r="I272" s="539">
        <f t="shared" ca="1" si="225"/>
        <v>3</v>
      </c>
      <c r="J272" s="539">
        <f t="shared" ca="1" si="225"/>
        <v>6</v>
      </c>
      <c r="K272" s="539">
        <f t="shared" ca="1" si="225"/>
        <v>5</v>
      </c>
      <c r="L272" s="539">
        <f t="shared" ca="1" si="225"/>
        <v>2</v>
      </c>
      <c r="M272" s="539">
        <f t="shared" ca="1" si="225"/>
        <v>7</v>
      </c>
      <c r="N272" s="539">
        <f t="shared" ca="1" si="225"/>
        <v>1</v>
      </c>
      <c r="O272" s="539">
        <f t="shared" ca="1" si="225"/>
        <v>2</v>
      </c>
      <c r="P272" s="541">
        <f t="shared" ca="1" si="198"/>
        <v>49</v>
      </c>
      <c r="Q272" s="541"/>
      <c r="S272" s="1540"/>
      <c r="T272" s="1540"/>
      <c r="U272" s="1541"/>
      <c r="V272" s="1540"/>
      <c r="X272" s="559" t="s">
        <v>1722</v>
      </c>
      <c r="Y272" s="560">
        <f t="shared" si="199"/>
        <v>49</v>
      </c>
      <c r="Z272" s="1209">
        <f t="shared" ref="Z272:AK272" si="226">SUM(Z258,Z244,Z230,Z216,Z202,Z188,Z174,Z160)</f>
        <v>5</v>
      </c>
      <c r="AA272" s="1209">
        <f t="shared" si="226"/>
        <v>3</v>
      </c>
      <c r="AB272" s="1209">
        <f t="shared" si="226"/>
        <v>6</v>
      </c>
      <c r="AC272" s="1209">
        <f t="shared" si="226"/>
        <v>5</v>
      </c>
      <c r="AD272" s="1209">
        <f t="shared" si="226"/>
        <v>2</v>
      </c>
      <c r="AE272" s="1209">
        <f t="shared" si="226"/>
        <v>7</v>
      </c>
      <c r="AF272" s="1209">
        <f t="shared" si="226"/>
        <v>1</v>
      </c>
      <c r="AG272" s="1209">
        <f t="shared" si="226"/>
        <v>2</v>
      </c>
      <c r="AH272" s="1209">
        <f t="shared" si="226"/>
        <v>2</v>
      </c>
      <c r="AI272" s="1209">
        <f t="shared" si="226"/>
        <v>7</v>
      </c>
      <c r="AJ272" s="1209">
        <f t="shared" si="226"/>
        <v>8</v>
      </c>
      <c r="AK272" s="1209">
        <f t="shared" si="226"/>
        <v>1</v>
      </c>
      <c r="AL272">
        <f t="shared" si="201"/>
        <v>5</v>
      </c>
      <c r="AM272">
        <f t="shared" si="202"/>
        <v>3</v>
      </c>
      <c r="AN272">
        <f t="shared" si="203"/>
        <v>6</v>
      </c>
      <c r="AO272">
        <f t="shared" si="204"/>
        <v>5</v>
      </c>
      <c r="AP272">
        <f t="shared" si="205"/>
        <v>2</v>
      </c>
      <c r="AQ272">
        <f t="shared" si="206"/>
        <v>7</v>
      </c>
      <c r="AR272">
        <f t="shared" si="207"/>
        <v>1</v>
      </c>
      <c r="AS272">
        <f t="shared" si="208"/>
        <v>2</v>
      </c>
      <c r="AT272">
        <f t="shared" si="209"/>
        <v>2</v>
      </c>
      <c r="AU272">
        <f t="shared" si="210"/>
        <v>7</v>
      </c>
      <c r="AV272">
        <f t="shared" si="211"/>
        <v>8</v>
      </c>
      <c r="AW272">
        <f t="shared" si="212"/>
        <v>1</v>
      </c>
      <c r="AX272" s="1208" t="str">
        <f>MIN($Y$160,$Y$174,$Y$188,$Y$202,$Y$216,$Y$230,$Y$244,$Y$258)&amp;"-"&amp;MAX($Y$160,$Y$174,$Y$188,$Y$202,$Y$216,$Y$230,$Y$244,$Y$258)</f>
        <v>4-9</v>
      </c>
    </row>
    <row r="273" spans="1:50" ht="15.75" thickBot="1" x14ac:dyDescent="0.25">
      <c r="A273" s="533" t="str">
        <f t="shared" si="196"/>
        <v>Sarva2</v>
      </c>
      <c r="B273" s="562" t="s">
        <v>1443</v>
      </c>
      <c r="C273" s="542"/>
      <c r="D273" s="539">
        <f t="shared" ref="D273:O273" ca="1" si="227">SUM(D259,D245,D231,D217,D203,D189,D175,D161)</f>
        <v>33</v>
      </c>
      <c r="E273" s="539">
        <f t="shared" ca="1" si="227"/>
        <v>37</v>
      </c>
      <c r="F273" s="539">
        <f t="shared" ca="1" si="227"/>
        <v>30</v>
      </c>
      <c r="G273" s="539">
        <f t="shared" ca="1" si="227"/>
        <v>30</v>
      </c>
      <c r="H273" s="539">
        <f t="shared" ca="1" si="227"/>
        <v>30</v>
      </c>
      <c r="I273" s="539">
        <f t="shared" ca="1" si="227"/>
        <v>33</v>
      </c>
      <c r="J273" s="539">
        <f t="shared" ca="1" si="227"/>
        <v>38</v>
      </c>
      <c r="K273" s="539">
        <f t="shared" ca="1" si="227"/>
        <v>33</v>
      </c>
      <c r="L273" s="539">
        <f t="shared" ca="1" si="227"/>
        <v>26</v>
      </c>
      <c r="M273" s="539">
        <f t="shared" ca="1" si="227"/>
        <v>29</v>
      </c>
      <c r="N273" s="539">
        <f t="shared" ca="1" si="227"/>
        <v>31</v>
      </c>
      <c r="O273" s="539">
        <f t="shared" ca="1" si="227"/>
        <v>36</v>
      </c>
      <c r="P273" s="543">
        <f t="shared" ca="1" si="198"/>
        <v>386</v>
      </c>
      <c r="Q273" s="543"/>
      <c r="S273" s="1540">
        <f ca="1">L273</f>
        <v>26</v>
      </c>
      <c r="T273" s="1540">
        <f ca="1">K273</f>
        <v>33</v>
      </c>
      <c r="U273" s="1540">
        <f ca="1">J273</f>
        <v>38</v>
      </c>
      <c r="V273" s="1540">
        <f ca="1">I273</f>
        <v>33</v>
      </c>
      <c r="AL273"/>
      <c r="AM273"/>
      <c r="AN273"/>
      <c r="AO273"/>
      <c r="AP273"/>
      <c r="AQ273"/>
      <c r="AR273"/>
      <c r="AS273"/>
      <c r="AT273"/>
      <c r="AU273"/>
      <c r="AV273"/>
      <c r="AW273">
        <f t="shared" ref="AW273" si="228">SUM(AW265:AW272)</f>
        <v>18</v>
      </c>
      <c r="AX273" s="1208"/>
    </row>
    <row r="274" spans="1:50" thickTop="1" x14ac:dyDescent="0.2">
      <c r="A274" s="533" t="str">
        <f t="shared" si="196"/>
        <v>Sarva2</v>
      </c>
      <c r="B274" s="527" t="s">
        <v>1468</v>
      </c>
      <c r="D274" s="545">
        <f ca="1">D273-MIN(D273,H273,L273)</f>
        <v>7</v>
      </c>
      <c r="E274" s="546">
        <f ca="1">E273-MIN(E273,I273,M273)</f>
        <v>8</v>
      </c>
      <c r="F274" s="547">
        <f ca="1">F273-MIN(F273,J273,N273)</f>
        <v>0</v>
      </c>
      <c r="G274" s="548">
        <f ca="1">G273-MIN(G273,K273,O273)</f>
        <v>0</v>
      </c>
      <c r="H274" s="545">
        <f ca="1">H273-MIN(D273,H273,L273)</f>
        <v>4</v>
      </c>
      <c r="I274" s="546">
        <f ca="1">I273-MIN(E273,I273,M273)</f>
        <v>4</v>
      </c>
      <c r="J274" s="547">
        <f ca="1">J273-MIN(F273,J273,N273)</f>
        <v>8</v>
      </c>
      <c r="K274" s="548">
        <f ca="1">K273-MIN(G273,K273,O273)</f>
        <v>3</v>
      </c>
      <c r="L274" s="545">
        <f ca="1">L273-MIN(D273,H273,L273)</f>
        <v>0</v>
      </c>
      <c r="M274" s="546">
        <f ca="1">M273-MIN(E273,I273,M273)</f>
        <v>0</v>
      </c>
      <c r="N274" s="547">
        <f ca="1">N273-MIN(F273,J273,N273)</f>
        <v>1</v>
      </c>
      <c r="O274" s="548">
        <f ca="1">O273-MIN(G273,K273,O273)</f>
        <v>6</v>
      </c>
      <c r="S274" s="1540"/>
      <c r="T274" s="1540"/>
      <c r="U274" s="1540"/>
      <c r="V274" s="1540"/>
    </row>
    <row r="275" spans="1:50" x14ac:dyDescent="0.2">
      <c r="A275" s="533" t="str">
        <f t="shared" si="196"/>
        <v>Sarva2</v>
      </c>
      <c r="B275" t="s">
        <v>1469</v>
      </c>
      <c r="C275" s="219"/>
      <c r="D275" s="527">
        <f ca="1">IF(OR(D$27,$D274=0,$K274=0),D274,MIN($D274,$K274))</f>
        <v>3</v>
      </c>
      <c r="E275" s="527">
        <f ca="1">IF(OR(E$27,$E274=0,$J274=0),E274,MIN($E274,$J274))</f>
        <v>8</v>
      </c>
      <c r="F275" s="527">
        <f ca="1">IF(OR(F$27,F274=0,K274=0),F274,MIN(F274,K274))</f>
        <v>0</v>
      </c>
      <c r="G275" s="527">
        <f ca="1">G274</f>
        <v>0</v>
      </c>
      <c r="H275" s="527">
        <f ca="1">H274</f>
        <v>4</v>
      </c>
      <c r="I275" s="527">
        <f ca="1">IF(OR(I$27,I274=0,N274=0),I274,MIN(I274,N274))</f>
        <v>1</v>
      </c>
      <c r="J275" s="527">
        <f ca="1">IF(OR(J$27,$E274=0,$J274=0),J274,MIN($E274,$J274))</f>
        <v>8</v>
      </c>
      <c r="K275" s="527">
        <f ca="1">IF(OR(K$27,$D274=0,$K274=0),K274,MIN($D274,$K274))</f>
        <v>3</v>
      </c>
      <c r="L275" s="527">
        <f ca="1">IF(OR(L$27,L274=0,Q274=0),L274,MIN(L274,Q274))</f>
        <v>0</v>
      </c>
      <c r="M275" s="527">
        <f ca="1">IF(OR(M$27,M274=0,R274=0),M274,MIN(M274,R274))</f>
        <v>0</v>
      </c>
      <c r="N275" s="527">
        <f ca="1">IF(OR(N$27,N274=0,S274=0),N274,MIN(N274,S274))</f>
        <v>1</v>
      </c>
      <c r="O275" s="527">
        <f ca="1">IF(OR(O$27,O274=0,T274=0),O274,MIN(O274,T274))</f>
        <v>6</v>
      </c>
      <c r="S275" s="1540"/>
      <c r="T275" s="1540"/>
      <c r="U275" s="1540"/>
      <c r="V275" s="1540"/>
    </row>
    <row r="276" spans="1:50" ht="14.25" x14ac:dyDescent="0.2">
      <c r="A276" s="533" t="str">
        <f t="shared" si="196"/>
        <v>Sarva2</v>
      </c>
      <c r="B276" s="527" t="s">
        <v>1444</v>
      </c>
      <c r="C276" s="544"/>
      <c r="D276" s="527">
        <f t="shared" ref="D276:P276" ca="1" si="229">SUM(D265:D271)</f>
        <v>31</v>
      </c>
      <c r="E276" s="527">
        <f t="shared" ca="1" si="229"/>
        <v>30</v>
      </c>
      <c r="F276" s="527">
        <f t="shared" ca="1" si="229"/>
        <v>22</v>
      </c>
      <c r="G276" s="527">
        <f t="shared" ca="1" si="229"/>
        <v>29</v>
      </c>
      <c r="H276" s="527">
        <f t="shared" ca="1" si="229"/>
        <v>25</v>
      </c>
      <c r="I276" s="527">
        <f t="shared" ca="1" si="229"/>
        <v>30</v>
      </c>
      <c r="J276" s="527">
        <f t="shared" ca="1" si="229"/>
        <v>32</v>
      </c>
      <c r="K276" s="527">
        <f t="shared" ca="1" si="229"/>
        <v>28</v>
      </c>
      <c r="L276" s="527">
        <f t="shared" ca="1" si="229"/>
        <v>24</v>
      </c>
      <c r="M276" s="527">
        <f t="shared" ca="1" si="229"/>
        <v>22</v>
      </c>
      <c r="N276" s="527">
        <f t="shared" ca="1" si="229"/>
        <v>30</v>
      </c>
      <c r="O276" s="527">
        <f t="shared" ca="1" si="229"/>
        <v>34</v>
      </c>
      <c r="P276" s="527">
        <f t="shared" ca="1" si="229"/>
        <v>337</v>
      </c>
      <c r="Q276" s="527"/>
      <c r="S276" s="538"/>
      <c r="T276" s="538"/>
      <c r="U276" s="538"/>
      <c r="V276" s="538"/>
    </row>
    <row r="277" spans="1:50" ht="14.25" x14ac:dyDescent="0.2">
      <c r="A277" s="533" t="str">
        <f t="shared" si="196"/>
        <v>Sarva2</v>
      </c>
      <c r="B277" s="527" t="s">
        <v>1468</v>
      </c>
      <c r="D277" s="545">
        <f ca="1">D276-MIN(D276,H276,L276)</f>
        <v>7</v>
      </c>
      <c r="E277" s="546">
        <f ca="1">E276-MIN(E276,I276,M276)</f>
        <v>8</v>
      </c>
      <c r="F277" s="547">
        <f ca="1">F276-MIN(F276,J276,N276)</f>
        <v>0</v>
      </c>
      <c r="G277" s="548">
        <f ca="1">G276-MIN(G276,K276,O276)</f>
        <v>1</v>
      </c>
      <c r="H277" s="545">
        <f ca="1">H276-MIN(D276,H276,L276)</f>
        <v>1</v>
      </c>
      <c r="I277" s="546">
        <f ca="1">I276-MIN(E276,I276,M276)</f>
        <v>8</v>
      </c>
      <c r="J277" s="547">
        <f ca="1">J276-MIN(F276,J276,N276)</f>
        <v>10</v>
      </c>
      <c r="K277" s="548">
        <f ca="1">K276-MIN(G276,K276,O276)</f>
        <v>0</v>
      </c>
      <c r="L277" s="545">
        <f ca="1">L276-MIN(D276,H276,L276)</f>
        <v>0</v>
      </c>
      <c r="M277" s="546">
        <f ca="1">M276-MIN(E276,I276,M276)</f>
        <v>0</v>
      </c>
      <c r="N277" s="547">
        <f ca="1">N276-MIN(F276,J276,N276)</f>
        <v>8</v>
      </c>
      <c r="O277" s="548">
        <f ca="1">O276-MIN(G276,K276,O276)</f>
        <v>6</v>
      </c>
      <c r="S277" s="538"/>
      <c r="T277" s="538"/>
      <c r="U277" s="538"/>
      <c r="V277" s="538"/>
    </row>
    <row r="278" spans="1:50" ht="14.25" x14ac:dyDescent="0.2">
      <c r="A278" s="533" t="str">
        <f t="shared" si="196"/>
        <v>Sarva2</v>
      </c>
      <c r="B278" s="527" t="s">
        <v>1469</v>
      </c>
      <c r="D278" s="527">
        <f ca="1">IF(OR(D$27,$D277=0,$K277=0),D277,MIN($D277,$K277))</f>
        <v>7</v>
      </c>
      <c r="E278" s="527">
        <f ca="1">IF(OR(E$27,$E277=0,$J277=0),E277,MIN($E277,$J277))</f>
        <v>8</v>
      </c>
      <c r="F278" s="527">
        <f ca="1">IF(OR(F$27,F277=0,K277=0),F277,MIN(F277,K277))</f>
        <v>0</v>
      </c>
      <c r="G278" s="527">
        <f ca="1">G277</f>
        <v>1</v>
      </c>
      <c r="H278" s="527">
        <f ca="1">H277</f>
        <v>1</v>
      </c>
      <c r="I278" s="527">
        <f ca="1">IF(OR(I$27,I277=0,N277=0),I277,MIN(I277,N277))</f>
        <v>8</v>
      </c>
      <c r="J278" s="527">
        <f ca="1">IF(OR(J$27,$E277=0,$J277=0),J277,MIN($E277,$J277))</f>
        <v>8</v>
      </c>
      <c r="K278" s="527">
        <f ca="1">IF(OR(K$27,$D277=0,$K277=0),K277,MIN($D277,$K277))</f>
        <v>0</v>
      </c>
      <c r="L278" s="527">
        <f ca="1">IF(OR(L$27,L277=0,Q277=0),L277,MIN(L277,Q277))</f>
        <v>0</v>
      </c>
      <c r="M278" s="527">
        <f ca="1">IF(OR(M$27,M277=0,R277=0),M277,MIN(M277,R277))</f>
        <v>0</v>
      </c>
      <c r="N278" s="527">
        <f ca="1">IF(OR(N$27,N277=0,S277=0),N277,MIN(N277,S277))</f>
        <v>8</v>
      </c>
      <c r="O278" s="527">
        <f ca="1">IF(OR(O$27,O277=0,T277=0),O277,MIN(O277,T277))</f>
        <v>6</v>
      </c>
      <c r="S278" s="538"/>
      <c r="T278" s="538"/>
      <c r="U278" s="538"/>
      <c r="V278" s="538"/>
    </row>
    <row r="279" spans="1:50" ht="14.25" x14ac:dyDescent="0.2">
      <c r="A279" s="533" t="str">
        <f t="shared" si="196"/>
        <v>Sarva2</v>
      </c>
      <c r="B279" s="527" t="s">
        <v>1445</v>
      </c>
      <c r="C279" s="544"/>
      <c r="D279" s="527">
        <f t="shared" ref="D279:O279" ca="1" si="230">IF(ISNA(MATCH(D264,$C265:$C271,0)),0,1)</f>
        <v>0</v>
      </c>
      <c r="E279" s="527">
        <f t="shared" ca="1" si="230"/>
        <v>1</v>
      </c>
      <c r="F279" s="527">
        <f t="shared" ca="1" si="230"/>
        <v>1</v>
      </c>
      <c r="G279" s="527">
        <f t="shared" ca="1" si="230"/>
        <v>1</v>
      </c>
      <c r="H279" s="527">
        <f t="shared" ca="1" si="230"/>
        <v>0</v>
      </c>
      <c r="I279" s="527">
        <f t="shared" ca="1" si="230"/>
        <v>0</v>
      </c>
      <c r="J279" s="527">
        <f t="shared" ca="1" si="230"/>
        <v>0</v>
      </c>
      <c r="K279" s="527">
        <f t="shared" ca="1" si="230"/>
        <v>1</v>
      </c>
      <c r="L279" s="527">
        <f t="shared" ca="1" si="230"/>
        <v>0</v>
      </c>
      <c r="M279" s="527">
        <f t="shared" ca="1" si="230"/>
        <v>1</v>
      </c>
      <c r="N279" s="527">
        <f t="shared" ca="1" si="230"/>
        <v>0</v>
      </c>
      <c r="O279" s="527">
        <f t="shared" ca="1" si="230"/>
        <v>0</v>
      </c>
      <c r="S279" s="538"/>
      <c r="T279" s="538"/>
      <c r="U279" s="538"/>
      <c r="V279" s="538"/>
    </row>
    <row r="280" spans="1:50" ht="14.25" x14ac:dyDescent="0.2">
      <c r="A280" s="533" t="str">
        <f>A275</f>
        <v>Sarva2</v>
      </c>
      <c r="B280" s="527" t="s">
        <v>1462</v>
      </c>
    </row>
    <row r="281" spans="1:50" ht="14.25" x14ac:dyDescent="0.2">
      <c r="A281" s="528"/>
    </row>
    <row r="285" spans="1:50" thickBot="1" x14ac:dyDescent="0.25">
      <c r="A285" s="533" t="str">
        <f>B285</f>
        <v>Rahu</v>
      </c>
      <c r="B285" s="1539" t="str">
        <f>X285</f>
        <v>Rahu</v>
      </c>
      <c r="C285" s="1539"/>
      <c r="D285" s="527">
        <f ca="1">INDIRECT(B285&amp;"house")</f>
        <v>10</v>
      </c>
      <c r="S285" s="538"/>
      <c r="T285" s="538"/>
      <c r="U285" s="538"/>
      <c r="V285" s="538"/>
      <c r="X285" s="105" t="s">
        <v>1514</v>
      </c>
      <c r="Z285" s="1539" t="str">
        <f>$Z$83 &amp;  X285</f>
        <v>From Graha Good and Bad Transit of Rahu</v>
      </c>
      <c r="AA285" s="1539"/>
      <c r="AB285" s="1539"/>
      <c r="AC285" s="1539"/>
      <c r="AD285" s="1539"/>
      <c r="AE285" s="1539"/>
      <c r="AF285" s="1539"/>
      <c r="AG285" s="1539"/>
      <c r="AH285" s="1539"/>
      <c r="AI285" s="1539"/>
      <c r="AJ285" s="1539"/>
      <c r="AK285" s="1539"/>
      <c r="AL285" s="1539"/>
      <c r="AM285" s="1539"/>
      <c r="AN285" s="1539"/>
      <c r="AO285" s="1539"/>
      <c r="AP285" s="1539"/>
      <c r="AQ285" s="1539"/>
      <c r="AR285" s="1539"/>
      <c r="AS285" s="1539"/>
      <c r="AT285" s="1539"/>
      <c r="AU285" s="1539"/>
      <c r="AV285" s="1539"/>
      <c r="AW285" s="1539"/>
    </row>
    <row r="286" spans="1:50" thickTop="1" x14ac:dyDescent="0.2">
      <c r="A286" s="533" t="str">
        <f>A285&amp;"-"&amp;B286</f>
        <v>Rahu-</v>
      </c>
      <c r="B286" s="534"/>
      <c r="C286" s="535" t="s">
        <v>1438</v>
      </c>
      <c r="D286" s="536">
        <v>1</v>
      </c>
      <c r="E286" s="536">
        <v>2</v>
      </c>
      <c r="F286" s="536">
        <v>3</v>
      </c>
      <c r="G286" s="536">
        <v>4</v>
      </c>
      <c r="H286" s="536">
        <v>5</v>
      </c>
      <c r="I286" s="536">
        <v>6</v>
      </c>
      <c r="J286" s="536">
        <v>7</v>
      </c>
      <c r="K286" s="536">
        <v>8</v>
      </c>
      <c r="L286" s="536">
        <v>9</v>
      </c>
      <c r="M286" s="536">
        <v>10</v>
      </c>
      <c r="N286" s="536">
        <v>11</v>
      </c>
      <c r="O286" s="536">
        <v>12</v>
      </c>
      <c r="P286" s="537"/>
      <c r="Q286" s="537"/>
      <c r="S286" s="1540">
        <f ca="1">O295</f>
        <v>2</v>
      </c>
      <c r="T286" s="1540">
        <f ca="1">D295</f>
        <v>5</v>
      </c>
      <c r="U286" s="1540">
        <f ca="1">E295</f>
        <v>3</v>
      </c>
      <c r="V286" s="1540">
        <f ca="1">F295</f>
        <v>2</v>
      </c>
      <c r="X286" s="535" t="s">
        <v>1463</v>
      </c>
      <c r="Y286" s="557" t="s">
        <v>2413</v>
      </c>
      <c r="Z286" s="936">
        <v>1</v>
      </c>
      <c r="AA286" s="937">
        <v>2</v>
      </c>
      <c r="AB286" s="937">
        <v>3</v>
      </c>
      <c r="AC286" s="937">
        <v>4</v>
      </c>
      <c r="AD286" s="937">
        <v>5</v>
      </c>
      <c r="AE286" s="937">
        <v>6</v>
      </c>
      <c r="AF286" s="937">
        <v>7</v>
      </c>
      <c r="AG286" s="937">
        <v>8</v>
      </c>
      <c r="AH286" s="937">
        <v>9</v>
      </c>
      <c r="AI286" s="937">
        <v>10</v>
      </c>
      <c r="AJ286" s="937">
        <v>11</v>
      </c>
      <c r="AK286" s="937">
        <v>12</v>
      </c>
      <c r="AL286" s="1024">
        <v>1</v>
      </c>
      <c r="AM286" s="536">
        <v>2</v>
      </c>
      <c r="AN286" s="536">
        <v>3</v>
      </c>
      <c r="AO286" s="536">
        <v>4</v>
      </c>
      <c r="AP286" s="536">
        <v>5</v>
      </c>
      <c r="AQ286" s="536">
        <v>6</v>
      </c>
      <c r="AR286" s="536">
        <v>7</v>
      </c>
      <c r="AS286" s="536">
        <v>8</v>
      </c>
      <c r="AT286" s="536">
        <v>9</v>
      </c>
      <c r="AU286" s="536">
        <v>10</v>
      </c>
      <c r="AV286" s="536">
        <v>11</v>
      </c>
      <c r="AW286" s="1025">
        <v>12</v>
      </c>
    </row>
    <row r="287" spans="1:50" ht="14.25" x14ac:dyDescent="0.2">
      <c r="A287" s="533" t="str">
        <f>A285&amp;"-"&amp;B287</f>
        <v>Rahu-Saturn</v>
      </c>
      <c r="B287" s="559" t="s">
        <v>1516</v>
      </c>
      <c r="C287" s="540">
        <f ca="1">SaturnHouse</f>
        <v>2</v>
      </c>
      <c r="D287" s="539">
        <f t="shared" ref="D287:O294" ca="1" si="231">INDEX($Z287:$AW287,,12+D$152-$Q287+1)</f>
        <v>1</v>
      </c>
      <c r="E287" s="539" t="str">
        <f t="shared" ca="1" si="231"/>
        <v>*</v>
      </c>
      <c r="F287" s="539" t="str">
        <f t="shared" ca="1" si="231"/>
        <v>*</v>
      </c>
      <c r="G287" s="539">
        <f t="shared" ca="1" si="231"/>
        <v>1</v>
      </c>
      <c r="H287" s="539" t="str">
        <f t="shared" ca="1" si="231"/>
        <v>*</v>
      </c>
      <c r="I287" s="539">
        <f t="shared" ca="1" si="231"/>
        <v>1</v>
      </c>
      <c r="J287" s="539" t="str">
        <f t="shared" ca="1" si="231"/>
        <v>*</v>
      </c>
      <c r="K287" s="539">
        <f t="shared" ca="1" si="231"/>
        <v>1</v>
      </c>
      <c r="L287" s="539" t="str">
        <f t="shared" ca="1" si="231"/>
        <v>*</v>
      </c>
      <c r="M287" s="539" t="str">
        <f t="shared" ca="1" si="231"/>
        <v>*</v>
      </c>
      <c r="N287" s="539">
        <f t="shared" ca="1" si="231"/>
        <v>1</v>
      </c>
      <c r="O287" s="539">
        <f t="shared" ca="1" si="231"/>
        <v>1</v>
      </c>
      <c r="P287" s="541">
        <f t="shared" ref="P287:P295" ca="1" si="232">SUM(D287:O287)</f>
        <v>6</v>
      </c>
      <c r="Q287" s="540">
        <f ca="1">IF($Y$82,D285,C287)</f>
        <v>2</v>
      </c>
      <c r="S287" s="1540"/>
      <c r="T287" s="1540"/>
      <c r="U287" s="1540"/>
      <c r="V287" s="1540"/>
      <c r="X287" s="559" t="s">
        <v>1516</v>
      </c>
      <c r="Y287" s="933">
        <f>SUM(Z287:AK287)</f>
        <v>6</v>
      </c>
      <c r="Z287" s="938" t="s">
        <v>1464</v>
      </c>
      <c r="AA287" s="932" t="s">
        <v>1464</v>
      </c>
      <c r="AB287" s="932">
        <v>1</v>
      </c>
      <c r="AC287" s="932" t="s">
        <v>1464</v>
      </c>
      <c r="AD287" s="932">
        <v>1</v>
      </c>
      <c r="AE287" s="932" t="s">
        <v>1464</v>
      </c>
      <c r="AF287" s="932">
        <v>1</v>
      </c>
      <c r="AG287" s="932" t="s">
        <v>1464</v>
      </c>
      <c r="AH287" s="932" t="s">
        <v>1464</v>
      </c>
      <c r="AI287" s="932">
        <v>1</v>
      </c>
      <c r="AJ287" s="932">
        <v>1</v>
      </c>
      <c r="AK287" s="932">
        <v>1</v>
      </c>
      <c r="AL287" s="1032" t="str">
        <f t="shared" ref="AL287:AL294" si="233">Z287</f>
        <v>*</v>
      </c>
      <c r="AM287" s="568" t="str">
        <f t="shared" ref="AM287:AM294" si="234">AA287</f>
        <v>*</v>
      </c>
      <c r="AN287" s="568">
        <f t="shared" ref="AN287:AN294" si="235">AB287</f>
        <v>1</v>
      </c>
      <c r="AO287" s="568" t="str">
        <f t="shared" ref="AO287:AO294" si="236">AC287</f>
        <v>*</v>
      </c>
      <c r="AP287" s="568">
        <f t="shared" ref="AP287:AP294" si="237">AD287</f>
        <v>1</v>
      </c>
      <c r="AQ287" s="568" t="str">
        <f t="shared" ref="AQ287:AQ294" si="238">AE287</f>
        <v>*</v>
      </c>
      <c r="AR287" s="568">
        <f t="shared" ref="AR287:AR294" si="239">AF287</f>
        <v>1</v>
      </c>
      <c r="AS287" s="568" t="str">
        <f t="shared" ref="AS287:AS294" si="240">AG287</f>
        <v>*</v>
      </c>
      <c r="AT287" s="568" t="str">
        <f t="shared" ref="AT287:AT294" si="241">AH287</f>
        <v>*</v>
      </c>
      <c r="AU287" s="568">
        <f t="shared" ref="AU287:AU294" si="242">AI287</f>
        <v>1</v>
      </c>
      <c r="AV287" s="568">
        <f t="shared" ref="AV287:AV294" si="243">AJ287</f>
        <v>1</v>
      </c>
      <c r="AW287" s="1033">
        <f t="shared" ref="AW287:AW294" si="244">AK287</f>
        <v>1</v>
      </c>
    </row>
    <row r="288" spans="1:50" ht="14.25" x14ac:dyDescent="0.2">
      <c r="A288" s="533" t="str">
        <f>A285&amp;"-"&amp;B288</f>
        <v>Rahu-Jupiter</v>
      </c>
      <c r="B288" s="559" t="s">
        <v>1515</v>
      </c>
      <c r="C288" s="540">
        <f ca="1">JupiterHouse</f>
        <v>8</v>
      </c>
      <c r="D288" s="539">
        <f t="shared" ca="1" si="231"/>
        <v>1</v>
      </c>
      <c r="E288" s="539" t="str">
        <f t="shared" ca="1" si="231"/>
        <v>*</v>
      </c>
      <c r="F288" s="539">
        <f t="shared" ca="1" si="231"/>
        <v>1</v>
      </c>
      <c r="G288" s="539" t="str">
        <f t="shared" ca="1" si="231"/>
        <v>*</v>
      </c>
      <c r="H288" s="539" t="str">
        <f t="shared" ca="1" si="231"/>
        <v>*</v>
      </c>
      <c r="I288" s="539" t="str">
        <f t="shared" ca="1" si="231"/>
        <v>*</v>
      </c>
      <c r="J288" s="539" t="str">
        <f t="shared" ca="1" si="231"/>
        <v>*</v>
      </c>
      <c r="K288" s="539">
        <f t="shared" ca="1" si="231"/>
        <v>1</v>
      </c>
      <c r="L288" s="539" t="str">
        <f t="shared" ca="1" si="231"/>
        <v>*</v>
      </c>
      <c r="M288" s="539">
        <f t="shared" ca="1" si="231"/>
        <v>1</v>
      </c>
      <c r="N288" s="539">
        <f t="shared" ca="1" si="231"/>
        <v>1</v>
      </c>
      <c r="O288" s="539" t="str">
        <f t="shared" ca="1" si="231"/>
        <v>*</v>
      </c>
      <c r="P288" s="541">
        <f t="shared" ca="1" si="232"/>
        <v>5</v>
      </c>
      <c r="Q288" s="540">
        <f ca="1">IF($Y$82,D285,C288)</f>
        <v>8</v>
      </c>
      <c r="S288" s="1540"/>
      <c r="T288" s="1540"/>
      <c r="U288" s="1540"/>
      <c r="V288" s="1540"/>
      <c r="X288" s="559" t="s">
        <v>1515</v>
      </c>
      <c r="Y288" s="934">
        <f t="shared" ref="Y288:Y295" si="245">SUM(Z288:AK288)</f>
        <v>5</v>
      </c>
      <c r="Z288" s="938">
        <v>1</v>
      </c>
      <c r="AA288" s="932" t="s">
        <v>1464</v>
      </c>
      <c r="AB288" s="932">
        <v>1</v>
      </c>
      <c r="AC288" s="932">
        <v>1</v>
      </c>
      <c r="AD288" s="932" t="s">
        <v>1464</v>
      </c>
      <c r="AE288" s="932">
        <v>1</v>
      </c>
      <c r="AF288" s="932" t="s">
        <v>1464</v>
      </c>
      <c r="AG288" s="932">
        <v>1</v>
      </c>
      <c r="AH288" s="932" t="s">
        <v>1464</v>
      </c>
      <c r="AI288" s="932" t="s">
        <v>1464</v>
      </c>
      <c r="AJ288" s="932" t="s">
        <v>1464</v>
      </c>
      <c r="AK288" s="932" t="s">
        <v>1464</v>
      </c>
      <c r="AL288" s="1032">
        <f t="shared" si="233"/>
        <v>1</v>
      </c>
      <c r="AM288" s="568" t="str">
        <f t="shared" si="234"/>
        <v>*</v>
      </c>
      <c r="AN288" s="568">
        <f t="shared" si="235"/>
        <v>1</v>
      </c>
      <c r="AO288" s="568">
        <f t="shared" si="236"/>
        <v>1</v>
      </c>
      <c r="AP288" s="568" t="str">
        <f t="shared" si="237"/>
        <v>*</v>
      </c>
      <c r="AQ288" s="568">
        <f t="shared" si="238"/>
        <v>1</v>
      </c>
      <c r="AR288" s="568" t="str">
        <f t="shared" si="239"/>
        <v>*</v>
      </c>
      <c r="AS288" s="568">
        <f t="shared" si="240"/>
        <v>1</v>
      </c>
      <c r="AT288" s="568" t="str">
        <f t="shared" si="241"/>
        <v>*</v>
      </c>
      <c r="AU288" s="568" t="str">
        <f t="shared" si="242"/>
        <v>*</v>
      </c>
      <c r="AV288" s="568" t="str">
        <f t="shared" si="243"/>
        <v>*</v>
      </c>
      <c r="AW288" s="1033" t="str">
        <f t="shared" si="244"/>
        <v>*</v>
      </c>
    </row>
    <row r="289" spans="1:49" ht="14.25" x14ac:dyDescent="0.2">
      <c r="A289" s="533" t="str">
        <f>A285&amp;"-"&amp;B289</f>
        <v>Rahu-Mars</v>
      </c>
      <c r="B289" s="559" t="s">
        <v>1513</v>
      </c>
      <c r="C289" s="540">
        <f ca="1">MarsHouse</f>
        <v>10</v>
      </c>
      <c r="D289" s="539" t="str">
        <f t="shared" ca="1" si="231"/>
        <v>*</v>
      </c>
      <c r="E289" s="539">
        <f t="shared" ca="1" si="231"/>
        <v>1</v>
      </c>
      <c r="F289" s="539" t="str">
        <f t="shared" ca="1" si="231"/>
        <v>*</v>
      </c>
      <c r="G289" s="539" t="str">
        <f t="shared" ca="1" si="231"/>
        <v>*</v>
      </c>
      <c r="H289" s="539" t="str">
        <f t="shared" ca="1" si="231"/>
        <v>*</v>
      </c>
      <c r="I289" s="539" t="str">
        <f t="shared" ca="1" si="231"/>
        <v>*</v>
      </c>
      <c r="J289" s="539" t="str">
        <f t="shared" ca="1" si="231"/>
        <v>*</v>
      </c>
      <c r="K289" s="539" t="str">
        <f t="shared" ca="1" si="231"/>
        <v>*</v>
      </c>
      <c r="L289" s="539">
        <f t="shared" ca="1" si="231"/>
        <v>1</v>
      </c>
      <c r="M289" s="539" t="str">
        <f t="shared" ca="1" si="231"/>
        <v>*</v>
      </c>
      <c r="N289" s="539">
        <f t="shared" ca="1" si="231"/>
        <v>1</v>
      </c>
      <c r="O289" s="539">
        <f t="shared" ca="1" si="231"/>
        <v>1</v>
      </c>
      <c r="P289" s="541">
        <f t="shared" ca="1" si="232"/>
        <v>4</v>
      </c>
      <c r="Q289" s="540">
        <f ca="1">IF($Y$82,D285,C289)</f>
        <v>10</v>
      </c>
      <c r="S289" s="1540">
        <f ca="1">N295</f>
        <v>6</v>
      </c>
      <c r="T289" s="1541" t="str">
        <f ca="1">C285&amp;"  Ashtakavarga  "&amp;P295</f>
        <v xml:space="preserve">  Ashtakavarga  43</v>
      </c>
      <c r="U289" s="1541"/>
      <c r="V289" s="1540">
        <f ca="1">G295</f>
        <v>4</v>
      </c>
      <c r="X289" s="559" t="s">
        <v>1513</v>
      </c>
      <c r="Y289" s="934">
        <f t="shared" si="245"/>
        <v>4</v>
      </c>
      <c r="Z289" s="938" t="s">
        <v>1464</v>
      </c>
      <c r="AA289" s="932">
        <v>1</v>
      </c>
      <c r="AB289" s="932">
        <v>1</v>
      </c>
      <c r="AC289" s="932" t="s">
        <v>1464</v>
      </c>
      <c r="AD289" s="932">
        <v>1</v>
      </c>
      <c r="AE289" s="932" t="s">
        <v>1464</v>
      </c>
      <c r="AF289" s="932" t="s">
        <v>1464</v>
      </c>
      <c r="AG289" s="932" t="s">
        <v>1464</v>
      </c>
      <c r="AH289" s="932" t="s">
        <v>1464</v>
      </c>
      <c r="AI289" s="932" t="s">
        <v>1464</v>
      </c>
      <c r="AJ289" s="932" t="s">
        <v>1464</v>
      </c>
      <c r="AK289" s="932">
        <v>1</v>
      </c>
      <c r="AL289" s="1032" t="str">
        <f t="shared" si="233"/>
        <v>*</v>
      </c>
      <c r="AM289" s="568">
        <f t="shared" si="234"/>
        <v>1</v>
      </c>
      <c r="AN289" s="568">
        <f t="shared" si="235"/>
        <v>1</v>
      </c>
      <c r="AO289" s="568" t="str">
        <f t="shared" si="236"/>
        <v>*</v>
      </c>
      <c r="AP289" s="568">
        <f t="shared" si="237"/>
        <v>1</v>
      </c>
      <c r="AQ289" s="568" t="str">
        <f t="shared" si="238"/>
        <v>*</v>
      </c>
      <c r="AR289" s="568" t="str">
        <f t="shared" si="239"/>
        <v>*</v>
      </c>
      <c r="AS289" s="568" t="str">
        <f t="shared" si="240"/>
        <v>*</v>
      </c>
      <c r="AT289" s="568" t="str">
        <f t="shared" si="241"/>
        <v>*</v>
      </c>
      <c r="AU289" s="568" t="str">
        <f t="shared" si="242"/>
        <v>*</v>
      </c>
      <c r="AV289" s="568" t="str">
        <f t="shared" si="243"/>
        <v>*</v>
      </c>
      <c r="AW289" s="1033">
        <f t="shared" si="244"/>
        <v>1</v>
      </c>
    </row>
    <row r="290" spans="1:49" ht="14.25" x14ac:dyDescent="0.2">
      <c r="A290" s="533" t="str">
        <f>A285&amp;"-"&amp;B290</f>
        <v>Rahu-Sun</v>
      </c>
      <c r="B290" s="559" t="s">
        <v>1511</v>
      </c>
      <c r="C290" s="540">
        <f ca="1">SunHouse</f>
        <v>4</v>
      </c>
      <c r="D290" s="539">
        <f t="shared" ca="1" si="231"/>
        <v>1</v>
      </c>
      <c r="E290" s="539" t="str">
        <f t="shared" ca="1" si="231"/>
        <v>*</v>
      </c>
      <c r="F290" s="539" t="str">
        <f t="shared" ca="1" si="231"/>
        <v>*</v>
      </c>
      <c r="G290" s="539">
        <f t="shared" ca="1" si="231"/>
        <v>1</v>
      </c>
      <c r="H290" s="539">
        <f t="shared" ca="1" si="231"/>
        <v>1</v>
      </c>
      <c r="I290" s="539">
        <f t="shared" ca="1" si="231"/>
        <v>1</v>
      </c>
      <c r="J290" s="539">
        <f t="shared" ca="1" si="231"/>
        <v>1</v>
      </c>
      <c r="K290" s="539" t="str">
        <f t="shared" ca="1" si="231"/>
        <v>*</v>
      </c>
      <c r="L290" s="539" t="str">
        <f t="shared" ca="1" si="231"/>
        <v>*</v>
      </c>
      <c r="M290" s="539">
        <f t="shared" ca="1" si="231"/>
        <v>1</v>
      </c>
      <c r="N290" s="539">
        <f t="shared" ca="1" si="231"/>
        <v>1</v>
      </c>
      <c r="O290" s="539" t="str">
        <f t="shared" ca="1" si="231"/>
        <v>*</v>
      </c>
      <c r="P290" s="541">
        <f t="shared" ca="1" si="232"/>
        <v>7</v>
      </c>
      <c r="Q290" s="540">
        <f ca="1">IF($Y$82,D285,C290)</f>
        <v>4</v>
      </c>
      <c r="S290" s="1540"/>
      <c r="T290" s="1540"/>
      <c r="U290" s="1541"/>
      <c r="V290" s="1540"/>
      <c r="X290" s="559" t="s">
        <v>1511</v>
      </c>
      <c r="Y290" s="934">
        <f t="shared" si="245"/>
        <v>7</v>
      </c>
      <c r="Z290" s="938">
        <v>1</v>
      </c>
      <c r="AA290" s="932">
        <v>1</v>
      </c>
      <c r="AB290" s="932">
        <v>1</v>
      </c>
      <c r="AC290" s="932">
        <v>1</v>
      </c>
      <c r="AD290" s="932" t="s">
        <v>1464</v>
      </c>
      <c r="AE290" s="932" t="s">
        <v>1464</v>
      </c>
      <c r="AF290" s="932">
        <v>1</v>
      </c>
      <c r="AG290" s="932">
        <v>1</v>
      </c>
      <c r="AH290" s="932" t="s">
        <v>1464</v>
      </c>
      <c r="AI290" s="932">
        <v>1</v>
      </c>
      <c r="AJ290" s="932" t="s">
        <v>1464</v>
      </c>
      <c r="AK290" s="932" t="s">
        <v>1464</v>
      </c>
      <c r="AL290" s="1032">
        <f t="shared" si="233"/>
        <v>1</v>
      </c>
      <c r="AM290" s="568">
        <f t="shared" si="234"/>
        <v>1</v>
      </c>
      <c r="AN290" s="568">
        <f t="shared" si="235"/>
        <v>1</v>
      </c>
      <c r="AO290" s="568">
        <f t="shared" si="236"/>
        <v>1</v>
      </c>
      <c r="AP290" s="568" t="str">
        <f t="shared" si="237"/>
        <v>*</v>
      </c>
      <c r="AQ290" s="568" t="str">
        <f t="shared" si="238"/>
        <v>*</v>
      </c>
      <c r="AR290" s="568">
        <f t="shared" si="239"/>
        <v>1</v>
      </c>
      <c r="AS290" s="568">
        <f t="shared" si="240"/>
        <v>1</v>
      </c>
      <c r="AT290" s="568" t="str">
        <f t="shared" si="241"/>
        <v>*</v>
      </c>
      <c r="AU290" s="568">
        <f t="shared" si="242"/>
        <v>1</v>
      </c>
      <c r="AV290" s="568" t="str">
        <f t="shared" si="243"/>
        <v>*</v>
      </c>
      <c r="AW290" s="1033" t="str">
        <f t="shared" si="244"/>
        <v>*</v>
      </c>
    </row>
    <row r="291" spans="1:49" ht="14.25" x14ac:dyDescent="0.2">
      <c r="A291" s="533" t="str">
        <f>A285&amp;"-"&amp;B291</f>
        <v>Rahu-Venus</v>
      </c>
      <c r="B291" s="559" t="s">
        <v>1519</v>
      </c>
      <c r="C291" s="540">
        <f ca="1">VenusHouse</f>
        <v>3</v>
      </c>
      <c r="D291" s="539">
        <f t="shared" ca="1" si="231"/>
        <v>1</v>
      </c>
      <c r="E291" s="539">
        <f t="shared" ca="1" si="231"/>
        <v>1</v>
      </c>
      <c r="F291" s="539" t="str">
        <f t="shared" ca="1" si="231"/>
        <v>*</v>
      </c>
      <c r="G291" s="539" t="str">
        <f t="shared" ca="1" si="231"/>
        <v>*</v>
      </c>
      <c r="H291" s="539" t="str">
        <f t="shared" ca="1" si="231"/>
        <v>*</v>
      </c>
      <c r="I291" s="539" t="str">
        <f t="shared" ca="1" si="231"/>
        <v>*</v>
      </c>
      <c r="J291" s="539" t="str">
        <f t="shared" ca="1" si="231"/>
        <v>*</v>
      </c>
      <c r="K291" s="539">
        <f t="shared" ca="1" si="231"/>
        <v>1</v>
      </c>
      <c r="L291" s="539">
        <f t="shared" ca="1" si="231"/>
        <v>1</v>
      </c>
      <c r="M291" s="539" t="str">
        <f t="shared" ca="1" si="231"/>
        <v>*</v>
      </c>
      <c r="N291" s="539" t="str">
        <f t="shared" ca="1" si="231"/>
        <v>*</v>
      </c>
      <c r="O291" s="539" t="str">
        <f t="shared" ca="1" si="231"/>
        <v>*</v>
      </c>
      <c r="P291" s="541">
        <f t="shared" ca="1" si="232"/>
        <v>4</v>
      </c>
      <c r="Q291" s="540">
        <f ca="1">IF($Y$82,D285,C291)</f>
        <v>3</v>
      </c>
      <c r="S291" s="1540"/>
      <c r="T291" s="1540"/>
      <c r="U291" s="1541"/>
      <c r="V291" s="1540"/>
      <c r="X291" s="559" t="s">
        <v>1519</v>
      </c>
      <c r="Y291" s="934">
        <f t="shared" si="245"/>
        <v>4</v>
      </c>
      <c r="Z291" s="938" t="s">
        <v>1464</v>
      </c>
      <c r="AA291" s="932" t="s">
        <v>1464</v>
      </c>
      <c r="AB291" s="932" t="s">
        <v>1464</v>
      </c>
      <c r="AC291" s="932" t="s">
        <v>1464</v>
      </c>
      <c r="AD291" s="932" t="s">
        <v>1464</v>
      </c>
      <c r="AE291" s="932">
        <v>1</v>
      </c>
      <c r="AF291" s="932">
        <v>1</v>
      </c>
      <c r="AG291" s="932" t="s">
        <v>1464</v>
      </c>
      <c r="AH291" s="932" t="s">
        <v>1464</v>
      </c>
      <c r="AI291" s="932" t="s">
        <v>1464</v>
      </c>
      <c r="AJ291" s="932">
        <v>1</v>
      </c>
      <c r="AK291" s="932">
        <v>1</v>
      </c>
      <c r="AL291" s="1032" t="str">
        <f t="shared" si="233"/>
        <v>*</v>
      </c>
      <c r="AM291" s="568" t="str">
        <f t="shared" si="234"/>
        <v>*</v>
      </c>
      <c r="AN291" s="568" t="str">
        <f t="shared" si="235"/>
        <v>*</v>
      </c>
      <c r="AO291" s="568" t="str">
        <f t="shared" si="236"/>
        <v>*</v>
      </c>
      <c r="AP291" s="568" t="str">
        <f t="shared" si="237"/>
        <v>*</v>
      </c>
      <c r="AQ291" s="568">
        <f t="shared" si="238"/>
        <v>1</v>
      </c>
      <c r="AR291" s="568">
        <f t="shared" si="239"/>
        <v>1</v>
      </c>
      <c r="AS291" s="568" t="str">
        <f t="shared" si="240"/>
        <v>*</v>
      </c>
      <c r="AT291" s="568" t="str">
        <f t="shared" si="241"/>
        <v>*</v>
      </c>
      <c r="AU291" s="568" t="str">
        <f t="shared" si="242"/>
        <v>*</v>
      </c>
      <c r="AV291" s="568">
        <f t="shared" si="243"/>
        <v>1</v>
      </c>
      <c r="AW291" s="1033">
        <f t="shared" si="244"/>
        <v>1</v>
      </c>
    </row>
    <row r="292" spans="1:49" ht="14.25" x14ac:dyDescent="0.2">
      <c r="A292" s="533" t="str">
        <f>A285&amp;"-"&amp;B292</f>
        <v>Rahu-Mercury</v>
      </c>
      <c r="B292" s="559" t="s">
        <v>1517</v>
      </c>
      <c r="C292" s="540">
        <f ca="1">MercuryHouse</f>
        <v>4</v>
      </c>
      <c r="D292" s="539" t="str">
        <f t="shared" ca="1" si="231"/>
        <v>*</v>
      </c>
      <c r="E292" s="539" t="str">
        <f t="shared" ca="1" si="231"/>
        <v>*</v>
      </c>
      <c r="F292" s="539">
        <f t="shared" ca="1" si="231"/>
        <v>1</v>
      </c>
      <c r="G292" s="539" t="str">
        <f t="shared" ca="1" si="231"/>
        <v>*</v>
      </c>
      <c r="H292" s="539">
        <f t="shared" ca="1" si="231"/>
        <v>1</v>
      </c>
      <c r="I292" s="539" t="str">
        <f t="shared" ca="1" si="231"/>
        <v>*</v>
      </c>
      <c r="J292" s="539">
        <f t="shared" ca="1" si="231"/>
        <v>1</v>
      </c>
      <c r="K292" s="539" t="str">
        <f t="shared" ca="1" si="231"/>
        <v>*</v>
      </c>
      <c r="L292" s="539" t="str">
        <f t="shared" ca="1" si="231"/>
        <v>*</v>
      </c>
      <c r="M292" s="539">
        <f t="shared" ca="1" si="231"/>
        <v>1</v>
      </c>
      <c r="N292" s="539">
        <f t="shared" ca="1" si="231"/>
        <v>1</v>
      </c>
      <c r="O292" s="539" t="str">
        <f t="shared" ca="1" si="231"/>
        <v>*</v>
      </c>
      <c r="P292" s="541">
        <f t="shared" ca="1" si="232"/>
        <v>5</v>
      </c>
      <c r="Q292" s="540">
        <f ca="1">IF($Y$82,D285,C292)</f>
        <v>4</v>
      </c>
      <c r="S292" s="1540">
        <f ca="1">M295</f>
        <v>4</v>
      </c>
      <c r="T292" s="1541"/>
      <c r="U292" s="1541"/>
      <c r="V292" s="1540">
        <f ca="1">H295</f>
        <v>2</v>
      </c>
      <c r="X292" s="559" t="s">
        <v>1517</v>
      </c>
      <c r="Y292" s="934">
        <f t="shared" si="245"/>
        <v>5</v>
      </c>
      <c r="Z292" s="938" t="s">
        <v>1464</v>
      </c>
      <c r="AA292" s="932">
        <v>1</v>
      </c>
      <c r="AB292" s="932" t="s">
        <v>1464</v>
      </c>
      <c r="AC292" s="932">
        <v>1</v>
      </c>
      <c r="AD292" s="932" t="s">
        <v>1464</v>
      </c>
      <c r="AE292" s="932" t="s">
        <v>1464</v>
      </c>
      <c r="AF292" s="932">
        <v>1</v>
      </c>
      <c r="AG292" s="932">
        <v>1</v>
      </c>
      <c r="AH292" s="932" t="s">
        <v>1464</v>
      </c>
      <c r="AI292" s="932" t="s">
        <v>1464</v>
      </c>
      <c r="AJ292" s="932" t="s">
        <v>1464</v>
      </c>
      <c r="AK292" s="932">
        <v>1</v>
      </c>
      <c r="AL292" s="1032" t="str">
        <f t="shared" si="233"/>
        <v>*</v>
      </c>
      <c r="AM292" s="568">
        <f t="shared" si="234"/>
        <v>1</v>
      </c>
      <c r="AN292" s="568" t="str">
        <f t="shared" si="235"/>
        <v>*</v>
      </c>
      <c r="AO292" s="568">
        <f t="shared" si="236"/>
        <v>1</v>
      </c>
      <c r="AP292" s="568" t="str">
        <f t="shared" si="237"/>
        <v>*</v>
      </c>
      <c r="AQ292" s="568" t="str">
        <f t="shared" si="238"/>
        <v>*</v>
      </c>
      <c r="AR292" s="568">
        <f t="shared" si="239"/>
        <v>1</v>
      </c>
      <c r="AS292" s="568">
        <f t="shared" si="240"/>
        <v>1</v>
      </c>
      <c r="AT292" s="568" t="str">
        <f t="shared" si="241"/>
        <v>*</v>
      </c>
      <c r="AU292" s="568" t="str">
        <f t="shared" si="242"/>
        <v>*</v>
      </c>
      <c r="AV292" s="568" t="str">
        <f t="shared" si="243"/>
        <v>*</v>
      </c>
      <c r="AW292" s="1033">
        <f t="shared" si="244"/>
        <v>1</v>
      </c>
    </row>
    <row r="293" spans="1:49" ht="14.25" x14ac:dyDescent="0.2">
      <c r="A293" s="533" t="str">
        <f>A285&amp;"-"&amp;B293</f>
        <v>Rahu-Moon</v>
      </c>
      <c r="B293" s="559" t="s">
        <v>1512</v>
      </c>
      <c r="C293" s="540">
        <f ca="1">MoonHouse</f>
        <v>2</v>
      </c>
      <c r="D293" s="539" t="str">
        <f t="shared" ca="1" si="231"/>
        <v>*</v>
      </c>
      <c r="E293" s="539">
        <f t="shared" ca="1" si="231"/>
        <v>1</v>
      </c>
      <c r="F293" s="539" t="str">
        <f t="shared" ca="1" si="231"/>
        <v>*</v>
      </c>
      <c r="G293" s="539">
        <f t="shared" ca="1" si="231"/>
        <v>1</v>
      </c>
      <c r="H293" s="539" t="str">
        <f t="shared" ca="1" si="231"/>
        <v>*</v>
      </c>
      <c r="I293" s="539">
        <f t="shared" ca="1" si="231"/>
        <v>1</v>
      </c>
      <c r="J293" s="539" t="str">
        <f t="shared" ca="1" si="231"/>
        <v>*</v>
      </c>
      <c r="K293" s="539">
        <f t="shared" ca="1" si="231"/>
        <v>1</v>
      </c>
      <c r="L293" s="539">
        <f t="shared" ca="1" si="231"/>
        <v>1</v>
      </c>
      <c r="M293" s="539">
        <f t="shared" ca="1" si="231"/>
        <v>1</v>
      </c>
      <c r="N293" s="539">
        <f t="shared" ca="1" si="231"/>
        <v>1</v>
      </c>
      <c r="O293" s="539" t="str">
        <f t="shared" ca="1" si="231"/>
        <v>*</v>
      </c>
      <c r="P293" s="541">
        <f t="shared" ca="1" si="232"/>
        <v>7</v>
      </c>
      <c r="Q293" s="540">
        <f ca="1">IF($Y$82,D285,C293)</f>
        <v>2</v>
      </c>
      <c r="S293" s="1540"/>
      <c r="T293" s="1540"/>
      <c r="U293" s="1541"/>
      <c r="V293" s="1540"/>
      <c r="X293" s="559" t="s">
        <v>1512</v>
      </c>
      <c r="Y293" s="934">
        <f t="shared" si="245"/>
        <v>7</v>
      </c>
      <c r="Z293" s="938">
        <v>1</v>
      </c>
      <c r="AA293" s="932" t="s">
        <v>1464</v>
      </c>
      <c r="AB293" s="932">
        <v>1</v>
      </c>
      <c r="AC293" s="932" t="s">
        <v>1464</v>
      </c>
      <c r="AD293" s="932">
        <v>1</v>
      </c>
      <c r="AE293" s="932" t="s">
        <v>1464</v>
      </c>
      <c r="AF293" s="932">
        <v>1</v>
      </c>
      <c r="AG293" s="932">
        <v>1</v>
      </c>
      <c r="AH293" s="932">
        <v>1</v>
      </c>
      <c r="AI293" s="932">
        <v>1</v>
      </c>
      <c r="AJ293" s="932" t="s">
        <v>1464</v>
      </c>
      <c r="AK293" s="932" t="s">
        <v>1464</v>
      </c>
      <c r="AL293" s="1032">
        <f t="shared" si="233"/>
        <v>1</v>
      </c>
      <c r="AM293" s="568" t="str">
        <f t="shared" si="234"/>
        <v>*</v>
      </c>
      <c r="AN293" s="568">
        <f t="shared" si="235"/>
        <v>1</v>
      </c>
      <c r="AO293" s="568" t="str">
        <f t="shared" si="236"/>
        <v>*</v>
      </c>
      <c r="AP293" s="568">
        <f t="shared" si="237"/>
        <v>1</v>
      </c>
      <c r="AQ293" s="568" t="str">
        <f t="shared" si="238"/>
        <v>*</v>
      </c>
      <c r="AR293" s="568">
        <f t="shared" si="239"/>
        <v>1</v>
      </c>
      <c r="AS293" s="568">
        <f t="shared" si="240"/>
        <v>1</v>
      </c>
      <c r="AT293" s="568">
        <f t="shared" si="241"/>
        <v>1</v>
      </c>
      <c r="AU293" s="568">
        <f t="shared" si="242"/>
        <v>1</v>
      </c>
      <c r="AV293" s="568" t="str">
        <f t="shared" si="243"/>
        <v>*</v>
      </c>
      <c r="AW293" s="1033" t="str">
        <f t="shared" si="244"/>
        <v>*</v>
      </c>
    </row>
    <row r="294" spans="1:49" ht="14.25" x14ac:dyDescent="0.2">
      <c r="A294" s="533" t="str">
        <f>A285&amp;"-"&amp;B294</f>
        <v>Rahu-Lagna</v>
      </c>
      <c r="B294" s="559" t="s">
        <v>1722</v>
      </c>
      <c r="C294" s="540">
        <f ca="1">Lagnahouse</f>
        <v>5</v>
      </c>
      <c r="D294" s="539">
        <f t="shared" ca="1" si="231"/>
        <v>1</v>
      </c>
      <c r="E294" s="539" t="str">
        <f t="shared" ca="1" si="231"/>
        <v>*</v>
      </c>
      <c r="F294" s="539" t="str">
        <f t="shared" ca="1" si="231"/>
        <v>*</v>
      </c>
      <c r="G294" s="539">
        <f t="shared" ca="1" si="231"/>
        <v>1</v>
      </c>
      <c r="H294" s="539" t="str">
        <f t="shared" ca="1" si="231"/>
        <v>*</v>
      </c>
      <c r="I294" s="539" t="str">
        <f t="shared" ca="1" si="231"/>
        <v>*</v>
      </c>
      <c r="J294" s="539">
        <f t="shared" ca="1" si="231"/>
        <v>1</v>
      </c>
      <c r="K294" s="539">
        <f t="shared" ca="1" si="231"/>
        <v>1</v>
      </c>
      <c r="L294" s="539">
        <f t="shared" ca="1" si="231"/>
        <v>1</v>
      </c>
      <c r="M294" s="539" t="str">
        <f t="shared" ca="1" si="231"/>
        <v>*</v>
      </c>
      <c r="N294" s="539" t="str">
        <f t="shared" ca="1" si="231"/>
        <v>*</v>
      </c>
      <c r="O294" s="539" t="str">
        <f t="shared" ca="1" si="231"/>
        <v>*</v>
      </c>
      <c r="P294" s="541">
        <f t="shared" ca="1" si="232"/>
        <v>5</v>
      </c>
      <c r="Q294" s="540">
        <f ca="1">IF($Y$82,D285,C294)</f>
        <v>5</v>
      </c>
      <c r="S294" s="1540"/>
      <c r="T294" s="1540"/>
      <c r="U294" s="1541"/>
      <c r="V294" s="1540"/>
      <c r="X294" s="559" t="s">
        <v>1722</v>
      </c>
      <c r="Y294" s="934">
        <f t="shared" si="245"/>
        <v>5</v>
      </c>
      <c r="Z294" s="939" t="s">
        <v>1464</v>
      </c>
      <c r="AA294" s="940" t="s">
        <v>1464</v>
      </c>
      <c r="AB294" s="940">
        <v>1</v>
      </c>
      <c r="AC294" s="940">
        <v>1</v>
      </c>
      <c r="AD294" s="940">
        <v>1</v>
      </c>
      <c r="AE294" s="940" t="s">
        <v>1464</v>
      </c>
      <c r="AF294" s="940" t="s">
        <v>1464</v>
      </c>
      <c r="AG294" s="940" t="s">
        <v>1464</v>
      </c>
      <c r="AH294" s="940">
        <v>1</v>
      </c>
      <c r="AI294" s="940" t="s">
        <v>1464</v>
      </c>
      <c r="AJ294" s="940" t="s">
        <v>1464</v>
      </c>
      <c r="AK294" s="940">
        <v>1</v>
      </c>
      <c r="AL294" s="1032" t="str">
        <f t="shared" si="233"/>
        <v>*</v>
      </c>
      <c r="AM294" s="568" t="str">
        <f t="shared" si="234"/>
        <v>*</v>
      </c>
      <c r="AN294" s="568">
        <f t="shared" si="235"/>
        <v>1</v>
      </c>
      <c r="AO294" s="568">
        <f t="shared" si="236"/>
        <v>1</v>
      </c>
      <c r="AP294" s="568">
        <f t="shared" si="237"/>
        <v>1</v>
      </c>
      <c r="AQ294" s="568" t="str">
        <f t="shared" si="238"/>
        <v>*</v>
      </c>
      <c r="AR294" s="568" t="str">
        <f t="shared" si="239"/>
        <v>*</v>
      </c>
      <c r="AS294" s="568" t="str">
        <f t="shared" si="240"/>
        <v>*</v>
      </c>
      <c r="AT294" s="568">
        <f t="shared" si="241"/>
        <v>1</v>
      </c>
      <c r="AU294" s="568" t="str">
        <f t="shared" si="242"/>
        <v>*</v>
      </c>
      <c r="AV294" s="568" t="str">
        <f t="shared" si="243"/>
        <v>*</v>
      </c>
      <c r="AW294" s="1033">
        <f t="shared" si="244"/>
        <v>1</v>
      </c>
    </row>
    <row r="295" spans="1:49" thickBot="1" x14ac:dyDescent="0.25">
      <c r="A295" s="533" t="str">
        <f>A285&amp;"-"&amp;B295</f>
        <v>Rahu-Rahu</v>
      </c>
      <c r="B295" s="562" t="str">
        <f>B285</f>
        <v>Rahu</v>
      </c>
      <c r="C295" s="542"/>
      <c r="D295" s="542">
        <f t="shared" ref="D295:O295" ca="1" si="246">SUM(D287:D294)</f>
        <v>5</v>
      </c>
      <c r="E295" s="542">
        <f t="shared" ca="1" si="246"/>
        <v>3</v>
      </c>
      <c r="F295" s="542">
        <f t="shared" ca="1" si="246"/>
        <v>2</v>
      </c>
      <c r="G295" s="542">
        <f t="shared" ca="1" si="246"/>
        <v>4</v>
      </c>
      <c r="H295" s="542">
        <f t="shared" ca="1" si="246"/>
        <v>2</v>
      </c>
      <c r="I295" s="542">
        <f t="shared" ca="1" si="246"/>
        <v>3</v>
      </c>
      <c r="J295" s="542">
        <f t="shared" ca="1" si="246"/>
        <v>3</v>
      </c>
      <c r="K295" s="542">
        <f t="shared" ca="1" si="246"/>
        <v>5</v>
      </c>
      <c r="L295" s="542">
        <f t="shared" ca="1" si="246"/>
        <v>4</v>
      </c>
      <c r="M295" s="542">
        <f t="shared" ca="1" si="246"/>
        <v>4</v>
      </c>
      <c r="N295" s="542">
        <f t="shared" ca="1" si="246"/>
        <v>6</v>
      </c>
      <c r="O295" s="542">
        <f t="shared" ca="1" si="246"/>
        <v>2</v>
      </c>
      <c r="P295" s="543">
        <f t="shared" ca="1" si="232"/>
        <v>43</v>
      </c>
      <c r="Q295" s="543"/>
      <c r="S295" s="1540">
        <f ca="1">L295</f>
        <v>4</v>
      </c>
      <c r="T295" s="1540">
        <f ca="1">K295</f>
        <v>5</v>
      </c>
      <c r="U295" s="1540">
        <f ca="1">J295</f>
        <v>3</v>
      </c>
      <c r="V295" s="1540">
        <f ca="1">I295</f>
        <v>3</v>
      </c>
      <c r="X295" s="562"/>
      <c r="Y295" s="563">
        <f t="shared" si="245"/>
        <v>43</v>
      </c>
      <c r="Z295" s="935">
        <f t="shared" ref="Z295:AW295" si="247">SUM(Z287:Z294)</f>
        <v>3</v>
      </c>
      <c r="AA295" s="935">
        <f t="shared" si="247"/>
        <v>3</v>
      </c>
      <c r="AB295" s="935">
        <f t="shared" si="247"/>
        <v>6</v>
      </c>
      <c r="AC295" s="935">
        <f t="shared" si="247"/>
        <v>4</v>
      </c>
      <c r="AD295" s="935">
        <f t="shared" si="247"/>
        <v>4</v>
      </c>
      <c r="AE295" s="935">
        <f t="shared" si="247"/>
        <v>2</v>
      </c>
      <c r="AF295" s="935">
        <f t="shared" si="247"/>
        <v>5</v>
      </c>
      <c r="AG295" s="935">
        <f t="shared" si="247"/>
        <v>4</v>
      </c>
      <c r="AH295" s="935">
        <f t="shared" si="247"/>
        <v>2</v>
      </c>
      <c r="AI295" s="935">
        <f t="shared" si="247"/>
        <v>3</v>
      </c>
      <c r="AJ295" s="935">
        <f t="shared" si="247"/>
        <v>2</v>
      </c>
      <c r="AK295" s="935">
        <f t="shared" si="247"/>
        <v>5</v>
      </c>
      <c r="AL295" s="1028">
        <f t="shared" si="247"/>
        <v>3</v>
      </c>
      <c r="AM295" s="565">
        <f t="shared" si="247"/>
        <v>3</v>
      </c>
      <c r="AN295" s="565">
        <f t="shared" si="247"/>
        <v>6</v>
      </c>
      <c r="AO295" s="565">
        <f t="shared" si="247"/>
        <v>4</v>
      </c>
      <c r="AP295" s="565">
        <f t="shared" si="247"/>
        <v>4</v>
      </c>
      <c r="AQ295" s="565">
        <f t="shared" si="247"/>
        <v>2</v>
      </c>
      <c r="AR295" s="565">
        <f t="shared" si="247"/>
        <v>5</v>
      </c>
      <c r="AS295" s="565">
        <f t="shared" si="247"/>
        <v>4</v>
      </c>
      <c r="AT295" s="565">
        <f t="shared" si="247"/>
        <v>2</v>
      </c>
      <c r="AU295" s="565">
        <f t="shared" si="247"/>
        <v>3</v>
      </c>
      <c r="AV295" s="565">
        <f t="shared" si="247"/>
        <v>2</v>
      </c>
      <c r="AW295" s="1029">
        <f t="shared" si="247"/>
        <v>5</v>
      </c>
    </row>
    <row r="296" spans="1:49" thickTop="1" x14ac:dyDescent="0.2">
      <c r="A296" s="533" t="str">
        <f>A285&amp;"-"&amp;B296</f>
        <v>Rahu-</v>
      </c>
      <c r="S296" s="1540"/>
      <c r="T296" s="1540"/>
      <c r="U296" s="1540"/>
      <c r="V296" s="1540"/>
      <c r="X296" s="1539" t="s">
        <v>1465</v>
      </c>
      <c r="Y296" s="1539"/>
      <c r="Z296" s="1539"/>
      <c r="AA296" s="1539"/>
      <c r="AB296" s="1539"/>
      <c r="AC296" s="1539"/>
      <c r="AD296" s="1539"/>
      <c r="AE296" s="1539"/>
      <c r="AF296" s="1539"/>
      <c r="AG296" s="1539"/>
      <c r="AH296" s="1539"/>
      <c r="AI296" s="1539"/>
      <c r="AJ296" s="1539"/>
      <c r="AK296" s="1539"/>
      <c r="AL296" s="1539"/>
    </row>
    <row r="297" spans="1:49" ht="14.25" x14ac:dyDescent="0.2">
      <c r="A297" s="533" t="str">
        <f>A285&amp;"-"&amp;B297</f>
        <v>Rahu-</v>
      </c>
      <c r="S297" s="1540"/>
      <c r="T297" s="1540"/>
      <c r="U297" s="1540"/>
      <c r="V297" s="1540"/>
    </row>
    <row r="298" spans="1:49" ht="14.25" x14ac:dyDescent="0.2">
      <c r="A298" s="533" t="str">
        <f>A285&amp;"-"&amp;B298</f>
        <v>Rahu------</v>
      </c>
      <c r="B298" s="527" t="s">
        <v>1462</v>
      </c>
    </row>
    <row r="301" spans="1:49" x14ac:dyDescent="0.2">
      <c r="A301" s="941" t="s">
        <v>3483</v>
      </c>
      <c r="B301" s="941" t="s">
        <v>947</v>
      </c>
      <c r="C301" s="941" t="s">
        <v>948</v>
      </c>
      <c r="D301" s="941" t="s">
        <v>949</v>
      </c>
      <c r="E301" s="941" t="s">
        <v>950</v>
      </c>
      <c r="F301" s="941" t="s">
        <v>951</v>
      </c>
      <c r="G301" s="941" t="s">
        <v>952</v>
      </c>
      <c r="H301" s="941" t="s">
        <v>953</v>
      </c>
      <c r="I301" s="941" t="s">
        <v>954</v>
      </c>
      <c r="J301" s="941" t="s">
        <v>955</v>
      </c>
      <c r="K301" s="941" t="s">
        <v>956</v>
      </c>
      <c r="L301" s="941" t="s">
        <v>957</v>
      </c>
      <c r="M301" s="941" t="s">
        <v>958</v>
      </c>
    </row>
    <row r="302" spans="1:49" x14ac:dyDescent="0.2">
      <c r="A302" s="941" t="s">
        <v>1511</v>
      </c>
      <c r="B302" s="941">
        <v>1</v>
      </c>
      <c r="C302" s="941">
        <v>2</v>
      </c>
      <c r="D302" s="941">
        <v>9</v>
      </c>
      <c r="E302" s="941">
        <v>3</v>
      </c>
      <c r="F302" s="941">
        <v>6</v>
      </c>
      <c r="G302" s="941">
        <v>12</v>
      </c>
      <c r="H302" s="941">
        <v>7</v>
      </c>
      <c r="I302" s="941">
        <v>8</v>
      </c>
      <c r="J302" s="941">
        <v>10</v>
      </c>
      <c r="K302" s="941">
        <v>4</v>
      </c>
      <c r="L302" s="941">
        <v>5</v>
      </c>
      <c r="M302" s="941">
        <v>11</v>
      </c>
    </row>
    <row r="303" spans="1:49" x14ac:dyDescent="0.2">
      <c r="A303" s="941" t="s">
        <v>1512</v>
      </c>
      <c r="B303" s="941">
        <v>5</v>
      </c>
      <c r="C303" s="941">
        <v>1</v>
      </c>
      <c r="D303" s="941">
        <v>9</v>
      </c>
      <c r="E303" s="941">
        <v>3</v>
      </c>
      <c r="F303" s="941">
        <v>6</v>
      </c>
      <c r="G303" s="941">
        <v>12</v>
      </c>
      <c r="H303" s="941">
        <v>2</v>
      </c>
      <c r="I303" s="941">
        <v>7</v>
      </c>
      <c r="J303" s="941">
        <v>10</v>
      </c>
      <c r="K303" s="941">
        <v>4</v>
      </c>
      <c r="L303" s="941">
        <v>8</v>
      </c>
      <c r="M303" s="941">
        <v>11</v>
      </c>
    </row>
    <row r="304" spans="1:49" x14ac:dyDescent="0.2">
      <c r="A304" s="941" t="s">
        <v>1513</v>
      </c>
      <c r="B304" s="941">
        <v>1</v>
      </c>
      <c r="C304" s="941">
        <v>3</v>
      </c>
      <c r="D304" s="941">
        <v>12</v>
      </c>
      <c r="E304" s="941">
        <v>3</v>
      </c>
      <c r="F304" s="941">
        <v>4</v>
      </c>
      <c r="G304" s="941">
        <v>9</v>
      </c>
      <c r="H304" s="941">
        <v>6</v>
      </c>
      <c r="I304" s="941">
        <v>7</v>
      </c>
      <c r="J304" s="941">
        <v>8</v>
      </c>
      <c r="K304" s="941">
        <v>10</v>
      </c>
      <c r="L304" s="941">
        <v>5</v>
      </c>
      <c r="M304" s="941">
        <v>11</v>
      </c>
    </row>
    <row r="305" spans="1:13" x14ac:dyDescent="0.2">
      <c r="A305" s="941" t="s">
        <v>2217</v>
      </c>
      <c r="B305" s="941">
        <v>2</v>
      </c>
      <c r="C305" s="941">
        <v>5</v>
      </c>
      <c r="D305" s="941">
        <v>4</v>
      </c>
      <c r="E305" s="941">
        <v>2</v>
      </c>
      <c r="F305" s="941">
        <v>7</v>
      </c>
      <c r="G305" s="941">
        <v>9</v>
      </c>
      <c r="H305" s="941">
        <v>6</v>
      </c>
      <c r="I305" s="941">
        <v>1</v>
      </c>
      <c r="J305" s="941">
        <v>8</v>
      </c>
      <c r="K305" s="941">
        <v>10</v>
      </c>
      <c r="L305" s="941">
        <v>12</v>
      </c>
      <c r="M305" s="941">
        <v>11</v>
      </c>
    </row>
    <row r="306" spans="1:13" x14ac:dyDescent="0.2">
      <c r="A306" s="941" t="s">
        <v>3484</v>
      </c>
      <c r="B306" s="941">
        <v>1</v>
      </c>
      <c r="C306" s="941">
        <v>12</v>
      </c>
      <c r="D306" s="941">
        <v>2</v>
      </c>
      <c r="E306" s="941">
        <v>5</v>
      </c>
      <c r="F306" s="941">
        <v>4</v>
      </c>
      <c r="G306" s="941">
        <v>6</v>
      </c>
      <c r="H306" s="941">
        <v>3</v>
      </c>
      <c r="I306" s="941">
        <v>7</v>
      </c>
      <c r="J306" s="941">
        <v>10</v>
      </c>
      <c r="K306" s="941">
        <v>9</v>
      </c>
      <c r="L306" s="941">
        <v>8</v>
      </c>
      <c r="M306" s="941">
        <v>11</v>
      </c>
    </row>
    <row r="307" spans="1:13" x14ac:dyDescent="0.2">
      <c r="A307" s="941" t="s">
        <v>3485</v>
      </c>
      <c r="B307" s="941">
        <v>8</v>
      </c>
      <c r="C307" s="941">
        <v>7</v>
      </c>
      <c r="D307" s="941">
        <v>1</v>
      </c>
      <c r="E307" s="941">
        <v>10</v>
      </c>
      <c r="F307" s="941">
        <v>9</v>
      </c>
      <c r="G307" s="941">
        <v>12</v>
      </c>
      <c r="H307" s="941">
        <v>2</v>
      </c>
      <c r="I307" s="941">
        <v>5</v>
      </c>
      <c r="J307" s="941">
        <v>11</v>
      </c>
      <c r="K307" s="941">
        <v>4</v>
      </c>
      <c r="L307" s="941">
        <v>3</v>
      </c>
      <c r="M307" s="941">
        <v>6</v>
      </c>
    </row>
    <row r="308" spans="1:13" x14ac:dyDescent="0.2">
      <c r="A308" s="941" t="s">
        <v>1641</v>
      </c>
      <c r="B308" s="941">
        <f>B304</f>
        <v>1</v>
      </c>
      <c r="C308" s="941">
        <f t="shared" ref="C308:M308" si="248">C304</f>
        <v>3</v>
      </c>
      <c r="D308" s="941">
        <f t="shared" si="248"/>
        <v>12</v>
      </c>
      <c r="E308" s="941">
        <f t="shared" si="248"/>
        <v>3</v>
      </c>
      <c r="F308" s="941">
        <f t="shared" si="248"/>
        <v>4</v>
      </c>
      <c r="G308" s="941">
        <f t="shared" si="248"/>
        <v>9</v>
      </c>
      <c r="H308" s="941">
        <f t="shared" si="248"/>
        <v>6</v>
      </c>
      <c r="I308" s="941">
        <f t="shared" si="248"/>
        <v>7</v>
      </c>
      <c r="J308" s="941">
        <f t="shared" si="248"/>
        <v>8</v>
      </c>
      <c r="K308" s="941">
        <f t="shared" si="248"/>
        <v>10</v>
      </c>
      <c r="L308" s="941">
        <f t="shared" si="248"/>
        <v>5</v>
      </c>
      <c r="M308" s="941">
        <f t="shared" si="248"/>
        <v>11</v>
      </c>
    </row>
    <row r="309" spans="1:13" x14ac:dyDescent="0.2">
      <c r="A309" s="942" t="s">
        <v>1518</v>
      </c>
      <c r="B309" s="943">
        <f>B304</f>
        <v>1</v>
      </c>
      <c r="C309" s="943">
        <f t="shared" ref="C309:M309" si="249">C304</f>
        <v>3</v>
      </c>
      <c r="D309" s="943">
        <f t="shared" si="249"/>
        <v>12</v>
      </c>
      <c r="E309" s="943">
        <f t="shared" si="249"/>
        <v>3</v>
      </c>
      <c r="F309" s="943">
        <f t="shared" si="249"/>
        <v>4</v>
      </c>
      <c r="G309" s="943">
        <f t="shared" si="249"/>
        <v>9</v>
      </c>
      <c r="H309" s="943">
        <f t="shared" si="249"/>
        <v>6</v>
      </c>
      <c r="I309" s="943">
        <f t="shared" si="249"/>
        <v>7</v>
      </c>
      <c r="J309" s="943">
        <f t="shared" si="249"/>
        <v>8</v>
      </c>
      <c r="K309" s="943">
        <f t="shared" si="249"/>
        <v>10</v>
      </c>
      <c r="L309" s="943">
        <f t="shared" si="249"/>
        <v>5</v>
      </c>
      <c r="M309" s="943">
        <f t="shared" si="249"/>
        <v>11</v>
      </c>
    </row>
  </sheetData>
  <sheetProtection selectLockedCells="1" selectUnlockedCells="1"/>
  <mergeCells count="166">
    <mergeCell ref="B29:O29"/>
    <mergeCell ref="B15:C15"/>
    <mergeCell ref="S16:S18"/>
    <mergeCell ref="T16:T18"/>
    <mergeCell ref="U16:U18"/>
    <mergeCell ref="S25:S27"/>
    <mergeCell ref="T25:T27"/>
    <mergeCell ref="U25:U27"/>
    <mergeCell ref="V25:V27"/>
    <mergeCell ref="V16:V18"/>
    <mergeCell ref="S19:S21"/>
    <mergeCell ref="T19:U24"/>
    <mergeCell ref="V19:V21"/>
    <mergeCell ref="S22:S24"/>
    <mergeCell ref="V22:V24"/>
    <mergeCell ref="B110:O110"/>
    <mergeCell ref="B120:O120"/>
    <mergeCell ref="B130:O130"/>
    <mergeCell ref="B151:C151"/>
    <mergeCell ref="B40:O40"/>
    <mergeCell ref="B73:O73"/>
    <mergeCell ref="B85:O85"/>
    <mergeCell ref="B96:O96"/>
    <mergeCell ref="S155:S157"/>
    <mergeCell ref="B62:O62"/>
    <mergeCell ref="B51:O51"/>
    <mergeCell ref="T155:U160"/>
    <mergeCell ref="V155:V157"/>
    <mergeCell ref="S158:S160"/>
    <mergeCell ref="V158:V160"/>
    <mergeCell ref="S152:S154"/>
    <mergeCell ref="T152:T154"/>
    <mergeCell ref="U152:U154"/>
    <mergeCell ref="V152:V154"/>
    <mergeCell ref="S161:S163"/>
    <mergeCell ref="T161:T163"/>
    <mergeCell ref="U161:U163"/>
    <mergeCell ref="V161:V163"/>
    <mergeCell ref="B179:C179"/>
    <mergeCell ref="S180:S182"/>
    <mergeCell ref="T180:T182"/>
    <mergeCell ref="U180:U182"/>
    <mergeCell ref="V180:V182"/>
    <mergeCell ref="B165:C165"/>
    <mergeCell ref="S166:S168"/>
    <mergeCell ref="T166:T168"/>
    <mergeCell ref="U166:U168"/>
    <mergeCell ref="V166:V168"/>
    <mergeCell ref="S169:S171"/>
    <mergeCell ref="T169:U174"/>
    <mergeCell ref="V169:V171"/>
    <mergeCell ref="S172:S174"/>
    <mergeCell ref="V172:V174"/>
    <mergeCell ref="S183:S185"/>
    <mergeCell ref="T183:U188"/>
    <mergeCell ref="V183:V185"/>
    <mergeCell ref="S186:S188"/>
    <mergeCell ref="V186:V188"/>
    <mergeCell ref="S175:S177"/>
    <mergeCell ref="T175:T177"/>
    <mergeCell ref="U175:U177"/>
    <mergeCell ref="V175:V177"/>
    <mergeCell ref="B193:C193"/>
    <mergeCell ref="S194:S196"/>
    <mergeCell ref="T194:T196"/>
    <mergeCell ref="U194:U196"/>
    <mergeCell ref="V194:V196"/>
    <mergeCell ref="S197:S199"/>
    <mergeCell ref="T197:U202"/>
    <mergeCell ref="V197:V199"/>
    <mergeCell ref="S200:S202"/>
    <mergeCell ref="V200:V202"/>
    <mergeCell ref="S189:S191"/>
    <mergeCell ref="T189:T191"/>
    <mergeCell ref="U189:U191"/>
    <mergeCell ref="V189:V191"/>
    <mergeCell ref="S208:S210"/>
    <mergeCell ref="T208:T210"/>
    <mergeCell ref="U208:U210"/>
    <mergeCell ref="V208:V210"/>
    <mergeCell ref="S203:S205"/>
    <mergeCell ref="T203:T205"/>
    <mergeCell ref="U203:U205"/>
    <mergeCell ref="V203:V205"/>
    <mergeCell ref="S211:S213"/>
    <mergeCell ref="T211:U216"/>
    <mergeCell ref="V211:V213"/>
    <mergeCell ref="S214:S216"/>
    <mergeCell ref="V214:V216"/>
    <mergeCell ref="B207:C207"/>
    <mergeCell ref="B221:C221"/>
    <mergeCell ref="S222:S224"/>
    <mergeCell ref="T222:T224"/>
    <mergeCell ref="U222:U224"/>
    <mergeCell ref="V222:V224"/>
    <mergeCell ref="S225:S227"/>
    <mergeCell ref="T225:U230"/>
    <mergeCell ref="V225:V227"/>
    <mergeCell ref="S228:S230"/>
    <mergeCell ref="V228:V230"/>
    <mergeCell ref="S217:S219"/>
    <mergeCell ref="T217:T219"/>
    <mergeCell ref="U217:U219"/>
    <mergeCell ref="V217:V219"/>
    <mergeCell ref="S231:S233"/>
    <mergeCell ref="T231:T233"/>
    <mergeCell ref="U231:U233"/>
    <mergeCell ref="V231:V233"/>
    <mergeCell ref="B249:C249"/>
    <mergeCell ref="S250:S252"/>
    <mergeCell ref="T250:T252"/>
    <mergeCell ref="U250:U252"/>
    <mergeCell ref="V250:V252"/>
    <mergeCell ref="B235:C235"/>
    <mergeCell ref="S236:S238"/>
    <mergeCell ref="T236:T238"/>
    <mergeCell ref="U236:U238"/>
    <mergeCell ref="V236:V238"/>
    <mergeCell ref="S239:S241"/>
    <mergeCell ref="T239:U244"/>
    <mergeCell ref="V239:V241"/>
    <mergeCell ref="S242:S244"/>
    <mergeCell ref="V242:V244"/>
    <mergeCell ref="S253:S255"/>
    <mergeCell ref="T253:U258"/>
    <mergeCell ref="V253:V255"/>
    <mergeCell ref="S256:S258"/>
    <mergeCell ref="V256:V258"/>
    <mergeCell ref="S245:S247"/>
    <mergeCell ref="T245:T247"/>
    <mergeCell ref="U245:U247"/>
    <mergeCell ref="V245:V247"/>
    <mergeCell ref="B263:C263"/>
    <mergeCell ref="S264:S266"/>
    <mergeCell ref="T264:T266"/>
    <mergeCell ref="U264:U266"/>
    <mergeCell ref="V264:V266"/>
    <mergeCell ref="S259:S261"/>
    <mergeCell ref="T259:T261"/>
    <mergeCell ref="U259:U261"/>
    <mergeCell ref="V259:V261"/>
    <mergeCell ref="S273:S275"/>
    <mergeCell ref="T273:T275"/>
    <mergeCell ref="U273:U275"/>
    <mergeCell ref="V273:V275"/>
    <mergeCell ref="S267:S269"/>
    <mergeCell ref="T267:U272"/>
    <mergeCell ref="V267:V269"/>
    <mergeCell ref="S270:S272"/>
    <mergeCell ref="V270:V272"/>
    <mergeCell ref="B285:C285"/>
    <mergeCell ref="Z285:AW285"/>
    <mergeCell ref="S286:S288"/>
    <mergeCell ref="T286:T288"/>
    <mergeCell ref="U286:U288"/>
    <mergeCell ref="V286:V288"/>
    <mergeCell ref="X296:AL296"/>
    <mergeCell ref="S289:S291"/>
    <mergeCell ref="T289:U294"/>
    <mergeCell ref="V289:V291"/>
    <mergeCell ref="S292:S294"/>
    <mergeCell ref="V292:V294"/>
    <mergeCell ref="S295:S297"/>
    <mergeCell ref="T295:T297"/>
    <mergeCell ref="U295:U297"/>
    <mergeCell ref="V295:V297"/>
  </mergeCells>
  <phoneticPr fontId="107" type="noConversion"/>
  <conditionalFormatting sqref="D265:O273">
    <cfRule type="cellIs" dxfId="507" priority="9" stopIfTrue="1" operator="between">
      <formula>6</formula>
      <formula>8</formula>
    </cfRule>
    <cfRule type="cellIs" dxfId="506" priority="10" stopIfTrue="1" operator="between">
      <formula>0</formula>
      <formula>3</formula>
    </cfRule>
  </conditionalFormatting>
  <conditionalFormatting sqref="D264:O264 D194:O194 D208:O208 D222:O222 Z264:AK264">
    <cfRule type="cellIs" dxfId="505" priority="11" stopIfTrue="1" operator="equal">
      <formula>$D53</formula>
    </cfRule>
  </conditionalFormatting>
  <conditionalFormatting sqref="D153:O160 D167:O174 D181:O188 D195:O202 D209:O216 D223:O230 D237:O244 D251:O258 Z153:AW160 Z167:AW174 Z181:AW188 Z195:AW202 Z209:AW216 Z223:AW230 Z237:AW244 Z251:AW258 D287:O294 Z287:AW294">
    <cfRule type="cellIs" dxfId="504" priority="12" stopIfTrue="1" operator="equal">
      <formula>1</formula>
    </cfRule>
    <cfRule type="cellIs" dxfId="503" priority="13" stopIfTrue="1" operator="equal">
      <formula>"*"</formula>
    </cfRule>
  </conditionalFormatting>
  <conditionalFormatting sqref="D236:O236">
    <cfRule type="cellIs" dxfId="502" priority="14" stopIfTrue="1" operator="equal">
      <formula>$D$212</formula>
    </cfRule>
  </conditionalFormatting>
  <conditionalFormatting sqref="D250:O250 D286:O286">
    <cfRule type="cellIs" dxfId="501" priority="15" stopIfTrue="1" operator="equal">
      <formula>$D$226</formula>
    </cfRule>
  </conditionalFormatting>
  <conditionalFormatting sqref="D152:O152">
    <cfRule type="cellIs" dxfId="500" priority="16" stopIfTrue="1" operator="equal">
      <formula>#REF!</formula>
    </cfRule>
  </conditionalFormatting>
  <conditionalFormatting sqref="D180:O180 D166:O166">
    <cfRule type="cellIs" dxfId="499" priority="17" stopIfTrue="1" operator="equal">
      <formula>$D14</formula>
    </cfRule>
  </conditionalFormatting>
  <pageMargins left="0.74791666666666667" right="0.74791666666666667" top="0.98402777777777772" bottom="0.98402777777777772" header="0.51180555555555551" footer="0.51180555555555551"/>
  <pageSetup paperSize="9" scale="58" firstPageNumber="0" orientation="portrait" horizontalDpi="300" verticalDpi="300" r:id="rId1"/>
  <headerFooter alignWithMargins="0"/>
  <colBreaks count="1" manualBreakCount="1">
    <brk id="23" max="1048575" man="1"/>
  </colBreaks>
  <legacyDrawing r:id="rId2"/>
  <tableParts count="2">
    <tablePart r:id="rId3"/>
    <tablePart r:id="rId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2:IV880"/>
  <sheetViews>
    <sheetView zoomScale="85" zoomScaleNormal="85" zoomScaleSheetLayoutView="75" workbookViewId="0" xr3:uid="{65FA3815-DCC1-5481-872F-D2879ED395ED}">
      <pane xSplit="3" topLeftCell="D1" activePane="topRight" state="frozen"/>
      <selection activeCell="C14" sqref="B14:D14"/>
      <selection pane="topRight" activeCell="J3" sqref="J3"/>
    </sheetView>
  </sheetViews>
  <sheetFormatPr defaultColWidth="7.12890625" defaultRowHeight="12.75" x14ac:dyDescent="0.2"/>
  <cols>
    <col min="1" max="1" width="13.31640625" style="331" customWidth="1"/>
    <col min="2" max="2" width="14.9296875" style="331" customWidth="1"/>
    <col min="3" max="3" width="14.66015625" style="331" customWidth="1"/>
    <col min="4" max="4" width="10.35546875" style="331" customWidth="1"/>
    <col min="5" max="5" width="10.35546875" style="332" customWidth="1"/>
    <col min="6" max="8" width="10.35546875" style="331" customWidth="1"/>
    <col min="9" max="9" width="11.56640625" style="331" customWidth="1"/>
    <col min="10" max="10" width="10.89453125" style="331" customWidth="1"/>
    <col min="11" max="11" width="11.43359375" style="331" customWidth="1"/>
    <col min="12" max="12" width="23.5390625" style="331" bestFit="1" customWidth="1"/>
    <col min="13" max="13" width="25.01953125" style="331" bestFit="1" customWidth="1"/>
    <col min="14" max="14" width="18.0234375" style="333" customWidth="1"/>
    <col min="15" max="15" width="21.7890625" style="333" bestFit="1" customWidth="1"/>
    <col min="16" max="16" width="29.0546875" style="333" bestFit="1" customWidth="1"/>
    <col min="17" max="17" width="23.5390625" style="333" customWidth="1"/>
    <col min="18" max="18" width="34.16796875" style="333" customWidth="1"/>
    <col min="19" max="19" width="24.6171875" style="333" customWidth="1"/>
    <col min="20" max="20" width="23.26953125" style="333" bestFit="1" customWidth="1"/>
    <col min="21" max="21" width="22.46484375" style="333" customWidth="1"/>
    <col min="22" max="22" width="23.9453125" style="333" customWidth="1"/>
    <col min="23" max="24" width="19.234375" style="333" bestFit="1" customWidth="1"/>
    <col min="25" max="25" width="13.71875" style="333" customWidth="1"/>
    <col min="26" max="26" width="27.57421875" style="631" bestFit="1" customWidth="1"/>
    <col min="27" max="27" width="14.2578125" style="631" customWidth="1"/>
    <col min="28" max="28" width="13.85546875" style="333" bestFit="1" customWidth="1"/>
    <col min="29" max="29" width="22.328125" style="333" bestFit="1" customWidth="1"/>
    <col min="30" max="30" width="22.59765625" style="333" bestFit="1" customWidth="1"/>
    <col min="31" max="31" width="29.0546875" style="333" customWidth="1"/>
    <col min="32" max="32" width="21.38671875" style="333" bestFit="1" customWidth="1"/>
    <col min="33" max="33" width="21.5234375" style="333" bestFit="1" customWidth="1"/>
    <col min="34" max="34" width="10.625" style="333" bestFit="1" customWidth="1"/>
    <col min="35" max="35" width="12.9140625" style="333" bestFit="1" customWidth="1"/>
    <col min="36" max="36" width="11.43359375" style="333" bestFit="1" customWidth="1"/>
    <col min="37" max="37" width="20.4453125" style="333" customWidth="1"/>
    <col min="38" max="38" width="16.27734375" style="333" customWidth="1"/>
    <col min="39" max="39" width="11.56640625" style="333" bestFit="1" customWidth="1"/>
    <col min="40" max="40" width="24.34765625" style="333" bestFit="1" customWidth="1"/>
    <col min="41" max="41" width="25.01953125" style="333" bestFit="1" customWidth="1"/>
    <col min="42" max="42" width="16.41015625" style="333" bestFit="1" customWidth="1"/>
    <col min="43" max="43" width="8.47265625" style="333" bestFit="1" customWidth="1"/>
    <col min="44" max="44" width="8.203125" style="333" bestFit="1" customWidth="1"/>
    <col min="45" max="45" width="8.875" style="333" bestFit="1" customWidth="1"/>
    <col min="46" max="46" width="19.90625" style="333" bestFit="1" customWidth="1"/>
    <col min="47" max="47" width="13.5859375" style="333" bestFit="1" customWidth="1"/>
    <col min="48" max="48" width="14.2578125" style="333" bestFit="1" customWidth="1"/>
    <col min="49" max="49" width="11.43359375" style="333" customWidth="1"/>
    <col min="50" max="50" width="14.390625" style="333" bestFit="1" customWidth="1"/>
    <col min="51" max="51" width="16.8125" style="333" bestFit="1" customWidth="1"/>
    <col min="52" max="52" width="13.5859375" style="333" bestFit="1" customWidth="1"/>
    <col min="53" max="53" width="15.33203125" style="333" bestFit="1" customWidth="1"/>
    <col min="54" max="54" width="13.98828125" style="333" customWidth="1"/>
    <col min="55" max="55" width="14.390625" style="333" bestFit="1" customWidth="1"/>
    <col min="56" max="56" width="16.8125" style="333" bestFit="1" customWidth="1"/>
    <col min="57" max="57" width="13.5859375" style="333" bestFit="1" customWidth="1"/>
    <col min="58" max="58" width="15.33203125" style="333" bestFit="1" customWidth="1"/>
    <col min="59" max="16384" width="7.12890625" style="333"/>
  </cols>
  <sheetData>
    <row r="2" spans="1:27" ht="15" customHeight="1" x14ac:dyDescent="0.15">
      <c r="A2" s="334" t="s">
        <v>3474</v>
      </c>
      <c r="B2" s="334" t="s">
        <v>1935</v>
      </c>
      <c r="C2" s="334" t="s">
        <v>1936</v>
      </c>
      <c r="D2" s="334" t="s">
        <v>1937</v>
      </c>
      <c r="E2" s="334" t="s">
        <v>1938</v>
      </c>
      <c r="F2" s="334" t="s">
        <v>1539</v>
      </c>
      <c r="G2" s="334" t="s">
        <v>1939</v>
      </c>
      <c r="H2" s="331" t="s">
        <v>1940</v>
      </c>
      <c r="I2" s="331" t="s">
        <v>1941</v>
      </c>
      <c r="J2" s="331" t="s">
        <v>1942</v>
      </c>
      <c r="K2" s="332" t="s">
        <v>3553</v>
      </c>
      <c r="L2" s="332" t="s">
        <v>3554</v>
      </c>
      <c r="M2" s="332" t="s">
        <v>3555</v>
      </c>
      <c r="N2" s="331" t="s">
        <v>3881</v>
      </c>
      <c r="O2" s="331" t="s">
        <v>3228</v>
      </c>
      <c r="P2" s="331" t="s">
        <v>1943</v>
      </c>
      <c r="Q2" s="331" t="s">
        <v>1944</v>
      </c>
      <c r="R2" s="331" t="s">
        <v>1945</v>
      </c>
      <c r="S2" s="332" t="s">
        <v>4332</v>
      </c>
      <c r="T2" s="331" t="s">
        <v>689</v>
      </c>
      <c r="U2" s="333" t="s">
        <v>690</v>
      </c>
      <c r="V2" s="333" t="s">
        <v>4346</v>
      </c>
      <c r="W2" s="333" t="s">
        <v>4354</v>
      </c>
      <c r="X2" s="333" t="s">
        <v>4355</v>
      </c>
      <c r="Z2" s="333"/>
      <c r="AA2" s="333"/>
    </row>
    <row r="3" spans="1:27" ht="15" customHeight="1" x14ac:dyDescent="0.15">
      <c r="A3" s="335" t="s">
        <v>1511</v>
      </c>
      <c r="B3" s="335">
        <f>VimFactor*6</f>
        <v>6</v>
      </c>
      <c r="C3" s="336">
        <v>2</v>
      </c>
      <c r="D3" s="337" t="s">
        <v>1954</v>
      </c>
      <c r="E3" s="332" t="s">
        <v>1955</v>
      </c>
      <c r="F3" s="331">
        <v>1</v>
      </c>
      <c r="G3" s="331" t="s">
        <v>1956</v>
      </c>
      <c r="H3" s="1467">
        <v>10</v>
      </c>
      <c r="I3" s="331" t="str">
        <f t="shared" ref="I3:I11" si="0">INDEX(RasiTbl_11,INT(H3/30)+1)</f>
        <v>Aries</v>
      </c>
      <c r="J3" s="331">
        <f t="shared" ref="J3:J11" si="1">MOD(H3+180,360)</f>
        <v>190</v>
      </c>
      <c r="K3" s="331" t="s">
        <v>3545</v>
      </c>
      <c r="L3" s="945">
        <v>365.25636300399998</v>
      </c>
      <c r="M3" s="687">
        <v>4320000</v>
      </c>
      <c r="N3" s="1000">
        <v>5</v>
      </c>
      <c r="O3" s="1012"/>
      <c r="P3" s="1000" t="s">
        <v>1956</v>
      </c>
      <c r="Q3" s="1000">
        <v>1</v>
      </c>
      <c r="R3" s="1013">
        <v>5</v>
      </c>
      <c r="S3" s="1000"/>
      <c r="T3" s="1000">
        <v>0.98560265449999995</v>
      </c>
      <c r="U3" s="1014"/>
      <c r="V3" s="333" t="s">
        <v>4347</v>
      </c>
      <c r="W3" s="1267" t="s">
        <v>2361</v>
      </c>
      <c r="X3" s="1267" t="s">
        <v>1583</v>
      </c>
      <c r="Z3" s="333"/>
      <c r="AA3" s="333"/>
    </row>
    <row r="4" spans="1:27" ht="15" customHeight="1" x14ac:dyDescent="0.15">
      <c r="A4" s="335" t="s">
        <v>1512</v>
      </c>
      <c r="B4" s="335">
        <f>VimFactor*10</f>
        <v>10</v>
      </c>
      <c r="C4" s="336">
        <v>3</v>
      </c>
      <c r="D4" s="337" t="s">
        <v>1957</v>
      </c>
      <c r="E4" s="332" t="s">
        <v>1958</v>
      </c>
      <c r="F4" s="331">
        <v>2</v>
      </c>
      <c r="G4" s="331" t="s">
        <v>1953</v>
      </c>
      <c r="H4" s="331">
        <v>33</v>
      </c>
      <c r="I4" s="331" t="str">
        <f t="shared" si="0"/>
        <v>Taurus</v>
      </c>
      <c r="J4" s="331">
        <f t="shared" si="1"/>
        <v>213</v>
      </c>
      <c r="K4" s="331" t="s">
        <v>3546</v>
      </c>
      <c r="L4" s="945">
        <v>27.321581999999999</v>
      </c>
      <c r="M4" s="687">
        <v>57753336</v>
      </c>
      <c r="N4" s="1000">
        <v>5</v>
      </c>
      <c r="O4" s="1012"/>
      <c r="P4" s="1000" t="s">
        <v>1959</v>
      </c>
      <c r="Q4" s="1000">
        <v>2</v>
      </c>
      <c r="R4" s="1013">
        <v>2</v>
      </c>
      <c r="S4" s="1000">
        <v>12</v>
      </c>
      <c r="T4" s="1014"/>
      <c r="U4" s="1014"/>
      <c r="V4" s="333" t="s">
        <v>4348</v>
      </c>
      <c r="W4" s="1267" t="s">
        <v>4356</v>
      </c>
      <c r="X4" s="1267" t="s">
        <v>1592</v>
      </c>
      <c r="Z4" s="333"/>
      <c r="AA4" s="333"/>
    </row>
    <row r="5" spans="1:27" ht="15" customHeight="1" x14ac:dyDescent="0.15">
      <c r="A5" s="335" t="s">
        <v>1513</v>
      </c>
      <c r="B5" s="335">
        <f>VimFactor*7</f>
        <v>7</v>
      </c>
      <c r="C5" s="336">
        <v>4</v>
      </c>
      <c r="D5" s="337" t="s">
        <v>1960</v>
      </c>
      <c r="E5" s="332" t="s">
        <v>1961</v>
      </c>
      <c r="F5" s="331">
        <v>3</v>
      </c>
      <c r="G5" s="331" t="s">
        <v>1962</v>
      </c>
      <c r="H5" s="331">
        <v>298</v>
      </c>
      <c r="I5" s="331" t="str">
        <f>INDEX(RasiTbl_11,INT(H5/30)+1)</f>
        <v>Capricorn</v>
      </c>
      <c r="J5" s="331">
        <f t="shared" si="1"/>
        <v>118</v>
      </c>
      <c r="K5" s="331" t="s">
        <v>3547</v>
      </c>
      <c r="L5" s="945">
        <v>686.971</v>
      </c>
      <c r="M5" s="687">
        <v>2296824</v>
      </c>
      <c r="N5" s="1000">
        <v>8</v>
      </c>
      <c r="O5" s="1012"/>
      <c r="P5" s="1000" t="s">
        <v>1948</v>
      </c>
      <c r="Q5" s="1000">
        <v>3</v>
      </c>
      <c r="R5" s="1013">
        <v>2</v>
      </c>
      <c r="S5" s="1000">
        <v>17</v>
      </c>
      <c r="T5" s="1000">
        <v>0.52401933300000003</v>
      </c>
      <c r="U5" s="1014">
        <f>360/686.971</f>
        <v>0.52403958827956343</v>
      </c>
      <c r="V5" s="333" t="s">
        <v>4351</v>
      </c>
      <c r="W5" s="1267" t="s">
        <v>4357</v>
      </c>
      <c r="X5" s="1267" t="s">
        <v>4359</v>
      </c>
      <c r="Z5" s="333"/>
      <c r="AA5" s="333"/>
    </row>
    <row r="6" spans="1:27" ht="15" customHeight="1" x14ac:dyDescent="0.15">
      <c r="A6" s="335" t="s">
        <v>1517</v>
      </c>
      <c r="B6" s="335">
        <f>VimFactor*17</f>
        <v>17</v>
      </c>
      <c r="C6" s="336">
        <v>8</v>
      </c>
      <c r="D6" s="337" t="s">
        <v>1972</v>
      </c>
      <c r="E6" s="332" t="s">
        <v>1973</v>
      </c>
      <c r="F6" s="331">
        <v>4</v>
      </c>
      <c r="G6" s="331" t="s">
        <v>1959</v>
      </c>
      <c r="H6" s="331">
        <v>165</v>
      </c>
      <c r="I6" s="331" t="str">
        <f t="shared" si="0"/>
        <v>Virgo</v>
      </c>
      <c r="J6" s="331">
        <f t="shared" si="1"/>
        <v>345</v>
      </c>
      <c r="K6" s="331" t="s">
        <v>3548</v>
      </c>
      <c r="L6" s="945">
        <v>87.969099999999997</v>
      </c>
      <c r="M6" s="687">
        <v>17937000</v>
      </c>
      <c r="N6" s="1000">
        <v>5</v>
      </c>
      <c r="O6" s="1012"/>
      <c r="P6" s="1000" t="s">
        <v>1974</v>
      </c>
      <c r="Q6" s="1000">
        <v>4</v>
      </c>
      <c r="R6" s="1013">
        <v>3</v>
      </c>
      <c r="S6" s="331" t="s">
        <v>4333</v>
      </c>
      <c r="T6" s="1000"/>
      <c r="U6" s="1014"/>
      <c r="V6" s="333" t="s">
        <v>4352</v>
      </c>
      <c r="W6" s="1267" t="s">
        <v>2368</v>
      </c>
      <c r="X6" s="1267" t="s">
        <v>1596</v>
      </c>
      <c r="Z6" s="333"/>
      <c r="AA6" s="333"/>
    </row>
    <row r="7" spans="1:27" ht="15" customHeight="1" x14ac:dyDescent="0.15">
      <c r="A7" s="335" t="s">
        <v>1515</v>
      </c>
      <c r="B7" s="335">
        <f>VimFactor*16</f>
        <v>16</v>
      </c>
      <c r="C7" s="336">
        <v>6</v>
      </c>
      <c r="D7" s="337" t="s">
        <v>1966</v>
      </c>
      <c r="E7" s="332" t="s">
        <v>1967</v>
      </c>
      <c r="F7" s="331">
        <v>5</v>
      </c>
      <c r="G7" s="331" t="s">
        <v>1968</v>
      </c>
      <c r="H7" s="331">
        <v>95</v>
      </c>
      <c r="I7" s="331" t="str">
        <f t="shared" si="0"/>
        <v>Cancer</v>
      </c>
      <c r="J7" s="331">
        <f t="shared" si="1"/>
        <v>275</v>
      </c>
      <c r="K7" s="331" t="s">
        <v>3549</v>
      </c>
      <c r="L7" s="945">
        <v>4332.59</v>
      </c>
      <c r="M7" s="687">
        <v>364220</v>
      </c>
      <c r="N7" s="1000">
        <v>10</v>
      </c>
      <c r="O7" s="1012"/>
      <c r="P7" s="1000" t="s">
        <v>1959</v>
      </c>
      <c r="Q7" s="1000">
        <v>5</v>
      </c>
      <c r="R7" s="1013">
        <v>5</v>
      </c>
      <c r="S7" s="1000">
        <v>11</v>
      </c>
      <c r="T7" s="1000">
        <v>8.3096332999999994E-2</v>
      </c>
      <c r="U7" s="1015">
        <f>360/4332.59</f>
        <v>8.3091176409491777E-2</v>
      </c>
      <c r="V7" s="333" t="s">
        <v>4349</v>
      </c>
      <c r="W7" s="1267" t="s">
        <v>2367</v>
      </c>
      <c r="X7" s="1267" t="s">
        <v>4360</v>
      </c>
      <c r="Z7" s="333"/>
      <c r="AA7" s="333"/>
    </row>
    <row r="8" spans="1:27" ht="15" customHeight="1" x14ac:dyDescent="0.15">
      <c r="A8" s="335" t="s">
        <v>1519</v>
      </c>
      <c r="B8" s="335">
        <f>VimFactor*20</f>
        <v>20</v>
      </c>
      <c r="C8" s="336">
        <v>1</v>
      </c>
      <c r="D8" s="337" t="s">
        <v>1950</v>
      </c>
      <c r="E8" s="332" t="s">
        <v>1951</v>
      </c>
      <c r="F8" s="331">
        <v>6</v>
      </c>
      <c r="G8" s="331" t="s">
        <v>1952</v>
      </c>
      <c r="H8" s="331">
        <v>357</v>
      </c>
      <c r="I8" s="331" t="str">
        <f t="shared" si="0"/>
        <v>Pisces</v>
      </c>
      <c r="J8" s="331">
        <f t="shared" si="1"/>
        <v>177</v>
      </c>
      <c r="K8" s="331" t="s">
        <v>3550</v>
      </c>
      <c r="L8" s="945">
        <v>224.70099999999999</v>
      </c>
      <c r="M8" s="687">
        <v>7022388</v>
      </c>
      <c r="N8" s="1000">
        <v>7</v>
      </c>
      <c r="O8" s="1012"/>
      <c r="P8" s="1000" t="s">
        <v>1953</v>
      </c>
      <c r="Q8" s="1000">
        <v>6</v>
      </c>
      <c r="R8" s="1013">
        <v>3</v>
      </c>
      <c r="S8" s="331" t="s">
        <v>4331</v>
      </c>
      <c r="T8" s="1000">
        <f>T9</f>
        <v>3.3439333299999999E-2</v>
      </c>
      <c r="U8" s="1014"/>
      <c r="V8" s="333" t="s">
        <v>4353</v>
      </c>
      <c r="W8" s="1267" t="s">
        <v>2364</v>
      </c>
      <c r="X8" s="1267" t="s">
        <v>1900</v>
      </c>
      <c r="Z8" s="333"/>
      <c r="AA8" s="333"/>
    </row>
    <row r="9" spans="1:27" ht="15" customHeight="1" x14ac:dyDescent="0.15">
      <c r="A9" s="335" t="s">
        <v>1516</v>
      </c>
      <c r="B9" s="335">
        <f>VimFactor*19</f>
        <v>19</v>
      </c>
      <c r="C9" s="336">
        <v>7</v>
      </c>
      <c r="D9" s="337" t="s">
        <v>1969</v>
      </c>
      <c r="E9" s="332" t="s">
        <v>1970</v>
      </c>
      <c r="F9" s="331">
        <v>7</v>
      </c>
      <c r="G9" s="331" t="s">
        <v>1971</v>
      </c>
      <c r="H9" s="331">
        <v>200</v>
      </c>
      <c r="I9" s="331" t="str">
        <f t="shared" si="0"/>
        <v>Libra</v>
      </c>
      <c r="J9" s="331">
        <f t="shared" si="1"/>
        <v>20</v>
      </c>
      <c r="K9" s="331" t="s">
        <v>3551</v>
      </c>
      <c r="L9" s="945">
        <v>10759.22</v>
      </c>
      <c r="M9" s="687">
        <v>146564</v>
      </c>
      <c r="N9" s="1000">
        <v>5</v>
      </c>
      <c r="O9" s="1012"/>
      <c r="P9" s="1000" t="s">
        <v>1952</v>
      </c>
      <c r="Q9" s="1000">
        <v>7</v>
      </c>
      <c r="R9" s="1013">
        <v>3</v>
      </c>
      <c r="S9" s="1000">
        <v>15</v>
      </c>
      <c r="T9" s="1000">
        <v>3.3439333299999999E-2</v>
      </c>
      <c r="U9" s="1014">
        <f>360/10759.22</f>
        <v>3.3459674586075946E-2</v>
      </c>
      <c r="V9" s="333" t="s">
        <v>4350</v>
      </c>
      <c r="W9" s="1267" t="s">
        <v>4358</v>
      </c>
      <c r="X9" s="1267" t="s">
        <v>1532</v>
      </c>
      <c r="Z9" s="333"/>
      <c r="AA9" s="333"/>
    </row>
    <row r="10" spans="1:27" ht="15" customHeight="1" x14ac:dyDescent="0.15">
      <c r="A10" s="335" t="s">
        <v>1514</v>
      </c>
      <c r="B10" s="335">
        <f>VimFactor*18</f>
        <v>18</v>
      </c>
      <c r="C10" s="336">
        <v>5</v>
      </c>
      <c r="D10" s="337" t="s">
        <v>1963</v>
      </c>
      <c r="E10" s="332" t="s">
        <v>1964</v>
      </c>
      <c r="F10" s="331">
        <v>8</v>
      </c>
      <c r="G10" s="331" t="s">
        <v>1965</v>
      </c>
      <c r="H10" s="331">
        <v>75</v>
      </c>
      <c r="I10" s="331" t="str">
        <f t="shared" si="0"/>
        <v>Gemini</v>
      </c>
      <c r="J10" s="331">
        <f t="shared" si="1"/>
        <v>255</v>
      </c>
      <c r="K10" s="331" t="s">
        <v>3552</v>
      </c>
      <c r="L10" s="946">
        <v>6793.4770900000003</v>
      </c>
      <c r="M10" s="687">
        <v>232238</v>
      </c>
      <c r="N10" s="1000"/>
      <c r="O10" s="1012"/>
      <c r="P10" s="1000" t="s">
        <v>1953</v>
      </c>
      <c r="Q10" s="1000">
        <v>8</v>
      </c>
      <c r="R10" s="1013">
        <v>4</v>
      </c>
      <c r="S10" s="1000"/>
      <c r="T10" s="1000"/>
      <c r="U10" s="1014"/>
      <c r="V10" s="1014"/>
      <c r="W10" s="1267" t="s">
        <v>2373</v>
      </c>
      <c r="X10" s="1267" t="s">
        <v>1583</v>
      </c>
      <c r="Z10" s="333"/>
      <c r="AA10" s="333"/>
    </row>
    <row r="11" spans="1:27" ht="15" customHeight="1" x14ac:dyDescent="0.15">
      <c r="A11" s="335" t="s">
        <v>1518</v>
      </c>
      <c r="B11" s="335">
        <f>VimFactor*7</f>
        <v>7</v>
      </c>
      <c r="C11" s="336">
        <v>0</v>
      </c>
      <c r="D11" s="337" t="s">
        <v>1946</v>
      </c>
      <c r="E11" s="332" t="s">
        <v>1947</v>
      </c>
      <c r="F11" s="331">
        <v>9</v>
      </c>
      <c r="G11" s="331" t="s">
        <v>1948</v>
      </c>
      <c r="H11" s="331">
        <f>H10+180</f>
        <v>255</v>
      </c>
      <c r="I11" s="331" t="str">
        <f t="shared" si="0"/>
        <v>Sagitarius</v>
      </c>
      <c r="J11" s="331">
        <f t="shared" si="1"/>
        <v>75</v>
      </c>
      <c r="K11" s="331" t="s">
        <v>3552</v>
      </c>
      <c r="L11" s="945"/>
      <c r="M11" s="687">
        <f>M10</f>
        <v>232238</v>
      </c>
      <c r="N11" s="1000"/>
      <c r="O11" s="1012"/>
      <c r="P11" s="1000" t="s">
        <v>1949</v>
      </c>
      <c r="Q11" s="1000">
        <v>9</v>
      </c>
      <c r="R11" s="1000">
        <v>4</v>
      </c>
      <c r="S11" s="1014"/>
      <c r="T11" s="1000"/>
      <c r="U11" s="1014"/>
      <c r="V11" s="1014"/>
      <c r="W11" s="1267" t="s">
        <v>2340</v>
      </c>
      <c r="X11" s="1267" t="s">
        <v>1587</v>
      </c>
      <c r="Z11" s="333"/>
      <c r="AA11" s="333"/>
    </row>
    <row r="12" spans="1:27" x14ac:dyDescent="0.2">
      <c r="L12" s="945"/>
      <c r="M12" s="687"/>
      <c r="N12" s="1000"/>
      <c r="O12" s="1014"/>
      <c r="P12" s="1014"/>
      <c r="Q12" s="1014"/>
      <c r="R12" s="1014"/>
      <c r="S12" s="1014"/>
      <c r="T12" s="1014"/>
      <c r="U12" s="1014"/>
      <c r="V12" s="1014"/>
      <c r="W12" s="1267"/>
      <c r="X12" s="1267"/>
      <c r="Z12" s="333"/>
      <c r="AA12" s="333"/>
    </row>
    <row r="13" spans="1:27" x14ac:dyDescent="0.15">
      <c r="A13" s="331" t="s">
        <v>1975</v>
      </c>
      <c r="B13" s="331">
        <f>SUM(Vimshottari!B2:B10)</f>
        <v>120</v>
      </c>
      <c r="E13" s="332" t="s">
        <v>1059</v>
      </c>
      <c r="L13" s="945"/>
      <c r="M13" s="687"/>
      <c r="N13" s="1000"/>
      <c r="O13" s="1014"/>
      <c r="P13" s="1014"/>
      <c r="Q13" s="1014"/>
      <c r="R13" s="1014"/>
      <c r="S13" s="1014"/>
      <c r="T13" s="1014"/>
      <c r="U13" s="1014"/>
      <c r="V13" s="1014"/>
      <c r="W13" s="1267"/>
      <c r="X13" s="1267"/>
      <c r="Z13" s="333"/>
      <c r="AA13" s="333"/>
    </row>
    <row r="14" spans="1:27" x14ac:dyDescent="0.2">
      <c r="A14" s="703"/>
      <c r="B14" s="704"/>
      <c r="C14" s="703"/>
      <c r="D14" s="703"/>
      <c r="E14" s="704"/>
      <c r="F14" s="703"/>
      <c r="G14" s="703"/>
      <c r="H14" s="703"/>
      <c r="I14" s="703"/>
      <c r="J14" s="703"/>
      <c r="K14" s="703"/>
      <c r="L14" s="339"/>
      <c r="M14" s="340"/>
    </row>
    <row r="15" spans="1:27" s="343" customFormat="1" ht="12.75" customHeight="1" x14ac:dyDescent="0.15">
      <c r="A15" s="341" t="s">
        <v>1976</v>
      </c>
      <c r="B15" s="342" t="s">
        <v>1977</v>
      </c>
      <c r="C15" s="342" t="s">
        <v>1978</v>
      </c>
      <c r="D15" s="341" t="s">
        <v>1979</v>
      </c>
      <c r="E15" s="334" t="s">
        <v>1937</v>
      </c>
      <c r="F15" s="341" t="s">
        <v>1980</v>
      </c>
      <c r="G15" s="341" t="s">
        <v>1981</v>
      </c>
      <c r="H15" s="341" t="s">
        <v>1982</v>
      </c>
      <c r="I15" s="341" t="s">
        <v>1983</v>
      </c>
      <c r="J15" s="341" t="s">
        <v>1984</v>
      </c>
      <c r="K15" s="341" t="s">
        <v>2892</v>
      </c>
      <c r="L15" s="746" t="s">
        <v>2890</v>
      </c>
      <c r="M15" s="341" t="s">
        <v>2891</v>
      </c>
      <c r="N15" s="343" t="s">
        <v>3520</v>
      </c>
      <c r="O15" s="343" t="s">
        <v>3507</v>
      </c>
      <c r="P15" s="343" t="s">
        <v>3880</v>
      </c>
      <c r="Q15" s="343" t="s">
        <v>2111</v>
      </c>
      <c r="R15" s="343" t="s">
        <v>4425</v>
      </c>
      <c r="S15" s="343" t="s">
        <v>4651</v>
      </c>
      <c r="T15" s="343" t="s">
        <v>4652</v>
      </c>
      <c r="U15" s="748" t="s">
        <v>2887</v>
      </c>
      <c r="V15" s="748" t="s">
        <v>2888</v>
      </c>
      <c r="W15" s="748" t="s">
        <v>2889</v>
      </c>
      <c r="Z15" s="632"/>
      <c r="AA15" s="632"/>
    </row>
    <row r="16" spans="1:27" ht="12.75" customHeight="1" x14ac:dyDescent="0.15">
      <c r="A16" s="331" t="s">
        <v>1985</v>
      </c>
      <c r="B16" s="335" t="s">
        <v>1956</v>
      </c>
      <c r="C16" s="335">
        <v>0</v>
      </c>
      <c r="D16" s="331" t="s">
        <v>1986</v>
      </c>
      <c r="E16" s="332" t="s">
        <v>1972</v>
      </c>
      <c r="F16" s="331" t="s">
        <v>1987</v>
      </c>
      <c r="G16" s="331" t="s">
        <v>1988</v>
      </c>
      <c r="H16" s="331" t="s">
        <v>1967</v>
      </c>
      <c r="I16" s="341">
        <v>1</v>
      </c>
      <c r="J16" s="331" t="s">
        <v>1513</v>
      </c>
      <c r="K16" s="331" t="s">
        <v>2857</v>
      </c>
      <c r="L16" s="738" t="s">
        <v>2869</v>
      </c>
      <c r="M16" s="738" t="s">
        <v>3508</v>
      </c>
      <c r="N16" s="747" t="s">
        <v>3521</v>
      </c>
      <c r="O16" s="333" t="s">
        <v>3533</v>
      </c>
      <c r="P16" s="747">
        <v>7</v>
      </c>
      <c r="Q16" s="333" t="s">
        <v>3897</v>
      </c>
      <c r="R16" s="333" t="s">
        <v>1086</v>
      </c>
      <c r="S16" s="333" t="s">
        <v>4639</v>
      </c>
      <c r="T16" s="333" t="s">
        <v>4653</v>
      </c>
      <c r="U16" s="747"/>
      <c r="V16" s="747"/>
      <c r="W16" s="747"/>
    </row>
    <row r="17" spans="1:23" ht="12.75" customHeight="1" x14ac:dyDescent="0.15">
      <c r="A17" s="331" t="s">
        <v>1989</v>
      </c>
      <c r="B17" s="335" t="s">
        <v>1953</v>
      </c>
      <c r="C17" s="335">
        <f t="shared" ref="C17:C27" si="2">C16+30</f>
        <v>30</v>
      </c>
      <c r="D17" s="331" t="s">
        <v>1990</v>
      </c>
      <c r="E17" s="332" t="s">
        <v>1954</v>
      </c>
      <c r="F17" s="331" t="s">
        <v>1770</v>
      </c>
      <c r="G17" s="331" t="s">
        <v>1991</v>
      </c>
      <c r="H17" s="331" t="s">
        <v>1992</v>
      </c>
      <c r="I17" s="341">
        <v>2</v>
      </c>
      <c r="J17" s="331" t="s">
        <v>1519</v>
      </c>
      <c r="K17" s="331" t="s">
        <v>2858</v>
      </c>
      <c r="L17" s="738" t="s">
        <v>2870</v>
      </c>
      <c r="M17" s="738" t="s">
        <v>3509</v>
      </c>
      <c r="N17" s="747" t="s">
        <v>3522</v>
      </c>
      <c r="O17" s="333" t="s">
        <v>3534</v>
      </c>
      <c r="P17" s="747">
        <v>10</v>
      </c>
      <c r="Q17" s="333" t="s">
        <v>3897</v>
      </c>
      <c r="R17" s="333" t="s">
        <v>1086</v>
      </c>
      <c r="S17" s="333" t="s">
        <v>4640</v>
      </c>
      <c r="T17" s="333" t="s">
        <v>4654</v>
      </c>
      <c r="U17" s="747"/>
      <c r="V17" s="747"/>
      <c r="W17" s="747"/>
    </row>
    <row r="18" spans="1:23" ht="12.75" customHeight="1" x14ac:dyDescent="0.15">
      <c r="A18" s="331" t="s">
        <v>1993</v>
      </c>
      <c r="B18" s="335" t="s">
        <v>1965</v>
      </c>
      <c r="C18" s="335">
        <f t="shared" si="2"/>
        <v>60</v>
      </c>
      <c r="D18" s="331" t="s">
        <v>1994</v>
      </c>
      <c r="E18" s="332" t="s">
        <v>1960</v>
      </c>
      <c r="F18" s="331" t="s">
        <v>1995</v>
      </c>
      <c r="G18" s="331" t="s">
        <v>1996</v>
      </c>
      <c r="H18" s="331" t="s">
        <v>1997</v>
      </c>
      <c r="I18" s="341">
        <v>3</v>
      </c>
      <c r="J18" s="331" t="s">
        <v>1517</v>
      </c>
      <c r="K18" s="331" t="s">
        <v>2859</v>
      </c>
      <c r="L18" s="738" t="s">
        <v>2871</v>
      </c>
      <c r="M18" s="738" t="s">
        <v>3510</v>
      </c>
      <c r="N18" s="747" t="s">
        <v>3523</v>
      </c>
      <c r="O18" s="333" t="s">
        <v>3535</v>
      </c>
      <c r="P18" s="747">
        <v>8</v>
      </c>
      <c r="Q18" s="747"/>
      <c r="R18" s="333" t="s">
        <v>1519</v>
      </c>
      <c r="S18" s="333" t="s">
        <v>4641</v>
      </c>
      <c r="T18" s="333" t="s">
        <v>4654</v>
      </c>
      <c r="U18" s="747"/>
      <c r="V18" s="747"/>
      <c r="W18" s="747"/>
    </row>
    <row r="19" spans="1:23" ht="12.75" customHeight="1" x14ac:dyDescent="0.15">
      <c r="A19" s="331" t="s">
        <v>1998</v>
      </c>
      <c r="B19" s="335" t="s">
        <v>1968</v>
      </c>
      <c r="C19" s="335">
        <f t="shared" si="2"/>
        <v>90</v>
      </c>
      <c r="D19" s="331" t="s">
        <v>1999</v>
      </c>
      <c r="E19" s="332" t="s">
        <v>1969</v>
      </c>
      <c r="F19" s="331" t="s">
        <v>2000</v>
      </c>
      <c r="G19" s="331" t="s">
        <v>1988</v>
      </c>
      <c r="H19" s="331" t="s">
        <v>2001</v>
      </c>
      <c r="I19" s="341">
        <v>1</v>
      </c>
      <c r="J19" s="331" t="s">
        <v>1512</v>
      </c>
      <c r="K19" s="331" t="s">
        <v>2860</v>
      </c>
      <c r="L19" s="738" t="s">
        <v>2872</v>
      </c>
      <c r="M19" s="738" t="s">
        <v>3511</v>
      </c>
      <c r="N19" s="747" t="s">
        <v>3524</v>
      </c>
      <c r="O19" s="333" t="s">
        <v>3536</v>
      </c>
      <c r="P19" s="747">
        <v>4</v>
      </c>
      <c r="Q19" s="333" t="s">
        <v>3896</v>
      </c>
      <c r="R19" s="333" t="s">
        <v>1086</v>
      </c>
      <c r="S19" s="333" t="s">
        <v>4642</v>
      </c>
      <c r="T19" s="333" t="s">
        <v>4655</v>
      </c>
      <c r="U19" s="747"/>
      <c r="V19" s="747"/>
      <c r="W19" s="747"/>
    </row>
    <row r="20" spans="1:23" ht="12.75" customHeight="1" x14ac:dyDescent="0.15">
      <c r="A20" s="331" t="s">
        <v>2002</v>
      </c>
      <c r="B20" s="335" t="s">
        <v>1949</v>
      </c>
      <c r="C20" s="335">
        <f t="shared" si="2"/>
        <v>120</v>
      </c>
      <c r="D20" s="331" t="s">
        <v>1986</v>
      </c>
      <c r="E20" s="332" t="s">
        <v>1972</v>
      </c>
      <c r="F20" s="331" t="s">
        <v>1987</v>
      </c>
      <c r="G20" s="331" t="s">
        <v>1991</v>
      </c>
      <c r="H20" s="332" t="s">
        <v>3233</v>
      </c>
      <c r="I20" s="341">
        <v>2</v>
      </c>
      <c r="J20" s="331" t="s">
        <v>1511</v>
      </c>
      <c r="K20" s="331" t="s">
        <v>2861</v>
      </c>
      <c r="L20" s="738" t="s">
        <v>2873</v>
      </c>
      <c r="M20" s="738" t="s">
        <v>3512</v>
      </c>
      <c r="N20" s="747" t="s">
        <v>3525</v>
      </c>
      <c r="O20" s="333" t="s">
        <v>3537</v>
      </c>
      <c r="P20" s="747">
        <v>10</v>
      </c>
      <c r="Q20" s="333" t="s">
        <v>3897</v>
      </c>
      <c r="R20" s="333" t="s">
        <v>1086</v>
      </c>
      <c r="S20" s="333" t="s">
        <v>4643</v>
      </c>
      <c r="T20" s="333" t="s">
        <v>4655</v>
      </c>
      <c r="U20" s="747"/>
      <c r="V20" s="747"/>
      <c r="W20" s="747"/>
    </row>
    <row r="21" spans="1:23" ht="12.75" customHeight="1" x14ac:dyDescent="0.15">
      <c r="A21" s="331" t="s">
        <v>2003</v>
      </c>
      <c r="B21" s="335" t="s">
        <v>1959</v>
      </c>
      <c r="C21" s="335">
        <f t="shared" si="2"/>
        <v>150</v>
      </c>
      <c r="D21" s="331" t="s">
        <v>1990</v>
      </c>
      <c r="E21" s="332" t="s">
        <v>1954</v>
      </c>
      <c r="F21" s="331" t="s">
        <v>1770</v>
      </c>
      <c r="G21" s="331" t="s">
        <v>1996</v>
      </c>
      <c r="H21" s="332" t="s">
        <v>3231</v>
      </c>
      <c r="I21" s="341">
        <v>3</v>
      </c>
      <c r="J21" s="331" t="s">
        <v>1517</v>
      </c>
      <c r="K21" s="331" t="s">
        <v>2862</v>
      </c>
      <c r="L21" s="738" t="s">
        <v>2874</v>
      </c>
      <c r="M21" s="738" t="s">
        <v>3513</v>
      </c>
      <c r="N21" s="747" t="s">
        <v>3526</v>
      </c>
      <c r="O21" s="333" t="s">
        <v>3538</v>
      </c>
      <c r="P21" s="747">
        <v>5</v>
      </c>
      <c r="Q21" s="333" t="s">
        <v>3899</v>
      </c>
      <c r="R21" s="333" t="s">
        <v>1516</v>
      </c>
      <c r="S21" s="333" t="s">
        <v>4644</v>
      </c>
      <c r="T21" s="333" t="s">
        <v>4656</v>
      </c>
      <c r="U21" s="747"/>
      <c r="V21" s="747"/>
      <c r="W21" s="747"/>
    </row>
    <row r="22" spans="1:23" ht="12.75" customHeight="1" x14ac:dyDescent="0.15">
      <c r="A22" s="331" t="s">
        <v>2004</v>
      </c>
      <c r="B22" s="335" t="s">
        <v>1971</v>
      </c>
      <c r="C22" s="335">
        <f t="shared" si="2"/>
        <v>180</v>
      </c>
      <c r="D22" s="331" t="s">
        <v>1994</v>
      </c>
      <c r="E22" s="332" t="s">
        <v>1960</v>
      </c>
      <c r="F22" s="331" t="s">
        <v>1995</v>
      </c>
      <c r="G22" s="331" t="s">
        <v>1988</v>
      </c>
      <c r="H22" s="331" t="s">
        <v>2005</v>
      </c>
      <c r="I22" s="341">
        <v>1</v>
      </c>
      <c r="J22" s="331" t="s">
        <v>1519</v>
      </c>
      <c r="K22" s="331" t="s">
        <v>2863</v>
      </c>
      <c r="L22" s="738" t="s">
        <v>2875</v>
      </c>
      <c r="M22" s="738" t="s">
        <v>3514</v>
      </c>
      <c r="N22" s="747" t="s">
        <v>3527</v>
      </c>
      <c r="O22" s="333" t="s">
        <v>3539</v>
      </c>
      <c r="P22" s="747">
        <v>7</v>
      </c>
      <c r="Q22" s="333" t="s">
        <v>3899</v>
      </c>
      <c r="R22" s="333" t="s">
        <v>1513</v>
      </c>
      <c r="S22" s="333" t="s">
        <v>4645</v>
      </c>
      <c r="T22" s="333" t="s">
        <v>4656</v>
      </c>
      <c r="U22" s="747"/>
      <c r="V22" s="747"/>
      <c r="W22" s="747"/>
    </row>
    <row r="23" spans="1:23" ht="12.75" customHeight="1" x14ac:dyDescent="0.15">
      <c r="A23" s="331" t="s">
        <v>2006</v>
      </c>
      <c r="B23" s="335" t="s">
        <v>2007</v>
      </c>
      <c r="C23" s="335">
        <f t="shared" si="2"/>
        <v>210</v>
      </c>
      <c r="D23" s="331" t="s">
        <v>1999</v>
      </c>
      <c r="E23" s="332" t="s">
        <v>1969</v>
      </c>
      <c r="F23" s="331" t="s">
        <v>2000</v>
      </c>
      <c r="G23" s="331" t="s">
        <v>1991</v>
      </c>
      <c r="H23" s="332" t="s">
        <v>2008</v>
      </c>
      <c r="I23" s="341">
        <v>2</v>
      </c>
      <c r="J23" s="331" t="s">
        <v>2009</v>
      </c>
      <c r="K23" s="331" t="s">
        <v>2864</v>
      </c>
      <c r="L23" s="738" t="s">
        <v>2876</v>
      </c>
      <c r="M23" s="738" t="s">
        <v>3515</v>
      </c>
      <c r="N23" s="747" t="s">
        <v>3528</v>
      </c>
      <c r="O23" s="333" t="s">
        <v>3540</v>
      </c>
      <c r="P23" s="747">
        <v>8</v>
      </c>
      <c r="Q23" s="333" t="s">
        <v>3896</v>
      </c>
      <c r="R23" s="333" t="s">
        <v>1086</v>
      </c>
      <c r="S23" s="333" t="s">
        <v>4646</v>
      </c>
      <c r="T23" s="333" t="s">
        <v>4657</v>
      </c>
      <c r="U23" s="747"/>
      <c r="V23" s="747"/>
      <c r="W23" s="747"/>
    </row>
    <row r="24" spans="1:23" ht="12.75" customHeight="1" x14ac:dyDescent="0.15">
      <c r="A24" s="331" t="s">
        <v>2010</v>
      </c>
      <c r="B24" s="335" t="s">
        <v>1948</v>
      </c>
      <c r="C24" s="335">
        <f t="shared" si="2"/>
        <v>240</v>
      </c>
      <c r="D24" s="331" t="s">
        <v>1986</v>
      </c>
      <c r="E24" s="332" t="s">
        <v>1972</v>
      </c>
      <c r="F24" s="331" t="s">
        <v>1987</v>
      </c>
      <c r="G24" s="331" t="s">
        <v>1996</v>
      </c>
      <c r="H24" s="332" t="s">
        <v>3230</v>
      </c>
      <c r="I24" s="341">
        <v>3</v>
      </c>
      <c r="J24" s="331" t="s">
        <v>1515</v>
      </c>
      <c r="K24" s="331" t="s">
        <v>2865</v>
      </c>
      <c r="L24" s="738" t="s">
        <v>2877</v>
      </c>
      <c r="M24" s="738" t="s">
        <v>3516</v>
      </c>
      <c r="N24" s="747" t="s">
        <v>3529</v>
      </c>
      <c r="O24" s="333" t="s">
        <v>3541</v>
      </c>
      <c r="P24" s="747">
        <v>9</v>
      </c>
      <c r="Q24" s="333" t="s">
        <v>3899</v>
      </c>
      <c r="R24" s="333" t="s">
        <v>1517</v>
      </c>
      <c r="S24" s="333" t="s">
        <v>4647</v>
      </c>
      <c r="T24" s="333" t="s">
        <v>4657</v>
      </c>
      <c r="U24" s="747"/>
      <c r="V24" s="747"/>
      <c r="W24" s="747"/>
    </row>
    <row r="25" spans="1:23" ht="12.75" customHeight="1" x14ac:dyDescent="0.15">
      <c r="A25" s="331" t="s">
        <v>2011</v>
      </c>
      <c r="B25" s="335" t="s">
        <v>1962</v>
      </c>
      <c r="C25" s="335">
        <f t="shared" si="2"/>
        <v>270</v>
      </c>
      <c r="D25" s="331" t="s">
        <v>1990</v>
      </c>
      <c r="E25" s="332" t="s">
        <v>1954</v>
      </c>
      <c r="F25" s="331" t="s">
        <v>1770</v>
      </c>
      <c r="G25" s="331" t="s">
        <v>1988</v>
      </c>
      <c r="H25" s="331" t="s">
        <v>2012</v>
      </c>
      <c r="I25" s="341">
        <v>1</v>
      </c>
      <c r="J25" s="331" t="s">
        <v>1516</v>
      </c>
      <c r="K25" s="331" t="s">
        <v>2866</v>
      </c>
      <c r="L25" s="738" t="s">
        <v>2878</v>
      </c>
      <c r="M25" s="738" t="s">
        <v>3517</v>
      </c>
      <c r="N25" s="747" t="s">
        <v>3530</v>
      </c>
      <c r="O25" s="333" t="s">
        <v>3542</v>
      </c>
      <c r="P25" s="747">
        <v>5</v>
      </c>
      <c r="Q25" s="333" t="s">
        <v>3898</v>
      </c>
      <c r="R25" s="333" t="s">
        <v>1515</v>
      </c>
      <c r="S25" s="333" t="s">
        <v>4648</v>
      </c>
      <c r="T25" s="333" t="s">
        <v>4658</v>
      </c>
      <c r="U25" s="747"/>
      <c r="V25" s="747"/>
      <c r="W25" s="747"/>
    </row>
    <row r="26" spans="1:23" ht="12.75" customHeight="1" x14ac:dyDescent="0.15">
      <c r="A26" s="331" t="s">
        <v>2013</v>
      </c>
      <c r="B26" s="335" t="s">
        <v>1974</v>
      </c>
      <c r="C26" s="335">
        <f t="shared" si="2"/>
        <v>300</v>
      </c>
      <c r="D26" s="331" t="s">
        <v>1994</v>
      </c>
      <c r="E26" s="332" t="s">
        <v>1960</v>
      </c>
      <c r="F26" s="331" t="s">
        <v>1995</v>
      </c>
      <c r="G26" s="331" t="s">
        <v>1991</v>
      </c>
      <c r="H26" s="332" t="s">
        <v>3232</v>
      </c>
      <c r="I26" s="341">
        <v>2</v>
      </c>
      <c r="J26" s="331" t="s">
        <v>2014</v>
      </c>
      <c r="K26" s="331" t="s">
        <v>2867</v>
      </c>
      <c r="L26" s="738" t="s">
        <v>2879</v>
      </c>
      <c r="M26" s="738" t="s">
        <v>3518</v>
      </c>
      <c r="N26" s="747" t="s">
        <v>3531</v>
      </c>
      <c r="O26" s="333" t="s">
        <v>3543</v>
      </c>
      <c r="P26" s="747">
        <v>11</v>
      </c>
      <c r="Q26" s="333" t="s">
        <v>3899</v>
      </c>
      <c r="R26" s="333" t="s">
        <v>1512</v>
      </c>
      <c r="S26" s="333" t="s">
        <v>4649</v>
      </c>
      <c r="T26" s="333" t="s">
        <v>4658</v>
      </c>
      <c r="U26" s="747"/>
      <c r="V26" s="747"/>
      <c r="W26" s="747"/>
    </row>
    <row r="27" spans="1:23" ht="12.75" customHeight="1" x14ac:dyDescent="0.15">
      <c r="A27" s="331" t="s">
        <v>2015</v>
      </c>
      <c r="B27" s="335" t="s">
        <v>1952</v>
      </c>
      <c r="C27" s="335">
        <f t="shared" si="2"/>
        <v>330</v>
      </c>
      <c r="D27" s="331" t="s">
        <v>1999</v>
      </c>
      <c r="E27" s="332" t="s">
        <v>1969</v>
      </c>
      <c r="F27" s="331" t="s">
        <v>2000</v>
      </c>
      <c r="G27" s="331" t="s">
        <v>1996</v>
      </c>
      <c r="H27" s="331" t="s">
        <v>2016</v>
      </c>
      <c r="I27" s="341">
        <v>3</v>
      </c>
      <c r="J27" s="331" t="s">
        <v>1515</v>
      </c>
      <c r="K27" s="331" t="s">
        <v>2868</v>
      </c>
      <c r="L27" s="738" t="s">
        <v>2880</v>
      </c>
      <c r="M27" s="738" t="s">
        <v>3519</v>
      </c>
      <c r="N27" s="747" t="s">
        <v>3532</v>
      </c>
      <c r="O27" s="333" t="s">
        <v>3544</v>
      </c>
      <c r="P27" s="747">
        <v>12</v>
      </c>
      <c r="Q27" s="333" t="s">
        <v>3895</v>
      </c>
      <c r="R27" s="333" t="s">
        <v>1511</v>
      </c>
      <c r="S27" s="333" t="s">
        <v>4650</v>
      </c>
      <c r="T27" s="333" t="s">
        <v>4653</v>
      </c>
      <c r="U27" s="747"/>
      <c r="V27" s="747"/>
      <c r="W27" s="747"/>
    </row>
    <row r="28" spans="1:23" x14ac:dyDescent="0.2">
      <c r="D28" s="687"/>
    </row>
    <row r="29" spans="1:23" x14ac:dyDescent="0.15">
      <c r="A29" s="331" t="s">
        <v>1123</v>
      </c>
      <c r="B29" s="964">
        <v>26540</v>
      </c>
      <c r="C29" s="687">
        <v>714404096641</v>
      </c>
      <c r="D29" s="687">
        <f>113.75*365.2435</f>
        <v>41546.448124999995</v>
      </c>
      <c r="E29" s="965">
        <f>Ahargana-D29</f>
        <v>714404055094.55188</v>
      </c>
    </row>
    <row r="30" spans="1:23" ht="21.75" x14ac:dyDescent="0.15">
      <c r="B30" s="668"/>
      <c r="C30" s="687"/>
      <c r="E30" s="344" t="s">
        <v>3134</v>
      </c>
    </row>
    <row r="31" spans="1:23" ht="13.5" customHeight="1" thickBot="1" x14ac:dyDescent="0.25">
      <c r="A31" s="384" t="s">
        <v>2999</v>
      </c>
      <c r="B31" s="789" t="s">
        <v>1158</v>
      </c>
      <c r="C31" s="790" t="s">
        <v>3241</v>
      </c>
      <c r="D31" s="384" t="s">
        <v>3024</v>
      </c>
      <c r="E31" s="384" t="s">
        <v>3242</v>
      </c>
      <c r="F31" s="527" t="s">
        <v>3050</v>
      </c>
      <c r="G31" s="527" t="s">
        <v>3051</v>
      </c>
      <c r="H31" s="527" t="s">
        <v>3052</v>
      </c>
      <c r="I31" s="527" t="s">
        <v>3053</v>
      </c>
      <c r="J31" s="527" t="s">
        <v>3054</v>
      </c>
      <c r="K31" s="527" t="s">
        <v>3055</v>
      </c>
      <c r="L31" s="527" t="s">
        <v>3056</v>
      </c>
      <c r="M31" s="527" t="s">
        <v>3139</v>
      </c>
      <c r="N31" s="527" t="s">
        <v>3140</v>
      </c>
      <c r="O31" s="527" t="s">
        <v>3141</v>
      </c>
      <c r="P31" s="527" t="s">
        <v>3142</v>
      </c>
      <c r="Q31" s="386" t="s">
        <v>3181</v>
      </c>
      <c r="R31" s="386" t="s">
        <v>3191</v>
      </c>
      <c r="S31" s="333" t="s">
        <v>4297</v>
      </c>
      <c r="T31" s="333" t="s">
        <v>4298</v>
      </c>
      <c r="U31" s="333" t="s">
        <v>4299</v>
      </c>
    </row>
    <row r="32" spans="1:23" ht="13.5" customHeight="1" thickBot="1" x14ac:dyDescent="0.25">
      <c r="A32" s="384">
        <v>1</v>
      </c>
      <c r="B32" s="789" t="s">
        <v>3000</v>
      </c>
      <c r="C32" s="790" t="s">
        <v>3011</v>
      </c>
      <c r="D32" s="384">
        <v>9</v>
      </c>
      <c r="E32" s="384" t="s">
        <v>3240</v>
      </c>
      <c r="F32" s="527" t="s">
        <v>3057</v>
      </c>
      <c r="G32" s="527" t="s">
        <v>3058</v>
      </c>
      <c r="H32" s="527" t="s">
        <v>3059</v>
      </c>
      <c r="I32" s="527" t="s">
        <v>3060</v>
      </c>
      <c r="J32" s="527" t="s">
        <v>3061</v>
      </c>
      <c r="K32" s="527" t="s">
        <v>3062</v>
      </c>
      <c r="L32" s="527" t="s">
        <v>3063</v>
      </c>
      <c r="M32" s="791" t="s">
        <v>3143</v>
      </c>
      <c r="N32" s="791" t="s">
        <v>3144</v>
      </c>
      <c r="O32" s="791" t="s">
        <v>3144</v>
      </c>
      <c r="P32" s="792" t="s">
        <v>3145</v>
      </c>
      <c r="Q32" s="793" t="s">
        <v>3182</v>
      </c>
      <c r="R32" s="386"/>
      <c r="S32" s="333" t="s">
        <v>4300</v>
      </c>
      <c r="T32" s="333" t="s">
        <v>4301</v>
      </c>
      <c r="U32" s="333" t="s">
        <v>4302</v>
      </c>
    </row>
    <row r="33" spans="1:58" ht="13.5" customHeight="1" thickBot="1" x14ac:dyDescent="0.25">
      <c r="A33" s="384">
        <v>2</v>
      </c>
      <c r="B33" s="789" t="s">
        <v>3001</v>
      </c>
      <c r="C33" s="790" t="s">
        <v>3012</v>
      </c>
      <c r="D33" s="384">
        <v>1</v>
      </c>
      <c r="E33" s="384" t="s">
        <v>3239</v>
      </c>
      <c r="F33" s="527" t="s">
        <v>3064</v>
      </c>
      <c r="G33" s="527" t="s">
        <v>3065</v>
      </c>
      <c r="H33" s="527" t="s">
        <v>3066</v>
      </c>
      <c r="I33" s="527" t="s">
        <v>3067</v>
      </c>
      <c r="J33" s="527" t="s">
        <v>3068</v>
      </c>
      <c r="K33" s="527" t="s">
        <v>3069</v>
      </c>
      <c r="L33" s="527" t="s">
        <v>2339</v>
      </c>
      <c r="M33" s="791" t="s">
        <v>3146</v>
      </c>
      <c r="N33" s="791" t="s">
        <v>3147</v>
      </c>
      <c r="O33" s="791" t="s">
        <v>3148</v>
      </c>
      <c r="P33" s="792" t="s">
        <v>3149</v>
      </c>
      <c r="Q33" s="793" t="s">
        <v>3183</v>
      </c>
      <c r="R33" s="386"/>
      <c r="S33" s="333" t="s">
        <v>4303</v>
      </c>
      <c r="T33" s="333" t="s">
        <v>4304</v>
      </c>
      <c r="U33" s="333" t="s">
        <v>4305</v>
      </c>
    </row>
    <row r="34" spans="1:58" ht="13.5" customHeight="1" thickBot="1" x14ac:dyDescent="0.25">
      <c r="A34" s="384">
        <v>3</v>
      </c>
      <c r="B34" s="789" t="s">
        <v>3002</v>
      </c>
      <c r="C34" s="1403" t="s">
        <v>3013</v>
      </c>
      <c r="D34" s="384">
        <v>5</v>
      </c>
      <c r="E34" s="384" t="s">
        <v>3238</v>
      </c>
      <c r="F34" s="527" t="s">
        <v>3070</v>
      </c>
      <c r="G34" s="527" t="s">
        <v>3071</v>
      </c>
      <c r="H34" s="527" t="s">
        <v>3072</v>
      </c>
      <c r="I34" s="527" t="s">
        <v>3073</v>
      </c>
      <c r="J34" s="527" t="s">
        <v>3074</v>
      </c>
      <c r="K34" s="527" t="s">
        <v>3075</v>
      </c>
      <c r="L34" s="527" t="s">
        <v>3076</v>
      </c>
      <c r="M34" s="791" t="s">
        <v>3150</v>
      </c>
      <c r="N34" s="791" t="s">
        <v>3151</v>
      </c>
      <c r="O34" s="791" t="s">
        <v>3147</v>
      </c>
      <c r="P34" s="792" t="s">
        <v>3152</v>
      </c>
      <c r="Q34" s="793" t="s">
        <v>3184</v>
      </c>
      <c r="R34" s="386"/>
      <c r="S34" s="333" t="s">
        <v>4329</v>
      </c>
      <c r="T34" s="333" t="s">
        <v>4306</v>
      </c>
      <c r="U34" s="333" t="s">
        <v>4307</v>
      </c>
    </row>
    <row r="35" spans="1:58" ht="13.5" customHeight="1" thickBot="1" x14ac:dyDescent="0.25">
      <c r="A35" s="384">
        <v>4</v>
      </c>
      <c r="B35" s="789" t="s">
        <v>3003</v>
      </c>
      <c r="C35" s="790" t="s">
        <v>3014</v>
      </c>
      <c r="D35" s="384">
        <v>10</v>
      </c>
      <c r="E35" s="384" t="s">
        <v>3237</v>
      </c>
      <c r="F35" s="527" t="s">
        <v>3077</v>
      </c>
      <c r="G35" s="527" t="s">
        <v>3078</v>
      </c>
      <c r="H35" s="527" t="s">
        <v>3079</v>
      </c>
      <c r="I35" s="527" t="s">
        <v>3080</v>
      </c>
      <c r="J35" s="527" t="s">
        <v>3081</v>
      </c>
      <c r="K35" s="527" t="s">
        <v>3079</v>
      </c>
      <c r="L35" s="527" t="s">
        <v>3081</v>
      </c>
      <c r="M35" s="791" t="s">
        <v>3153</v>
      </c>
      <c r="N35" s="791" t="s">
        <v>3154</v>
      </c>
      <c r="O35" s="791" t="s">
        <v>3155</v>
      </c>
      <c r="P35" s="792" t="s">
        <v>3154</v>
      </c>
      <c r="Q35" s="792" t="s">
        <v>3185</v>
      </c>
      <c r="R35" s="386"/>
      <c r="S35" s="333" t="s">
        <v>292</v>
      </c>
      <c r="T35" s="333" t="s">
        <v>4308</v>
      </c>
      <c r="U35" s="333" t="s">
        <v>4309</v>
      </c>
    </row>
    <row r="36" spans="1:58" ht="13.5" customHeight="1" thickBot="1" x14ac:dyDescent="0.25">
      <c r="A36" s="384">
        <v>5</v>
      </c>
      <c r="B36" s="789" t="s">
        <v>3004</v>
      </c>
      <c r="C36" s="790" t="s">
        <v>3015</v>
      </c>
      <c r="D36" s="384">
        <v>3</v>
      </c>
      <c r="E36" s="384" t="s">
        <v>3236</v>
      </c>
      <c r="F36" s="527" t="s">
        <v>3082</v>
      </c>
      <c r="G36" s="527" t="s">
        <v>3083</v>
      </c>
      <c r="H36" s="527" t="s">
        <v>3084</v>
      </c>
      <c r="I36" s="527" t="s">
        <v>3085</v>
      </c>
      <c r="J36" s="527" t="s">
        <v>3086</v>
      </c>
      <c r="K36" s="527" t="s">
        <v>3087</v>
      </c>
      <c r="L36" s="527" t="s">
        <v>3088</v>
      </c>
      <c r="M36" s="791" t="s">
        <v>3156</v>
      </c>
      <c r="N36" s="791" t="s">
        <v>3157</v>
      </c>
      <c r="O36" s="791" t="s">
        <v>3158</v>
      </c>
      <c r="P36" s="792" t="s">
        <v>3159</v>
      </c>
      <c r="Q36" s="793" t="s">
        <v>3186</v>
      </c>
      <c r="R36" s="386"/>
      <c r="S36" s="333" t="s">
        <v>4300</v>
      </c>
      <c r="T36" s="333" t="s">
        <v>4310</v>
      </c>
      <c r="U36" s="333" t="s">
        <v>4311</v>
      </c>
    </row>
    <row r="37" spans="1:58" ht="13.5" customHeight="1" thickBot="1" x14ac:dyDescent="0.25">
      <c r="A37" s="384">
        <v>6</v>
      </c>
      <c r="B37" s="789" t="s">
        <v>3005</v>
      </c>
      <c r="C37" s="790" t="s">
        <v>3016</v>
      </c>
      <c r="D37" s="384">
        <v>6</v>
      </c>
      <c r="E37" s="384" t="s">
        <v>3235</v>
      </c>
      <c r="F37" s="527" t="s">
        <v>3089</v>
      </c>
      <c r="G37" s="527" t="s">
        <v>3090</v>
      </c>
      <c r="H37" s="527" t="s">
        <v>3091</v>
      </c>
      <c r="I37" s="527" t="s">
        <v>3092</v>
      </c>
      <c r="J37" s="527" t="s">
        <v>3093</v>
      </c>
      <c r="K37" s="527" t="s">
        <v>3092</v>
      </c>
      <c r="L37" s="527" t="s">
        <v>3094</v>
      </c>
      <c r="M37" s="791" t="s">
        <v>3160</v>
      </c>
      <c r="N37" s="791" t="s">
        <v>3161</v>
      </c>
      <c r="O37" s="791" t="s">
        <v>3162</v>
      </c>
      <c r="P37" s="792" t="s">
        <v>3163</v>
      </c>
      <c r="Q37" s="792" t="s">
        <v>3187</v>
      </c>
      <c r="R37" s="386" t="s">
        <v>3749</v>
      </c>
      <c r="S37" s="333" t="s">
        <v>4312</v>
      </c>
      <c r="T37" s="333" t="s">
        <v>4313</v>
      </c>
      <c r="U37" s="333" t="s">
        <v>4314</v>
      </c>
    </row>
    <row r="38" spans="1:58" ht="13.5" customHeight="1" thickBot="1" x14ac:dyDescent="0.25">
      <c r="A38" s="384">
        <v>7</v>
      </c>
      <c r="B38" s="789" t="s">
        <v>3006</v>
      </c>
      <c r="C38" s="790" t="s">
        <v>3017</v>
      </c>
      <c r="D38" s="384">
        <v>11</v>
      </c>
      <c r="E38" s="384" t="s">
        <v>3234</v>
      </c>
      <c r="F38" s="527" t="s">
        <v>3095</v>
      </c>
      <c r="G38" s="527" t="s">
        <v>3096</v>
      </c>
      <c r="H38" s="527" t="s">
        <v>1814</v>
      </c>
      <c r="I38" s="527" t="s">
        <v>3097</v>
      </c>
      <c r="J38" s="527" t="s">
        <v>3098</v>
      </c>
      <c r="K38" s="527" t="s">
        <v>3099</v>
      </c>
      <c r="L38" s="527" t="s">
        <v>3100</v>
      </c>
      <c r="M38" s="791" t="s">
        <v>3164</v>
      </c>
      <c r="N38" s="791" t="s">
        <v>3165</v>
      </c>
      <c r="O38" s="791" t="s">
        <v>3166</v>
      </c>
      <c r="P38" s="792" t="s">
        <v>3167</v>
      </c>
      <c r="Q38" s="793" t="s">
        <v>3183</v>
      </c>
      <c r="R38" s="386"/>
      <c r="S38" s="333" t="s">
        <v>4315</v>
      </c>
      <c r="T38" s="333" t="s">
        <v>4316</v>
      </c>
      <c r="U38" s="333" t="s">
        <v>4327</v>
      </c>
    </row>
    <row r="39" spans="1:58" ht="13.5" customHeight="1" thickBot="1" x14ac:dyDescent="0.25">
      <c r="A39" s="384">
        <v>8</v>
      </c>
      <c r="B39" s="789" t="s">
        <v>3007</v>
      </c>
      <c r="C39" s="790" t="s">
        <v>3018</v>
      </c>
      <c r="D39" s="384">
        <v>8</v>
      </c>
      <c r="E39" s="384" t="s">
        <v>3235</v>
      </c>
      <c r="F39" s="527" t="s">
        <v>3101</v>
      </c>
      <c r="G39" s="527" t="s">
        <v>3102</v>
      </c>
      <c r="H39" s="527" t="s">
        <v>3103</v>
      </c>
      <c r="I39" s="527" t="s">
        <v>3104</v>
      </c>
      <c r="J39" s="527" t="s">
        <v>3105</v>
      </c>
      <c r="K39" s="527" t="s">
        <v>3106</v>
      </c>
      <c r="L39" s="527" t="s">
        <v>3107</v>
      </c>
      <c r="M39" s="791" t="s">
        <v>3168</v>
      </c>
      <c r="N39" s="791" t="s">
        <v>3169</v>
      </c>
      <c r="O39" s="791" t="s">
        <v>3170</v>
      </c>
      <c r="P39" s="792" t="s">
        <v>3171</v>
      </c>
      <c r="Q39" s="792" t="s">
        <v>3182</v>
      </c>
      <c r="R39" s="386"/>
      <c r="S39" s="333" t="s">
        <v>292</v>
      </c>
      <c r="T39" s="333" t="s">
        <v>4317</v>
      </c>
      <c r="U39" s="333" t="s">
        <v>4328</v>
      </c>
    </row>
    <row r="40" spans="1:58" ht="13.5" customHeight="1" thickBot="1" x14ac:dyDescent="0.25">
      <c r="A40" s="384">
        <v>9</v>
      </c>
      <c r="B40" s="789" t="s">
        <v>3008</v>
      </c>
      <c r="C40" s="790" t="s">
        <v>3019</v>
      </c>
      <c r="D40" s="384">
        <v>4</v>
      </c>
      <c r="E40" s="384" t="s">
        <v>3236</v>
      </c>
      <c r="F40" s="527" t="s">
        <v>3108</v>
      </c>
      <c r="G40" s="527" t="s">
        <v>3109</v>
      </c>
      <c r="H40" s="527" t="s">
        <v>3110</v>
      </c>
      <c r="I40" s="794" t="s">
        <v>3229</v>
      </c>
      <c r="J40" s="527" t="s">
        <v>3111</v>
      </c>
      <c r="K40" s="527" t="s">
        <v>3112</v>
      </c>
      <c r="L40" s="527" t="s">
        <v>3113</v>
      </c>
      <c r="M40" s="791" t="s">
        <v>3172</v>
      </c>
      <c r="N40" s="791" t="s">
        <v>3173</v>
      </c>
      <c r="O40" s="791"/>
      <c r="P40" s="792" t="s">
        <v>3173</v>
      </c>
      <c r="Q40" s="792" t="s">
        <v>3188</v>
      </c>
      <c r="R40" s="386"/>
      <c r="S40" s="333" t="s">
        <v>4300</v>
      </c>
      <c r="T40" s="333" t="s">
        <v>4318</v>
      </c>
      <c r="U40" s="333" t="s">
        <v>4319</v>
      </c>
    </row>
    <row r="41" spans="1:58" ht="13.5" customHeight="1" thickBot="1" x14ac:dyDescent="0.25">
      <c r="A41" s="384">
        <v>10</v>
      </c>
      <c r="B41" s="789" t="s">
        <v>3009</v>
      </c>
      <c r="C41" s="790" t="s">
        <v>3020</v>
      </c>
      <c r="D41" s="384">
        <v>12</v>
      </c>
      <c r="E41" s="384" t="s">
        <v>3237</v>
      </c>
      <c r="F41" s="527" t="s">
        <v>3114</v>
      </c>
      <c r="G41" s="527" t="s">
        <v>3115</v>
      </c>
      <c r="H41" s="527" t="s">
        <v>3116</v>
      </c>
      <c r="I41" s="527" t="s">
        <v>3117</v>
      </c>
      <c r="J41" s="527" t="s">
        <v>3118</v>
      </c>
      <c r="K41" s="527" t="s">
        <v>3119</v>
      </c>
      <c r="L41" s="527" t="s">
        <v>3118</v>
      </c>
      <c r="M41" s="791" t="s">
        <v>3174</v>
      </c>
      <c r="N41" s="791" t="s">
        <v>3175</v>
      </c>
      <c r="O41" s="791"/>
      <c r="P41" s="792" t="s">
        <v>3176</v>
      </c>
      <c r="Q41" s="792" t="s">
        <v>3189</v>
      </c>
      <c r="R41" s="386"/>
      <c r="S41" s="333" t="s">
        <v>4320</v>
      </c>
      <c r="T41" s="333" t="s">
        <v>4321</v>
      </c>
      <c r="U41" s="333" t="s">
        <v>4322</v>
      </c>
    </row>
    <row r="42" spans="1:58" ht="13.5" customHeight="1" thickBot="1" x14ac:dyDescent="0.25">
      <c r="A42" s="384">
        <v>11</v>
      </c>
      <c r="B42" s="789" t="s">
        <v>3010</v>
      </c>
      <c r="C42" s="790" t="s">
        <v>3021</v>
      </c>
      <c r="D42" s="384">
        <v>7</v>
      </c>
      <c r="E42" s="384" t="s">
        <v>3238</v>
      </c>
      <c r="F42" s="527" t="s">
        <v>3120</v>
      </c>
      <c r="G42" s="527" t="s">
        <v>3121</v>
      </c>
      <c r="H42" s="527" t="s">
        <v>3122</v>
      </c>
      <c r="I42" s="527" t="s">
        <v>3123</v>
      </c>
      <c r="J42" s="527" t="s">
        <v>3124</v>
      </c>
      <c r="K42" s="527" t="s">
        <v>3125</v>
      </c>
      <c r="L42" s="527" t="s">
        <v>3126</v>
      </c>
      <c r="M42" s="791" t="s">
        <v>3177</v>
      </c>
      <c r="N42" s="791" t="s">
        <v>3178</v>
      </c>
      <c r="O42" s="791"/>
      <c r="P42" s="792" t="s">
        <v>3178</v>
      </c>
      <c r="Q42" s="793" t="s">
        <v>3184</v>
      </c>
      <c r="R42" s="386"/>
      <c r="S42" s="333" t="s">
        <v>4330</v>
      </c>
      <c r="T42" s="333" t="s">
        <v>4323</v>
      </c>
      <c r="U42" s="333" t="s">
        <v>4324</v>
      </c>
    </row>
    <row r="43" spans="1:58" ht="13.5" customHeight="1" x14ac:dyDescent="0.2">
      <c r="A43" s="384">
        <v>12</v>
      </c>
      <c r="B43" s="789" t="s">
        <v>3023</v>
      </c>
      <c r="C43" s="790" t="s">
        <v>3022</v>
      </c>
      <c r="D43" s="384">
        <v>2</v>
      </c>
      <c r="E43" s="384" t="s">
        <v>3239</v>
      </c>
      <c r="F43" s="527" t="s">
        <v>3127</v>
      </c>
      <c r="G43" s="527" t="s">
        <v>3128</v>
      </c>
      <c r="H43" s="527" t="s">
        <v>3129</v>
      </c>
      <c r="I43" s="527" t="s">
        <v>3130</v>
      </c>
      <c r="J43" s="527" t="s">
        <v>3131</v>
      </c>
      <c r="K43" s="527" t="s">
        <v>3132</v>
      </c>
      <c r="L43" s="527" t="s">
        <v>3133</v>
      </c>
      <c r="M43" s="795" t="s">
        <v>3179</v>
      </c>
      <c r="N43" s="795" t="s">
        <v>3180</v>
      </c>
      <c r="O43" s="795"/>
      <c r="P43" s="796" t="s">
        <v>3180</v>
      </c>
      <c r="Q43" s="797" t="s">
        <v>3190</v>
      </c>
      <c r="R43" s="386"/>
      <c r="S43" s="333" t="s">
        <v>292</v>
      </c>
      <c r="T43" s="333" t="s">
        <v>4325</v>
      </c>
      <c r="U43" s="333" t="s">
        <v>4326</v>
      </c>
    </row>
    <row r="44" spans="1:58" ht="13.5" customHeight="1" x14ac:dyDescent="0.2">
      <c r="A44" s="775"/>
      <c r="B44" s="776"/>
      <c r="C44" s="777"/>
      <c r="D44" s="775"/>
      <c r="E44" s="775"/>
      <c r="F44" s="296"/>
      <c r="G44" s="296"/>
      <c r="H44" s="296"/>
      <c r="I44" s="296"/>
      <c r="J44" s="296"/>
      <c r="K44"/>
      <c r="L44"/>
    </row>
    <row r="45" spans="1:58" x14ac:dyDescent="0.2">
      <c r="B45" s="668"/>
      <c r="C45" s="687"/>
      <c r="E45" s="344"/>
    </row>
    <row r="46" spans="1:58" s="343" customFormat="1" ht="21.75" x14ac:dyDescent="0.15">
      <c r="A46" s="341" t="s">
        <v>2017</v>
      </c>
      <c r="B46" s="341"/>
      <c r="C46" s="341"/>
      <c r="D46" s="341"/>
      <c r="E46" s="334" t="s">
        <v>2018</v>
      </c>
      <c r="F46" s="345">
        <f>360/27</f>
        <v>13.333333333333334</v>
      </c>
      <c r="G46" s="341" t="s">
        <v>1721</v>
      </c>
      <c r="H46" s="341"/>
      <c r="I46" s="341"/>
      <c r="J46" s="341"/>
      <c r="Z46" s="632"/>
      <c r="AA46" s="632"/>
      <c r="AH46" s="1551" t="s">
        <v>3831</v>
      </c>
      <c r="AI46" s="1551"/>
      <c r="AQ46" s="1008"/>
      <c r="AR46" s="1008"/>
      <c r="BF46" s="343" t="s">
        <v>3819</v>
      </c>
    </row>
    <row r="47" spans="1:58" ht="13.5" thickBot="1" x14ac:dyDescent="0.25">
      <c r="A47" s="690" t="s">
        <v>3961</v>
      </c>
      <c r="B47" s="691" t="s">
        <v>1158</v>
      </c>
      <c r="C47" s="691" t="s">
        <v>2019</v>
      </c>
      <c r="D47" s="691" t="s">
        <v>1984</v>
      </c>
      <c r="E47" s="691" t="s">
        <v>2020</v>
      </c>
      <c r="F47" s="691" t="s">
        <v>3743</v>
      </c>
      <c r="G47" s="691" t="s">
        <v>3744</v>
      </c>
      <c r="H47" s="691" t="s">
        <v>3738</v>
      </c>
      <c r="I47" s="691" t="s">
        <v>2021</v>
      </c>
      <c r="J47" s="691" t="s">
        <v>2421</v>
      </c>
      <c r="K47" s="691" t="s">
        <v>2420</v>
      </c>
      <c r="L47" s="691" t="s">
        <v>1981</v>
      </c>
      <c r="M47" s="691" t="s">
        <v>2022</v>
      </c>
      <c r="N47" s="691" t="s">
        <v>2967</v>
      </c>
      <c r="O47" s="691" t="s">
        <v>2023</v>
      </c>
      <c r="P47" s="691" t="s">
        <v>2024</v>
      </c>
      <c r="Q47" s="691" t="s">
        <v>2025</v>
      </c>
      <c r="R47" s="691" t="s">
        <v>2026</v>
      </c>
      <c r="S47" s="691" t="s">
        <v>3681</v>
      </c>
      <c r="T47" s="691" t="s">
        <v>2027</v>
      </c>
      <c r="U47" s="691" t="s">
        <v>2029</v>
      </c>
      <c r="V47" s="691" t="s">
        <v>2030</v>
      </c>
      <c r="W47" s="691" t="s">
        <v>2031</v>
      </c>
      <c r="X47" s="691" t="s">
        <v>2032</v>
      </c>
      <c r="Y47" s="692" t="s">
        <v>2422</v>
      </c>
      <c r="Z47" s="691" t="s">
        <v>2028</v>
      </c>
      <c r="AA47" s="691" t="s">
        <v>2592</v>
      </c>
      <c r="AB47" s="739" t="s">
        <v>2593</v>
      </c>
      <c r="AC47" s="739" t="s">
        <v>2594</v>
      </c>
      <c r="AD47" s="739" t="s">
        <v>2595</v>
      </c>
      <c r="AE47" s="739" t="s">
        <v>2909</v>
      </c>
      <c r="AF47" s="739" t="s">
        <v>1937</v>
      </c>
      <c r="AG47" s="739" t="s">
        <v>2938</v>
      </c>
      <c r="AH47" s="691" t="s">
        <v>2985</v>
      </c>
      <c r="AI47" s="691" t="s">
        <v>1721</v>
      </c>
      <c r="AJ47" s="774" t="s">
        <v>3025</v>
      </c>
      <c r="AK47" s="691" t="s">
        <v>4361</v>
      </c>
      <c r="AL47" s="691" t="s">
        <v>963</v>
      </c>
      <c r="AM47" s="691" t="s">
        <v>964</v>
      </c>
      <c r="AN47" s="691" t="s">
        <v>972</v>
      </c>
      <c r="AO47" s="691" t="s">
        <v>3818</v>
      </c>
      <c r="AP47" s="691" t="s">
        <v>3448</v>
      </c>
      <c r="AQ47" s="691" t="s">
        <v>3832</v>
      </c>
      <c r="AR47" s="691" t="s">
        <v>3833</v>
      </c>
      <c r="AS47" s="691" t="s">
        <v>1779</v>
      </c>
      <c r="AT47" s="691" t="s">
        <v>3479</v>
      </c>
      <c r="AU47" s="691" t="s">
        <v>3480</v>
      </c>
      <c r="AV47" s="691" t="s">
        <v>3488</v>
      </c>
      <c r="AW47" s="1004" t="s">
        <v>1718</v>
      </c>
      <c r="AX47" s="1004" t="s">
        <v>3745</v>
      </c>
      <c r="AY47" s="1004" t="s">
        <v>3746</v>
      </c>
      <c r="AZ47" s="1004" t="s">
        <v>3747</v>
      </c>
      <c r="BA47" s="1004" t="s">
        <v>3748</v>
      </c>
      <c r="BB47" s="1004" t="s">
        <v>3834</v>
      </c>
      <c r="BC47" s="1405" t="s">
        <v>4659</v>
      </c>
    </row>
    <row r="48" spans="1:58" ht="14.25" thickBot="1" x14ac:dyDescent="0.25">
      <c r="A48" s="693">
        <v>1</v>
      </c>
      <c r="B48" s="694" t="s">
        <v>2033</v>
      </c>
      <c r="C48" s="694" t="s">
        <v>3820</v>
      </c>
      <c r="D48" s="694" t="s">
        <v>1518</v>
      </c>
      <c r="E48" s="694" t="s">
        <v>2034</v>
      </c>
      <c r="F48" s="695" t="s">
        <v>2035</v>
      </c>
      <c r="G48" s="1220" t="s">
        <v>1986</v>
      </c>
      <c r="H48" s="696" t="s">
        <v>3740</v>
      </c>
      <c r="I48" s="696" t="s">
        <v>2036</v>
      </c>
      <c r="J48" s="694" t="s">
        <v>2037</v>
      </c>
      <c r="K48" s="694" t="s">
        <v>2038</v>
      </c>
      <c r="L48" s="694" t="s">
        <v>2039</v>
      </c>
      <c r="M48" s="694" t="s">
        <v>2040</v>
      </c>
      <c r="N48" s="333" t="s">
        <v>2040</v>
      </c>
      <c r="O48" s="697" t="s">
        <v>2094</v>
      </c>
      <c r="P48" s="697" t="s">
        <v>2095</v>
      </c>
      <c r="Q48" s="697" t="s">
        <v>2096</v>
      </c>
      <c r="R48" s="697" t="s">
        <v>3813</v>
      </c>
      <c r="S48" s="694" t="s">
        <v>2098</v>
      </c>
      <c r="T48" s="694" t="s">
        <v>2099</v>
      </c>
      <c r="U48" s="769">
        <f>0</f>
        <v>0</v>
      </c>
      <c r="V48" s="769">
        <f>U48+StarDeg</f>
        <v>13.333333333333334</v>
      </c>
      <c r="W48" s="698" t="s">
        <v>2103</v>
      </c>
      <c r="X48" s="1005" t="s">
        <v>2104</v>
      </c>
      <c r="Y48" s="944" t="s">
        <v>2105</v>
      </c>
      <c r="Z48" s="694" t="s">
        <v>2100</v>
      </c>
      <c r="AA48" s="631" t="s">
        <v>2100</v>
      </c>
      <c r="AB48" s="333" t="s">
        <v>2118</v>
      </c>
      <c r="AC48" s="333" t="s">
        <v>2596</v>
      </c>
      <c r="AD48" s="333" t="s">
        <v>2596</v>
      </c>
      <c r="AE48" s="694" t="str">
        <f t="shared" ref="AE48:AE68" si="3">INDEX(PanchangaYoga,MOD(26+A48-7,27)+1,2)</f>
        <v>Siddha</v>
      </c>
      <c r="AF48" s="333" t="s">
        <v>1954</v>
      </c>
      <c r="AG48" s="333" t="s">
        <v>2939</v>
      </c>
      <c r="AH48" s="770">
        <v>8.1018518518518516E-4</v>
      </c>
      <c r="AI48" s="770">
        <f t="shared" ref="AI48:AI75" si="4">AH48*360</f>
        <v>0.29166666666666669</v>
      </c>
      <c r="AJ48" s="772" t="s">
        <v>3026</v>
      </c>
      <c r="AK48" s="607" t="s">
        <v>3900</v>
      </c>
      <c r="AL48" s="333" t="s">
        <v>962</v>
      </c>
      <c r="AM48" s="333" t="s">
        <v>965</v>
      </c>
      <c r="AN48" s="333" t="s">
        <v>1779</v>
      </c>
      <c r="AO48" s="333" t="s">
        <v>1644</v>
      </c>
      <c r="AP48" s="333" t="s">
        <v>3470</v>
      </c>
      <c r="AQ48" s="694">
        <v>50</v>
      </c>
      <c r="AR48" s="694">
        <v>42</v>
      </c>
      <c r="AS48" s="694">
        <v>8</v>
      </c>
      <c r="AT48" s="694">
        <v>74</v>
      </c>
      <c r="AU48" s="694">
        <v>15</v>
      </c>
      <c r="AV48" s="694" t="s">
        <v>3488</v>
      </c>
      <c r="AW48" s="1003" t="s">
        <v>3716</v>
      </c>
      <c r="AX48" s="1003" t="s">
        <v>3749</v>
      </c>
      <c r="AY48" s="1003" t="s">
        <v>3750</v>
      </c>
      <c r="AZ48" s="1003" t="s">
        <v>3751</v>
      </c>
      <c r="BA48" s="1003" t="s">
        <v>3752</v>
      </c>
      <c r="BB48" s="1003" t="s">
        <v>3835</v>
      </c>
      <c r="BC48" s="1404" t="s">
        <v>4660</v>
      </c>
    </row>
    <row r="49" spans="1:55" ht="14.25" thickBot="1" x14ac:dyDescent="0.25">
      <c r="A49" s="693">
        <v>2</v>
      </c>
      <c r="B49" s="694" t="s">
        <v>1583</v>
      </c>
      <c r="C49" s="698" t="s">
        <v>2106</v>
      </c>
      <c r="D49" s="694" t="s">
        <v>1519</v>
      </c>
      <c r="E49" s="694" t="s">
        <v>2034</v>
      </c>
      <c r="F49" s="699" t="s">
        <v>2035</v>
      </c>
      <c r="G49" s="700" t="s">
        <v>2107</v>
      </c>
      <c r="H49" s="700" t="s">
        <v>3741</v>
      </c>
      <c r="I49" s="700" t="s">
        <v>2108</v>
      </c>
      <c r="J49" s="694" t="s">
        <v>2109</v>
      </c>
      <c r="K49" s="694" t="s">
        <v>2110</v>
      </c>
      <c r="L49" s="694" t="s">
        <v>1785</v>
      </c>
      <c r="M49" s="694" t="s">
        <v>2111</v>
      </c>
      <c r="N49" s="333" t="s">
        <v>2113</v>
      </c>
      <c r="O49" s="694" t="s">
        <v>2112</v>
      </c>
      <c r="P49" s="694" t="s">
        <v>2113</v>
      </c>
      <c r="Q49" s="694" t="s">
        <v>2114</v>
      </c>
      <c r="R49" s="694" t="s">
        <v>3814</v>
      </c>
      <c r="S49" s="694" t="s">
        <v>2116</v>
      </c>
      <c r="T49" s="694" t="s">
        <v>2117</v>
      </c>
      <c r="U49" s="769">
        <f t="shared" ref="U49:U75" si="5">U48+StarDeg</f>
        <v>13.333333333333334</v>
      </c>
      <c r="V49" s="769">
        <f t="shared" ref="V49:V75" si="6">V48+StarDeg</f>
        <v>26.666666666666668</v>
      </c>
      <c r="W49" s="698" t="s">
        <v>2119</v>
      </c>
      <c r="X49" s="1005" t="s">
        <v>2120</v>
      </c>
      <c r="Y49" s="944" t="s">
        <v>2121</v>
      </c>
      <c r="Z49" s="694" t="s">
        <v>2118</v>
      </c>
      <c r="AA49" s="631" t="s">
        <v>2118</v>
      </c>
      <c r="AB49" s="333" t="s">
        <v>2100</v>
      </c>
      <c r="AC49" s="333" t="s">
        <v>2100</v>
      </c>
      <c r="AD49" s="333" t="s">
        <v>2118</v>
      </c>
      <c r="AE49" s="694" t="str">
        <f t="shared" si="3"/>
        <v>Sādhya</v>
      </c>
      <c r="AF49" s="333" t="s">
        <v>1954</v>
      </c>
      <c r="AG49" s="333" t="s">
        <v>2940</v>
      </c>
      <c r="AH49" s="770">
        <v>2.3148148148148151E-3</v>
      </c>
      <c r="AI49" s="770">
        <f t="shared" si="4"/>
        <v>0.83333333333333348</v>
      </c>
      <c r="AJ49" s="772" t="s">
        <v>3027</v>
      </c>
      <c r="AK49" s="607" t="s">
        <v>3900</v>
      </c>
      <c r="AL49" s="333" t="s">
        <v>962</v>
      </c>
      <c r="AM49" s="333" t="s">
        <v>966</v>
      </c>
      <c r="AN49" s="333" t="s">
        <v>973</v>
      </c>
      <c r="AO49" s="333" t="s">
        <v>1644</v>
      </c>
      <c r="AP49" s="333" t="s">
        <v>3471</v>
      </c>
      <c r="AQ49" s="694">
        <v>23.999999999999996</v>
      </c>
      <c r="AR49" s="694">
        <v>48</v>
      </c>
      <c r="AS49" s="694">
        <v>4</v>
      </c>
      <c r="AT49" s="694">
        <v>55</v>
      </c>
      <c r="AU49" s="694">
        <v>60</v>
      </c>
      <c r="AV49" s="694" t="s">
        <v>3488</v>
      </c>
      <c r="AW49" s="694" t="s">
        <v>3903</v>
      </c>
      <c r="AX49" s="1003" t="s">
        <v>3753</v>
      </c>
      <c r="AY49" s="1003" t="s">
        <v>3754</v>
      </c>
      <c r="AZ49" s="1003" t="s">
        <v>3755</v>
      </c>
      <c r="BA49" s="1003" t="s">
        <v>3756</v>
      </c>
      <c r="BB49" s="1003" t="s">
        <v>3836</v>
      </c>
      <c r="BC49" s="1404" t="s">
        <v>4661</v>
      </c>
    </row>
    <row r="50" spans="1:55" ht="14.25" thickBot="1" x14ac:dyDescent="0.25">
      <c r="A50" s="693">
        <v>3</v>
      </c>
      <c r="B50" s="694" t="s">
        <v>2122</v>
      </c>
      <c r="C50" s="698" t="s">
        <v>2133</v>
      </c>
      <c r="D50" s="694" t="s">
        <v>1511</v>
      </c>
      <c r="E50" s="694" t="s">
        <v>2134</v>
      </c>
      <c r="F50" s="699" t="s">
        <v>2035</v>
      </c>
      <c r="G50" s="700" t="s">
        <v>2135</v>
      </c>
      <c r="H50" s="700" t="s">
        <v>3742</v>
      </c>
      <c r="I50" s="700" t="s">
        <v>2108</v>
      </c>
      <c r="J50" s="694" t="s">
        <v>2109</v>
      </c>
      <c r="K50" s="694" t="s">
        <v>2136</v>
      </c>
      <c r="L50" s="694" t="s">
        <v>2137</v>
      </c>
      <c r="M50" s="694" t="s">
        <v>2138</v>
      </c>
      <c r="N50" s="333" t="s">
        <v>2968</v>
      </c>
      <c r="O50" s="694" t="s">
        <v>2112</v>
      </c>
      <c r="P50" s="694" t="s">
        <v>2139</v>
      </c>
      <c r="Q50" s="694" t="s">
        <v>2140</v>
      </c>
      <c r="R50" s="694" t="s">
        <v>3815</v>
      </c>
      <c r="S50" s="694" t="s">
        <v>2142</v>
      </c>
      <c r="T50" s="694" t="s">
        <v>2163</v>
      </c>
      <c r="U50" s="769">
        <f t="shared" si="5"/>
        <v>26.666666666666668</v>
      </c>
      <c r="V50" s="769">
        <f t="shared" si="6"/>
        <v>40</v>
      </c>
      <c r="W50" s="698" t="s">
        <v>2165</v>
      </c>
      <c r="X50" s="1005" t="s">
        <v>2166</v>
      </c>
      <c r="Y50" s="944" t="s">
        <v>2167</v>
      </c>
      <c r="Z50" s="694" t="s">
        <v>2164</v>
      </c>
      <c r="AA50" s="631" t="s">
        <v>2596</v>
      </c>
      <c r="AB50" s="333" t="s">
        <v>2596</v>
      </c>
      <c r="AC50" s="333" t="s">
        <v>2118</v>
      </c>
      <c r="AD50" s="333" t="s">
        <v>2100</v>
      </c>
      <c r="AE50" s="694" t="str">
        <f t="shared" si="3"/>
        <v>Shubha</v>
      </c>
      <c r="AF50" s="333" t="s">
        <v>1954</v>
      </c>
      <c r="AG50" s="333" t="s">
        <v>2941</v>
      </c>
      <c r="AH50" s="770">
        <v>6.9444444444444447E-4</v>
      </c>
      <c r="AI50" s="770">
        <f t="shared" si="4"/>
        <v>0.25</v>
      </c>
      <c r="AJ50" s="772" t="s">
        <v>3028</v>
      </c>
      <c r="AK50" s="607" t="s">
        <v>3900</v>
      </c>
      <c r="AL50" s="333" t="s">
        <v>962</v>
      </c>
      <c r="AM50" s="333" t="s">
        <v>967</v>
      </c>
      <c r="AN50" s="333" t="s">
        <v>974</v>
      </c>
      <c r="AO50" s="333" t="s">
        <v>1644</v>
      </c>
      <c r="AP50" s="333" t="s">
        <v>2188</v>
      </c>
      <c r="AQ50" s="694">
        <v>30</v>
      </c>
      <c r="AR50" s="694">
        <v>54</v>
      </c>
      <c r="AS50" s="694">
        <v>12</v>
      </c>
      <c r="AT50" s="694">
        <v>21</v>
      </c>
      <c r="AU50" s="694">
        <v>30</v>
      </c>
      <c r="AV50" s="694" t="s">
        <v>3488</v>
      </c>
      <c r="AW50" s="1003" t="s">
        <v>3715</v>
      </c>
      <c r="AX50" s="1003" t="s">
        <v>3757</v>
      </c>
      <c r="AY50" s="1003" t="s">
        <v>3758</v>
      </c>
      <c r="AZ50" s="1003" t="s">
        <v>3759</v>
      </c>
      <c r="BA50" s="1003" t="s">
        <v>3760</v>
      </c>
      <c r="BB50" s="1003" t="s">
        <v>3837</v>
      </c>
      <c r="BC50" s="1404" t="s">
        <v>4662</v>
      </c>
    </row>
    <row r="51" spans="1:55" ht="14.25" thickBot="1" x14ac:dyDescent="0.25">
      <c r="A51" s="693">
        <v>4</v>
      </c>
      <c r="B51" s="694" t="s">
        <v>1584</v>
      </c>
      <c r="C51" s="698"/>
      <c r="D51" s="694" t="s">
        <v>1512</v>
      </c>
      <c r="E51" s="694" t="s">
        <v>2168</v>
      </c>
      <c r="F51" s="699" t="s">
        <v>2035</v>
      </c>
      <c r="G51" s="700" t="s">
        <v>2035</v>
      </c>
      <c r="H51" s="700" t="s">
        <v>3739</v>
      </c>
      <c r="I51" s="700" t="s">
        <v>2169</v>
      </c>
      <c r="J51" s="694" t="s">
        <v>2109</v>
      </c>
      <c r="K51" s="694" t="s">
        <v>2110</v>
      </c>
      <c r="L51" s="694" t="s">
        <v>2170</v>
      </c>
      <c r="M51" s="694" t="s">
        <v>2171</v>
      </c>
      <c r="O51" s="694" t="s">
        <v>2094</v>
      </c>
      <c r="P51" s="694" t="s">
        <v>2172</v>
      </c>
      <c r="Q51" s="694" t="s">
        <v>2173</v>
      </c>
      <c r="R51" s="694" t="s">
        <v>3816</v>
      </c>
      <c r="S51" s="694" t="s">
        <v>2098</v>
      </c>
      <c r="T51" s="694" t="s">
        <v>2175</v>
      </c>
      <c r="U51" s="769">
        <f t="shared" si="5"/>
        <v>40</v>
      </c>
      <c r="V51" s="769">
        <f t="shared" si="6"/>
        <v>53.333333333333336</v>
      </c>
      <c r="W51" s="698" t="s">
        <v>2177</v>
      </c>
      <c r="X51" s="1005" t="s">
        <v>2178</v>
      </c>
      <c r="Y51" s="944" t="s">
        <v>2179</v>
      </c>
      <c r="Z51" s="694" t="s">
        <v>2164</v>
      </c>
      <c r="AA51" s="631" t="s">
        <v>2100</v>
      </c>
      <c r="AB51" s="333" t="s">
        <v>2118</v>
      </c>
      <c r="AC51" s="333" t="s">
        <v>2596</v>
      </c>
      <c r="AD51" s="333" t="s">
        <v>2596</v>
      </c>
      <c r="AE51" s="694" t="str">
        <f t="shared" si="3"/>
        <v>Shukla</v>
      </c>
      <c r="AF51" s="333" t="s">
        <v>1954</v>
      </c>
      <c r="AG51" s="333" t="s">
        <v>2942</v>
      </c>
      <c r="AH51" s="770">
        <v>1.1574074074074073E-3</v>
      </c>
      <c r="AI51" s="770">
        <f t="shared" si="4"/>
        <v>0.41666666666666663</v>
      </c>
      <c r="AJ51" s="772" t="s">
        <v>3029</v>
      </c>
      <c r="AK51" s="607" t="s">
        <v>3900</v>
      </c>
      <c r="AL51" s="333" t="s">
        <v>962</v>
      </c>
      <c r="AM51" s="333" t="s">
        <v>968</v>
      </c>
      <c r="AN51" s="333" t="s">
        <v>975</v>
      </c>
      <c r="AO51" s="333" t="s">
        <v>1647</v>
      </c>
      <c r="AP51" s="333" t="s">
        <v>3449</v>
      </c>
      <c r="AQ51" s="694">
        <v>40</v>
      </c>
      <c r="AR51" s="694">
        <v>52</v>
      </c>
      <c r="AS51" s="694">
        <v>2</v>
      </c>
      <c r="AT51" s="694">
        <v>7.5</v>
      </c>
      <c r="AU51" s="694">
        <v>15</v>
      </c>
      <c r="AV51" s="694" t="s">
        <v>3489</v>
      </c>
      <c r="AW51" s="1003" t="s">
        <v>3717</v>
      </c>
      <c r="AX51" s="1003" t="s">
        <v>3761</v>
      </c>
      <c r="AY51" s="1003" t="s">
        <v>3762</v>
      </c>
      <c r="AZ51" s="1003" t="s">
        <v>3763</v>
      </c>
      <c r="BA51" s="1003" t="s">
        <v>3764</v>
      </c>
      <c r="BB51" s="1003" t="s">
        <v>3838</v>
      </c>
      <c r="BC51" s="1404" t="s">
        <v>4663</v>
      </c>
    </row>
    <row r="52" spans="1:55" ht="14.25" thickBot="1" x14ac:dyDescent="0.25">
      <c r="A52" s="693">
        <v>5</v>
      </c>
      <c r="B52" s="694" t="s">
        <v>2180</v>
      </c>
      <c r="C52" s="694" t="s">
        <v>3821</v>
      </c>
      <c r="D52" s="694" t="s">
        <v>1513</v>
      </c>
      <c r="E52" s="694" t="s">
        <v>2181</v>
      </c>
      <c r="F52" s="701" t="s">
        <v>2035</v>
      </c>
      <c r="G52" s="702" t="s">
        <v>2182</v>
      </c>
      <c r="H52" s="702" t="s">
        <v>3740</v>
      </c>
      <c r="I52" s="702" t="s">
        <v>2036</v>
      </c>
      <c r="J52" s="694" t="s">
        <v>2037</v>
      </c>
      <c r="K52" s="694" t="s">
        <v>2038</v>
      </c>
      <c r="L52" s="694" t="s">
        <v>2170</v>
      </c>
      <c r="M52" s="694" t="s">
        <v>2183</v>
      </c>
      <c r="N52" s="333" t="s">
        <v>2969</v>
      </c>
      <c r="O52" s="694" t="s">
        <v>2184</v>
      </c>
      <c r="P52" s="694" t="s">
        <v>2172</v>
      </c>
      <c r="Q52" s="694" t="s">
        <v>2185</v>
      </c>
      <c r="R52" s="1007" t="s">
        <v>3817</v>
      </c>
      <c r="S52" s="694" t="s">
        <v>2116</v>
      </c>
      <c r="T52" s="694" t="s">
        <v>2187</v>
      </c>
      <c r="U52" s="769">
        <f t="shared" si="5"/>
        <v>53.333333333333336</v>
      </c>
      <c r="V52" s="769">
        <f t="shared" si="6"/>
        <v>66.666666666666671</v>
      </c>
      <c r="W52" s="698" t="s">
        <v>2189</v>
      </c>
      <c r="X52" s="1005" t="s">
        <v>2190</v>
      </c>
      <c r="Y52" s="944" t="s">
        <v>2191</v>
      </c>
      <c r="Z52" s="694" t="s">
        <v>2118</v>
      </c>
      <c r="AA52" s="631" t="s">
        <v>2118</v>
      </c>
      <c r="AB52" s="333" t="s">
        <v>2100</v>
      </c>
      <c r="AC52" s="333" t="s">
        <v>2100</v>
      </c>
      <c r="AD52" s="333" t="s">
        <v>2118</v>
      </c>
      <c r="AE52" s="694" t="str">
        <f t="shared" si="3"/>
        <v>Brāhma</v>
      </c>
      <c r="AF52" s="333" t="s">
        <v>1954</v>
      </c>
      <c r="AG52" s="333" t="s">
        <v>2943</v>
      </c>
      <c r="AH52" s="770">
        <v>8.1018518518518516E-4</v>
      </c>
      <c r="AI52" s="770">
        <f t="shared" si="4"/>
        <v>0.29166666666666669</v>
      </c>
      <c r="AJ52" s="772" t="s">
        <v>3030</v>
      </c>
      <c r="AK52" s="607" t="s">
        <v>3900</v>
      </c>
      <c r="AL52" s="333" t="s">
        <v>962</v>
      </c>
      <c r="AM52" s="333" t="s">
        <v>969</v>
      </c>
      <c r="AN52" s="333" t="s">
        <v>1779</v>
      </c>
      <c r="AO52" s="333" t="s">
        <v>1647</v>
      </c>
      <c r="AP52" s="333" t="s">
        <v>3450</v>
      </c>
      <c r="AQ52" s="694">
        <v>13.999999999999998</v>
      </c>
      <c r="AR52" s="694">
        <v>38</v>
      </c>
      <c r="AS52" s="694">
        <v>6</v>
      </c>
      <c r="AT52" s="694">
        <v>55</v>
      </c>
      <c r="AU52" s="694">
        <v>60</v>
      </c>
      <c r="AV52" s="694" t="s">
        <v>3489</v>
      </c>
      <c r="AW52" s="1003" t="s">
        <v>3718</v>
      </c>
      <c r="AX52" s="1003" t="s">
        <v>3765</v>
      </c>
      <c r="AY52" s="1003" t="s">
        <v>3749</v>
      </c>
      <c r="AZ52" s="1003" t="s">
        <v>3766</v>
      </c>
      <c r="BA52" s="1003" t="s">
        <v>3767</v>
      </c>
      <c r="BB52" s="1003" t="s">
        <v>3839</v>
      </c>
      <c r="BC52" s="1404" t="s">
        <v>4664</v>
      </c>
    </row>
    <row r="53" spans="1:55" ht="14.25" thickBot="1" x14ac:dyDescent="0.25">
      <c r="A53" s="693">
        <v>6</v>
      </c>
      <c r="B53" s="694" t="s">
        <v>1528</v>
      </c>
      <c r="C53" s="694" t="s">
        <v>3822</v>
      </c>
      <c r="D53" s="694" t="s">
        <v>1514</v>
      </c>
      <c r="E53" s="694" t="s">
        <v>2192</v>
      </c>
      <c r="F53" s="695" t="s">
        <v>2182</v>
      </c>
      <c r="G53" s="696" t="s">
        <v>4289</v>
      </c>
      <c r="H53" s="696" t="s">
        <v>3741</v>
      </c>
      <c r="I53" s="696" t="s">
        <v>2169</v>
      </c>
      <c r="J53" s="694" t="s">
        <v>2037</v>
      </c>
      <c r="K53" s="694" t="s">
        <v>2110</v>
      </c>
      <c r="L53" s="694" t="s">
        <v>2137</v>
      </c>
      <c r="M53" s="694" t="s">
        <v>2194</v>
      </c>
      <c r="N53" s="333" t="s">
        <v>2970</v>
      </c>
      <c r="O53" s="694" t="s">
        <v>2195</v>
      </c>
      <c r="P53" s="694" t="s">
        <v>2196</v>
      </c>
      <c r="Q53" s="694" t="s">
        <v>2197</v>
      </c>
      <c r="R53" s="694" t="s">
        <v>2174</v>
      </c>
      <c r="S53" s="694" t="s">
        <v>2142</v>
      </c>
      <c r="T53" s="694" t="s">
        <v>2198</v>
      </c>
      <c r="U53" s="769">
        <f t="shared" si="5"/>
        <v>66.666666666666671</v>
      </c>
      <c r="V53" s="769">
        <f t="shared" si="6"/>
        <v>80</v>
      </c>
      <c r="W53" s="698" t="s">
        <v>2199</v>
      </c>
      <c r="X53" s="1005" t="s">
        <v>2200</v>
      </c>
      <c r="Y53" s="944" t="s">
        <v>2201</v>
      </c>
      <c r="Z53" s="694" t="s">
        <v>2100</v>
      </c>
      <c r="AA53" s="631" t="s">
        <v>2596</v>
      </c>
      <c r="AB53" s="333" t="s">
        <v>2596</v>
      </c>
      <c r="AC53" s="333" t="s">
        <v>2118</v>
      </c>
      <c r="AD53" s="333" t="s">
        <v>2100</v>
      </c>
      <c r="AE53" s="694" t="str">
        <f t="shared" si="3"/>
        <v>Māhendra</v>
      </c>
      <c r="AF53" s="333" t="s">
        <v>2936</v>
      </c>
      <c r="AG53" s="333" t="s">
        <v>2944</v>
      </c>
      <c r="AH53" s="770">
        <v>2.0833333333333333E-3</v>
      </c>
      <c r="AI53" s="770">
        <f t="shared" si="4"/>
        <v>0.75</v>
      </c>
      <c r="AJ53" s="772" t="s">
        <v>3031</v>
      </c>
      <c r="AK53" s="607" t="s">
        <v>3901</v>
      </c>
      <c r="AL53" s="333" t="s">
        <v>961</v>
      </c>
      <c r="AM53" s="333" t="s">
        <v>970</v>
      </c>
      <c r="AN53" s="333" t="s">
        <v>973</v>
      </c>
      <c r="AO53" s="333" t="s">
        <v>1647</v>
      </c>
      <c r="AQ53" s="694">
        <v>21.000000000000004</v>
      </c>
      <c r="AR53" s="694">
        <v>35</v>
      </c>
      <c r="AS53" s="694">
        <v>14</v>
      </c>
      <c r="AT53" s="694">
        <v>21</v>
      </c>
      <c r="AU53" s="694">
        <v>30</v>
      </c>
      <c r="AV53" s="694" t="s">
        <v>3489</v>
      </c>
      <c r="AW53" s="1003" t="s">
        <v>3719</v>
      </c>
      <c r="AX53" s="1003" t="s">
        <v>3768</v>
      </c>
      <c r="AY53" s="1003" t="s">
        <v>3756</v>
      </c>
      <c r="AZ53" s="1003" t="s">
        <v>3769</v>
      </c>
      <c r="BA53" s="1003" t="s">
        <v>3749</v>
      </c>
      <c r="BB53" s="1003" t="s">
        <v>3840</v>
      </c>
      <c r="BC53" s="1404" t="s">
        <v>4665</v>
      </c>
    </row>
    <row r="54" spans="1:55" ht="14.25" thickBot="1" x14ac:dyDescent="0.25">
      <c r="A54" s="693">
        <v>7</v>
      </c>
      <c r="B54" s="694" t="s">
        <v>1586</v>
      </c>
      <c r="C54" s="694" t="s">
        <v>2202</v>
      </c>
      <c r="D54" s="694" t="s">
        <v>1515</v>
      </c>
      <c r="E54" s="694" t="s">
        <v>2203</v>
      </c>
      <c r="F54" s="699" t="s">
        <v>2182</v>
      </c>
      <c r="G54" s="700" t="s">
        <v>2135</v>
      </c>
      <c r="H54" s="700" t="s">
        <v>3742</v>
      </c>
      <c r="I54" s="700" t="s">
        <v>2036</v>
      </c>
      <c r="J54" s="694" t="s">
        <v>2204</v>
      </c>
      <c r="K54" s="694" t="s">
        <v>2038</v>
      </c>
      <c r="L54" s="694" t="s">
        <v>1785</v>
      </c>
      <c r="M54" s="694" t="s">
        <v>2205</v>
      </c>
      <c r="N54" s="333" t="s">
        <v>2205</v>
      </c>
      <c r="O54" s="694" t="s">
        <v>2112</v>
      </c>
      <c r="P54" s="694" t="s">
        <v>2206</v>
      </c>
      <c r="Q54" s="694" t="s">
        <v>2207</v>
      </c>
      <c r="R54" s="694" t="s">
        <v>2141</v>
      </c>
      <c r="S54" s="694" t="s">
        <v>2098</v>
      </c>
      <c r="T54" s="694" t="s">
        <v>2099</v>
      </c>
      <c r="U54" s="769">
        <f t="shared" si="5"/>
        <v>80</v>
      </c>
      <c r="V54" s="769">
        <f t="shared" si="6"/>
        <v>93.333333333333329</v>
      </c>
      <c r="W54" s="698" t="s">
        <v>2208</v>
      </c>
      <c r="X54" s="1005" t="s">
        <v>2209</v>
      </c>
      <c r="Y54" s="944" t="s">
        <v>2210</v>
      </c>
      <c r="Z54" s="694" t="s">
        <v>2100</v>
      </c>
      <c r="AA54" s="631" t="s">
        <v>2100</v>
      </c>
      <c r="AB54" s="333" t="s">
        <v>2118</v>
      </c>
      <c r="AC54" s="333" t="s">
        <v>2596</v>
      </c>
      <c r="AD54" s="333" t="s">
        <v>2596</v>
      </c>
      <c r="AE54" s="694" t="str">
        <f t="shared" si="3"/>
        <v>Vaidhriti</v>
      </c>
      <c r="AF54" s="333" t="s">
        <v>2936</v>
      </c>
      <c r="AG54" s="333" t="s">
        <v>2945</v>
      </c>
      <c r="AH54" s="770">
        <v>1.8518518518518517E-3</v>
      </c>
      <c r="AI54" s="770">
        <f t="shared" si="4"/>
        <v>0.66666666666666663</v>
      </c>
      <c r="AJ54" s="772" t="s">
        <v>3032</v>
      </c>
      <c r="AK54" s="607" t="s">
        <v>3901</v>
      </c>
      <c r="AL54" s="333" t="s">
        <v>961</v>
      </c>
      <c r="AM54" s="333" t="s">
        <v>971</v>
      </c>
      <c r="AN54" s="333" t="s">
        <v>974</v>
      </c>
      <c r="AO54" s="333" t="s">
        <v>1647</v>
      </c>
      <c r="AP54" s="333" t="s">
        <v>3451</v>
      </c>
      <c r="AQ54" s="694">
        <v>30</v>
      </c>
      <c r="AR54" s="694">
        <v>54</v>
      </c>
      <c r="AS54" s="694">
        <v>10</v>
      </c>
      <c r="AT54" s="694">
        <v>7.5</v>
      </c>
      <c r="AU54" s="694">
        <v>15</v>
      </c>
      <c r="AV54" s="694" t="s">
        <v>3488</v>
      </c>
      <c r="AW54" s="1003" t="s">
        <v>3720</v>
      </c>
      <c r="AX54" s="1003" t="s">
        <v>3770</v>
      </c>
      <c r="AY54" s="1003" t="s">
        <v>3771</v>
      </c>
      <c r="AZ54" s="1003" t="s">
        <v>3772</v>
      </c>
      <c r="BA54" s="1003" t="s">
        <v>3773</v>
      </c>
      <c r="BB54" s="1003" t="s">
        <v>3841</v>
      </c>
      <c r="BC54" s="1404" t="s">
        <v>4666</v>
      </c>
    </row>
    <row r="55" spans="1:55" ht="14.25" thickBot="1" x14ac:dyDescent="0.25">
      <c r="A55" s="693">
        <v>8</v>
      </c>
      <c r="B55" s="694" t="s">
        <v>1523</v>
      </c>
      <c r="C55" s="694" t="s">
        <v>3823</v>
      </c>
      <c r="D55" s="694" t="s">
        <v>1641</v>
      </c>
      <c r="E55" s="694" t="s">
        <v>2211</v>
      </c>
      <c r="F55" s="699" t="s">
        <v>2182</v>
      </c>
      <c r="G55" s="700" t="s">
        <v>2107</v>
      </c>
      <c r="H55" s="700" t="s">
        <v>3739</v>
      </c>
      <c r="I55" s="700" t="s">
        <v>2169</v>
      </c>
      <c r="J55" s="694" t="s">
        <v>2037</v>
      </c>
      <c r="K55" s="694" t="s">
        <v>2038</v>
      </c>
      <c r="L55" s="694" t="s">
        <v>2039</v>
      </c>
      <c r="M55" s="694" t="s">
        <v>2212</v>
      </c>
      <c r="N55" s="333" t="s">
        <v>2303</v>
      </c>
      <c r="O55" s="694" t="s">
        <v>2094</v>
      </c>
      <c r="P55" s="694" t="s">
        <v>2139</v>
      </c>
      <c r="Q55" s="694" t="s">
        <v>2213</v>
      </c>
      <c r="R55" s="694" t="s">
        <v>2115</v>
      </c>
      <c r="S55" s="694" t="s">
        <v>2116</v>
      </c>
      <c r="T55" s="694" t="s">
        <v>2117</v>
      </c>
      <c r="U55" s="769">
        <f t="shared" si="5"/>
        <v>93.333333333333329</v>
      </c>
      <c r="V55" s="769">
        <f t="shared" si="6"/>
        <v>106.66666666666666</v>
      </c>
      <c r="W55" s="698" t="s">
        <v>2214</v>
      </c>
      <c r="X55" s="1005" t="s">
        <v>2215</v>
      </c>
      <c r="Y55" s="744" t="s">
        <v>2105</v>
      </c>
      <c r="Z55" s="694" t="s">
        <v>2118</v>
      </c>
      <c r="AA55" s="631" t="s">
        <v>2118</v>
      </c>
      <c r="AB55" s="333" t="s">
        <v>2100</v>
      </c>
      <c r="AC55" s="333" t="s">
        <v>2100</v>
      </c>
      <c r="AD55" s="333" t="s">
        <v>2118</v>
      </c>
      <c r="AE55" s="694" t="str">
        <f t="shared" si="3"/>
        <v>Vishkambha</v>
      </c>
      <c r="AF55" s="333" t="s">
        <v>2936</v>
      </c>
      <c r="AG55" s="333" t="s">
        <v>2946</v>
      </c>
      <c r="AH55" s="770">
        <v>2.1990740740740742E-3</v>
      </c>
      <c r="AI55" s="770">
        <f t="shared" si="4"/>
        <v>0.79166666666666674</v>
      </c>
      <c r="AJ55" s="772" t="s">
        <v>3033</v>
      </c>
      <c r="AK55" s="607" t="s">
        <v>3901</v>
      </c>
      <c r="AL55" s="333" t="s">
        <v>961</v>
      </c>
      <c r="AM55" s="333" t="s">
        <v>965</v>
      </c>
      <c r="AN55" s="333" t="s">
        <v>975</v>
      </c>
      <c r="AO55" s="333" t="s">
        <v>1643</v>
      </c>
      <c r="AP55" s="333" t="s">
        <v>3452</v>
      </c>
      <c r="AQ55" s="694">
        <v>20</v>
      </c>
      <c r="AR55" s="694">
        <v>44</v>
      </c>
      <c r="AS55" s="694">
        <v>16</v>
      </c>
      <c r="AT55" s="694">
        <v>55</v>
      </c>
      <c r="AU55" s="694">
        <v>60</v>
      </c>
      <c r="AV55" s="694" t="s">
        <v>3488</v>
      </c>
      <c r="AW55" s="1003" t="s">
        <v>3721</v>
      </c>
      <c r="AX55" s="1003" t="s">
        <v>3774</v>
      </c>
      <c r="AY55" s="1003" t="s">
        <v>3749</v>
      </c>
      <c r="AZ55" s="1003" t="s">
        <v>3766</v>
      </c>
      <c r="BA55" s="1003" t="s">
        <v>3775</v>
      </c>
      <c r="BB55" s="1003" t="s">
        <v>3842</v>
      </c>
      <c r="BC55" s="1404" t="s">
        <v>4667</v>
      </c>
    </row>
    <row r="56" spans="1:55" ht="14.25" thickBot="1" x14ac:dyDescent="0.25">
      <c r="A56" s="693">
        <v>9</v>
      </c>
      <c r="B56" s="694" t="s">
        <v>1587</v>
      </c>
      <c r="C56" s="694" t="s">
        <v>2216</v>
      </c>
      <c r="D56" s="694" t="s">
        <v>2217</v>
      </c>
      <c r="E56" s="694" t="s">
        <v>2211</v>
      </c>
      <c r="F56" s="699" t="s">
        <v>2182</v>
      </c>
      <c r="G56" s="1218" t="s">
        <v>1986</v>
      </c>
      <c r="H56" s="702" t="s">
        <v>3740</v>
      </c>
      <c r="I56" s="700" t="s">
        <v>2108</v>
      </c>
      <c r="J56" s="694" t="s">
        <v>2204</v>
      </c>
      <c r="K56" s="694" t="s">
        <v>2136</v>
      </c>
      <c r="L56" s="694" t="s">
        <v>2039</v>
      </c>
      <c r="M56" s="694" t="s">
        <v>2172</v>
      </c>
      <c r="N56" s="333" t="s">
        <v>2172</v>
      </c>
      <c r="O56" s="694" t="s">
        <v>2218</v>
      </c>
      <c r="P56" s="694" t="s">
        <v>2206</v>
      </c>
      <c r="Q56" s="694" t="s">
        <v>2219</v>
      </c>
      <c r="R56" s="694" t="s">
        <v>2097</v>
      </c>
      <c r="S56" s="694" t="s">
        <v>2142</v>
      </c>
      <c r="T56" s="694" t="s">
        <v>2163</v>
      </c>
      <c r="U56" s="769">
        <f t="shared" si="5"/>
        <v>106.66666666666666</v>
      </c>
      <c r="V56" s="769">
        <f t="shared" si="6"/>
        <v>119.99999999999999</v>
      </c>
      <c r="W56" s="698" t="s">
        <v>2220</v>
      </c>
      <c r="X56" s="1005" t="s">
        <v>2221</v>
      </c>
      <c r="Y56" s="744" t="s">
        <v>2121</v>
      </c>
      <c r="Z56" s="694" t="s">
        <v>2164</v>
      </c>
      <c r="AA56" s="631" t="s">
        <v>2596</v>
      </c>
      <c r="AB56" s="333" t="s">
        <v>2596</v>
      </c>
      <c r="AC56" s="333" t="s">
        <v>2118</v>
      </c>
      <c r="AD56" s="333" t="s">
        <v>2100</v>
      </c>
      <c r="AE56" s="694" t="str">
        <f t="shared" si="3"/>
        <v>Prīti</v>
      </c>
      <c r="AF56" s="333" t="s">
        <v>1960</v>
      </c>
      <c r="AG56" s="333" t="s">
        <v>2947</v>
      </c>
      <c r="AH56" s="770">
        <v>1.9675925925925928E-3</v>
      </c>
      <c r="AI56" s="770">
        <f t="shared" si="4"/>
        <v>0.70833333333333337</v>
      </c>
      <c r="AJ56" s="772" t="s">
        <v>3438</v>
      </c>
      <c r="AK56" s="607" t="s">
        <v>3901</v>
      </c>
      <c r="AL56" s="333" t="s">
        <v>961</v>
      </c>
      <c r="AM56" s="333" t="s">
        <v>970</v>
      </c>
      <c r="AN56" s="333" t="s">
        <v>1779</v>
      </c>
      <c r="AO56" s="333" t="s">
        <v>1643</v>
      </c>
      <c r="AP56" s="333" t="s">
        <v>3453</v>
      </c>
      <c r="AQ56" s="694">
        <v>32</v>
      </c>
      <c r="AR56" s="694">
        <v>56</v>
      </c>
      <c r="AS56" s="694">
        <v>24</v>
      </c>
      <c r="AT56" s="694">
        <v>21</v>
      </c>
      <c r="AU56" s="694">
        <v>30</v>
      </c>
      <c r="AV56" s="694" t="s">
        <v>3488</v>
      </c>
      <c r="AW56" s="1003" t="s">
        <v>3722</v>
      </c>
      <c r="AX56" s="1003" t="s">
        <v>3776</v>
      </c>
      <c r="AY56" s="1003" t="s">
        <v>3790</v>
      </c>
      <c r="AZ56" s="1003" t="s">
        <v>3772</v>
      </c>
      <c r="BA56" s="1003" t="s">
        <v>3761</v>
      </c>
      <c r="BB56" s="1003" t="s">
        <v>3843</v>
      </c>
      <c r="BC56" s="1404" t="s">
        <v>4668</v>
      </c>
    </row>
    <row r="57" spans="1:55" ht="14.25" thickBot="1" x14ac:dyDescent="0.25">
      <c r="A57" s="693">
        <v>10</v>
      </c>
      <c r="B57" s="694" t="s">
        <v>1588</v>
      </c>
      <c r="C57" s="694" t="s">
        <v>2222</v>
      </c>
      <c r="D57" s="694" t="s">
        <v>1518</v>
      </c>
      <c r="E57" s="694" t="s">
        <v>2002</v>
      </c>
      <c r="F57" s="699" t="s">
        <v>2182</v>
      </c>
      <c r="G57" s="1218" t="s">
        <v>2182</v>
      </c>
      <c r="H57" s="696" t="s">
        <v>3741</v>
      </c>
      <c r="I57" s="700" t="s">
        <v>2108</v>
      </c>
      <c r="J57" s="694" t="s">
        <v>2037</v>
      </c>
      <c r="K57" s="694" t="s">
        <v>2136</v>
      </c>
      <c r="L57" s="694" t="s">
        <v>1785</v>
      </c>
      <c r="M57" s="694" t="s">
        <v>2223</v>
      </c>
      <c r="N57" s="333" t="s">
        <v>2971</v>
      </c>
      <c r="O57" s="694" t="s">
        <v>2218</v>
      </c>
      <c r="P57" s="694" t="s">
        <v>2224</v>
      </c>
      <c r="Q57" s="694" t="s">
        <v>2225</v>
      </c>
      <c r="R57" s="694" t="s">
        <v>2097</v>
      </c>
      <c r="S57" s="694" t="s">
        <v>2098</v>
      </c>
      <c r="T57" s="694" t="s">
        <v>2175</v>
      </c>
      <c r="U57" s="769">
        <f t="shared" si="5"/>
        <v>119.99999999999999</v>
      </c>
      <c r="V57" s="769">
        <f t="shared" si="6"/>
        <v>133.33333333333331</v>
      </c>
      <c r="W57" s="698" t="s">
        <v>2226</v>
      </c>
      <c r="X57" s="1005" t="s">
        <v>2227</v>
      </c>
      <c r="Y57" s="744" t="s">
        <v>2167</v>
      </c>
      <c r="Z57" s="694" t="s">
        <v>2164</v>
      </c>
      <c r="AA57" s="631" t="s">
        <v>2100</v>
      </c>
      <c r="AB57" s="333" t="s">
        <v>2118</v>
      </c>
      <c r="AC57" s="333" t="s">
        <v>2596</v>
      </c>
      <c r="AD57" s="333" t="s">
        <v>2596</v>
      </c>
      <c r="AE57" s="694" t="str">
        <f t="shared" si="3"/>
        <v>Āyushmān</v>
      </c>
      <c r="AF57" s="333" t="s">
        <v>1960</v>
      </c>
      <c r="AG57" s="333" t="s">
        <v>2948</v>
      </c>
      <c r="AH57" s="770">
        <v>8.1018518518518516E-4</v>
      </c>
      <c r="AI57" s="770">
        <f t="shared" si="4"/>
        <v>0.29166666666666669</v>
      </c>
      <c r="AJ57" s="772" t="s">
        <v>3034</v>
      </c>
      <c r="AK57" s="607" t="s">
        <v>3901</v>
      </c>
      <c r="AL57" s="333" t="s">
        <v>961</v>
      </c>
      <c r="AM57" s="333" t="s">
        <v>966</v>
      </c>
      <c r="AN57" s="333" t="s">
        <v>973</v>
      </c>
      <c r="AO57" s="333" t="s">
        <v>1643</v>
      </c>
      <c r="AP57" s="333" t="s">
        <v>3454</v>
      </c>
      <c r="AQ57" s="694">
        <v>30</v>
      </c>
      <c r="AR57" s="694">
        <v>54</v>
      </c>
      <c r="AS57" s="694">
        <v>20</v>
      </c>
      <c r="AT57" s="694">
        <v>7.5</v>
      </c>
      <c r="AU57" s="694">
        <v>15</v>
      </c>
      <c r="AV57" s="694" t="s">
        <v>3489</v>
      </c>
      <c r="AW57" s="1003" t="s">
        <v>3723</v>
      </c>
      <c r="AX57" s="1003" t="s">
        <v>3777</v>
      </c>
      <c r="AY57" s="1003" t="s">
        <v>3791</v>
      </c>
      <c r="AZ57" s="1003" t="s">
        <v>3803</v>
      </c>
      <c r="BA57" s="1003" t="s">
        <v>3779</v>
      </c>
      <c r="BB57" s="1003" t="s">
        <v>3844</v>
      </c>
      <c r="BC57" s="1404" t="s">
        <v>4669</v>
      </c>
    </row>
    <row r="58" spans="1:55" ht="14.25" thickBot="1" x14ac:dyDescent="0.25">
      <c r="A58" s="693">
        <v>11</v>
      </c>
      <c r="B58" s="694" t="s">
        <v>2228</v>
      </c>
      <c r="C58" s="694" t="s">
        <v>3556</v>
      </c>
      <c r="D58" s="694" t="s">
        <v>1519</v>
      </c>
      <c r="E58" s="694" t="s">
        <v>2002</v>
      </c>
      <c r="F58" s="701" t="s">
        <v>2182</v>
      </c>
      <c r="G58" s="1219" t="s">
        <v>2035</v>
      </c>
      <c r="H58" s="700" t="s">
        <v>3742</v>
      </c>
      <c r="I58" s="700" t="s">
        <v>2108</v>
      </c>
      <c r="J58" s="694" t="s">
        <v>2109</v>
      </c>
      <c r="K58" s="694" t="s">
        <v>2110</v>
      </c>
      <c r="L58" s="694" t="s">
        <v>2137</v>
      </c>
      <c r="M58" s="694" t="s">
        <v>2229</v>
      </c>
      <c r="N58" s="333" t="s">
        <v>2972</v>
      </c>
      <c r="O58" s="694" t="s">
        <v>2195</v>
      </c>
      <c r="P58" s="694" t="s">
        <v>2224</v>
      </c>
      <c r="Q58" s="694" t="s">
        <v>2230</v>
      </c>
      <c r="R58" s="694" t="s">
        <v>2115</v>
      </c>
      <c r="S58" s="694" t="s">
        <v>2116</v>
      </c>
      <c r="T58" s="694" t="s">
        <v>2187</v>
      </c>
      <c r="U58" s="769">
        <f t="shared" si="5"/>
        <v>133.33333333333331</v>
      </c>
      <c r="V58" s="769">
        <f t="shared" si="6"/>
        <v>146.66666666666666</v>
      </c>
      <c r="W58" s="698" t="s">
        <v>2231</v>
      </c>
      <c r="X58" s="1005" t="s">
        <v>2232</v>
      </c>
      <c r="Y58" s="744" t="s">
        <v>2179</v>
      </c>
      <c r="Z58" s="694" t="s">
        <v>2118</v>
      </c>
      <c r="AA58" s="631" t="s">
        <v>2118</v>
      </c>
      <c r="AB58" s="333" t="s">
        <v>2100</v>
      </c>
      <c r="AC58" s="333" t="s">
        <v>2100</v>
      </c>
      <c r="AD58" s="333" t="s">
        <v>2118</v>
      </c>
      <c r="AE58" s="694" t="str">
        <f t="shared" si="3"/>
        <v>Saubhāgya</v>
      </c>
      <c r="AF58" s="333" t="s">
        <v>1960</v>
      </c>
      <c r="AG58" s="333" t="s">
        <v>2949</v>
      </c>
      <c r="AH58" s="770">
        <v>2.3148148148148151E-3</v>
      </c>
      <c r="AI58" s="770">
        <f t="shared" si="4"/>
        <v>0.83333333333333348</v>
      </c>
      <c r="AJ58" s="772" t="s">
        <v>3035</v>
      </c>
      <c r="AK58" s="607" t="s">
        <v>3901</v>
      </c>
      <c r="AL58" s="333" t="s">
        <v>961</v>
      </c>
      <c r="AM58" s="333" t="s">
        <v>966</v>
      </c>
      <c r="AN58" s="333" t="s">
        <v>974</v>
      </c>
      <c r="AO58" s="333" t="s">
        <v>1643</v>
      </c>
      <c r="AP58" s="333" t="s">
        <v>3455</v>
      </c>
      <c r="AQ58" s="694">
        <v>20</v>
      </c>
      <c r="AR58" s="694">
        <v>44</v>
      </c>
      <c r="AS58" s="694">
        <v>22</v>
      </c>
      <c r="AT58" s="694">
        <v>55</v>
      </c>
      <c r="AU58" s="694">
        <v>60</v>
      </c>
      <c r="AV58" s="694" t="s">
        <v>3489</v>
      </c>
      <c r="AW58" s="1003" t="s">
        <v>3724</v>
      </c>
      <c r="AX58" s="1003" t="s">
        <v>3778</v>
      </c>
      <c r="AY58" s="1003" t="s">
        <v>3792</v>
      </c>
      <c r="AZ58" s="1003" t="s">
        <v>3783</v>
      </c>
      <c r="BA58" s="1003" t="s">
        <v>3795</v>
      </c>
      <c r="BB58" s="1003" t="s">
        <v>3845</v>
      </c>
      <c r="BC58" s="1404" t="s">
        <v>4670</v>
      </c>
    </row>
    <row r="59" spans="1:55" ht="15.75" thickBot="1" x14ac:dyDescent="0.25">
      <c r="A59" s="693">
        <v>12</v>
      </c>
      <c r="B59" s="694" t="s">
        <v>2233</v>
      </c>
      <c r="C59" s="694" t="s">
        <v>2234</v>
      </c>
      <c r="D59" s="694" t="s">
        <v>1511</v>
      </c>
      <c r="E59" s="694" t="s">
        <v>2235</v>
      </c>
      <c r="F59" s="699" t="s">
        <v>1986</v>
      </c>
      <c r="G59" s="1218" t="s">
        <v>2107</v>
      </c>
      <c r="H59" s="700" t="s">
        <v>3739</v>
      </c>
      <c r="I59" s="700" t="s">
        <v>2169</v>
      </c>
      <c r="J59" s="694" t="s">
        <v>2109</v>
      </c>
      <c r="K59" s="694" t="s">
        <v>2110</v>
      </c>
      <c r="L59" s="694" t="s">
        <v>2170</v>
      </c>
      <c r="M59" s="694" t="s">
        <v>2236</v>
      </c>
      <c r="N59" s="333" t="s">
        <v>2973</v>
      </c>
      <c r="O59" s="694" t="s">
        <v>2218</v>
      </c>
      <c r="P59" s="694" t="s">
        <v>2237</v>
      </c>
      <c r="Q59" s="694" t="s">
        <v>2238</v>
      </c>
      <c r="R59" s="694" t="s">
        <v>2141</v>
      </c>
      <c r="S59" s="694" t="s">
        <v>2142</v>
      </c>
      <c r="T59" s="694" t="s">
        <v>2198</v>
      </c>
      <c r="U59" s="769">
        <f t="shared" si="5"/>
        <v>146.66666666666666</v>
      </c>
      <c r="V59" s="769">
        <f t="shared" si="6"/>
        <v>160</v>
      </c>
      <c r="W59" s="698" t="s">
        <v>2239</v>
      </c>
      <c r="X59" s="1005" t="s">
        <v>2240</v>
      </c>
      <c r="Y59" s="744" t="s">
        <v>2191</v>
      </c>
      <c r="Z59" s="694" t="s">
        <v>2100</v>
      </c>
      <c r="AA59" s="631" t="s">
        <v>2596</v>
      </c>
      <c r="AB59" s="333" t="s">
        <v>2596</v>
      </c>
      <c r="AC59" s="333" t="s">
        <v>2118</v>
      </c>
      <c r="AD59" s="333" t="s">
        <v>2100</v>
      </c>
      <c r="AE59" s="694" t="str">
        <f t="shared" si="3"/>
        <v>Shobhana</v>
      </c>
      <c r="AF59" s="333" t="s">
        <v>1960</v>
      </c>
      <c r="AG59" t="s">
        <v>2950</v>
      </c>
      <c r="AH59" s="770">
        <v>6.9444444444444447E-4</v>
      </c>
      <c r="AI59" s="770">
        <f t="shared" si="4"/>
        <v>0.25</v>
      </c>
      <c r="AJ59" s="772" t="s">
        <v>3036</v>
      </c>
      <c r="AK59" s="607" t="s">
        <v>3902</v>
      </c>
      <c r="AL59" s="333" t="s">
        <v>960</v>
      </c>
      <c r="AM59" s="333" t="s">
        <v>968</v>
      </c>
      <c r="AN59" s="333" t="s">
        <v>975</v>
      </c>
      <c r="AO59" s="333" t="s">
        <v>1646</v>
      </c>
      <c r="AP59" s="333" t="s">
        <v>3456</v>
      </c>
      <c r="AQ59" s="694">
        <v>18</v>
      </c>
      <c r="AR59" s="694">
        <v>42</v>
      </c>
      <c r="AS59" s="694">
        <v>2</v>
      </c>
      <c r="AT59" s="694">
        <v>21</v>
      </c>
      <c r="AU59" s="694">
        <v>30</v>
      </c>
      <c r="AV59" s="694" t="s">
        <v>3489</v>
      </c>
      <c r="AW59" s="1003"/>
      <c r="AX59" s="1003" t="s">
        <v>3779</v>
      </c>
      <c r="AY59" s="1003" t="s">
        <v>3793</v>
      </c>
      <c r="AZ59" s="1003" t="s">
        <v>3804</v>
      </c>
      <c r="BA59" s="1003" t="s">
        <v>3808</v>
      </c>
      <c r="BB59" s="1003" t="s">
        <v>3846</v>
      </c>
      <c r="BC59" s="1404" t="s">
        <v>4671</v>
      </c>
    </row>
    <row r="60" spans="1:55" ht="15.75" thickBot="1" x14ac:dyDescent="0.25">
      <c r="A60" s="693">
        <v>13</v>
      </c>
      <c r="B60" s="694" t="s">
        <v>1591</v>
      </c>
      <c r="C60" s="694" t="s">
        <v>2241</v>
      </c>
      <c r="D60" s="694" t="s">
        <v>1512</v>
      </c>
      <c r="E60" s="694" t="s">
        <v>2242</v>
      </c>
      <c r="F60" s="699" t="s">
        <v>1986</v>
      </c>
      <c r="G60" s="700" t="s">
        <v>2135</v>
      </c>
      <c r="H60" s="702" t="s">
        <v>3740</v>
      </c>
      <c r="I60" s="700" t="s">
        <v>2036</v>
      </c>
      <c r="J60" s="694" t="s">
        <v>2109</v>
      </c>
      <c r="K60" s="694" t="s">
        <v>2038</v>
      </c>
      <c r="L60" s="694" t="s">
        <v>2170</v>
      </c>
      <c r="M60" s="694" t="s">
        <v>2243</v>
      </c>
      <c r="N60" s="333" t="s">
        <v>2974</v>
      </c>
      <c r="O60" s="694" t="s">
        <v>2195</v>
      </c>
      <c r="P60" s="694" t="s">
        <v>2244</v>
      </c>
      <c r="Q60" s="694" t="s">
        <v>2245</v>
      </c>
      <c r="R60" s="694" t="s">
        <v>2174</v>
      </c>
      <c r="S60" s="694" t="s">
        <v>2098</v>
      </c>
      <c r="T60" s="694" t="s">
        <v>2099</v>
      </c>
      <c r="U60" s="769">
        <f t="shared" si="5"/>
        <v>160</v>
      </c>
      <c r="V60" s="769">
        <f t="shared" si="6"/>
        <v>173.33333333333334</v>
      </c>
      <c r="W60" s="698" t="s">
        <v>2246</v>
      </c>
      <c r="X60" s="1005" t="s">
        <v>2247</v>
      </c>
      <c r="Y60" s="744" t="s">
        <v>2201</v>
      </c>
      <c r="Z60" s="694" t="s">
        <v>2100</v>
      </c>
      <c r="AA60" s="631" t="s">
        <v>2100</v>
      </c>
      <c r="AB60" s="333" t="s">
        <v>2118</v>
      </c>
      <c r="AC60" s="333" t="s">
        <v>2596</v>
      </c>
      <c r="AD60" s="333" t="s">
        <v>2596</v>
      </c>
      <c r="AE60" s="694" t="str">
        <f t="shared" si="3"/>
        <v>Atigaṇḍa</v>
      </c>
      <c r="AF60" s="333" t="s">
        <v>2937</v>
      </c>
      <c r="AG60" t="s">
        <v>2951</v>
      </c>
      <c r="AH60" s="770">
        <v>1.1574074074074073E-3</v>
      </c>
      <c r="AI60" s="770">
        <f t="shared" si="4"/>
        <v>0.41666666666666663</v>
      </c>
      <c r="AJ60" s="772" t="s">
        <v>3037</v>
      </c>
      <c r="AK60" s="607" t="s">
        <v>3902</v>
      </c>
      <c r="AL60" s="333" t="s">
        <v>960</v>
      </c>
      <c r="AM60" s="333" t="s">
        <v>965</v>
      </c>
      <c r="AN60" s="333" t="s">
        <v>1779</v>
      </c>
      <c r="AO60" s="333" t="s">
        <v>1646</v>
      </c>
      <c r="AP60" s="333" t="s">
        <v>3457</v>
      </c>
      <c r="AQ60" s="694">
        <v>21.000000000000004</v>
      </c>
      <c r="AR60" s="694">
        <v>45</v>
      </c>
      <c r="AS60" s="694">
        <v>26</v>
      </c>
      <c r="AT60" s="694">
        <v>7.5</v>
      </c>
      <c r="AU60" s="694">
        <v>15</v>
      </c>
      <c r="AV60" s="694" t="s">
        <v>3488</v>
      </c>
      <c r="AW60" s="1003" t="s">
        <v>3725</v>
      </c>
      <c r="AX60" s="1003" t="s">
        <v>3780</v>
      </c>
      <c r="AY60" s="1003" t="s">
        <v>3771</v>
      </c>
      <c r="AZ60" s="1003" t="s">
        <v>3772</v>
      </c>
      <c r="BA60" s="1003" t="s">
        <v>3802</v>
      </c>
      <c r="BB60" s="1003" t="s">
        <v>3847</v>
      </c>
      <c r="BC60" s="1404" t="s">
        <v>4672</v>
      </c>
    </row>
    <row r="61" spans="1:55" ht="15.75" thickBot="1" x14ac:dyDescent="0.25">
      <c r="A61" s="693">
        <v>14</v>
      </c>
      <c r="B61" s="694" t="s">
        <v>1592</v>
      </c>
      <c r="C61" s="694" t="s">
        <v>2248</v>
      </c>
      <c r="D61" s="694" t="s">
        <v>1513</v>
      </c>
      <c r="E61" s="694" t="s">
        <v>2249</v>
      </c>
      <c r="F61" s="699" t="s">
        <v>1986</v>
      </c>
      <c r="G61" s="700" t="s">
        <v>2035</v>
      </c>
      <c r="H61" s="696" t="s">
        <v>3741</v>
      </c>
      <c r="I61" s="700" t="s">
        <v>2036</v>
      </c>
      <c r="J61" s="694" t="s">
        <v>2037</v>
      </c>
      <c r="K61" s="694" t="s">
        <v>2136</v>
      </c>
      <c r="L61" s="694" t="s">
        <v>2137</v>
      </c>
      <c r="M61" s="694" t="s">
        <v>2250</v>
      </c>
      <c r="N61" s="333" t="s">
        <v>2250</v>
      </c>
      <c r="O61" s="694" t="s">
        <v>2195</v>
      </c>
      <c r="P61" s="694" t="s">
        <v>2251</v>
      </c>
      <c r="Q61" s="694" t="s">
        <v>2252</v>
      </c>
      <c r="R61" s="1007" t="s">
        <v>2186</v>
      </c>
      <c r="S61" s="694" t="s">
        <v>2116</v>
      </c>
      <c r="T61" s="694" t="s">
        <v>2117</v>
      </c>
      <c r="U61" s="769">
        <f t="shared" si="5"/>
        <v>173.33333333333334</v>
      </c>
      <c r="V61" s="769">
        <f t="shared" si="6"/>
        <v>186.66666666666669</v>
      </c>
      <c r="W61" s="698" t="s">
        <v>2253</v>
      </c>
      <c r="X61" s="1005" t="s">
        <v>2254</v>
      </c>
      <c r="Y61" s="744" t="s">
        <v>2210</v>
      </c>
      <c r="Z61" s="694" t="s">
        <v>2118</v>
      </c>
      <c r="AA61" s="631" t="s">
        <v>2118</v>
      </c>
      <c r="AB61" s="333" t="s">
        <v>2100</v>
      </c>
      <c r="AC61" s="333" t="s">
        <v>2100</v>
      </c>
      <c r="AD61" s="333" t="s">
        <v>2118</v>
      </c>
      <c r="AE61" s="694" t="str">
        <f t="shared" si="3"/>
        <v>Sukarman</v>
      </c>
      <c r="AF61" s="333" t="s">
        <v>2937</v>
      </c>
      <c r="AG61" t="s">
        <v>2952</v>
      </c>
      <c r="AH61" s="770">
        <v>8.1018518518518516E-4</v>
      </c>
      <c r="AI61" s="770">
        <f t="shared" si="4"/>
        <v>0.29166666666666669</v>
      </c>
      <c r="AJ61" s="772" t="s">
        <v>3038</v>
      </c>
      <c r="AK61" s="607" t="s">
        <v>3902</v>
      </c>
      <c r="AL61" s="333" t="s">
        <v>960</v>
      </c>
      <c r="AM61" s="333" t="s">
        <v>969</v>
      </c>
      <c r="AN61" s="333" t="s">
        <v>973</v>
      </c>
      <c r="AO61" s="333" t="s">
        <v>1646</v>
      </c>
      <c r="AP61" s="333" t="s">
        <v>2176</v>
      </c>
      <c r="AQ61" s="694">
        <v>20</v>
      </c>
      <c r="AR61" s="694">
        <v>44</v>
      </c>
      <c r="AS61" s="694">
        <v>30</v>
      </c>
      <c r="AT61" s="694">
        <v>55</v>
      </c>
      <c r="AU61" s="694">
        <v>60</v>
      </c>
      <c r="AV61" s="694" t="s">
        <v>3488</v>
      </c>
      <c r="AW61" s="1003" t="s">
        <v>3726</v>
      </c>
      <c r="AX61" s="1003" t="s">
        <v>3749</v>
      </c>
      <c r="AY61" s="1003" t="s">
        <v>3794</v>
      </c>
      <c r="AZ61" s="1003" t="s">
        <v>3764</v>
      </c>
      <c r="BA61" s="1003" t="s">
        <v>3771</v>
      </c>
      <c r="BB61" s="1003" t="s">
        <v>3848</v>
      </c>
      <c r="BC61" s="1404" t="s">
        <v>4673</v>
      </c>
    </row>
    <row r="62" spans="1:55" ht="15.75" thickBot="1" x14ac:dyDescent="0.25">
      <c r="A62" s="693">
        <v>15</v>
      </c>
      <c r="B62" s="694" t="s">
        <v>1535</v>
      </c>
      <c r="C62" s="694" t="s">
        <v>3824</v>
      </c>
      <c r="D62" s="694" t="s">
        <v>1514</v>
      </c>
      <c r="E62" s="694" t="s">
        <v>2255</v>
      </c>
      <c r="F62" s="699" t="s">
        <v>1986</v>
      </c>
      <c r="G62" s="1218" t="s">
        <v>2182</v>
      </c>
      <c r="H62" s="700" t="s">
        <v>3742</v>
      </c>
      <c r="I62" s="700" t="s">
        <v>2036</v>
      </c>
      <c r="J62" s="694" t="s">
        <v>2037</v>
      </c>
      <c r="K62" s="694" t="s">
        <v>2038</v>
      </c>
      <c r="L62" s="694" t="s">
        <v>1785</v>
      </c>
      <c r="M62" s="694" t="s">
        <v>2256</v>
      </c>
      <c r="N62" s="333" t="s">
        <v>2975</v>
      </c>
      <c r="O62" s="694" t="s">
        <v>2218</v>
      </c>
      <c r="P62" s="694" t="s">
        <v>2244</v>
      </c>
      <c r="Q62" s="694" t="s">
        <v>2257</v>
      </c>
      <c r="R62" s="694" t="s">
        <v>2174</v>
      </c>
      <c r="S62" s="694" t="s">
        <v>2142</v>
      </c>
      <c r="T62" s="694" t="s">
        <v>2163</v>
      </c>
      <c r="U62" s="769">
        <f t="shared" si="5"/>
        <v>186.66666666666669</v>
      </c>
      <c r="V62" s="769">
        <f t="shared" si="6"/>
        <v>200.00000000000003</v>
      </c>
      <c r="W62" s="698" t="s">
        <v>2258</v>
      </c>
      <c r="X62" s="1005" t="s">
        <v>2259</v>
      </c>
      <c r="Y62" s="744" t="s">
        <v>2105</v>
      </c>
      <c r="Z62" s="694" t="s">
        <v>2164</v>
      </c>
      <c r="AA62" s="631" t="s">
        <v>2596</v>
      </c>
      <c r="AB62" s="333" t="s">
        <v>2596</v>
      </c>
      <c r="AC62" s="333" t="s">
        <v>2118</v>
      </c>
      <c r="AD62" s="333" t="s">
        <v>2100</v>
      </c>
      <c r="AE62" s="694" t="str">
        <f t="shared" si="3"/>
        <v>Dhriti</v>
      </c>
      <c r="AF62" s="333" t="s">
        <v>1969</v>
      </c>
      <c r="AG62" t="s">
        <v>2953</v>
      </c>
      <c r="AH62" s="770">
        <v>2.0833333333333333E-3</v>
      </c>
      <c r="AI62" s="770">
        <f t="shared" si="4"/>
        <v>0.75</v>
      </c>
      <c r="AJ62" s="772" t="s">
        <v>3439</v>
      </c>
      <c r="AK62" s="607" t="s">
        <v>3902</v>
      </c>
      <c r="AL62" s="333" t="s">
        <v>960</v>
      </c>
      <c r="AM62" s="333" t="s">
        <v>971</v>
      </c>
      <c r="AN62" s="333" t="s">
        <v>974</v>
      </c>
      <c r="AO62" s="333" t="s">
        <v>1646</v>
      </c>
      <c r="AP62" s="333" t="s">
        <v>3458</v>
      </c>
      <c r="AQ62" s="694">
        <v>13.999999999999998</v>
      </c>
      <c r="AR62" s="694">
        <v>38</v>
      </c>
      <c r="AS62" s="694">
        <v>38</v>
      </c>
      <c r="AT62" s="694">
        <v>21</v>
      </c>
      <c r="AU62" s="694">
        <v>30</v>
      </c>
      <c r="AV62" s="694" t="s">
        <v>3488</v>
      </c>
      <c r="AW62" s="1003" t="s">
        <v>3727</v>
      </c>
      <c r="AX62" s="1003" t="s">
        <v>3749</v>
      </c>
      <c r="AY62" s="1003" t="s">
        <v>3795</v>
      </c>
      <c r="AZ62" s="1003" t="s">
        <v>3797</v>
      </c>
      <c r="BA62" s="1003" t="s">
        <v>3765</v>
      </c>
      <c r="BB62" s="1003" t="s">
        <v>3849</v>
      </c>
      <c r="BC62" s="1404" t="s">
        <v>4674</v>
      </c>
    </row>
    <row r="63" spans="1:55" ht="15.75" thickBot="1" x14ac:dyDescent="0.25">
      <c r="A63" s="693">
        <v>16</v>
      </c>
      <c r="B63" s="694" t="s">
        <v>2260</v>
      </c>
      <c r="C63" s="694" t="s">
        <v>2261</v>
      </c>
      <c r="D63" s="694" t="s">
        <v>1515</v>
      </c>
      <c r="E63" s="694" t="s">
        <v>2262</v>
      </c>
      <c r="F63" s="701" t="s">
        <v>1986</v>
      </c>
      <c r="G63" s="1219" t="s">
        <v>1986</v>
      </c>
      <c r="H63" s="700" t="s">
        <v>3739</v>
      </c>
      <c r="I63" s="700" t="s">
        <v>2108</v>
      </c>
      <c r="J63" s="694" t="s">
        <v>2204</v>
      </c>
      <c r="K63" s="694" t="s">
        <v>2136</v>
      </c>
      <c r="L63" s="694" t="s">
        <v>2039</v>
      </c>
      <c r="M63" s="694" t="s">
        <v>2263</v>
      </c>
      <c r="N63" s="333" t="s">
        <v>2976</v>
      </c>
      <c r="O63" s="694" t="s">
        <v>2218</v>
      </c>
      <c r="P63" s="694" t="s">
        <v>2251</v>
      </c>
      <c r="Q63" s="694" t="s">
        <v>2264</v>
      </c>
      <c r="R63" s="694" t="s">
        <v>2141</v>
      </c>
      <c r="S63" s="694" t="s">
        <v>2098</v>
      </c>
      <c r="T63" s="694" t="s">
        <v>2175</v>
      </c>
      <c r="U63" s="769">
        <f t="shared" si="5"/>
        <v>200.00000000000003</v>
      </c>
      <c r="V63" s="769">
        <f t="shared" si="6"/>
        <v>213.33333333333337</v>
      </c>
      <c r="W63" s="698" t="s">
        <v>2265</v>
      </c>
      <c r="X63" s="1005" t="s">
        <v>2266</v>
      </c>
      <c r="Y63" s="744" t="s">
        <v>2121</v>
      </c>
      <c r="Z63" s="694" t="s">
        <v>2164</v>
      </c>
      <c r="AA63" s="631" t="s">
        <v>2100</v>
      </c>
      <c r="AB63" s="333" t="s">
        <v>2118</v>
      </c>
      <c r="AC63" s="333" t="s">
        <v>2596</v>
      </c>
      <c r="AD63" s="333" t="s">
        <v>2596</v>
      </c>
      <c r="AE63" s="694" t="str">
        <f t="shared" si="3"/>
        <v>Shūla</v>
      </c>
      <c r="AF63" s="333" t="s">
        <v>1969</v>
      </c>
      <c r="AG63" t="s">
        <v>2954</v>
      </c>
      <c r="AH63" s="770">
        <v>1.8518518518518517E-3</v>
      </c>
      <c r="AI63" s="770">
        <f t="shared" si="4"/>
        <v>0.66666666666666663</v>
      </c>
      <c r="AJ63" s="772" t="s">
        <v>3039</v>
      </c>
      <c r="AK63" s="607" t="s">
        <v>3902</v>
      </c>
      <c r="AL63" s="333" t="s">
        <v>960</v>
      </c>
      <c r="AM63" s="333" t="s">
        <v>967</v>
      </c>
      <c r="AN63" s="333" t="s">
        <v>975</v>
      </c>
      <c r="AO63" s="333" t="s">
        <v>1642</v>
      </c>
      <c r="AP63" s="333" t="s">
        <v>3459</v>
      </c>
      <c r="AQ63" s="694">
        <v>13.999999999999998</v>
      </c>
      <c r="AR63" s="694">
        <v>38</v>
      </c>
      <c r="AS63" s="694">
        <v>38</v>
      </c>
      <c r="AT63" s="694">
        <v>1</v>
      </c>
      <c r="AU63" s="694">
        <v>8</v>
      </c>
      <c r="AV63" s="694" t="s">
        <v>3489</v>
      </c>
      <c r="AW63" s="1003" t="s">
        <v>3728</v>
      </c>
      <c r="AX63" s="1003" t="s">
        <v>3781</v>
      </c>
      <c r="AY63" s="1003" t="s">
        <v>3796</v>
      </c>
      <c r="AZ63" s="1003" t="s">
        <v>3771</v>
      </c>
      <c r="BA63" s="1003" t="s">
        <v>3774</v>
      </c>
      <c r="BB63" s="1003" t="s">
        <v>3850</v>
      </c>
      <c r="BC63" s="1404" t="s">
        <v>4675</v>
      </c>
    </row>
    <row r="64" spans="1:55" ht="15.75" thickBot="1" x14ac:dyDescent="0.25">
      <c r="A64" s="693">
        <v>17</v>
      </c>
      <c r="B64" s="694" t="s">
        <v>1526</v>
      </c>
      <c r="C64" s="694" t="s">
        <v>2267</v>
      </c>
      <c r="D64" s="694" t="s">
        <v>1641</v>
      </c>
      <c r="E64" s="694" t="s">
        <v>2268</v>
      </c>
      <c r="F64" s="695" t="s">
        <v>2107</v>
      </c>
      <c r="G64" s="696" t="s">
        <v>2035</v>
      </c>
      <c r="H64" s="702" t="s">
        <v>3740</v>
      </c>
      <c r="I64" s="696" t="s">
        <v>2036</v>
      </c>
      <c r="J64" s="694" t="s">
        <v>2037</v>
      </c>
      <c r="K64" s="694" t="s">
        <v>2038</v>
      </c>
      <c r="L64" s="694" t="s">
        <v>2039</v>
      </c>
      <c r="M64" s="694" t="s">
        <v>2269</v>
      </c>
      <c r="N64" s="333" t="s">
        <v>2977</v>
      </c>
      <c r="O64" s="694" t="s">
        <v>2195</v>
      </c>
      <c r="P64" s="694" t="s">
        <v>2270</v>
      </c>
      <c r="Q64" s="694" t="s">
        <v>2271</v>
      </c>
      <c r="R64" s="694" t="s">
        <v>2115</v>
      </c>
      <c r="S64" s="694" t="s">
        <v>2116</v>
      </c>
      <c r="T64" s="694" t="s">
        <v>2187</v>
      </c>
      <c r="U64" s="769">
        <f t="shared" si="5"/>
        <v>213.33333333333337</v>
      </c>
      <c r="V64" s="769">
        <f t="shared" si="6"/>
        <v>226.66666666666671</v>
      </c>
      <c r="W64" s="698" t="s">
        <v>2272</v>
      </c>
      <c r="X64" s="1005" t="s">
        <v>2273</v>
      </c>
      <c r="Y64" s="744" t="s">
        <v>2167</v>
      </c>
      <c r="Z64" s="694" t="s">
        <v>2118</v>
      </c>
      <c r="AA64" s="631" t="s">
        <v>2118</v>
      </c>
      <c r="AB64" s="333" t="s">
        <v>2100</v>
      </c>
      <c r="AC64" s="333" t="s">
        <v>2100</v>
      </c>
      <c r="AD64" s="333" t="s">
        <v>2118</v>
      </c>
      <c r="AE64" s="694" t="str">
        <f t="shared" si="3"/>
        <v>Gaṇḍa</v>
      </c>
      <c r="AF64" s="333" t="s">
        <v>1969</v>
      </c>
      <c r="AG64" t="s">
        <v>2955</v>
      </c>
      <c r="AH64" s="770">
        <v>2.1990740740740742E-3</v>
      </c>
      <c r="AI64" s="770">
        <f t="shared" si="4"/>
        <v>0.79166666666666674</v>
      </c>
      <c r="AJ64" s="772" t="s">
        <v>3040</v>
      </c>
      <c r="AK64" s="607" t="s">
        <v>961</v>
      </c>
      <c r="AL64" s="333" t="s">
        <v>959</v>
      </c>
      <c r="AM64" s="333" t="s">
        <v>969</v>
      </c>
      <c r="AN64" s="333" t="s">
        <v>1779</v>
      </c>
      <c r="AO64" s="333" t="s">
        <v>1642</v>
      </c>
      <c r="AP64" s="333" t="s">
        <v>3460</v>
      </c>
      <c r="AQ64" s="694">
        <v>10</v>
      </c>
      <c r="AR64" s="694">
        <v>28</v>
      </c>
      <c r="AS64" s="694">
        <v>36</v>
      </c>
      <c r="AT64" s="694">
        <v>52</v>
      </c>
      <c r="AU64" s="694">
        <v>60</v>
      </c>
      <c r="AV64" s="694" t="s">
        <v>3489</v>
      </c>
      <c r="AW64" s="1003" t="s">
        <v>3729</v>
      </c>
      <c r="AX64" s="1003" t="s">
        <v>3782</v>
      </c>
      <c r="AY64" s="1003" t="s">
        <v>3797</v>
      </c>
      <c r="AZ64" s="1003" t="s">
        <v>3774</v>
      </c>
      <c r="BA64" s="1003" t="s">
        <v>3809</v>
      </c>
      <c r="BB64" s="1003" t="s">
        <v>3851</v>
      </c>
      <c r="BC64" s="1404" t="s">
        <v>4676</v>
      </c>
    </row>
    <row r="65" spans="1:55" ht="15.75" thickBot="1" x14ac:dyDescent="0.25">
      <c r="A65" s="693">
        <v>18</v>
      </c>
      <c r="B65" s="694" t="s">
        <v>2274</v>
      </c>
      <c r="C65" s="694" t="s">
        <v>2275</v>
      </c>
      <c r="D65" s="694" t="s">
        <v>2217</v>
      </c>
      <c r="E65" s="694" t="s">
        <v>2268</v>
      </c>
      <c r="F65" s="699" t="s">
        <v>2107</v>
      </c>
      <c r="G65" s="1218" t="s">
        <v>2182</v>
      </c>
      <c r="H65" s="696" t="s">
        <v>3741</v>
      </c>
      <c r="I65" s="700" t="s">
        <v>2036</v>
      </c>
      <c r="J65" s="694" t="s">
        <v>2204</v>
      </c>
      <c r="K65" s="694" t="s">
        <v>2136</v>
      </c>
      <c r="L65" s="694" t="s">
        <v>1785</v>
      </c>
      <c r="M65" s="694" t="s">
        <v>2269</v>
      </c>
      <c r="N65" s="333" t="s">
        <v>2978</v>
      </c>
      <c r="O65" s="694" t="s">
        <v>2218</v>
      </c>
      <c r="P65" s="694" t="s">
        <v>2270</v>
      </c>
      <c r="Q65" s="694" t="s">
        <v>2276</v>
      </c>
      <c r="R65" s="694" t="s">
        <v>2097</v>
      </c>
      <c r="S65" s="694" t="s">
        <v>2142</v>
      </c>
      <c r="T65" s="694" t="s">
        <v>2198</v>
      </c>
      <c r="U65" s="769">
        <f t="shared" si="5"/>
        <v>226.66666666666671</v>
      </c>
      <c r="V65" s="769">
        <f t="shared" si="6"/>
        <v>240.00000000000006</v>
      </c>
      <c r="W65" s="698" t="s">
        <v>2277</v>
      </c>
      <c r="X65" s="1005" t="s">
        <v>2278</v>
      </c>
      <c r="Y65" s="744" t="s">
        <v>2179</v>
      </c>
      <c r="Z65" s="694" t="s">
        <v>2100</v>
      </c>
      <c r="AA65" s="631" t="s">
        <v>2596</v>
      </c>
      <c r="AB65" s="333" t="s">
        <v>2596</v>
      </c>
      <c r="AC65" s="333" t="s">
        <v>2118</v>
      </c>
      <c r="AD65" s="333" t="s">
        <v>2100</v>
      </c>
      <c r="AE65" s="694" t="str">
        <f t="shared" si="3"/>
        <v>Vriddhi</v>
      </c>
      <c r="AF65" s="333" t="s">
        <v>1969</v>
      </c>
      <c r="AG65" t="s">
        <v>2956</v>
      </c>
      <c r="AH65" s="770">
        <v>1.9675925925925928E-3</v>
      </c>
      <c r="AI65" s="770">
        <f t="shared" si="4"/>
        <v>0.70833333333333337</v>
      </c>
      <c r="AJ65" s="772" t="s">
        <v>3041</v>
      </c>
      <c r="AK65" s="607" t="s">
        <v>961</v>
      </c>
      <c r="AL65" s="333" t="s">
        <v>959</v>
      </c>
      <c r="AM65" s="333" t="s">
        <v>970</v>
      </c>
      <c r="AN65" s="333" t="s">
        <v>973</v>
      </c>
      <c r="AO65" s="333" t="s">
        <v>1642</v>
      </c>
      <c r="AP65" s="333" t="s">
        <v>3461</v>
      </c>
      <c r="AQ65" s="694">
        <v>13.999999999999998</v>
      </c>
      <c r="AR65" s="694">
        <v>38</v>
      </c>
      <c r="AS65" s="694">
        <v>34</v>
      </c>
      <c r="AT65" s="694">
        <v>20</v>
      </c>
      <c r="AU65" s="694">
        <v>30</v>
      </c>
      <c r="AV65" s="694" t="s">
        <v>3489</v>
      </c>
      <c r="AW65" s="1003" t="s">
        <v>3730</v>
      </c>
      <c r="AX65" s="1003" t="s">
        <v>3783</v>
      </c>
      <c r="AY65" s="1003" t="s">
        <v>3766</v>
      </c>
      <c r="AZ65" s="1003" t="s">
        <v>3775</v>
      </c>
      <c r="BA65" s="1003" t="s">
        <v>3791</v>
      </c>
      <c r="BB65" s="1003" t="s">
        <v>3852</v>
      </c>
      <c r="BC65" s="1404" t="s">
        <v>4677</v>
      </c>
    </row>
    <row r="66" spans="1:55" ht="15.75" thickBot="1" x14ac:dyDescent="0.25">
      <c r="A66" s="693">
        <v>19</v>
      </c>
      <c r="B66" s="694" t="s">
        <v>2279</v>
      </c>
      <c r="C66" s="694" t="s">
        <v>3825</v>
      </c>
      <c r="D66" s="694" t="s">
        <v>1518</v>
      </c>
      <c r="E66" s="694" t="s">
        <v>2280</v>
      </c>
      <c r="F66" s="699" t="s">
        <v>2107</v>
      </c>
      <c r="G66" s="1218" t="s">
        <v>1986</v>
      </c>
      <c r="H66" s="700" t="s">
        <v>3742</v>
      </c>
      <c r="I66" s="700" t="s">
        <v>2108</v>
      </c>
      <c r="J66" s="694" t="s">
        <v>2037</v>
      </c>
      <c r="K66" s="694" t="s">
        <v>2136</v>
      </c>
      <c r="L66" s="694" t="s">
        <v>2137</v>
      </c>
      <c r="M66" s="694" t="s">
        <v>2281</v>
      </c>
      <c r="N66" s="333" t="s">
        <v>2281</v>
      </c>
      <c r="O66" s="694" t="s">
        <v>2282</v>
      </c>
      <c r="P66" s="694" t="s">
        <v>2196</v>
      </c>
      <c r="Q66" s="694" t="s">
        <v>2283</v>
      </c>
      <c r="R66" s="694" t="s">
        <v>2097</v>
      </c>
      <c r="S66" s="694" t="s">
        <v>2098</v>
      </c>
      <c r="T66" s="694" t="s">
        <v>2099</v>
      </c>
      <c r="U66" s="769">
        <f t="shared" si="5"/>
        <v>240.00000000000006</v>
      </c>
      <c r="V66" s="769">
        <f t="shared" si="6"/>
        <v>253.3333333333334</v>
      </c>
      <c r="W66" s="698" t="s">
        <v>2284</v>
      </c>
      <c r="X66" s="1005" t="s">
        <v>2285</v>
      </c>
      <c r="Y66" s="744" t="s">
        <v>2191</v>
      </c>
      <c r="Z66" s="694" t="s">
        <v>2100</v>
      </c>
      <c r="AA66" s="631" t="s">
        <v>2100</v>
      </c>
      <c r="AB66" s="333" t="s">
        <v>2118</v>
      </c>
      <c r="AC66" s="333" t="s">
        <v>2596</v>
      </c>
      <c r="AD66" s="333" t="s">
        <v>2596</v>
      </c>
      <c r="AE66" s="694" t="str">
        <f t="shared" si="3"/>
        <v>Dhruva</v>
      </c>
      <c r="AF66" s="333" t="s">
        <v>2966</v>
      </c>
      <c r="AG66" t="s">
        <v>2957</v>
      </c>
      <c r="AH66" s="770">
        <v>8.1018518518518516E-4</v>
      </c>
      <c r="AI66" s="770">
        <f t="shared" si="4"/>
        <v>0.29166666666666669</v>
      </c>
      <c r="AJ66" s="772" t="s">
        <v>3042</v>
      </c>
      <c r="AK66" s="607" t="s">
        <v>961</v>
      </c>
      <c r="AL66" s="333" t="s">
        <v>959</v>
      </c>
      <c r="AM66" s="333" t="s">
        <v>970</v>
      </c>
      <c r="AN66" s="333" t="s">
        <v>974</v>
      </c>
      <c r="AO66" s="333" t="s">
        <v>1642</v>
      </c>
      <c r="AP66" s="333" t="s">
        <v>3462</v>
      </c>
      <c r="AQ66" s="694">
        <v>55.999999999999993</v>
      </c>
      <c r="AR66" s="694">
        <v>44</v>
      </c>
      <c r="AS66" s="694">
        <v>32</v>
      </c>
      <c r="AT66" s="694">
        <v>1</v>
      </c>
      <c r="AU66" s="694">
        <v>8</v>
      </c>
      <c r="AV66" s="694" t="s">
        <v>3488</v>
      </c>
      <c r="AW66" s="1003" t="s">
        <v>3731</v>
      </c>
      <c r="AX66" s="1003" t="s">
        <v>3766</v>
      </c>
      <c r="AY66" s="1003" t="s">
        <v>3798</v>
      </c>
      <c r="AZ66" s="1003" t="s">
        <v>849</v>
      </c>
      <c r="BA66" s="1003" t="s">
        <v>3785</v>
      </c>
      <c r="BB66" s="1003" t="s">
        <v>3853</v>
      </c>
      <c r="BC66" s="1404" t="s">
        <v>4678</v>
      </c>
    </row>
    <row r="67" spans="1:55" ht="15.75" thickBot="1" x14ac:dyDescent="0.25">
      <c r="A67" s="693">
        <v>20</v>
      </c>
      <c r="B67" s="694" t="s">
        <v>2286</v>
      </c>
      <c r="C67" s="694" t="s">
        <v>2287</v>
      </c>
      <c r="D67" s="694" t="s">
        <v>1519</v>
      </c>
      <c r="E67" s="694" t="s">
        <v>2280</v>
      </c>
      <c r="F67" s="699" t="s">
        <v>2107</v>
      </c>
      <c r="G67" s="700" t="s">
        <v>2107</v>
      </c>
      <c r="H67" s="700" t="s">
        <v>3739</v>
      </c>
      <c r="I67" s="700" t="s">
        <v>2108</v>
      </c>
      <c r="J67" s="694" t="s">
        <v>2109</v>
      </c>
      <c r="K67" s="694" t="s">
        <v>2110</v>
      </c>
      <c r="L67" s="694" t="s">
        <v>2170</v>
      </c>
      <c r="M67" s="694" t="s">
        <v>2288</v>
      </c>
      <c r="N67" s="333" t="s">
        <v>2979</v>
      </c>
      <c r="O67" s="694" t="s">
        <v>2218</v>
      </c>
      <c r="P67" s="694" t="s">
        <v>2289</v>
      </c>
      <c r="Q67" s="694" t="s">
        <v>2290</v>
      </c>
      <c r="R67" s="694" t="s">
        <v>2115</v>
      </c>
      <c r="S67" s="694" t="s">
        <v>2116</v>
      </c>
      <c r="T67" s="694" t="s">
        <v>2117</v>
      </c>
      <c r="U67" s="769">
        <f t="shared" si="5"/>
        <v>253.3333333333334</v>
      </c>
      <c r="V67" s="769">
        <f t="shared" si="6"/>
        <v>266.66666666666674</v>
      </c>
      <c r="W67" s="698" t="s">
        <v>2291</v>
      </c>
      <c r="X67" s="1005" t="s">
        <v>2292</v>
      </c>
      <c r="Y67" s="744" t="s">
        <v>2201</v>
      </c>
      <c r="Z67" s="694" t="s">
        <v>2118</v>
      </c>
      <c r="AA67" s="631" t="s">
        <v>2118</v>
      </c>
      <c r="AB67" s="333" t="s">
        <v>2100</v>
      </c>
      <c r="AC67" s="333" t="s">
        <v>2100</v>
      </c>
      <c r="AD67" s="333" t="s">
        <v>2118</v>
      </c>
      <c r="AE67" s="694" t="str">
        <f t="shared" si="3"/>
        <v>Vyāghāta</v>
      </c>
      <c r="AF67" s="333" t="s">
        <v>2966</v>
      </c>
      <c r="AG67" t="s">
        <v>2958</v>
      </c>
      <c r="AH67" s="770">
        <v>2.3148148148148151E-3</v>
      </c>
      <c r="AI67" s="770">
        <f t="shared" si="4"/>
        <v>0.83333333333333348</v>
      </c>
      <c r="AJ67" s="772" t="s">
        <v>3043</v>
      </c>
      <c r="AK67" s="607" t="s">
        <v>961</v>
      </c>
      <c r="AL67" s="333" t="s">
        <v>959</v>
      </c>
      <c r="AM67" s="333" t="s">
        <v>966</v>
      </c>
      <c r="AN67" s="333" t="s">
        <v>975</v>
      </c>
      <c r="AO67" s="333" t="s">
        <v>1645</v>
      </c>
      <c r="AQ67" s="694">
        <v>23.999999999999996</v>
      </c>
      <c r="AR67" s="694">
        <v>48</v>
      </c>
      <c r="AS67" s="694">
        <v>42</v>
      </c>
      <c r="AT67" s="694">
        <v>52</v>
      </c>
      <c r="AU67" s="694">
        <v>60</v>
      </c>
      <c r="AV67" s="694" t="s">
        <v>3488</v>
      </c>
      <c r="AW67" s="1003" t="s">
        <v>3732</v>
      </c>
      <c r="AX67" s="1003" t="s">
        <v>3784</v>
      </c>
      <c r="AY67" s="1003" t="s">
        <v>3765</v>
      </c>
      <c r="AZ67" s="1003" t="s">
        <v>3787</v>
      </c>
      <c r="BA67" s="1003" t="s">
        <v>3802</v>
      </c>
      <c r="BB67" s="1003" t="s">
        <v>3854</v>
      </c>
      <c r="BC67" s="1404" t="s">
        <v>4679</v>
      </c>
    </row>
    <row r="68" spans="1:55" ht="15.75" thickBot="1" x14ac:dyDescent="0.25">
      <c r="A68" s="693">
        <v>21</v>
      </c>
      <c r="B68" s="694" t="s">
        <v>2293</v>
      </c>
      <c r="C68" s="694" t="s">
        <v>2294</v>
      </c>
      <c r="D68" s="694" t="s">
        <v>1511</v>
      </c>
      <c r="E68" s="694" t="s">
        <v>2295</v>
      </c>
      <c r="F68" s="699" t="s">
        <v>2107</v>
      </c>
      <c r="G68" s="700" t="s">
        <v>2135</v>
      </c>
      <c r="H68" s="702" t="s">
        <v>3740</v>
      </c>
      <c r="I68" s="700" t="s">
        <v>2169</v>
      </c>
      <c r="J68" s="694" t="s">
        <v>2109</v>
      </c>
      <c r="K68" s="694" t="s">
        <v>2110</v>
      </c>
      <c r="L68" s="694" t="s">
        <v>2170</v>
      </c>
      <c r="M68" s="694" t="s">
        <v>2296</v>
      </c>
      <c r="N68" s="333" t="s">
        <v>2980</v>
      </c>
      <c r="O68" s="694" t="s">
        <v>2218</v>
      </c>
      <c r="P68" s="694" t="s">
        <v>2297</v>
      </c>
      <c r="Q68" s="694" t="s">
        <v>2298</v>
      </c>
      <c r="R68" s="694" t="s">
        <v>2141</v>
      </c>
      <c r="S68" s="694" t="s">
        <v>2142</v>
      </c>
      <c r="T68" s="694" t="s">
        <v>2163</v>
      </c>
      <c r="U68" s="769">
        <f t="shared" si="5"/>
        <v>266.66666666666674</v>
      </c>
      <c r="V68" s="769">
        <f t="shared" si="6"/>
        <v>280.00000000000006</v>
      </c>
      <c r="W68" s="698" t="s">
        <v>2299</v>
      </c>
      <c r="X68" s="1005" t="s">
        <v>2300</v>
      </c>
      <c r="Y68" s="744" t="s">
        <v>2210</v>
      </c>
      <c r="Z68" s="694" t="s">
        <v>2164</v>
      </c>
      <c r="AA68" s="631" t="s">
        <v>2596</v>
      </c>
      <c r="AB68" s="333" t="s">
        <v>2596</v>
      </c>
      <c r="AC68" s="333" t="s">
        <v>2118</v>
      </c>
      <c r="AD68" s="333" t="s">
        <v>2100</v>
      </c>
      <c r="AE68" s="694" t="str">
        <f t="shared" si="3"/>
        <v>Harshana</v>
      </c>
      <c r="AF68" s="333" t="s">
        <v>1972</v>
      </c>
      <c r="AG68" t="s">
        <v>2959</v>
      </c>
      <c r="AH68" s="770">
        <v>6.9444444444444447E-4</v>
      </c>
      <c r="AI68" s="770">
        <f t="shared" si="4"/>
        <v>0.25</v>
      </c>
      <c r="AJ68" s="772" t="s">
        <v>3044</v>
      </c>
      <c r="AK68" s="607" t="s">
        <v>961</v>
      </c>
      <c r="AL68" s="333" t="s">
        <v>959</v>
      </c>
      <c r="AM68" s="333" t="s">
        <v>968</v>
      </c>
      <c r="AN68" s="333" t="s">
        <v>1779</v>
      </c>
      <c r="AO68" s="333" t="s">
        <v>1645</v>
      </c>
      <c r="AP68" s="333" t="s">
        <v>3463</v>
      </c>
      <c r="AQ68" s="694">
        <v>20</v>
      </c>
      <c r="AR68" s="694">
        <v>44</v>
      </c>
      <c r="AS68" s="694">
        <v>44</v>
      </c>
      <c r="AT68" s="694">
        <v>20</v>
      </c>
      <c r="AU68" s="694">
        <v>30</v>
      </c>
      <c r="AV68" s="694" t="s">
        <v>3488</v>
      </c>
      <c r="AW68" s="1003"/>
      <c r="AX68" s="1003" t="s">
        <v>3785</v>
      </c>
      <c r="AY68" s="1003" t="s">
        <v>3799</v>
      </c>
      <c r="AZ68" s="1003" t="s">
        <v>3805</v>
      </c>
      <c r="BA68" s="1003" t="s">
        <v>3810</v>
      </c>
      <c r="BB68" s="1003" t="s">
        <v>3855</v>
      </c>
      <c r="BC68" s="1404" t="s">
        <v>4680</v>
      </c>
    </row>
    <row r="69" spans="1:55" s="922" customFormat="1" ht="12.75" customHeight="1" x14ac:dyDescent="0.2">
      <c r="A69" s="920"/>
      <c r="B69" s="921" t="s">
        <v>1897</v>
      </c>
      <c r="C69" s="921"/>
      <c r="D69" s="921" t="s">
        <v>1511</v>
      </c>
      <c r="E69" s="921" t="s">
        <v>2302</v>
      </c>
      <c r="F69" s="921"/>
      <c r="G69" s="921"/>
      <c r="H69" s="696" t="s">
        <v>3741</v>
      </c>
      <c r="I69" s="921"/>
      <c r="J69" s="921"/>
      <c r="K69" s="921"/>
      <c r="L69" s="921"/>
      <c r="M69" s="921"/>
      <c r="O69" s="921"/>
      <c r="Q69" s="921" t="s">
        <v>2173</v>
      </c>
      <c r="R69" s="921"/>
      <c r="S69" s="921"/>
      <c r="T69" s="921"/>
      <c r="U69" s="923">
        <f>276+2/3</f>
        <v>276.66666666666669</v>
      </c>
      <c r="V69" s="923">
        <f>U69+3+1/3+(13+1/3)/15</f>
        <v>280.88888888888891</v>
      </c>
      <c r="W69" s="921" t="s">
        <v>2334</v>
      </c>
      <c r="X69" s="924" t="s">
        <v>2335</v>
      </c>
      <c r="Y69" s="921" t="s">
        <v>2105</v>
      </c>
      <c r="Z69" s="921"/>
      <c r="AA69" s="925"/>
      <c r="AE69" s="926"/>
      <c r="AI69" s="927"/>
      <c r="AK69" s="1268"/>
      <c r="AN69" s="922" t="s">
        <v>973</v>
      </c>
      <c r="AO69" s="922" t="s">
        <v>1645</v>
      </c>
      <c r="AQ69" s="694">
        <v>0</v>
      </c>
      <c r="AR69" s="694"/>
      <c r="AS69" s="694"/>
      <c r="AT69" s="694"/>
      <c r="AU69" s="694"/>
      <c r="AV69" s="694"/>
      <c r="AW69" s="694" t="s">
        <v>3733</v>
      </c>
      <c r="AX69" s="1003"/>
      <c r="AY69" s="1003"/>
      <c r="AZ69" s="1003"/>
      <c r="BA69" s="1003"/>
      <c r="BB69" s="1003"/>
      <c r="BC69" s="1404"/>
    </row>
    <row r="70" spans="1:55" ht="15.75" thickBot="1" x14ac:dyDescent="0.25">
      <c r="A70" s="693">
        <v>22</v>
      </c>
      <c r="B70" s="694" t="s">
        <v>2301</v>
      </c>
      <c r="C70" s="694" t="s">
        <v>3826</v>
      </c>
      <c r="D70" s="694" t="s">
        <v>1512</v>
      </c>
      <c r="E70" s="694" t="s">
        <v>2302</v>
      </c>
      <c r="F70" s="701" t="s">
        <v>2107</v>
      </c>
      <c r="G70" s="702" t="s">
        <v>2193</v>
      </c>
      <c r="H70" s="700" t="s">
        <v>3742</v>
      </c>
      <c r="I70" s="702" t="s">
        <v>2169</v>
      </c>
      <c r="J70" s="694" t="s">
        <v>2109</v>
      </c>
      <c r="K70" s="694" t="s">
        <v>2038</v>
      </c>
      <c r="L70" s="694" t="s">
        <v>1785</v>
      </c>
      <c r="M70" s="694" t="s">
        <v>2303</v>
      </c>
      <c r="N70" s="333" t="s">
        <v>2303</v>
      </c>
      <c r="O70" s="694" t="s">
        <v>2195</v>
      </c>
      <c r="P70" s="694" t="s">
        <v>2289</v>
      </c>
      <c r="Q70" s="694" t="s">
        <v>2304</v>
      </c>
      <c r="R70" s="694" t="s">
        <v>2174</v>
      </c>
      <c r="S70" s="694" t="s">
        <v>2098</v>
      </c>
      <c r="T70" s="694" t="s">
        <v>2175</v>
      </c>
      <c r="U70" s="769">
        <f>U68+StarDeg</f>
        <v>280.00000000000006</v>
      </c>
      <c r="V70" s="769">
        <f>V68+StarDeg</f>
        <v>293.33333333333337</v>
      </c>
      <c r="W70" s="698" t="s">
        <v>2305</v>
      </c>
      <c r="X70" s="1005" t="s">
        <v>2306</v>
      </c>
      <c r="Y70" s="744" t="s">
        <v>2121</v>
      </c>
      <c r="Z70" s="694" t="s">
        <v>2164</v>
      </c>
      <c r="AA70" s="631" t="s">
        <v>2100</v>
      </c>
      <c r="AB70" s="333" t="s">
        <v>2118</v>
      </c>
      <c r="AC70" s="333" t="s">
        <v>2596</v>
      </c>
      <c r="AD70" s="333" t="s">
        <v>2596</v>
      </c>
      <c r="AE70" s="694" t="str">
        <f t="shared" ref="AE70:AE75" si="7">INDEX(PanchangaYoga,MOD(26+A70-7,27)+1,2)</f>
        <v>Vajra</v>
      </c>
      <c r="AF70" s="333" t="s">
        <v>1972</v>
      </c>
      <c r="AG70" t="s">
        <v>2960</v>
      </c>
      <c r="AH70" s="770">
        <v>1.1574074074074073E-3</v>
      </c>
      <c r="AI70" s="770">
        <f t="shared" si="4"/>
        <v>0.41666666666666663</v>
      </c>
      <c r="AJ70" s="772" t="s">
        <v>3045</v>
      </c>
      <c r="AK70" s="607" t="s">
        <v>961</v>
      </c>
      <c r="AL70" s="333" t="s">
        <v>959</v>
      </c>
      <c r="AM70" s="333" t="s">
        <v>971</v>
      </c>
      <c r="AN70" s="333" t="s">
        <v>974</v>
      </c>
      <c r="AO70" s="333" t="s">
        <v>1645</v>
      </c>
      <c r="AP70" s="333" t="s">
        <v>3464</v>
      </c>
      <c r="AQ70" s="694">
        <v>10</v>
      </c>
      <c r="AR70" s="694">
        <v>34</v>
      </c>
      <c r="AS70" s="694">
        <v>46</v>
      </c>
      <c r="AT70" s="694">
        <v>1</v>
      </c>
      <c r="AU70" s="694">
        <v>8</v>
      </c>
      <c r="AV70" s="694" t="s">
        <v>3489</v>
      </c>
      <c r="AW70" s="694" t="s">
        <v>3734</v>
      </c>
      <c r="AX70" s="1003" t="s">
        <v>3786</v>
      </c>
      <c r="AY70" s="1003" t="s">
        <v>3800</v>
      </c>
      <c r="AZ70" s="1003" t="s">
        <v>3779</v>
      </c>
      <c r="BA70" s="1003" t="s">
        <v>3797</v>
      </c>
      <c r="BB70" s="1003" t="s">
        <v>3856</v>
      </c>
      <c r="BC70" s="1404" t="s">
        <v>4681</v>
      </c>
    </row>
    <row r="71" spans="1:55" ht="15.75" thickBot="1" x14ac:dyDescent="0.25">
      <c r="A71" s="693">
        <v>23</v>
      </c>
      <c r="B71" s="694" t="s">
        <v>2307</v>
      </c>
      <c r="C71" s="694" t="s">
        <v>3827</v>
      </c>
      <c r="D71" s="694" t="s">
        <v>1513</v>
      </c>
      <c r="E71" s="694" t="s">
        <v>2308</v>
      </c>
      <c r="F71" s="695" t="s">
        <v>2135</v>
      </c>
      <c r="G71" s="696" t="s">
        <v>1986</v>
      </c>
      <c r="H71" s="700" t="s">
        <v>3739</v>
      </c>
      <c r="I71" s="696" t="s">
        <v>2169</v>
      </c>
      <c r="J71" s="694" t="s">
        <v>2037</v>
      </c>
      <c r="K71" s="694" t="s">
        <v>2136</v>
      </c>
      <c r="L71" s="694" t="s">
        <v>2039</v>
      </c>
      <c r="M71" s="694" t="s">
        <v>2309</v>
      </c>
      <c r="N71" s="333" t="s">
        <v>2981</v>
      </c>
      <c r="O71" s="694" t="s">
        <v>2195</v>
      </c>
      <c r="P71" s="694" t="s">
        <v>2310</v>
      </c>
      <c r="Q71" s="694" t="s">
        <v>2311</v>
      </c>
      <c r="R71" s="1007" t="s">
        <v>2186</v>
      </c>
      <c r="S71" s="694" t="s">
        <v>2116</v>
      </c>
      <c r="T71" s="694" t="s">
        <v>2187</v>
      </c>
      <c r="U71" s="769">
        <f t="shared" si="5"/>
        <v>293.33333333333337</v>
      </c>
      <c r="V71" s="769">
        <f t="shared" si="6"/>
        <v>306.66666666666669</v>
      </c>
      <c r="W71" s="698" t="s">
        <v>2312</v>
      </c>
      <c r="X71" s="1005" t="s">
        <v>2313</v>
      </c>
      <c r="Y71" s="744" t="s">
        <v>2167</v>
      </c>
      <c r="Z71" s="694" t="s">
        <v>2118</v>
      </c>
      <c r="AA71" s="631" t="s">
        <v>2118</v>
      </c>
      <c r="AB71" s="333" t="s">
        <v>2100</v>
      </c>
      <c r="AC71" s="333" t="s">
        <v>2100</v>
      </c>
      <c r="AD71" s="333" t="s">
        <v>2118</v>
      </c>
      <c r="AE71" s="694" t="str">
        <f t="shared" si="7"/>
        <v>Siddhi</v>
      </c>
      <c r="AF71" s="333" t="s">
        <v>1972</v>
      </c>
      <c r="AG71" t="s">
        <v>2961</v>
      </c>
      <c r="AH71" s="770">
        <v>8.1018518518518516E-4</v>
      </c>
      <c r="AI71" s="770">
        <f t="shared" si="4"/>
        <v>0.29166666666666669</v>
      </c>
      <c r="AJ71" s="772" t="s">
        <v>3046</v>
      </c>
      <c r="AK71" s="607" t="s">
        <v>962</v>
      </c>
      <c r="AL71" s="333" t="s">
        <v>4362</v>
      </c>
      <c r="AM71" s="333" t="s">
        <v>971</v>
      </c>
      <c r="AN71" s="333" t="s">
        <v>975</v>
      </c>
      <c r="AO71" s="333" t="s">
        <v>1648</v>
      </c>
      <c r="AP71" s="333" t="s">
        <v>3465</v>
      </c>
      <c r="AQ71" s="694">
        <v>10</v>
      </c>
      <c r="AR71" s="694">
        <v>34</v>
      </c>
      <c r="AS71" s="694">
        <v>48</v>
      </c>
      <c r="AT71" s="694">
        <v>52</v>
      </c>
      <c r="AU71" s="694">
        <v>60</v>
      </c>
      <c r="AV71" s="694" t="s">
        <v>3489</v>
      </c>
      <c r="AW71" s="694" t="s">
        <v>3735</v>
      </c>
      <c r="AX71" s="1003" t="s">
        <v>3774</v>
      </c>
      <c r="AY71" s="1003" t="s">
        <v>3801</v>
      </c>
      <c r="AZ71" s="1003" t="s">
        <v>3763</v>
      </c>
      <c r="BA71" s="1003" t="s">
        <v>3811</v>
      </c>
      <c r="BB71" s="1003" t="s">
        <v>3857</v>
      </c>
      <c r="BC71" s="1404" t="s">
        <v>4682</v>
      </c>
    </row>
    <row r="72" spans="1:55" ht="15.75" thickBot="1" x14ac:dyDescent="0.25">
      <c r="A72" s="693">
        <v>24</v>
      </c>
      <c r="B72" s="694" t="s">
        <v>2314</v>
      </c>
      <c r="C72" s="694" t="s">
        <v>2315</v>
      </c>
      <c r="D72" s="694" t="s">
        <v>1514</v>
      </c>
      <c r="E72" s="694" t="s">
        <v>2316</v>
      </c>
      <c r="F72" s="699" t="s">
        <v>2135</v>
      </c>
      <c r="G72" s="700" t="s">
        <v>2107</v>
      </c>
      <c r="H72" s="702" t="s">
        <v>3740</v>
      </c>
      <c r="I72" s="700" t="s">
        <v>2169</v>
      </c>
      <c r="J72" s="694" t="s">
        <v>2037</v>
      </c>
      <c r="K72" s="694" t="s">
        <v>2136</v>
      </c>
      <c r="L72" s="694" t="s">
        <v>2039</v>
      </c>
      <c r="M72" s="694" t="s">
        <v>2212</v>
      </c>
      <c r="N72" s="333" t="s">
        <v>2982</v>
      </c>
      <c r="O72" s="694" t="s">
        <v>2184</v>
      </c>
      <c r="P72" s="694" t="s">
        <v>2095</v>
      </c>
      <c r="Q72" s="694" t="s">
        <v>2317</v>
      </c>
      <c r="R72" s="694" t="s">
        <v>2174</v>
      </c>
      <c r="S72" s="694" t="s">
        <v>2142</v>
      </c>
      <c r="T72" s="694" t="s">
        <v>2198</v>
      </c>
      <c r="U72" s="769">
        <f t="shared" si="5"/>
        <v>306.66666666666669</v>
      </c>
      <c r="V72" s="769">
        <f t="shared" si="6"/>
        <v>320</v>
      </c>
      <c r="W72" s="698" t="s">
        <v>2318</v>
      </c>
      <c r="X72" s="1005" t="s">
        <v>2319</v>
      </c>
      <c r="Y72" s="744" t="s">
        <v>2179</v>
      </c>
      <c r="Z72" s="694" t="s">
        <v>2100</v>
      </c>
      <c r="AA72" s="631" t="s">
        <v>2596</v>
      </c>
      <c r="AB72" s="333" t="s">
        <v>2596</v>
      </c>
      <c r="AC72" s="333" t="s">
        <v>2118</v>
      </c>
      <c r="AD72" s="333" t="s">
        <v>2100</v>
      </c>
      <c r="AE72" s="694" t="str">
        <f t="shared" si="7"/>
        <v>Vyatīpāta</v>
      </c>
      <c r="AF72" s="333" t="s">
        <v>1972</v>
      </c>
      <c r="AG72" t="s">
        <v>2962</v>
      </c>
      <c r="AH72" s="770">
        <v>2.0833333333333333E-3</v>
      </c>
      <c r="AI72" s="770">
        <f t="shared" si="4"/>
        <v>0.75</v>
      </c>
      <c r="AJ72" s="772" t="s">
        <v>3440</v>
      </c>
      <c r="AK72" s="607" t="s">
        <v>962</v>
      </c>
      <c r="AL72" s="333" t="s">
        <v>4362</v>
      </c>
      <c r="AM72" s="333" t="s">
        <v>971</v>
      </c>
      <c r="AN72" s="333" t="s">
        <v>1779</v>
      </c>
      <c r="AO72" s="333" t="s">
        <v>1648</v>
      </c>
      <c r="AP72" s="333" t="s">
        <v>3466</v>
      </c>
      <c r="AQ72" s="694">
        <v>18</v>
      </c>
      <c r="AR72" s="694">
        <v>42</v>
      </c>
      <c r="AS72" s="694">
        <v>50</v>
      </c>
      <c r="AT72" s="694">
        <v>20</v>
      </c>
      <c r="AU72" s="694">
        <v>30</v>
      </c>
      <c r="AV72" s="694" t="s">
        <v>3489</v>
      </c>
      <c r="AW72" s="694" t="s">
        <v>3736</v>
      </c>
      <c r="AX72" s="1003" t="s">
        <v>3787</v>
      </c>
      <c r="AY72" s="1003" t="s">
        <v>3802</v>
      </c>
      <c r="AZ72" s="1003" t="s">
        <v>3770</v>
      </c>
      <c r="BA72" s="1003" t="s">
        <v>3791</v>
      </c>
      <c r="BB72" s="1003" t="s">
        <v>3858</v>
      </c>
      <c r="BC72" s="1404" t="s">
        <v>4683</v>
      </c>
    </row>
    <row r="73" spans="1:55" ht="15.75" thickBot="1" x14ac:dyDescent="0.25">
      <c r="A73" s="693">
        <v>25</v>
      </c>
      <c r="B73" s="694" t="s">
        <v>2320</v>
      </c>
      <c r="C73" s="694" t="s">
        <v>3828</v>
      </c>
      <c r="D73" s="694" t="s">
        <v>1515</v>
      </c>
      <c r="E73" s="694" t="s">
        <v>2321</v>
      </c>
      <c r="F73" s="699" t="s">
        <v>2135</v>
      </c>
      <c r="G73" s="700" t="s">
        <v>2135</v>
      </c>
      <c r="H73" s="696" t="s">
        <v>3741</v>
      </c>
      <c r="I73" s="700" t="s">
        <v>2108</v>
      </c>
      <c r="J73" s="694" t="s">
        <v>2204</v>
      </c>
      <c r="K73" s="694" t="s">
        <v>2110</v>
      </c>
      <c r="L73" s="694" t="s">
        <v>1785</v>
      </c>
      <c r="M73" s="694" t="s">
        <v>2322</v>
      </c>
      <c r="N73" s="333" t="s">
        <v>2983</v>
      </c>
      <c r="O73" s="694" t="s">
        <v>2218</v>
      </c>
      <c r="P73" s="694" t="s">
        <v>2310</v>
      </c>
      <c r="Q73" s="694" t="s">
        <v>3682</v>
      </c>
      <c r="R73" s="694" t="s">
        <v>2141</v>
      </c>
      <c r="S73" s="694" t="s">
        <v>2098</v>
      </c>
      <c r="T73" s="694" t="s">
        <v>2099</v>
      </c>
      <c r="U73" s="769">
        <f t="shared" si="5"/>
        <v>320</v>
      </c>
      <c r="V73" s="769">
        <f t="shared" si="6"/>
        <v>333.33333333333331</v>
      </c>
      <c r="W73" s="698" t="s">
        <v>2323</v>
      </c>
      <c r="X73" s="1005" t="s">
        <v>2324</v>
      </c>
      <c r="Y73" s="744" t="s">
        <v>2191</v>
      </c>
      <c r="Z73" s="694" t="s">
        <v>2100</v>
      </c>
      <c r="AA73" s="631" t="s">
        <v>2100</v>
      </c>
      <c r="AB73" s="333" t="s">
        <v>2118</v>
      </c>
      <c r="AC73" s="333" t="s">
        <v>2596</v>
      </c>
      <c r="AD73" s="333" t="s">
        <v>2596</v>
      </c>
      <c r="AE73" s="694" t="str">
        <f t="shared" si="7"/>
        <v>Varigha/Variiyas</v>
      </c>
      <c r="AF73" s="333" t="s">
        <v>1972</v>
      </c>
      <c r="AG73" t="s">
        <v>2963</v>
      </c>
      <c r="AH73" s="770">
        <v>1.8518518518518517E-3</v>
      </c>
      <c r="AI73" s="770">
        <f t="shared" si="4"/>
        <v>0.66666666666666663</v>
      </c>
      <c r="AJ73" s="772" t="s">
        <v>3047</v>
      </c>
      <c r="AK73" s="607" t="s">
        <v>962</v>
      </c>
      <c r="AL73" s="333" t="s">
        <v>4362</v>
      </c>
      <c r="AM73" s="333" t="s">
        <v>966</v>
      </c>
      <c r="AN73" s="333" t="s">
        <v>973</v>
      </c>
      <c r="AO73" s="333" t="s">
        <v>1648</v>
      </c>
      <c r="AP73" s="333" t="s">
        <v>3467</v>
      </c>
      <c r="AQ73" s="694">
        <v>16</v>
      </c>
      <c r="AR73" s="694">
        <v>40</v>
      </c>
      <c r="AS73" s="694">
        <v>52</v>
      </c>
      <c r="AT73" s="694">
        <v>1</v>
      </c>
      <c r="AU73" s="694">
        <v>8</v>
      </c>
      <c r="AV73" s="694" t="s">
        <v>3488</v>
      </c>
      <c r="AW73" s="694" t="s">
        <v>3830</v>
      </c>
      <c r="AX73" s="1003" t="s">
        <v>3788</v>
      </c>
      <c r="AY73" s="1003" t="s">
        <v>3749</v>
      </c>
      <c r="AZ73" s="1003" t="s">
        <v>3806</v>
      </c>
      <c r="BA73" s="1003" t="s">
        <v>3766</v>
      </c>
      <c r="BB73" s="1003" t="s">
        <v>3859</v>
      </c>
      <c r="BC73" s="1404" t="s">
        <v>4684</v>
      </c>
    </row>
    <row r="74" spans="1:55" ht="15.75" thickBot="1" x14ac:dyDescent="0.25">
      <c r="A74" s="693">
        <v>26</v>
      </c>
      <c r="B74" s="694" t="s">
        <v>2325</v>
      </c>
      <c r="C74" s="694" t="s">
        <v>3829</v>
      </c>
      <c r="D74" s="694" t="s">
        <v>1641</v>
      </c>
      <c r="E74" s="694" t="s">
        <v>2326</v>
      </c>
      <c r="F74" s="699" t="s">
        <v>2135</v>
      </c>
      <c r="G74" s="700" t="s">
        <v>2035</v>
      </c>
      <c r="H74" s="700" t="s">
        <v>3742</v>
      </c>
      <c r="I74" s="700" t="s">
        <v>2169</v>
      </c>
      <c r="J74" s="694" t="s">
        <v>2037</v>
      </c>
      <c r="K74" s="694" t="s">
        <v>2110</v>
      </c>
      <c r="L74" s="694" t="s">
        <v>2137</v>
      </c>
      <c r="M74" s="694" t="s">
        <v>2236</v>
      </c>
      <c r="N74" s="333" t="s">
        <v>2984</v>
      </c>
      <c r="O74" s="694" t="s">
        <v>2112</v>
      </c>
      <c r="P74" s="694" t="s">
        <v>2237</v>
      </c>
      <c r="Q74" s="694" t="s">
        <v>2327</v>
      </c>
      <c r="R74" s="694" t="s">
        <v>2115</v>
      </c>
      <c r="S74" s="694" t="s">
        <v>2116</v>
      </c>
      <c r="T74" s="694" t="s">
        <v>2117</v>
      </c>
      <c r="U74" s="769">
        <f t="shared" si="5"/>
        <v>333.33333333333331</v>
      </c>
      <c r="V74" s="769">
        <f t="shared" si="6"/>
        <v>346.66666666666663</v>
      </c>
      <c r="W74" s="698" t="s">
        <v>2328</v>
      </c>
      <c r="X74" s="1005" t="s">
        <v>2329</v>
      </c>
      <c r="Y74" s="744" t="s">
        <v>2201</v>
      </c>
      <c r="Z74" s="694" t="s">
        <v>2118</v>
      </c>
      <c r="AA74" s="631" t="s">
        <v>2118</v>
      </c>
      <c r="AB74" s="333" t="s">
        <v>2100</v>
      </c>
      <c r="AC74" s="333" t="s">
        <v>2100</v>
      </c>
      <c r="AD74" s="333" t="s">
        <v>2118</v>
      </c>
      <c r="AE74" s="694" t="str">
        <f t="shared" si="7"/>
        <v>Parigha</v>
      </c>
      <c r="AF74" s="333" t="s">
        <v>1972</v>
      </c>
      <c r="AG74" t="s">
        <v>2964</v>
      </c>
      <c r="AH74" s="770">
        <v>2.1990740740740742E-3</v>
      </c>
      <c r="AI74" s="770">
        <f t="shared" si="4"/>
        <v>0.79166666666666674</v>
      </c>
      <c r="AJ74" s="772" t="s">
        <v>3048</v>
      </c>
      <c r="AK74" s="607" t="s">
        <v>962</v>
      </c>
      <c r="AL74" s="333" t="s">
        <v>4362</v>
      </c>
      <c r="AM74" s="333" t="s">
        <v>968</v>
      </c>
      <c r="AN74" s="333" t="s">
        <v>974</v>
      </c>
      <c r="AO74" s="333" t="s">
        <v>1648</v>
      </c>
      <c r="AP74" s="333" t="s">
        <v>3468</v>
      </c>
      <c r="AQ74" s="694">
        <v>23.999999999999996</v>
      </c>
      <c r="AR74" s="694">
        <v>48</v>
      </c>
      <c r="AS74" s="694">
        <v>52</v>
      </c>
      <c r="AT74" s="694">
        <v>52</v>
      </c>
      <c r="AU74" s="694">
        <v>60</v>
      </c>
      <c r="AV74" s="694" t="s">
        <v>3488</v>
      </c>
      <c r="AW74" s="1003"/>
      <c r="AX74" s="1003" t="s">
        <v>3765</v>
      </c>
      <c r="AY74" s="1003" t="s">
        <v>3749</v>
      </c>
      <c r="AZ74" s="1003" t="s">
        <v>3791</v>
      </c>
      <c r="BA74" s="1003" t="s">
        <v>3770</v>
      </c>
      <c r="BB74" s="1003" t="s">
        <v>3860</v>
      </c>
      <c r="BC74" s="1404" t="s">
        <v>4685</v>
      </c>
    </row>
    <row r="75" spans="1:55" ht="15" x14ac:dyDescent="0.2">
      <c r="A75" s="693">
        <v>27</v>
      </c>
      <c r="B75" s="694" t="s">
        <v>1532</v>
      </c>
      <c r="C75" s="694"/>
      <c r="D75" s="694" t="s">
        <v>2217</v>
      </c>
      <c r="E75" s="694" t="s">
        <v>2326</v>
      </c>
      <c r="F75" s="701" t="s">
        <v>2135</v>
      </c>
      <c r="G75" s="1219" t="s">
        <v>2182</v>
      </c>
      <c r="H75" s="700" t="s">
        <v>3739</v>
      </c>
      <c r="I75" s="702" t="s">
        <v>2036</v>
      </c>
      <c r="J75" s="694" t="s">
        <v>2204</v>
      </c>
      <c r="K75" s="694" t="s">
        <v>2038</v>
      </c>
      <c r="L75" s="694" t="s">
        <v>2170</v>
      </c>
      <c r="M75" s="694" t="s">
        <v>2330</v>
      </c>
      <c r="N75" s="333" t="s">
        <v>2330</v>
      </c>
      <c r="O75" s="694" t="s">
        <v>2112</v>
      </c>
      <c r="P75" s="694" t="s">
        <v>2113</v>
      </c>
      <c r="Q75" s="694" t="s">
        <v>2331</v>
      </c>
      <c r="R75" s="694" t="s">
        <v>2097</v>
      </c>
      <c r="S75" s="694" t="s">
        <v>2142</v>
      </c>
      <c r="T75" s="694" t="s">
        <v>2163</v>
      </c>
      <c r="U75" s="769">
        <f t="shared" si="5"/>
        <v>346.66666666666663</v>
      </c>
      <c r="V75" s="694">
        <f t="shared" si="6"/>
        <v>359.99999999999994</v>
      </c>
      <c r="W75" s="698" t="s">
        <v>2332</v>
      </c>
      <c r="X75" s="1005" t="s">
        <v>2333</v>
      </c>
      <c r="Y75" s="744" t="s">
        <v>2210</v>
      </c>
      <c r="Z75" s="694" t="s">
        <v>2164</v>
      </c>
      <c r="AA75" s="631" t="s">
        <v>2596</v>
      </c>
      <c r="AB75" s="333" t="s">
        <v>2596</v>
      </c>
      <c r="AC75" s="333" t="s">
        <v>2118</v>
      </c>
      <c r="AD75" s="333" t="s">
        <v>2100</v>
      </c>
      <c r="AE75" s="694" t="str">
        <f t="shared" si="7"/>
        <v>Shiva</v>
      </c>
      <c r="AF75" s="333" t="s">
        <v>1972</v>
      </c>
      <c r="AG75" t="s">
        <v>2965</v>
      </c>
      <c r="AH75" s="770">
        <v>1.9675925925925928E-3</v>
      </c>
      <c r="AI75" s="770">
        <f t="shared" si="4"/>
        <v>0.70833333333333337</v>
      </c>
      <c r="AJ75" s="773" t="s">
        <v>3049</v>
      </c>
      <c r="AK75" s="607" t="s">
        <v>962</v>
      </c>
      <c r="AL75" s="333" t="s">
        <v>4362</v>
      </c>
      <c r="AM75" s="333" t="s">
        <v>969</v>
      </c>
      <c r="AN75" s="333" t="s">
        <v>975</v>
      </c>
      <c r="AO75" s="333" t="s">
        <v>1644</v>
      </c>
      <c r="AP75" s="333" t="s">
        <v>3469</v>
      </c>
      <c r="AQ75" s="694">
        <v>30</v>
      </c>
      <c r="AR75" s="694">
        <v>54</v>
      </c>
      <c r="AS75" s="694">
        <v>54</v>
      </c>
      <c r="AT75" s="694">
        <v>20</v>
      </c>
      <c r="AU75" s="694">
        <v>30</v>
      </c>
      <c r="AV75" s="694" t="s">
        <v>3488</v>
      </c>
      <c r="AW75" s="694" t="s">
        <v>3737</v>
      </c>
      <c r="AX75" s="1003" t="s">
        <v>3789</v>
      </c>
      <c r="AY75" s="1003" t="s">
        <v>3749</v>
      </c>
      <c r="AZ75" s="1003" t="s">
        <v>3807</v>
      </c>
      <c r="BA75" s="1003" t="s">
        <v>3812</v>
      </c>
      <c r="BB75" s="1003" t="s">
        <v>3861</v>
      </c>
      <c r="BC75" s="1404" t="s">
        <v>4686</v>
      </c>
    </row>
    <row r="76" spans="1:55" ht="13.5" x14ac:dyDescent="0.2">
      <c r="O76" s="331"/>
      <c r="X76" s="1006"/>
      <c r="Y76" s="631"/>
      <c r="Z76" s="333"/>
      <c r="AH76" s="770">
        <f>SUM(AH48:AH75)</f>
        <v>4.1666666666666664E-2</v>
      </c>
      <c r="AI76" s="770">
        <f>SUM(AI48:AI75)</f>
        <v>14.999999999999998</v>
      </c>
      <c r="AK76" s="607"/>
      <c r="AQ76" s="694"/>
      <c r="AV76" s="694"/>
      <c r="AW76" s="1003"/>
      <c r="AX76" s="1003"/>
      <c r="AY76" s="1003"/>
      <c r="AZ76" s="1003"/>
      <c r="BA76" s="1003"/>
      <c r="BB76" s="1003"/>
      <c r="BC76" s="1404"/>
    </row>
    <row r="77" spans="1:55" ht="14.25" x14ac:dyDescent="0.2">
      <c r="A77" s="913"/>
      <c r="B77" s="914"/>
      <c r="C77" s="914"/>
      <c r="D77" s="914"/>
      <c r="E77" s="914"/>
      <c r="F77" s="914"/>
      <c r="G77" s="914"/>
      <c r="H77" s="914"/>
      <c r="I77" s="914"/>
      <c r="J77" s="914"/>
      <c r="K77" s="914"/>
      <c r="L77" s="914"/>
      <c r="M77" s="914"/>
      <c r="O77" s="914"/>
      <c r="P77" s="914"/>
      <c r="Q77" s="914"/>
      <c r="R77" s="914"/>
      <c r="S77" s="914"/>
      <c r="T77" s="914"/>
      <c r="U77" s="914"/>
      <c r="V77" s="914"/>
      <c r="X77" s="914"/>
      <c r="Y77" s="915"/>
      <c r="Z77" s="694"/>
      <c r="AE77" s="694"/>
      <c r="AL77" s="912"/>
      <c r="AM77" s="770"/>
      <c r="AO77" s="916"/>
      <c r="AP77" s="916"/>
      <c r="AQ77" s="917"/>
      <c r="AR77" s="917"/>
      <c r="AS77" s="917"/>
    </row>
    <row r="78" spans="1:55" x14ac:dyDescent="0.2">
      <c r="J78" s="331" t="s">
        <v>2336</v>
      </c>
      <c r="AK78" s="911"/>
      <c r="AL78" s="911"/>
      <c r="AM78" s="911"/>
    </row>
    <row r="79" spans="1:55" ht="31.5" x14ac:dyDescent="0.15">
      <c r="A79" s="705" t="s">
        <v>3501</v>
      </c>
      <c r="B79" s="347" t="s">
        <v>1158</v>
      </c>
      <c r="C79" s="347" t="s">
        <v>3472</v>
      </c>
      <c r="D79" s="347" t="s">
        <v>2338</v>
      </c>
      <c r="E79" s="998" t="s">
        <v>3704</v>
      </c>
      <c r="F79" s="331" t="s">
        <v>2339</v>
      </c>
      <c r="G79" s="332" t="s">
        <v>4296</v>
      </c>
      <c r="H79" s="332" t="s">
        <v>3493</v>
      </c>
      <c r="I79" s="749" t="s">
        <v>4010</v>
      </c>
      <c r="J79" s="749" t="s">
        <v>2905</v>
      </c>
      <c r="K79" s="749" t="s">
        <v>3211</v>
      </c>
      <c r="L79" s="891" t="s">
        <v>3348</v>
      </c>
      <c r="M79" s="909" t="s">
        <v>3435</v>
      </c>
      <c r="N79" s="1213" t="s">
        <v>4259</v>
      </c>
      <c r="O79" s="1213" t="s">
        <v>4260</v>
      </c>
      <c r="P79" s="1212" t="s">
        <v>4257</v>
      </c>
      <c r="Q79" s="1212" t="s">
        <v>4258</v>
      </c>
      <c r="R79" s="1253" t="s">
        <v>4335</v>
      </c>
      <c r="S79" s="331"/>
      <c r="T79" s="331"/>
      <c r="Z79" s="333"/>
      <c r="AA79" s="333"/>
      <c r="AG79" s="631"/>
      <c r="AH79" s="631"/>
    </row>
    <row r="80" spans="1:55" ht="15.75" customHeight="1" x14ac:dyDescent="0.15">
      <c r="A80" s="705">
        <v>0</v>
      </c>
      <c r="B80" s="347" t="s">
        <v>2340</v>
      </c>
      <c r="C80" s="347" t="s">
        <v>1514</v>
      </c>
      <c r="D80" s="348"/>
      <c r="E80" s="369"/>
      <c r="F80" s="331" t="s">
        <v>3500</v>
      </c>
      <c r="G80" s="332" t="s">
        <v>2358</v>
      </c>
      <c r="H80" s="332" t="s">
        <v>3495</v>
      </c>
      <c r="I80" s="331" t="s">
        <v>2904</v>
      </c>
      <c r="J80" s="331" t="s">
        <v>3225</v>
      </c>
      <c r="K80" s="738" t="s">
        <v>3215</v>
      </c>
      <c r="L80" s="332"/>
      <c r="M80" s="910"/>
      <c r="N80" s="332" t="s">
        <v>4269</v>
      </c>
      <c r="O80" s="332" t="s">
        <v>2895</v>
      </c>
      <c r="P80" s="1211"/>
      <c r="Q80" s="1211"/>
      <c r="R80" s="1252" t="s">
        <v>4336</v>
      </c>
      <c r="S80" s="331"/>
      <c r="T80" s="331"/>
      <c r="Z80" s="333"/>
      <c r="AA80" s="333"/>
      <c r="AG80" s="631"/>
      <c r="AH80" s="631"/>
    </row>
    <row r="81" spans="1:34" ht="15.75" customHeight="1" x14ac:dyDescent="0.15">
      <c r="A81" s="705">
        <v>1</v>
      </c>
      <c r="B81" s="347" t="s">
        <v>2341</v>
      </c>
      <c r="C81" s="347" t="s">
        <v>1511</v>
      </c>
      <c r="D81" s="349" t="s">
        <v>2342</v>
      </c>
      <c r="E81" s="999" t="s">
        <v>3705</v>
      </c>
      <c r="F81" s="331" t="s">
        <v>3502</v>
      </c>
      <c r="G81" s="332" t="s">
        <v>2344</v>
      </c>
      <c r="H81" s="332" t="s">
        <v>3490</v>
      </c>
      <c r="I81" s="331" t="s">
        <v>1986</v>
      </c>
      <c r="J81" s="331" t="s">
        <v>2906</v>
      </c>
      <c r="K81" s="738" t="s">
        <v>3212</v>
      </c>
      <c r="L81" s="332" t="s">
        <v>3349</v>
      </c>
      <c r="M81" s="910"/>
      <c r="N81" s="332" t="s">
        <v>4270</v>
      </c>
      <c r="O81" s="332" t="s">
        <v>4261</v>
      </c>
      <c r="P81" s="1211" t="s">
        <v>4262</v>
      </c>
      <c r="Q81" s="1211" t="s">
        <v>4263</v>
      </c>
      <c r="R81" s="1252" t="s">
        <v>4337</v>
      </c>
      <c r="S81" s="331"/>
      <c r="T81" s="331"/>
      <c r="Z81" s="333"/>
      <c r="AA81" s="333"/>
      <c r="AG81" s="631"/>
      <c r="AH81" s="631"/>
    </row>
    <row r="82" spans="1:34" ht="15.75" customHeight="1" x14ac:dyDescent="0.15">
      <c r="A82" s="705">
        <v>2</v>
      </c>
      <c r="B82" s="347" t="s">
        <v>2345</v>
      </c>
      <c r="C82" s="347" t="s">
        <v>1512</v>
      </c>
      <c r="D82" s="347" t="s">
        <v>2346</v>
      </c>
      <c r="E82" s="998" t="s">
        <v>1515</v>
      </c>
      <c r="F82" s="331" t="s">
        <v>3503</v>
      </c>
      <c r="G82" s="332" t="s">
        <v>2348</v>
      </c>
      <c r="H82" s="332" t="s">
        <v>3491</v>
      </c>
      <c r="I82" s="331" t="s">
        <v>2893</v>
      </c>
      <c r="J82" s="331" t="s">
        <v>2907</v>
      </c>
      <c r="K82" s="738" t="s">
        <v>3212</v>
      </c>
      <c r="L82" s="332" t="s">
        <v>3350</v>
      </c>
      <c r="M82" s="910"/>
      <c r="N82" s="332" t="s">
        <v>4262</v>
      </c>
      <c r="O82" s="332" t="s">
        <v>4263</v>
      </c>
      <c r="P82" s="1211" t="s">
        <v>4264</v>
      </c>
      <c r="Q82" s="1211" t="s">
        <v>4265</v>
      </c>
      <c r="R82" s="1252" t="s">
        <v>4338</v>
      </c>
      <c r="S82" s="331"/>
      <c r="T82" s="331"/>
      <c r="Z82" s="333"/>
      <c r="AA82" s="333"/>
      <c r="AG82" s="631"/>
      <c r="AH82" s="631"/>
    </row>
    <row r="83" spans="1:34" ht="15.75" customHeight="1" x14ac:dyDescent="0.15">
      <c r="A83" s="705">
        <v>3</v>
      </c>
      <c r="B83" s="347" t="s">
        <v>2349</v>
      </c>
      <c r="C83" s="347" t="s">
        <v>1513</v>
      </c>
      <c r="D83" s="347" t="s">
        <v>2350</v>
      </c>
      <c r="E83" s="998" t="s">
        <v>3706</v>
      </c>
      <c r="F83" s="331" t="s">
        <v>3504</v>
      </c>
      <c r="G83" s="332" t="s">
        <v>2352</v>
      </c>
      <c r="H83" s="332" t="s">
        <v>3492</v>
      </c>
      <c r="I83" s="331" t="s">
        <v>169</v>
      </c>
      <c r="J83" s="331" t="s">
        <v>3216</v>
      </c>
      <c r="K83" s="738" t="s">
        <v>3214</v>
      </c>
      <c r="L83" s="332" t="s">
        <v>3351</v>
      </c>
      <c r="M83" s="910"/>
      <c r="N83" s="332" t="s">
        <v>4264</v>
      </c>
      <c r="O83" s="332" t="s">
        <v>4265</v>
      </c>
      <c r="P83" s="1211" t="s">
        <v>4266</v>
      </c>
      <c r="Q83" s="1211" t="s">
        <v>4267</v>
      </c>
      <c r="R83" s="1252"/>
      <c r="S83" s="331"/>
      <c r="T83" s="331"/>
      <c r="Z83" s="333"/>
      <c r="AA83" s="333"/>
      <c r="AG83" s="631"/>
      <c r="AH83" s="631"/>
    </row>
    <row r="84" spans="1:34" ht="15.75" customHeight="1" x14ac:dyDescent="0.15">
      <c r="A84" s="705">
        <v>4</v>
      </c>
      <c r="B84" s="347" t="s">
        <v>2353</v>
      </c>
      <c r="C84" s="347" t="s">
        <v>1517</v>
      </c>
      <c r="D84" s="347" t="s">
        <v>2354</v>
      </c>
      <c r="E84" s="998" t="s">
        <v>3705</v>
      </c>
      <c r="F84" s="331" t="s">
        <v>3505</v>
      </c>
      <c r="G84" s="332" t="s">
        <v>2355</v>
      </c>
      <c r="H84" s="332" t="s">
        <v>3494</v>
      </c>
      <c r="I84" s="331" t="s">
        <v>2894</v>
      </c>
      <c r="J84" s="331" t="s">
        <v>2908</v>
      </c>
      <c r="K84" s="738" t="s">
        <v>3212</v>
      </c>
      <c r="L84" s="332" t="s">
        <v>3354</v>
      </c>
      <c r="M84" s="910"/>
      <c r="N84" s="332" t="s">
        <v>4266</v>
      </c>
      <c r="O84" s="332" t="s">
        <v>4267</v>
      </c>
      <c r="P84" s="1211" t="s">
        <v>4261</v>
      </c>
      <c r="Q84" s="1211" t="s">
        <v>4262</v>
      </c>
      <c r="R84" s="1252"/>
      <c r="S84" s="331"/>
      <c r="T84" s="331"/>
      <c r="Z84" s="333"/>
      <c r="AA84" s="333"/>
      <c r="AG84" s="631"/>
      <c r="AH84" s="631"/>
    </row>
    <row r="85" spans="1:34" ht="15.75" customHeight="1" x14ac:dyDescent="0.15">
      <c r="A85" s="705">
        <v>5</v>
      </c>
      <c r="B85" s="347" t="s">
        <v>2356</v>
      </c>
      <c r="C85" s="347" t="s">
        <v>1515</v>
      </c>
      <c r="D85" s="347" t="s">
        <v>2357</v>
      </c>
      <c r="E85" s="998" t="s">
        <v>1517</v>
      </c>
      <c r="F85" s="331" t="s">
        <v>3506</v>
      </c>
      <c r="G85" s="332" t="s">
        <v>2358</v>
      </c>
      <c r="H85" s="332" t="s">
        <v>3495</v>
      </c>
      <c r="I85" s="331" t="s">
        <v>2895</v>
      </c>
      <c r="J85" s="331" t="s">
        <v>3217</v>
      </c>
      <c r="K85" s="738" t="s">
        <v>3212</v>
      </c>
      <c r="L85" s="332" t="s">
        <v>3355</v>
      </c>
      <c r="M85" s="910"/>
      <c r="N85" s="332" t="s">
        <v>4261</v>
      </c>
      <c r="O85" s="332" t="s">
        <v>4262</v>
      </c>
      <c r="P85" s="1211" t="s">
        <v>4263</v>
      </c>
      <c r="Q85" s="1211" t="s">
        <v>4264</v>
      </c>
      <c r="R85" s="1252"/>
      <c r="S85" s="331"/>
      <c r="T85" s="331"/>
      <c r="Z85" s="333"/>
      <c r="AA85" s="333"/>
      <c r="AG85" s="631"/>
      <c r="AH85" s="631"/>
    </row>
    <row r="86" spans="1:34" ht="15.75" customHeight="1" x14ac:dyDescent="0.15">
      <c r="A86" s="705">
        <v>6</v>
      </c>
      <c r="B86" s="347" t="s">
        <v>2359</v>
      </c>
      <c r="C86" s="347" t="s">
        <v>1519</v>
      </c>
      <c r="D86" s="347" t="s">
        <v>2360</v>
      </c>
      <c r="E86" s="998" t="s">
        <v>1511</v>
      </c>
      <c r="F86" s="331" t="s">
        <v>3496</v>
      </c>
      <c r="G86" s="332" t="s">
        <v>2344</v>
      </c>
      <c r="H86" s="332" t="s">
        <v>3490</v>
      </c>
      <c r="I86" s="331" t="s">
        <v>2896</v>
      </c>
      <c r="J86" s="331" t="s">
        <v>3218</v>
      </c>
      <c r="K86" s="738" t="s">
        <v>3213</v>
      </c>
      <c r="L86" s="332" t="s">
        <v>3352</v>
      </c>
      <c r="M86" s="910"/>
      <c r="N86" s="332" t="s">
        <v>4263</v>
      </c>
      <c r="O86" s="332" t="s">
        <v>4264</v>
      </c>
      <c r="P86" s="1211" t="s">
        <v>4265</v>
      </c>
      <c r="Q86" s="1211" t="s">
        <v>4266</v>
      </c>
      <c r="R86" s="1252"/>
      <c r="S86" s="331"/>
      <c r="T86" s="331"/>
      <c r="Z86" s="333"/>
      <c r="AA86" s="333"/>
      <c r="AG86" s="631"/>
      <c r="AH86" s="631"/>
    </row>
    <row r="87" spans="1:34" ht="15.75" customHeight="1" x14ac:dyDescent="0.15">
      <c r="A87" s="705">
        <v>7</v>
      </c>
      <c r="B87" s="347" t="s">
        <v>2361</v>
      </c>
      <c r="C87" s="347" t="s">
        <v>1516</v>
      </c>
      <c r="D87" s="347" t="s">
        <v>2362</v>
      </c>
      <c r="E87" s="998" t="s">
        <v>3707</v>
      </c>
      <c r="F87" s="331" t="s">
        <v>3497</v>
      </c>
      <c r="G87" s="332" t="s">
        <v>2348</v>
      </c>
      <c r="H87" s="332" t="s">
        <v>3491</v>
      </c>
      <c r="I87" s="331" t="s">
        <v>2897</v>
      </c>
      <c r="J87" s="331" t="s">
        <v>3219</v>
      </c>
      <c r="K87" s="738" t="s">
        <v>3214</v>
      </c>
      <c r="L87" s="332" t="s">
        <v>3353</v>
      </c>
      <c r="M87" s="910"/>
      <c r="N87" s="332" t="s">
        <v>4265</v>
      </c>
      <c r="O87" s="332" t="s">
        <v>4266</v>
      </c>
      <c r="P87" s="1211" t="s">
        <v>4267</v>
      </c>
      <c r="Q87" s="1211" t="s">
        <v>4261</v>
      </c>
      <c r="R87" s="1252"/>
      <c r="S87" s="331"/>
      <c r="T87" s="331"/>
      <c r="Z87" s="333"/>
      <c r="AA87" s="333"/>
      <c r="AG87" s="631"/>
      <c r="AH87" s="631"/>
    </row>
    <row r="88" spans="1:34" ht="15.75" customHeight="1" x14ac:dyDescent="0.15">
      <c r="A88" s="705">
        <v>8</v>
      </c>
      <c r="B88" s="347" t="s">
        <v>2363</v>
      </c>
      <c r="C88" s="347" t="s">
        <v>1514</v>
      </c>
      <c r="D88" s="347" t="str">
        <f>D85</f>
        <v>Gemini, Virgo</v>
      </c>
      <c r="E88" s="347" t="str">
        <f>E85</f>
        <v>Mercury</v>
      </c>
      <c r="F88" s="331" t="s">
        <v>3498</v>
      </c>
      <c r="G88" s="332" t="s">
        <v>2352</v>
      </c>
      <c r="H88" s="332" t="s">
        <v>3492</v>
      </c>
      <c r="I88" s="331" t="s">
        <v>4295</v>
      </c>
      <c r="J88" s="331" t="s">
        <v>3220</v>
      </c>
      <c r="K88" s="738" t="s">
        <v>3213</v>
      </c>
      <c r="L88" s="332" t="s">
        <v>3356</v>
      </c>
      <c r="M88" s="910"/>
      <c r="N88" s="332" t="s">
        <v>4267</v>
      </c>
      <c r="O88" s="332" t="s">
        <v>4261</v>
      </c>
      <c r="P88" s="1211" t="s">
        <v>4262</v>
      </c>
      <c r="Q88" s="1211" t="s">
        <v>4263</v>
      </c>
      <c r="R88" s="1252"/>
      <c r="S88" s="331"/>
      <c r="T88" s="331"/>
      <c r="Z88" s="333"/>
      <c r="AA88" s="333"/>
      <c r="AG88" s="631"/>
      <c r="AH88" s="631"/>
    </row>
    <row r="89" spans="1:34" ht="15.75" customHeight="1" x14ac:dyDescent="0.15">
      <c r="A89" s="705">
        <v>9</v>
      </c>
      <c r="B89" s="347" t="s">
        <v>2364</v>
      </c>
      <c r="C89" s="347" t="s">
        <v>1511</v>
      </c>
      <c r="D89" s="347" t="s">
        <v>2365</v>
      </c>
      <c r="E89" s="998" t="s">
        <v>3708</v>
      </c>
      <c r="F89" s="331" t="s">
        <v>3499</v>
      </c>
      <c r="G89" s="332" t="s">
        <v>2355</v>
      </c>
      <c r="H89" s="332" t="s">
        <v>3494</v>
      </c>
      <c r="I89" s="331" t="s">
        <v>2899</v>
      </c>
      <c r="J89" s="331" t="s">
        <v>3221</v>
      </c>
      <c r="K89" s="738" t="s">
        <v>3215</v>
      </c>
      <c r="L89" s="332" t="s">
        <v>3357</v>
      </c>
      <c r="M89" s="910"/>
      <c r="N89" s="332" t="s">
        <v>4262</v>
      </c>
      <c r="O89" s="332" t="s">
        <v>4263</v>
      </c>
      <c r="P89" s="1211" t="s">
        <v>4264</v>
      </c>
      <c r="Q89" s="1211" t="s">
        <v>4265</v>
      </c>
      <c r="R89" s="1252"/>
      <c r="S89" s="331"/>
      <c r="T89" s="331"/>
      <c r="Z89" s="333"/>
      <c r="AA89" s="333"/>
      <c r="AG89" s="631"/>
      <c r="AH89" s="631"/>
    </row>
    <row r="90" spans="1:34" ht="15.75" customHeight="1" x14ac:dyDescent="0.15">
      <c r="A90" s="705">
        <v>10</v>
      </c>
      <c r="B90" s="347" t="s">
        <v>2366</v>
      </c>
      <c r="C90" s="347" t="s">
        <v>1512</v>
      </c>
      <c r="D90" s="347" t="str">
        <f>D89</f>
        <v>Leo, Scorpio</v>
      </c>
      <c r="E90" s="998" t="str">
        <f>E89</f>
        <v>Sun,Mars</v>
      </c>
      <c r="F90" s="331" t="s">
        <v>3500</v>
      </c>
      <c r="G90" s="332" t="s">
        <v>2358</v>
      </c>
      <c r="H90" s="332" t="s">
        <v>3495</v>
      </c>
      <c r="I90" s="331" t="s">
        <v>2900</v>
      </c>
      <c r="J90" s="331" t="s">
        <v>2039</v>
      </c>
      <c r="K90" s="738" t="s">
        <v>3213</v>
      </c>
      <c r="L90" s="332" t="s">
        <v>3358</v>
      </c>
      <c r="M90" s="910"/>
      <c r="N90" s="332" t="s">
        <v>4264</v>
      </c>
      <c r="O90" s="332" t="s">
        <v>4265</v>
      </c>
      <c r="P90" s="1211" t="s">
        <v>4266</v>
      </c>
      <c r="Q90" s="1211" t="s">
        <v>4267</v>
      </c>
      <c r="R90" s="1252"/>
      <c r="S90" s="331"/>
      <c r="T90" s="331"/>
      <c r="Z90" s="333"/>
      <c r="AA90" s="333"/>
      <c r="AG90" s="631"/>
      <c r="AH90" s="631"/>
    </row>
    <row r="91" spans="1:34" ht="15.75" customHeight="1" x14ac:dyDescent="0.15">
      <c r="A91" s="705">
        <v>11</v>
      </c>
      <c r="B91" s="347" t="s">
        <v>2367</v>
      </c>
      <c r="C91" s="347" t="s">
        <v>1513</v>
      </c>
      <c r="D91" s="347" t="str">
        <f>D82</f>
        <v>Sagittarius, Pisces</v>
      </c>
      <c r="E91" s="347" t="str">
        <f>E82</f>
        <v>Jupiter</v>
      </c>
      <c r="F91" s="331" t="s">
        <v>3496</v>
      </c>
      <c r="G91" s="332" t="s">
        <v>2344</v>
      </c>
      <c r="H91" s="332" t="s">
        <v>3490</v>
      </c>
      <c r="I91" s="331" t="s">
        <v>2901</v>
      </c>
      <c r="J91" s="331" t="s">
        <v>3222</v>
      </c>
      <c r="K91" s="738" t="s">
        <v>3214</v>
      </c>
      <c r="L91" s="332" t="s">
        <v>3359</v>
      </c>
      <c r="M91" s="910"/>
      <c r="N91" s="332" t="s">
        <v>4266</v>
      </c>
      <c r="O91" s="332" t="s">
        <v>4267</v>
      </c>
      <c r="P91" s="1211" t="s">
        <v>4261</v>
      </c>
      <c r="Q91" s="1211" t="s">
        <v>4262</v>
      </c>
      <c r="R91" s="1252"/>
      <c r="S91" s="331"/>
      <c r="T91" s="331"/>
      <c r="Z91" s="333"/>
      <c r="AA91" s="333"/>
      <c r="AG91" s="631"/>
      <c r="AH91" s="631"/>
    </row>
    <row r="92" spans="1:34" ht="15.75" customHeight="1" x14ac:dyDescent="0.15">
      <c r="A92" s="705">
        <v>12</v>
      </c>
      <c r="B92" s="347" t="s">
        <v>2368</v>
      </c>
      <c r="C92" s="347" t="s">
        <v>1517</v>
      </c>
      <c r="D92" s="347" t="str">
        <f>D81</f>
        <v>Libra,Capricorn</v>
      </c>
      <c r="E92" s="347" t="str">
        <f>E81</f>
        <v>Venus,Saturn</v>
      </c>
      <c r="F92" s="331" t="s">
        <v>3497</v>
      </c>
      <c r="G92" s="332" t="s">
        <v>2348</v>
      </c>
      <c r="H92" s="332" t="s">
        <v>3491</v>
      </c>
      <c r="I92" s="331" t="s">
        <v>2902</v>
      </c>
      <c r="J92" s="331" t="s">
        <v>3223</v>
      </c>
      <c r="K92" s="738" t="s">
        <v>3213</v>
      </c>
      <c r="L92" s="332" t="s">
        <v>3360</v>
      </c>
      <c r="M92" s="910"/>
      <c r="N92" s="332" t="s">
        <v>4261</v>
      </c>
      <c r="O92" s="332" t="s">
        <v>4262</v>
      </c>
      <c r="P92" s="1211" t="s">
        <v>4263</v>
      </c>
      <c r="Q92" s="1211" t="s">
        <v>4264</v>
      </c>
      <c r="R92" s="1252"/>
      <c r="S92" s="331"/>
      <c r="T92" s="331"/>
      <c r="Z92" s="333"/>
      <c r="AA92" s="333"/>
      <c r="AG92" s="631"/>
      <c r="AH92" s="631"/>
    </row>
    <row r="93" spans="1:34" ht="15.75" customHeight="1" x14ac:dyDescent="0.15">
      <c r="A93" s="705">
        <v>13</v>
      </c>
      <c r="B93" s="347" t="s">
        <v>2369</v>
      </c>
      <c r="C93" s="347" t="s">
        <v>1515</v>
      </c>
      <c r="D93" s="347" t="s">
        <v>2370</v>
      </c>
      <c r="E93" s="998" t="s">
        <v>3709</v>
      </c>
      <c r="F93" s="331" t="s">
        <v>3498</v>
      </c>
      <c r="G93" s="332" t="s">
        <v>2352</v>
      </c>
      <c r="H93" s="332" t="s">
        <v>3492</v>
      </c>
      <c r="I93" s="331" t="s">
        <v>1830</v>
      </c>
      <c r="J93" s="331" t="s">
        <v>3224</v>
      </c>
      <c r="K93" s="738" t="s">
        <v>3214</v>
      </c>
      <c r="L93" s="332" t="s">
        <v>3361</v>
      </c>
      <c r="M93" s="910"/>
      <c r="N93" s="332" t="s">
        <v>4263</v>
      </c>
      <c r="O93" s="332" t="s">
        <v>4264</v>
      </c>
      <c r="P93" s="1211" t="s">
        <v>4265</v>
      </c>
      <c r="Q93" s="1211" t="s">
        <v>4266</v>
      </c>
      <c r="R93" s="1252"/>
      <c r="S93" s="331"/>
      <c r="T93" s="331"/>
      <c r="Z93" s="333"/>
      <c r="AA93" s="333"/>
      <c r="AG93" s="631"/>
      <c r="AH93" s="631"/>
    </row>
    <row r="94" spans="1:34" ht="15.75" customHeight="1" x14ac:dyDescent="0.15">
      <c r="A94" s="705">
        <v>14</v>
      </c>
      <c r="B94" s="347" t="s">
        <v>2371</v>
      </c>
      <c r="C94" s="347" t="s">
        <v>1519</v>
      </c>
      <c r="D94" s="347" t="s">
        <v>2372</v>
      </c>
      <c r="E94" s="998" t="s">
        <v>1515</v>
      </c>
      <c r="F94" s="331" t="s">
        <v>3499</v>
      </c>
      <c r="G94" s="332" t="s">
        <v>2355</v>
      </c>
      <c r="H94" s="332" t="s">
        <v>3494</v>
      </c>
      <c r="I94" s="331" t="s">
        <v>2903</v>
      </c>
      <c r="J94" s="331" t="s">
        <v>1770</v>
      </c>
      <c r="K94" s="738" t="s">
        <v>3215</v>
      </c>
      <c r="L94" s="332" t="s">
        <v>3362</v>
      </c>
      <c r="M94" s="910" t="s">
        <v>3436</v>
      </c>
      <c r="N94" s="332" t="s">
        <v>4265</v>
      </c>
      <c r="O94" s="332" t="s">
        <v>4266</v>
      </c>
      <c r="P94" s="1211" t="s">
        <v>4267</v>
      </c>
      <c r="Q94" s="1211" t="s">
        <v>4268</v>
      </c>
      <c r="R94" s="1252"/>
      <c r="S94" s="331"/>
      <c r="T94" s="331"/>
      <c r="Z94" s="333"/>
      <c r="AA94" s="333"/>
      <c r="AG94" s="631"/>
      <c r="AH94" s="631"/>
    </row>
    <row r="95" spans="1:34" ht="15.75" customHeight="1" x14ac:dyDescent="0.15">
      <c r="A95" s="705">
        <v>15</v>
      </c>
      <c r="B95" s="347" t="s">
        <v>2373</v>
      </c>
      <c r="C95" s="347" t="s">
        <v>1516</v>
      </c>
      <c r="D95" s="347"/>
      <c r="E95" s="998"/>
      <c r="F95" s="331" t="s">
        <v>3500</v>
      </c>
      <c r="G95" s="332" t="s">
        <v>2358</v>
      </c>
      <c r="H95" s="332" t="s">
        <v>3495</v>
      </c>
      <c r="I95" s="331" t="s">
        <v>2904</v>
      </c>
      <c r="J95" s="331" t="s">
        <v>3225</v>
      </c>
      <c r="K95" s="738" t="s">
        <v>3215</v>
      </c>
      <c r="L95" s="332" t="s">
        <v>3363</v>
      </c>
      <c r="M95" s="910"/>
      <c r="N95" s="332" t="s">
        <v>4267</v>
      </c>
      <c r="O95" s="332" t="s">
        <v>4261</v>
      </c>
      <c r="P95" s="1211"/>
      <c r="Q95" s="1211"/>
      <c r="R95" s="1252"/>
      <c r="S95" s="331"/>
      <c r="T95" s="331"/>
      <c r="Z95" s="333"/>
      <c r="AA95" s="333"/>
      <c r="AG95" s="631"/>
      <c r="AH95" s="631"/>
    </row>
    <row r="98" spans="1:9" x14ac:dyDescent="0.2">
      <c r="A98" s="892" t="s">
        <v>2909</v>
      </c>
      <c r="B98" s="350" t="s">
        <v>2374</v>
      </c>
      <c r="C98" s="350" t="s">
        <v>1718</v>
      </c>
      <c r="D98" s="350" t="s">
        <v>3365</v>
      </c>
      <c r="E98" s="350" t="s">
        <v>4114</v>
      </c>
      <c r="F98" s="895" t="s">
        <v>3366</v>
      </c>
      <c r="G98" s="331" t="s">
        <v>4113</v>
      </c>
      <c r="H98" s="331" t="s">
        <v>3364</v>
      </c>
      <c r="I98" s="331" t="s">
        <v>1719</v>
      </c>
    </row>
    <row r="99" spans="1:9" ht="54.75" customHeight="1" x14ac:dyDescent="0.15">
      <c r="A99" s="893">
        <v>1</v>
      </c>
      <c r="B99" s="351" t="s">
        <v>2913</v>
      </c>
      <c r="C99" s="1155" t="s">
        <v>4112</v>
      </c>
      <c r="D99" s="351" t="s">
        <v>1523</v>
      </c>
      <c r="E99" s="768" t="s">
        <v>1641</v>
      </c>
      <c r="F99" s="897" t="s">
        <v>1512</v>
      </c>
      <c r="G99" s="331" t="str">
        <f t="shared" ref="G99:G111" si="8">D113</f>
        <v>Shravan</v>
      </c>
      <c r="H99" s="368" t="str">
        <f t="shared" ref="H99:H111" si="9">E113</f>
        <v>Moon</v>
      </c>
      <c r="I99" s="332" t="s">
        <v>4111</v>
      </c>
    </row>
    <row r="100" spans="1:9" x14ac:dyDescent="0.2">
      <c r="A100" s="894">
        <v>2</v>
      </c>
      <c r="B100" s="352" t="s">
        <v>2914</v>
      </c>
      <c r="C100" s="352" t="s">
        <v>2375</v>
      </c>
      <c r="D100" s="352" t="s">
        <v>1587</v>
      </c>
      <c r="E100" s="352" t="s">
        <v>2217</v>
      </c>
      <c r="F100" s="333" t="s">
        <v>1512</v>
      </c>
      <c r="G100" s="331" t="str">
        <f t="shared" si="8"/>
        <v>Dhanistha</v>
      </c>
      <c r="H100" s="331" t="str">
        <f t="shared" si="9"/>
        <v>Mars</v>
      </c>
    </row>
    <row r="101" spans="1:9" x14ac:dyDescent="0.2">
      <c r="A101" s="894">
        <v>3</v>
      </c>
      <c r="B101" s="352" t="s">
        <v>2915</v>
      </c>
      <c r="C101" s="352" t="s">
        <v>2376</v>
      </c>
      <c r="D101" s="352" t="s">
        <v>1588</v>
      </c>
      <c r="E101" s="352" t="s">
        <v>1518</v>
      </c>
      <c r="F101" s="333" t="s">
        <v>1511</v>
      </c>
      <c r="G101" s="331" t="str">
        <f t="shared" si="8"/>
        <v>Satabishak</v>
      </c>
      <c r="H101" s="331" t="str">
        <f t="shared" si="9"/>
        <v>Rahu</v>
      </c>
    </row>
    <row r="102" spans="1:9" x14ac:dyDescent="0.2">
      <c r="A102" s="894">
        <v>4</v>
      </c>
      <c r="B102" s="352" t="s">
        <v>2916</v>
      </c>
      <c r="C102" s="352" t="s">
        <v>2377</v>
      </c>
      <c r="D102" s="352" t="s">
        <v>2228</v>
      </c>
      <c r="E102" s="352" t="s">
        <v>1519</v>
      </c>
      <c r="F102" s="333" t="s">
        <v>1511</v>
      </c>
      <c r="G102" s="331" t="str">
        <f t="shared" si="8"/>
        <v>Purva Bhadrapad</v>
      </c>
      <c r="H102" s="331" t="str">
        <f t="shared" si="9"/>
        <v>Jupiter</v>
      </c>
    </row>
    <row r="103" spans="1:9" x14ac:dyDescent="0.2">
      <c r="A103" s="894">
        <v>5</v>
      </c>
      <c r="B103" s="352" t="s">
        <v>2917</v>
      </c>
      <c r="C103" s="352" t="s">
        <v>2378</v>
      </c>
      <c r="D103" s="352" t="s">
        <v>2233</v>
      </c>
      <c r="E103" s="352" t="s">
        <v>1511</v>
      </c>
      <c r="F103" s="333" t="s">
        <v>3367</v>
      </c>
      <c r="G103" s="331" t="str">
        <f t="shared" si="8"/>
        <v>Uttara Bhadrapad</v>
      </c>
      <c r="H103" s="331" t="str">
        <f t="shared" si="9"/>
        <v>Sat</v>
      </c>
    </row>
    <row r="104" spans="1:9" x14ac:dyDescent="0.2">
      <c r="A104" s="893">
        <v>6</v>
      </c>
      <c r="B104" s="351" t="s">
        <v>2911</v>
      </c>
      <c r="C104" s="351" t="s">
        <v>2379</v>
      </c>
      <c r="D104" s="351" t="s">
        <v>1591</v>
      </c>
      <c r="E104" s="351" t="s">
        <v>1512</v>
      </c>
      <c r="F104" s="897" t="s">
        <v>2217</v>
      </c>
      <c r="G104" s="331" t="str">
        <f t="shared" si="8"/>
        <v>Revati</v>
      </c>
      <c r="H104" s="368" t="str">
        <f t="shared" si="9"/>
        <v>Merc</v>
      </c>
    </row>
    <row r="105" spans="1:9" x14ac:dyDescent="0.2">
      <c r="A105" s="894">
        <v>7</v>
      </c>
      <c r="B105" s="352" t="s">
        <v>2918</v>
      </c>
      <c r="C105" s="352" t="s">
        <v>2380</v>
      </c>
      <c r="D105" s="352" t="s">
        <v>1592</v>
      </c>
      <c r="E105" s="352" t="s">
        <v>1513</v>
      </c>
      <c r="F105" s="333" t="s">
        <v>3368</v>
      </c>
      <c r="G105" s="331" t="str">
        <f t="shared" si="8"/>
        <v>Ashvini</v>
      </c>
      <c r="H105" s="331" t="str">
        <f t="shared" si="9"/>
        <v>Ketu</v>
      </c>
    </row>
    <row r="106" spans="1:9" x14ac:dyDescent="0.2">
      <c r="A106" s="894">
        <v>8</v>
      </c>
      <c r="B106" s="352" t="s">
        <v>2919</v>
      </c>
      <c r="C106" s="352" t="s">
        <v>2381</v>
      </c>
      <c r="D106" s="352" t="s">
        <v>1535</v>
      </c>
      <c r="E106" s="352" t="s">
        <v>1514</v>
      </c>
      <c r="F106" s="607" t="s">
        <v>1519</v>
      </c>
      <c r="G106" s="331" t="str">
        <f t="shared" si="8"/>
        <v>Bharani</v>
      </c>
      <c r="H106" s="368" t="str">
        <f t="shared" si="9"/>
        <v>Venus</v>
      </c>
    </row>
    <row r="107" spans="1:9" x14ac:dyDescent="0.2">
      <c r="A107" s="893">
        <v>9</v>
      </c>
      <c r="B107" s="351" t="s">
        <v>2920</v>
      </c>
      <c r="C107" s="351" t="s">
        <v>2382</v>
      </c>
      <c r="D107" s="351" t="s">
        <v>2260</v>
      </c>
      <c r="E107" s="351" t="s">
        <v>1515</v>
      </c>
      <c r="F107" s="896" t="s">
        <v>3369</v>
      </c>
      <c r="G107" s="331" t="str">
        <f t="shared" si="8"/>
        <v>Kritika</v>
      </c>
      <c r="H107" s="331" t="str">
        <f t="shared" si="9"/>
        <v>Sun</v>
      </c>
    </row>
    <row r="108" spans="1:9" x14ac:dyDescent="0.2">
      <c r="A108" s="893">
        <v>10</v>
      </c>
      <c r="B108" s="351" t="s">
        <v>2910</v>
      </c>
      <c r="C108" s="351" t="s">
        <v>2912</v>
      </c>
      <c r="D108" s="351" t="s">
        <v>1526</v>
      </c>
      <c r="E108" s="768" t="s">
        <v>1641</v>
      </c>
      <c r="F108" s="896" t="s">
        <v>1513</v>
      </c>
      <c r="G108" s="331" t="str">
        <f t="shared" si="8"/>
        <v>Rohini</v>
      </c>
      <c r="H108" s="331" t="str">
        <f t="shared" si="9"/>
        <v>Moon</v>
      </c>
    </row>
    <row r="109" spans="1:9" x14ac:dyDescent="0.2">
      <c r="A109" s="894">
        <v>11</v>
      </c>
      <c r="B109" s="352" t="s">
        <v>2921</v>
      </c>
      <c r="C109" s="352" t="s">
        <v>2383</v>
      </c>
      <c r="D109" s="352" t="s">
        <v>2274</v>
      </c>
      <c r="E109" s="352" t="s">
        <v>2217</v>
      </c>
      <c r="F109" s="607" t="s">
        <v>1513</v>
      </c>
      <c r="G109" s="331" t="str">
        <f t="shared" si="8"/>
        <v>Mrigashira</v>
      </c>
      <c r="H109" s="368" t="str">
        <f t="shared" si="9"/>
        <v>Mars</v>
      </c>
    </row>
    <row r="110" spans="1:9" x14ac:dyDescent="0.2">
      <c r="A110" s="894">
        <v>12</v>
      </c>
      <c r="B110" s="352" t="s">
        <v>2922</v>
      </c>
      <c r="C110" s="352" t="s">
        <v>2384</v>
      </c>
      <c r="D110" s="352" t="s">
        <v>2279</v>
      </c>
      <c r="E110" s="352" t="s">
        <v>1518</v>
      </c>
      <c r="F110" s="333" t="s">
        <v>1515</v>
      </c>
      <c r="G110" s="331" t="str">
        <f t="shared" si="8"/>
        <v>Ardra</v>
      </c>
      <c r="H110" s="331" t="str">
        <f t="shared" si="9"/>
        <v>Rahu</v>
      </c>
    </row>
    <row r="111" spans="1:9" x14ac:dyDescent="0.2">
      <c r="A111" s="894">
        <v>13</v>
      </c>
      <c r="B111" s="352" t="s">
        <v>2923</v>
      </c>
      <c r="C111" s="352" t="s">
        <v>3442</v>
      </c>
      <c r="D111" s="352" t="s">
        <v>2286</v>
      </c>
      <c r="E111" s="352" t="s">
        <v>1519</v>
      </c>
      <c r="F111" s="607" t="s">
        <v>1515</v>
      </c>
      <c r="G111" s="331" t="str">
        <f t="shared" si="8"/>
        <v>Punarvasu</v>
      </c>
      <c r="H111" s="368" t="str">
        <f t="shared" si="9"/>
        <v>Jupiter</v>
      </c>
    </row>
    <row r="112" spans="1:9" x14ac:dyDescent="0.2">
      <c r="A112" s="894">
        <v>14</v>
      </c>
      <c r="B112" s="352" t="s">
        <v>2924</v>
      </c>
      <c r="C112" s="352" t="s">
        <v>2385</v>
      </c>
      <c r="D112" s="352" t="s">
        <v>2293</v>
      </c>
      <c r="E112" s="352" t="s">
        <v>1511</v>
      </c>
      <c r="F112" s="333" t="s">
        <v>3370</v>
      </c>
      <c r="G112" s="331" t="str">
        <f>D99</f>
        <v>Pushya</v>
      </c>
      <c r="H112" s="331" t="str">
        <f>E99</f>
        <v>Sat</v>
      </c>
    </row>
    <row r="113" spans="1:9" x14ac:dyDescent="0.2">
      <c r="A113" s="893">
        <v>15</v>
      </c>
      <c r="B113" s="351" t="s">
        <v>2925</v>
      </c>
      <c r="C113" s="351" t="s">
        <v>2386</v>
      </c>
      <c r="D113" s="351" t="s">
        <v>2301</v>
      </c>
      <c r="E113" s="351" t="s">
        <v>1512</v>
      </c>
      <c r="F113" s="896" t="s">
        <v>1516</v>
      </c>
      <c r="G113" s="331" t="str">
        <f t="shared" ref="G113:H125" si="10">D100</f>
        <v>Ashlesha</v>
      </c>
      <c r="H113" s="331" t="str">
        <f t="shared" si="10"/>
        <v>Merc</v>
      </c>
    </row>
    <row r="114" spans="1:9" x14ac:dyDescent="0.2">
      <c r="A114" s="894">
        <v>16</v>
      </c>
      <c r="B114" s="352" t="s">
        <v>2926</v>
      </c>
      <c r="C114" s="352" t="s">
        <v>2387</v>
      </c>
      <c r="D114" s="352" t="s">
        <v>2307</v>
      </c>
      <c r="E114" s="352" t="s">
        <v>1513</v>
      </c>
      <c r="F114" s="333" t="s">
        <v>1516</v>
      </c>
      <c r="G114" s="331" t="str">
        <f t="shared" si="10"/>
        <v>Magha</v>
      </c>
      <c r="H114" s="331" t="str">
        <f t="shared" si="10"/>
        <v>Ketu</v>
      </c>
    </row>
    <row r="115" spans="1:9" x14ac:dyDescent="0.2">
      <c r="A115" s="893">
        <v>17</v>
      </c>
      <c r="B115" s="351" t="s">
        <v>2927</v>
      </c>
      <c r="C115" s="351" t="s">
        <v>3443</v>
      </c>
      <c r="D115" s="351" t="s">
        <v>2314</v>
      </c>
      <c r="E115" s="351" t="s">
        <v>1514</v>
      </c>
      <c r="F115" s="896" t="s">
        <v>1516</v>
      </c>
      <c r="G115" s="331" t="str">
        <f t="shared" si="10"/>
        <v>Purva Phalguni</v>
      </c>
      <c r="H115" s="331" t="str">
        <f t="shared" si="10"/>
        <v>Venus</v>
      </c>
      <c r="I115" s="331" t="s">
        <v>3299</v>
      </c>
    </row>
    <row r="116" spans="1:9" x14ac:dyDescent="0.2">
      <c r="A116" s="894">
        <v>18</v>
      </c>
      <c r="B116" s="352" t="s">
        <v>2928</v>
      </c>
      <c r="C116" s="352" t="s">
        <v>2388</v>
      </c>
      <c r="D116" s="352" t="s">
        <v>2320</v>
      </c>
      <c r="E116" s="352" t="s">
        <v>1515</v>
      </c>
      <c r="F116" s="333" t="s">
        <v>1516</v>
      </c>
      <c r="G116" s="331" t="str">
        <f t="shared" si="10"/>
        <v>Uttara Phalguni</v>
      </c>
      <c r="H116" s="331" t="str">
        <f t="shared" si="10"/>
        <v>Sun</v>
      </c>
    </row>
    <row r="117" spans="1:9" x14ac:dyDescent="0.2">
      <c r="A117" s="893">
        <v>19</v>
      </c>
      <c r="B117" s="351" t="s">
        <v>2929</v>
      </c>
      <c r="C117" s="351" t="s">
        <v>3444</v>
      </c>
      <c r="D117" s="351" t="s">
        <v>2325</v>
      </c>
      <c r="E117" s="768" t="s">
        <v>1641</v>
      </c>
      <c r="F117" s="896" t="s">
        <v>3371</v>
      </c>
      <c r="G117" s="331" t="str">
        <f t="shared" si="10"/>
        <v>Hasta</v>
      </c>
      <c r="H117" s="331" t="str">
        <f t="shared" si="10"/>
        <v>Moon</v>
      </c>
    </row>
    <row r="118" spans="1:9" x14ac:dyDescent="0.2">
      <c r="A118" s="894">
        <v>20</v>
      </c>
      <c r="B118" s="352" t="s">
        <v>2903</v>
      </c>
      <c r="C118" s="352" t="s">
        <v>2389</v>
      </c>
      <c r="D118" s="352" t="s">
        <v>1532</v>
      </c>
      <c r="E118" s="352" t="s">
        <v>2217</v>
      </c>
      <c r="F118" s="333" t="s">
        <v>1515</v>
      </c>
      <c r="G118" s="331" t="str">
        <f t="shared" si="10"/>
        <v>Chitra</v>
      </c>
      <c r="H118" s="331" t="str">
        <f t="shared" si="10"/>
        <v>Mars</v>
      </c>
    </row>
    <row r="119" spans="1:9" x14ac:dyDescent="0.2">
      <c r="A119" s="894">
        <v>21</v>
      </c>
      <c r="B119" s="352" t="s">
        <v>1552</v>
      </c>
      <c r="C119" s="352" t="s">
        <v>2390</v>
      </c>
      <c r="D119" s="352" t="s">
        <v>2033</v>
      </c>
      <c r="E119" s="352" t="s">
        <v>1518</v>
      </c>
      <c r="F119" s="333" t="s">
        <v>1513</v>
      </c>
      <c r="G119" s="331" t="str">
        <f t="shared" si="10"/>
        <v>Swati</v>
      </c>
      <c r="H119" s="331" t="str">
        <f t="shared" si="10"/>
        <v>Rahu</v>
      </c>
    </row>
    <row r="120" spans="1:9" x14ac:dyDescent="0.2">
      <c r="A120" s="894">
        <v>22</v>
      </c>
      <c r="B120" s="352" t="s">
        <v>2930</v>
      </c>
      <c r="C120" s="352" t="s">
        <v>2391</v>
      </c>
      <c r="D120" s="352" t="s">
        <v>1583</v>
      </c>
      <c r="E120" s="352" t="s">
        <v>1519</v>
      </c>
      <c r="F120" s="333" t="s">
        <v>1513</v>
      </c>
      <c r="G120" s="331" t="str">
        <f t="shared" si="10"/>
        <v>Vishakha</v>
      </c>
      <c r="H120" s="331" t="str">
        <f t="shared" si="10"/>
        <v>Jupiter</v>
      </c>
    </row>
    <row r="121" spans="1:9" x14ac:dyDescent="0.2">
      <c r="A121" s="894">
        <v>23</v>
      </c>
      <c r="B121" s="352" t="s">
        <v>2931</v>
      </c>
      <c r="C121" s="352" t="s">
        <v>2392</v>
      </c>
      <c r="D121" s="352" t="s">
        <v>2122</v>
      </c>
      <c r="E121" s="352" t="s">
        <v>1511</v>
      </c>
      <c r="F121" s="333" t="s">
        <v>3372</v>
      </c>
      <c r="G121" s="331" t="str">
        <f t="shared" si="10"/>
        <v>Anuradha</v>
      </c>
      <c r="H121" s="331" t="str">
        <f t="shared" si="10"/>
        <v>Sat</v>
      </c>
    </row>
    <row r="122" spans="1:9" x14ac:dyDescent="0.2">
      <c r="A122" s="894">
        <v>24</v>
      </c>
      <c r="B122" s="352" t="s">
        <v>2932</v>
      </c>
      <c r="C122" s="352" t="s">
        <v>3445</v>
      </c>
      <c r="D122" s="352" t="s">
        <v>1584</v>
      </c>
      <c r="E122" s="352" t="s">
        <v>1512</v>
      </c>
      <c r="F122" s="333" t="s">
        <v>1519</v>
      </c>
      <c r="G122" s="331" t="str">
        <f t="shared" si="10"/>
        <v>Jyeshtha</v>
      </c>
      <c r="H122" s="331" t="str">
        <f t="shared" si="10"/>
        <v>Merc</v>
      </c>
    </row>
    <row r="123" spans="1:9" x14ac:dyDescent="0.2">
      <c r="A123" s="894">
        <v>25</v>
      </c>
      <c r="B123" s="352" t="s">
        <v>2933</v>
      </c>
      <c r="C123" s="352" t="s">
        <v>3446</v>
      </c>
      <c r="D123" s="352" t="s">
        <v>2180</v>
      </c>
      <c r="E123" s="352" t="s">
        <v>1513</v>
      </c>
      <c r="F123" s="333" t="s">
        <v>3373</v>
      </c>
      <c r="G123" s="331" t="str">
        <f t="shared" si="10"/>
        <v>Mula</v>
      </c>
      <c r="H123" s="331" t="str">
        <f t="shared" si="10"/>
        <v>Ketu</v>
      </c>
    </row>
    <row r="124" spans="1:9" x14ac:dyDescent="0.2">
      <c r="A124" s="894">
        <v>26</v>
      </c>
      <c r="B124" s="352" t="s">
        <v>2934</v>
      </c>
      <c r="C124" s="352" t="s">
        <v>3447</v>
      </c>
      <c r="D124" s="352" t="s">
        <v>1528</v>
      </c>
      <c r="E124" s="352" t="s">
        <v>1514</v>
      </c>
      <c r="F124" s="333" t="s">
        <v>1517</v>
      </c>
      <c r="G124" s="331" t="str">
        <f t="shared" si="10"/>
        <v>Purva Ashadha</v>
      </c>
      <c r="H124" s="331" t="str">
        <f t="shared" si="10"/>
        <v>Venus</v>
      </c>
    </row>
    <row r="125" spans="1:9" x14ac:dyDescent="0.2">
      <c r="A125" s="893">
        <v>27</v>
      </c>
      <c r="B125" s="351" t="s">
        <v>2935</v>
      </c>
      <c r="C125" s="351" t="s">
        <v>3441</v>
      </c>
      <c r="D125" s="351" t="s">
        <v>1586</v>
      </c>
      <c r="E125" s="351" t="s">
        <v>1515</v>
      </c>
      <c r="F125" s="896" t="s">
        <v>3374</v>
      </c>
      <c r="G125" s="331" t="str">
        <f t="shared" si="10"/>
        <v>Uttara Ashadha</v>
      </c>
      <c r="H125" s="331" t="str">
        <f t="shared" si="10"/>
        <v>Sun</v>
      </c>
      <c r="I125" s="331" t="s">
        <v>3298</v>
      </c>
    </row>
    <row r="127" spans="1:9" x14ac:dyDescent="0.2">
      <c r="A127" s="331" t="s">
        <v>3473</v>
      </c>
      <c r="B127" s="331" t="s">
        <v>3472</v>
      </c>
      <c r="C127" s="331" t="s">
        <v>3481</v>
      </c>
      <c r="D127" s="331" t="s">
        <v>3482</v>
      </c>
    </row>
    <row r="128" spans="1:9" x14ac:dyDescent="0.2">
      <c r="A128" s="331" t="s">
        <v>1645</v>
      </c>
      <c r="B128" s="331" t="s">
        <v>1511</v>
      </c>
      <c r="C128" s="931">
        <v>0.68333333333333324</v>
      </c>
      <c r="D128" s="931"/>
    </row>
    <row r="129" spans="1:28" x14ac:dyDescent="0.2">
      <c r="A129" s="331" t="s">
        <v>1648</v>
      </c>
      <c r="B129" s="331" t="s">
        <v>1512</v>
      </c>
      <c r="C129" s="931">
        <v>0.51666666666666672</v>
      </c>
      <c r="D129" s="931">
        <v>0.6166666666666667</v>
      </c>
    </row>
    <row r="130" spans="1:28" x14ac:dyDescent="0.2">
      <c r="A130" s="331" t="s">
        <v>1644</v>
      </c>
      <c r="B130" s="331" t="s">
        <v>1513</v>
      </c>
      <c r="C130" s="931">
        <v>0.35000000000000003</v>
      </c>
      <c r="D130" s="931">
        <v>0.95000000000000007</v>
      </c>
    </row>
    <row r="131" spans="1:28" x14ac:dyDescent="0.2">
      <c r="A131" s="331" t="s">
        <v>1647</v>
      </c>
      <c r="B131" s="331" t="s">
        <v>1517</v>
      </c>
      <c r="C131" s="931">
        <v>0.48333333333333334</v>
      </c>
      <c r="D131" s="931"/>
    </row>
    <row r="132" spans="1:28" x14ac:dyDescent="0.2">
      <c r="A132" s="331" t="s">
        <v>1643</v>
      </c>
      <c r="B132" s="331" t="s">
        <v>1515</v>
      </c>
      <c r="C132" s="931">
        <v>0.41666666666666669</v>
      </c>
      <c r="D132" s="931">
        <v>0.6166666666666667</v>
      </c>
    </row>
    <row r="133" spans="1:28" x14ac:dyDescent="0.2">
      <c r="A133" s="331" t="s">
        <v>1646</v>
      </c>
      <c r="B133" s="331" t="s">
        <v>1519</v>
      </c>
      <c r="C133" s="931">
        <v>0.35000000000000003</v>
      </c>
      <c r="D133" s="931">
        <v>0.51666666666666672</v>
      </c>
    </row>
    <row r="134" spans="1:28" x14ac:dyDescent="0.2">
      <c r="A134" s="331" t="s">
        <v>1642</v>
      </c>
      <c r="B134" s="331" t="s">
        <v>1516</v>
      </c>
      <c r="C134" s="931">
        <v>0.31666666666666665</v>
      </c>
      <c r="D134" s="931"/>
    </row>
    <row r="135" spans="1:28" x14ac:dyDescent="0.2">
      <c r="C135" s="931"/>
      <c r="D135" s="931"/>
    </row>
    <row r="136" spans="1:28" x14ac:dyDescent="0.15">
      <c r="A136" s="998" t="s">
        <v>4170</v>
      </c>
      <c r="B136" s="998" t="s">
        <v>4171</v>
      </c>
      <c r="C136" s="1180" t="s">
        <v>4172</v>
      </c>
      <c r="D136" s="1181" t="s">
        <v>3472</v>
      </c>
      <c r="E136" s="1180" t="s">
        <v>2337</v>
      </c>
      <c r="F136" s="998" t="s">
        <v>4182</v>
      </c>
      <c r="N136" s="331"/>
      <c r="Z136" s="333"/>
      <c r="AB136" s="631"/>
    </row>
    <row r="137" spans="1:28" x14ac:dyDescent="0.15">
      <c r="A137" s="998">
        <v>1</v>
      </c>
      <c r="B137" s="998" t="s">
        <v>2553</v>
      </c>
      <c r="C137" s="1180" t="s">
        <v>2562</v>
      </c>
      <c r="D137" s="1181" t="s">
        <v>1511</v>
      </c>
      <c r="E137" s="1180" t="s">
        <v>4176</v>
      </c>
      <c r="F137" s="998" t="s">
        <v>4183</v>
      </c>
      <c r="N137" s="331"/>
      <c r="Z137" s="333"/>
      <c r="AB137" s="631"/>
    </row>
    <row r="138" spans="1:28" x14ac:dyDescent="0.15">
      <c r="A138" s="998">
        <v>2</v>
      </c>
      <c r="B138" s="998" t="s">
        <v>4156</v>
      </c>
      <c r="C138" s="1180" t="s">
        <v>4163</v>
      </c>
      <c r="D138" s="1181" t="s">
        <v>1512</v>
      </c>
      <c r="E138" s="1180" t="s">
        <v>4177</v>
      </c>
      <c r="F138" s="998"/>
      <c r="N138" s="331"/>
      <c r="Z138" s="333"/>
      <c r="AB138" s="631"/>
    </row>
    <row r="139" spans="1:28" x14ac:dyDescent="0.15">
      <c r="A139" s="998">
        <v>3</v>
      </c>
      <c r="B139" s="998" t="s">
        <v>2555</v>
      </c>
      <c r="C139" s="1180" t="s">
        <v>2564</v>
      </c>
      <c r="D139" s="1181" t="s">
        <v>1513</v>
      </c>
      <c r="E139" s="1180" t="s">
        <v>4178</v>
      </c>
      <c r="F139" s="998"/>
      <c r="N139" s="331"/>
      <c r="Z139" s="333"/>
      <c r="AB139" s="631"/>
    </row>
    <row r="140" spans="1:28" x14ac:dyDescent="0.15">
      <c r="A140" s="998">
        <v>4</v>
      </c>
      <c r="B140" s="998" t="s">
        <v>2557</v>
      </c>
      <c r="C140" s="1180" t="s">
        <v>2566</v>
      </c>
      <c r="D140" s="1181" t="s">
        <v>1517</v>
      </c>
      <c r="E140" s="1180" t="s">
        <v>4179</v>
      </c>
      <c r="F140" s="998"/>
      <c r="N140" s="331"/>
      <c r="Z140" s="333"/>
      <c r="AB140" s="631"/>
    </row>
    <row r="141" spans="1:28" x14ac:dyDescent="0.15">
      <c r="A141" s="998">
        <v>5</v>
      </c>
      <c r="B141" s="998" t="s">
        <v>4157</v>
      </c>
      <c r="C141" s="1180" t="s">
        <v>4164</v>
      </c>
      <c r="D141" s="1181" t="s">
        <v>1515</v>
      </c>
      <c r="E141" s="1180" t="s">
        <v>4180</v>
      </c>
      <c r="F141" s="998" t="s">
        <v>4185</v>
      </c>
      <c r="N141" s="331"/>
      <c r="Z141" s="333"/>
      <c r="AB141" s="631"/>
    </row>
    <row r="142" spans="1:28" x14ac:dyDescent="0.15">
      <c r="A142" s="998">
        <v>6</v>
      </c>
      <c r="B142" s="998" t="s">
        <v>4158</v>
      </c>
      <c r="C142" s="1180" t="s">
        <v>4165</v>
      </c>
      <c r="D142" s="1181" t="s">
        <v>1519</v>
      </c>
      <c r="E142" s="1180" t="s">
        <v>4181</v>
      </c>
      <c r="F142" s="998"/>
      <c r="N142" s="331"/>
      <c r="Z142" s="333"/>
      <c r="AB142" s="631"/>
    </row>
    <row r="143" spans="1:28" ht="13.5" thickBot="1" x14ac:dyDescent="0.2">
      <c r="A143" s="1178">
        <v>7</v>
      </c>
      <c r="B143" s="1178" t="s">
        <v>4159</v>
      </c>
      <c r="C143" s="1179" t="s">
        <v>4166</v>
      </c>
      <c r="D143" s="1182" t="s">
        <v>1516</v>
      </c>
      <c r="E143" s="1179" t="s">
        <v>4175</v>
      </c>
      <c r="F143" s="1178"/>
      <c r="N143" s="331"/>
      <c r="Z143" s="333"/>
      <c r="AB143" s="631"/>
    </row>
    <row r="144" spans="1:28" ht="22.5" thickTop="1" x14ac:dyDescent="0.15">
      <c r="A144" s="331">
        <v>8</v>
      </c>
      <c r="B144" s="331" t="s">
        <v>4160</v>
      </c>
      <c r="C144" s="931" t="s">
        <v>4167</v>
      </c>
      <c r="D144" s="332" t="s">
        <v>4238</v>
      </c>
      <c r="E144" s="931" t="s">
        <v>4174</v>
      </c>
      <c r="F144" s="331" t="s">
        <v>4187</v>
      </c>
      <c r="N144" s="331"/>
      <c r="Z144" s="333"/>
      <c r="AB144" s="631"/>
    </row>
    <row r="145" spans="1:51" ht="21.75" x14ac:dyDescent="0.15">
      <c r="A145" s="331">
        <v>9</v>
      </c>
      <c r="B145" s="331" t="s">
        <v>4161</v>
      </c>
      <c r="C145" s="931" t="s">
        <v>4168</v>
      </c>
      <c r="D145" s="332" t="s">
        <v>4239</v>
      </c>
      <c r="E145" s="931" t="s">
        <v>4184</v>
      </c>
      <c r="N145" s="331"/>
      <c r="Z145" s="333"/>
      <c r="AB145" s="631"/>
    </row>
    <row r="146" spans="1:51" ht="21.75" x14ac:dyDescent="0.15">
      <c r="A146" s="331">
        <v>10</v>
      </c>
      <c r="B146" s="331" t="s">
        <v>4162</v>
      </c>
      <c r="C146" s="931" t="s">
        <v>4169</v>
      </c>
      <c r="D146" s="332" t="s">
        <v>4240</v>
      </c>
      <c r="E146" s="931" t="s">
        <v>4184</v>
      </c>
      <c r="F146" s="331" t="s">
        <v>4186</v>
      </c>
      <c r="N146" s="331"/>
      <c r="Z146" s="333"/>
      <c r="AB146" s="631"/>
    </row>
    <row r="147" spans="1:51" ht="21.75" x14ac:dyDescent="0.15">
      <c r="A147" s="331">
        <v>11</v>
      </c>
      <c r="B147" s="331" t="s">
        <v>2559</v>
      </c>
      <c r="C147" s="931" t="s">
        <v>2568</v>
      </c>
      <c r="D147" s="332" t="s">
        <v>4237</v>
      </c>
      <c r="E147" s="931" t="s">
        <v>4173</v>
      </c>
      <c r="N147" s="331"/>
      <c r="Z147" s="333"/>
      <c r="AB147" s="631"/>
    </row>
    <row r="148" spans="1:51" x14ac:dyDescent="0.2">
      <c r="C148" s="931"/>
      <c r="D148" s="332"/>
      <c r="E148" s="931"/>
      <c r="N148" s="331"/>
      <c r="Z148" s="333"/>
      <c r="AB148" s="631"/>
    </row>
    <row r="149" spans="1:51" ht="18" x14ac:dyDescent="0.2">
      <c r="A149" s="1333" t="s">
        <v>1676</v>
      </c>
      <c r="B149" s="1333" t="s">
        <v>947</v>
      </c>
      <c r="C149" s="1333" t="s">
        <v>948</v>
      </c>
      <c r="D149" s="1333" t="s">
        <v>949</v>
      </c>
      <c r="E149" s="1333" t="s">
        <v>950</v>
      </c>
      <c r="F149" s="1333" t="s">
        <v>951</v>
      </c>
      <c r="G149" s="1333" t="s">
        <v>952</v>
      </c>
      <c r="H149" s="1333" t="s">
        <v>953</v>
      </c>
      <c r="I149" s="1333" t="s">
        <v>954</v>
      </c>
      <c r="J149" s="1333" t="s">
        <v>955</v>
      </c>
      <c r="K149" s="1333" t="s">
        <v>956</v>
      </c>
      <c r="L149" s="1333" t="s">
        <v>957</v>
      </c>
      <c r="M149" s="1333" t="s">
        <v>958</v>
      </c>
      <c r="N149" s="1333" t="s">
        <v>4547</v>
      </c>
      <c r="O149" s="1333" t="s">
        <v>4548</v>
      </c>
      <c r="P149" s="1333" t="s">
        <v>4549</v>
      </c>
      <c r="Q149" s="1333" t="s">
        <v>4550</v>
      </c>
      <c r="R149" s="1333" t="s">
        <v>4551</v>
      </c>
      <c r="S149" s="1333" t="s">
        <v>4552</v>
      </c>
      <c r="T149" s="1333" t="s">
        <v>4553</v>
      </c>
      <c r="U149" s="1333" t="s">
        <v>4554</v>
      </c>
      <c r="V149" s="1333" t="s">
        <v>4555</v>
      </c>
      <c r="W149" s="1333" t="s">
        <v>4556</v>
      </c>
      <c r="X149" s="1333" t="s">
        <v>4557</v>
      </c>
      <c r="Y149" s="1333" t="s">
        <v>4558</v>
      </c>
      <c r="Z149" s="1333" t="s">
        <v>4559</v>
      </c>
      <c r="AA149" s="1333" t="s">
        <v>4560</v>
      </c>
      <c r="AB149" s="1333" t="s">
        <v>4561</v>
      </c>
      <c r="AC149" s="1333" t="s">
        <v>4562</v>
      </c>
      <c r="AD149" s="1333" t="s">
        <v>4563</v>
      </c>
      <c r="AE149" s="1333" t="s">
        <v>4564</v>
      </c>
      <c r="AF149" s="1333" t="s">
        <v>4565</v>
      </c>
      <c r="AG149" s="1333" t="s">
        <v>4566</v>
      </c>
      <c r="AH149" s="1333" t="s">
        <v>4567</v>
      </c>
      <c r="AI149" s="1333" t="s">
        <v>4568</v>
      </c>
      <c r="AJ149" s="1333" t="s">
        <v>4569</v>
      </c>
      <c r="AK149" s="1333" t="s">
        <v>4570</v>
      </c>
      <c r="AL149" s="1333" t="s">
        <v>4571</v>
      </c>
      <c r="AM149" s="1333" t="s">
        <v>4572</v>
      </c>
      <c r="AN149" s="1333" t="s">
        <v>4573</v>
      </c>
      <c r="AO149" s="1333" t="s">
        <v>4574</v>
      </c>
      <c r="AP149" s="1333" t="s">
        <v>4575</v>
      </c>
      <c r="AQ149" s="1333" t="s">
        <v>4576</v>
      </c>
      <c r="AR149" s="1333" t="s">
        <v>4577</v>
      </c>
      <c r="AS149" s="1333" t="s">
        <v>4578</v>
      </c>
      <c r="AT149" s="1333" t="s">
        <v>4579</v>
      </c>
      <c r="AU149" s="1334" t="s">
        <v>4580</v>
      </c>
      <c r="AV149" s="1333" t="s">
        <v>4581</v>
      </c>
      <c r="AW149" s="1334" t="s">
        <v>4582</v>
      </c>
      <c r="AX149" s="1333" t="s">
        <v>4583</v>
      </c>
      <c r="AY149" s="1334" t="s">
        <v>4584</v>
      </c>
    </row>
    <row r="150" spans="1:51" ht="24" x14ac:dyDescent="0.2">
      <c r="A150" s="1333" t="s">
        <v>4497</v>
      </c>
      <c r="B150" s="1333" t="s">
        <v>979</v>
      </c>
      <c r="C150" s="1335" t="s">
        <v>4519</v>
      </c>
      <c r="D150" s="1336" t="s">
        <v>980</v>
      </c>
      <c r="E150" s="1335" t="s">
        <v>4520</v>
      </c>
      <c r="F150" s="1333" t="s">
        <v>981</v>
      </c>
      <c r="G150" s="1333" t="s">
        <v>4521</v>
      </c>
      <c r="H150" s="1333" t="s">
        <v>4522</v>
      </c>
      <c r="I150" s="1333" t="s">
        <v>4522</v>
      </c>
      <c r="J150" s="1333" t="s">
        <v>4523</v>
      </c>
      <c r="K150" s="1333" t="s">
        <v>4523</v>
      </c>
      <c r="L150" s="1333" t="s">
        <v>982</v>
      </c>
      <c r="M150" s="1333" t="s">
        <v>4524</v>
      </c>
      <c r="N150" s="1333" t="s">
        <v>983</v>
      </c>
      <c r="O150" s="1334" t="s">
        <v>4525</v>
      </c>
      <c r="P150" s="1334" t="s">
        <v>979</v>
      </c>
      <c r="Q150" s="1334" t="s">
        <v>4526</v>
      </c>
      <c r="R150" s="1334" t="s">
        <v>1000</v>
      </c>
      <c r="S150" s="1334" t="s">
        <v>1190</v>
      </c>
      <c r="T150" s="1334" t="s">
        <v>1030</v>
      </c>
      <c r="U150" s="1334" t="s">
        <v>4527</v>
      </c>
      <c r="V150" s="1334" t="s">
        <v>4528</v>
      </c>
      <c r="W150" s="1334" t="s">
        <v>1175</v>
      </c>
      <c r="X150" s="1334" t="s">
        <v>1175</v>
      </c>
      <c r="Y150" s="1334" t="s">
        <v>1180</v>
      </c>
      <c r="Z150" s="1334" t="s">
        <v>4529</v>
      </c>
      <c r="AA150" s="1337" t="s">
        <v>4530</v>
      </c>
      <c r="AB150" s="1337" t="s">
        <v>995</v>
      </c>
      <c r="AC150" s="1334" t="s">
        <v>4531</v>
      </c>
      <c r="AD150" s="1334" t="s">
        <v>1020</v>
      </c>
      <c r="AE150" s="1334" t="s">
        <v>4532</v>
      </c>
      <c r="AF150" s="1334" t="s">
        <v>4533</v>
      </c>
      <c r="AG150" s="1334" t="s">
        <v>1025</v>
      </c>
      <c r="AH150" s="1334" t="s">
        <v>4534</v>
      </c>
      <c r="AI150" s="1334" t="s">
        <v>1050</v>
      </c>
      <c r="AJ150" s="1334" t="s">
        <v>4535</v>
      </c>
      <c r="AK150" s="1334" t="s">
        <v>1035</v>
      </c>
      <c r="AL150" s="1334" t="s">
        <v>1005</v>
      </c>
      <c r="AM150" s="1334" t="s">
        <v>4536</v>
      </c>
      <c r="AN150" s="1334" t="s">
        <v>4537</v>
      </c>
      <c r="AO150" s="1334" t="s">
        <v>1055</v>
      </c>
      <c r="AP150" s="1334" t="s">
        <v>984</v>
      </c>
      <c r="AQ150" s="1334" t="s">
        <v>1045</v>
      </c>
      <c r="AR150" s="1334" t="s">
        <v>1015</v>
      </c>
      <c r="AS150" s="1334" t="s">
        <v>1185</v>
      </c>
      <c r="AT150" s="1334" t="s">
        <v>990</v>
      </c>
      <c r="AU150" s="1334" t="s">
        <v>4538</v>
      </c>
      <c r="AV150" s="1334" t="s">
        <v>4539</v>
      </c>
      <c r="AW150" s="1334" t="s">
        <v>1040</v>
      </c>
      <c r="AX150" s="1334" t="s">
        <v>1010</v>
      </c>
      <c r="AY150" s="1334" t="s">
        <v>4540</v>
      </c>
    </row>
    <row r="151" spans="1:51" ht="18" x14ac:dyDescent="0.2">
      <c r="A151" s="1333" t="s">
        <v>4545</v>
      </c>
      <c r="B151" s="1333" t="s">
        <v>1197</v>
      </c>
      <c r="C151" s="1335" t="s">
        <v>4498</v>
      </c>
      <c r="D151" s="1336" t="s">
        <v>1198</v>
      </c>
      <c r="E151" s="1335" t="s">
        <v>4499</v>
      </c>
      <c r="F151" s="1333" t="s">
        <v>1199</v>
      </c>
      <c r="G151" s="1333" t="s">
        <v>4500</v>
      </c>
      <c r="H151" s="1333" t="s">
        <v>4541</v>
      </c>
      <c r="I151" s="1333" t="s">
        <v>4542</v>
      </c>
      <c r="J151" s="1333" t="s">
        <v>4543</v>
      </c>
      <c r="K151" s="1333" t="s">
        <v>4544</v>
      </c>
      <c r="L151" s="1333" t="s">
        <v>1200</v>
      </c>
      <c r="M151" s="1333" t="s">
        <v>4501</v>
      </c>
      <c r="N151" s="1333" t="s">
        <v>1201</v>
      </c>
      <c r="O151" s="1334" t="s">
        <v>4502</v>
      </c>
      <c r="P151" s="1334" t="s">
        <v>4503</v>
      </c>
      <c r="Q151" s="1334" t="s">
        <v>4504</v>
      </c>
      <c r="R151" s="1334" t="s">
        <v>1217</v>
      </c>
      <c r="S151" s="1334" t="s">
        <v>1292</v>
      </c>
      <c r="T151" s="1334" t="s">
        <v>1247</v>
      </c>
      <c r="U151" s="1334" t="s">
        <v>4505</v>
      </c>
      <c r="V151" s="1334" t="s">
        <v>4506</v>
      </c>
      <c r="W151" s="1334" t="s">
        <v>1277</v>
      </c>
      <c r="X151" s="1334" t="s">
        <v>1277</v>
      </c>
      <c r="Y151" s="1334" t="s">
        <v>1282</v>
      </c>
      <c r="Z151" s="1334" t="s">
        <v>4507</v>
      </c>
      <c r="AA151" s="1337" t="s">
        <v>4508</v>
      </c>
      <c r="AB151" s="1337" t="s">
        <v>1212</v>
      </c>
      <c r="AC151" s="1334" t="s">
        <v>4509</v>
      </c>
      <c r="AD151" s="1334" t="s">
        <v>1237</v>
      </c>
      <c r="AE151" s="1334" t="s">
        <v>4510</v>
      </c>
      <c r="AF151" s="1334" t="s">
        <v>4511</v>
      </c>
      <c r="AG151" s="1334" t="s">
        <v>1242</v>
      </c>
      <c r="AH151" s="1334" t="s">
        <v>4512</v>
      </c>
      <c r="AI151" s="1334" t="s">
        <v>1267</v>
      </c>
      <c r="AJ151" s="1334" t="s">
        <v>4513</v>
      </c>
      <c r="AK151" s="1334" t="s">
        <v>1252</v>
      </c>
      <c r="AL151" s="1334" t="s">
        <v>1222</v>
      </c>
      <c r="AM151" s="1334" t="s">
        <v>4514</v>
      </c>
      <c r="AN151" s="1334" t="s">
        <v>4515</v>
      </c>
      <c r="AO151" s="1334" t="s">
        <v>1272</v>
      </c>
      <c r="AP151" s="1334" t="s">
        <v>1202</v>
      </c>
      <c r="AQ151" s="1334" t="s">
        <v>1262</v>
      </c>
      <c r="AR151" s="1334" t="s">
        <v>1232</v>
      </c>
      <c r="AS151" s="1334" t="s">
        <v>1287</v>
      </c>
      <c r="AT151" s="1334" t="s">
        <v>1207</v>
      </c>
      <c r="AU151" s="1334" t="s">
        <v>4516</v>
      </c>
      <c r="AV151" s="1334" t="s">
        <v>4517</v>
      </c>
      <c r="AW151" s="1334" t="s">
        <v>1257</v>
      </c>
      <c r="AX151" s="1334" t="s">
        <v>1227</v>
      </c>
      <c r="AY151" s="1334" t="s">
        <v>4518</v>
      </c>
    </row>
    <row r="152" spans="1:51" x14ac:dyDescent="0.2">
      <c r="A152" s="333"/>
      <c r="B152" s="333"/>
      <c r="C152" s="333"/>
      <c r="D152" s="333"/>
      <c r="E152" s="333"/>
      <c r="F152" s="333"/>
      <c r="G152" s="333"/>
      <c r="H152" s="333"/>
      <c r="I152" s="333"/>
      <c r="J152" s="333"/>
      <c r="K152" s="333"/>
      <c r="L152" s="333"/>
      <c r="M152" s="333"/>
      <c r="Z152" s="333"/>
      <c r="AA152" s="333"/>
    </row>
    <row r="153" spans="1:51" ht="13.5" thickBot="1" x14ac:dyDescent="0.25">
      <c r="A153" s="333" t="s">
        <v>4588</v>
      </c>
      <c r="B153" s="333" t="s">
        <v>2417</v>
      </c>
      <c r="C153" s="333" t="s">
        <v>3228</v>
      </c>
      <c r="D153" s="333" t="s">
        <v>2418</v>
      </c>
      <c r="E153" s="333" t="s">
        <v>2881</v>
      </c>
      <c r="F153" s="333" t="s">
        <v>2882</v>
      </c>
      <c r="G153" s="333" t="s">
        <v>2883</v>
      </c>
      <c r="H153" s="333" t="s">
        <v>2884</v>
      </c>
      <c r="I153" s="333" t="s">
        <v>4546</v>
      </c>
      <c r="J153" s="333" t="s">
        <v>2885</v>
      </c>
      <c r="K153" s="333" t="s">
        <v>2886</v>
      </c>
      <c r="L153" s="333" t="s">
        <v>2887</v>
      </c>
      <c r="M153" s="333" t="s">
        <v>2888</v>
      </c>
      <c r="N153" s="333" t="s">
        <v>2889</v>
      </c>
      <c r="O153" s="333" t="s">
        <v>4387</v>
      </c>
      <c r="P153" s="333" t="s">
        <v>4386</v>
      </c>
      <c r="Z153" s="333"/>
      <c r="AA153" s="333"/>
    </row>
    <row r="154" spans="1:51" ht="13.5" x14ac:dyDescent="0.2">
      <c r="A154" s="1339" t="s">
        <v>979</v>
      </c>
      <c r="B154" s="1340" t="s">
        <v>4519</v>
      </c>
      <c r="C154" s="1340" t="s">
        <v>980</v>
      </c>
      <c r="D154" s="1340" t="s">
        <v>4520</v>
      </c>
      <c r="E154" s="1340" t="s">
        <v>981</v>
      </c>
      <c r="F154" s="1340" t="s">
        <v>4521</v>
      </c>
      <c r="G154" s="1340" t="s">
        <v>4522</v>
      </c>
      <c r="H154" s="1340" t="s">
        <v>4522</v>
      </c>
      <c r="I154" s="1340" t="s">
        <v>4523</v>
      </c>
      <c r="J154" s="1340" t="s">
        <v>4523</v>
      </c>
      <c r="K154" s="1340" t="s">
        <v>982</v>
      </c>
      <c r="L154" s="1340" t="s">
        <v>4524</v>
      </c>
      <c r="M154" s="1340" t="s">
        <v>983</v>
      </c>
      <c r="N154" s="1340" t="s">
        <v>4525</v>
      </c>
      <c r="O154" s="1340" t="s">
        <v>979</v>
      </c>
      <c r="P154" s="1341" t="s">
        <v>4526</v>
      </c>
      <c r="Z154" s="333"/>
      <c r="AA154" s="333"/>
    </row>
    <row r="155" spans="1:51" ht="13.5" x14ac:dyDescent="0.2">
      <c r="A155" s="1342" t="s">
        <v>1197</v>
      </c>
      <c r="B155" s="1006" t="s">
        <v>4498</v>
      </c>
      <c r="C155" s="1006" t="s">
        <v>1198</v>
      </c>
      <c r="D155" s="1006" t="s">
        <v>4499</v>
      </c>
      <c r="E155" s="1006" t="s">
        <v>1199</v>
      </c>
      <c r="F155" s="1006" t="s">
        <v>4500</v>
      </c>
      <c r="G155" s="1006" t="s">
        <v>4541</v>
      </c>
      <c r="H155" s="1006" t="s">
        <v>4542</v>
      </c>
      <c r="I155" s="1006" t="s">
        <v>4543</v>
      </c>
      <c r="J155" s="1006" t="s">
        <v>4544</v>
      </c>
      <c r="K155" s="1006" t="s">
        <v>1200</v>
      </c>
      <c r="L155" s="1006" t="s">
        <v>4501</v>
      </c>
      <c r="M155" s="1006" t="s">
        <v>1201</v>
      </c>
      <c r="N155" s="1006" t="s">
        <v>4502</v>
      </c>
      <c r="O155" s="1006" t="s">
        <v>4503</v>
      </c>
      <c r="P155" s="1343" t="s">
        <v>4504</v>
      </c>
      <c r="Z155" s="333"/>
      <c r="AA155" s="333"/>
    </row>
    <row r="156" spans="1:51" ht="14.25" thickBot="1" x14ac:dyDescent="0.25">
      <c r="A156" s="1344">
        <v>0</v>
      </c>
      <c r="B156" s="1345">
        <v>0</v>
      </c>
      <c r="C156" s="1345">
        <v>0</v>
      </c>
      <c r="D156" s="1345">
        <v>0</v>
      </c>
      <c r="E156" s="1345">
        <v>0</v>
      </c>
      <c r="F156" s="1345">
        <v>0</v>
      </c>
      <c r="G156" s="1345">
        <v>0</v>
      </c>
      <c r="H156" s="1345">
        <v>0</v>
      </c>
      <c r="I156" s="1345">
        <v>0</v>
      </c>
      <c r="J156" s="1345">
        <v>0</v>
      </c>
      <c r="K156" s="1345">
        <v>0</v>
      </c>
      <c r="L156" s="1345">
        <v>0</v>
      </c>
      <c r="M156" s="1345">
        <v>0</v>
      </c>
      <c r="N156" s="1345">
        <v>0</v>
      </c>
      <c r="O156" s="1345">
        <v>0</v>
      </c>
      <c r="P156" s="1346">
        <v>0</v>
      </c>
      <c r="Z156" s="333"/>
      <c r="AA156" s="333"/>
    </row>
    <row r="157" spans="1:51" ht="13.5" x14ac:dyDescent="0.2">
      <c r="A157" s="1339" t="s">
        <v>1000</v>
      </c>
      <c r="B157" s="1340" t="s">
        <v>1190</v>
      </c>
      <c r="C157" s="1340" t="s">
        <v>1030</v>
      </c>
      <c r="D157" s="1340" t="s">
        <v>4527</v>
      </c>
      <c r="E157" s="1340" t="s">
        <v>4528</v>
      </c>
      <c r="F157" s="1340" t="s">
        <v>1175</v>
      </c>
      <c r="G157" s="1340" t="s">
        <v>1175</v>
      </c>
      <c r="H157" s="1340" t="s">
        <v>1180</v>
      </c>
      <c r="I157" s="1340" t="s">
        <v>4529</v>
      </c>
      <c r="J157" s="1341" t="s">
        <v>4530</v>
      </c>
      <c r="K157" s="1340"/>
      <c r="L157" s="1340"/>
      <c r="M157" s="1340"/>
      <c r="N157" s="1340"/>
      <c r="O157" s="1340"/>
      <c r="P157" s="1341"/>
      <c r="Z157" s="333"/>
      <c r="AA157" s="333"/>
    </row>
    <row r="158" spans="1:51" ht="13.5" x14ac:dyDescent="0.2">
      <c r="A158" s="1342" t="s">
        <v>1217</v>
      </c>
      <c r="B158" s="1006" t="s">
        <v>1292</v>
      </c>
      <c r="C158" s="1006" t="s">
        <v>1247</v>
      </c>
      <c r="D158" s="1006" t="s">
        <v>4505</v>
      </c>
      <c r="E158" s="1006" t="s">
        <v>4506</v>
      </c>
      <c r="F158" s="1006" t="s">
        <v>1277</v>
      </c>
      <c r="G158" s="1006" t="s">
        <v>1277</v>
      </c>
      <c r="H158" s="1006" t="s">
        <v>1282</v>
      </c>
      <c r="I158" s="1006" t="s">
        <v>4507</v>
      </c>
      <c r="J158" s="1343" t="s">
        <v>4508</v>
      </c>
      <c r="K158" s="1006"/>
      <c r="L158" s="1006"/>
      <c r="M158" s="1006"/>
      <c r="N158" s="1006"/>
      <c r="O158" s="1006"/>
      <c r="P158" s="1343"/>
      <c r="Z158" s="333"/>
      <c r="AA158" s="333"/>
    </row>
    <row r="159" spans="1:51" ht="14.25" thickBot="1" x14ac:dyDescent="0.25">
      <c r="A159" s="1344">
        <v>1</v>
      </c>
      <c r="B159" s="1345">
        <v>2</v>
      </c>
      <c r="C159" s="1345">
        <v>3</v>
      </c>
      <c r="D159" s="1345">
        <v>4</v>
      </c>
      <c r="E159" s="1345">
        <v>5</v>
      </c>
      <c r="F159" s="1345">
        <v>6</v>
      </c>
      <c r="G159" s="1345">
        <v>7</v>
      </c>
      <c r="H159" s="1345">
        <v>8</v>
      </c>
      <c r="I159" s="1345">
        <v>9</v>
      </c>
      <c r="J159" s="1346">
        <v>0</v>
      </c>
      <c r="K159" s="1345"/>
      <c r="L159" s="1345"/>
      <c r="M159" s="1345"/>
      <c r="N159" s="1345"/>
      <c r="O159" s="1345"/>
      <c r="P159" s="1346"/>
      <c r="Z159" s="333"/>
      <c r="AA159" s="333"/>
    </row>
    <row r="160" spans="1:51" ht="13.5" x14ac:dyDescent="0.2">
      <c r="A160" s="1339" t="s">
        <v>995</v>
      </c>
      <c r="B160" s="1340" t="s">
        <v>4531</v>
      </c>
      <c r="C160" s="1340" t="s">
        <v>1020</v>
      </c>
      <c r="D160" s="1340" t="s">
        <v>4532</v>
      </c>
      <c r="E160" s="1340" t="s">
        <v>4533</v>
      </c>
      <c r="F160" s="1340" t="s">
        <v>1025</v>
      </c>
      <c r="G160" s="1340" t="s">
        <v>4534</v>
      </c>
      <c r="H160" s="1340" t="s">
        <v>1050</v>
      </c>
      <c r="I160" s="1340" t="s">
        <v>4535</v>
      </c>
      <c r="J160" s="1341" t="s">
        <v>1035</v>
      </c>
      <c r="K160" s="1340"/>
      <c r="L160" s="1340"/>
      <c r="M160" s="1340"/>
      <c r="N160" s="1340"/>
      <c r="O160" s="1340"/>
      <c r="P160" s="1341"/>
      <c r="Z160" s="333"/>
      <c r="AA160" s="333"/>
    </row>
    <row r="161" spans="1:50" ht="13.5" x14ac:dyDescent="0.2">
      <c r="A161" s="1342" t="s">
        <v>1212</v>
      </c>
      <c r="B161" s="1006" t="s">
        <v>4509</v>
      </c>
      <c r="C161" s="1006" t="s">
        <v>1237</v>
      </c>
      <c r="D161" s="1006" t="s">
        <v>4510</v>
      </c>
      <c r="E161" s="1006" t="s">
        <v>4511</v>
      </c>
      <c r="F161" s="1006" t="s">
        <v>1242</v>
      </c>
      <c r="G161" s="1006" t="s">
        <v>4512</v>
      </c>
      <c r="H161" s="1006" t="s">
        <v>1267</v>
      </c>
      <c r="I161" s="1006" t="s">
        <v>4513</v>
      </c>
      <c r="J161" s="1343" t="s">
        <v>1252</v>
      </c>
      <c r="K161" s="1006"/>
      <c r="L161" s="1006"/>
      <c r="M161" s="1006"/>
      <c r="N161" s="1006"/>
      <c r="O161" s="1006"/>
      <c r="P161" s="1343"/>
      <c r="Z161" s="333"/>
      <c r="AA161" s="333"/>
    </row>
    <row r="162" spans="1:50" ht="14.25" thickBot="1" x14ac:dyDescent="0.25">
      <c r="A162" s="1344">
        <v>1</v>
      </c>
      <c r="B162" s="1345">
        <v>2</v>
      </c>
      <c r="C162" s="1345">
        <v>3</v>
      </c>
      <c r="D162" s="1345">
        <v>4</v>
      </c>
      <c r="E162" s="1345">
        <v>5</v>
      </c>
      <c r="F162" s="1345">
        <v>6</v>
      </c>
      <c r="G162" s="1345">
        <v>7</v>
      </c>
      <c r="H162" s="1345">
        <v>8</v>
      </c>
      <c r="I162" s="1345">
        <v>9</v>
      </c>
      <c r="J162" s="1346">
        <v>0</v>
      </c>
      <c r="K162" s="1345"/>
      <c r="L162" s="1345"/>
      <c r="M162" s="1345"/>
      <c r="N162" s="1345"/>
      <c r="O162" s="1345"/>
      <c r="P162" s="1346"/>
      <c r="Z162" s="333"/>
      <c r="AA162" s="333"/>
    </row>
    <row r="163" spans="1:50" ht="13.5" x14ac:dyDescent="0.2">
      <c r="A163" s="1339" t="s">
        <v>1005</v>
      </c>
      <c r="B163" s="1340" t="s">
        <v>4536</v>
      </c>
      <c r="C163" s="1340" t="s">
        <v>4537</v>
      </c>
      <c r="D163" s="1340" t="s">
        <v>1055</v>
      </c>
      <c r="E163" s="1341" t="s">
        <v>984</v>
      </c>
      <c r="F163" s="1340"/>
      <c r="G163" s="1340"/>
      <c r="H163" s="1340"/>
      <c r="I163" s="1340"/>
      <c r="J163" s="1340"/>
      <c r="K163" s="1340"/>
      <c r="L163" s="1340"/>
      <c r="M163" s="1340"/>
      <c r="N163" s="1340"/>
      <c r="O163" s="1340"/>
      <c r="P163" s="1341"/>
      <c r="Z163" s="333"/>
      <c r="AA163" s="333"/>
    </row>
    <row r="164" spans="1:50" ht="13.5" x14ac:dyDescent="0.2">
      <c r="A164" s="1342" t="s">
        <v>1222</v>
      </c>
      <c r="B164" s="1006" t="s">
        <v>4514</v>
      </c>
      <c r="C164" s="1006" t="s">
        <v>4515</v>
      </c>
      <c r="D164" s="1006" t="s">
        <v>1272</v>
      </c>
      <c r="E164" s="1343" t="s">
        <v>1202</v>
      </c>
      <c r="F164" s="1006"/>
      <c r="G164" s="1006"/>
      <c r="H164" s="1006"/>
      <c r="I164" s="1006"/>
      <c r="J164" s="1006"/>
      <c r="K164" s="1006"/>
      <c r="L164" s="1006"/>
      <c r="M164" s="1006"/>
      <c r="N164" s="1006"/>
      <c r="O164" s="1006"/>
      <c r="P164" s="1343"/>
      <c r="Z164" s="333"/>
      <c r="AA164" s="333"/>
    </row>
    <row r="165" spans="1:50" ht="14.25" thickBot="1" x14ac:dyDescent="0.25">
      <c r="A165" s="1344">
        <v>1</v>
      </c>
      <c r="B165" s="1345">
        <v>2</v>
      </c>
      <c r="C165" s="1345">
        <v>3</v>
      </c>
      <c r="D165" s="1345">
        <v>4</v>
      </c>
      <c r="E165" s="1346">
        <v>5</v>
      </c>
      <c r="F165" s="1345"/>
      <c r="G165" s="1345"/>
      <c r="H165" s="1345"/>
      <c r="I165" s="1345"/>
      <c r="J165" s="1345"/>
      <c r="K165" s="1345"/>
      <c r="L165" s="1345"/>
      <c r="M165" s="1345"/>
      <c r="N165" s="1345"/>
      <c r="O165" s="1345"/>
      <c r="P165" s="1346"/>
      <c r="Z165" s="333"/>
      <c r="AA165" s="333"/>
    </row>
    <row r="166" spans="1:50" ht="13.5" x14ac:dyDescent="0.2">
      <c r="A166" s="1339" t="s">
        <v>1045</v>
      </c>
      <c r="B166" s="1340" t="s">
        <v>1015</v>
      </c>
      <c r="C166" s="1340" t="s">
        <v>1185</v>
      </c>
      <c r="D166" s="1340" t="s">
        <v>990</v>
      </c>
      <c r="E166" s="1340" t="s">
        <v>4538</v>
      </c>
      <c r="F166" s="1340" t="s">
        <v>4539</v>
      </c>
      <c r="G166" s="1340" t="s">
        <v>1040</v>
      </c>
      <c r="H166" s="1340" t="s">
        <v>1010</v>
      </c>
      <c r="I166" s="1341" t="s">
        <v>4587</v>
      </c>
      <c r="J166" s="1006"/>
      <c r="K166" s="1006"/>
      <c r="L166" s="1006"/>
      <c r="M166" s="1006"/>
      <c r="N166" s="1006"/>
      <c r="O166" s="1006"/>
      <c r="P166" s="1006"/>
      <c r="Z166" s="333"/>
      <c r="AA166" s="333"/>
    </row>
    <row r="167" spans="1:50" ht="13.5" x14ac:dyDescent="0.2">
      <c r="A167" s="1347" t="s">
        <v>1262</v>
      </c>
      <c r="B167" s="1348" t="s">
        <v>1232</v>
      </c>
      <c r="C167" s="1348" t="s">
        <v>1287</v>
      </c>
      <c r="D167" s="1348" t="s">
        <v>1207</v>
      </c>
      <c r="E167" s="1348" t="s">
        <v>4516</v>
      </c>
      <c r="F167" s="1348" t="s">
        <v>4517</v>
      </c>
      <c r="G167" s="1348" t="s">
        <v>1257</v>
      </c>
      <c r="H167" s="1348" t="s">
        <v>1227</v>
      </c>
      <c r="I167" s="1349" t="s">
        <v>4586</v>
      </c>
      <c r="J167" s="1338"/>
      <c r="K167" s="1338"/>
      <c r="L167" s="1338"/>
      <c r="M167" s="1338"/>
      <c r="N167" s="1338"/>
      <c r="O167" s="1338"/>
      <c r="P167" s="1338"/>
      <c r="R167" s="331"/>
      <c r="S167" s="331"/>
      <c r="T167" s="331"/>
      <c r="U167" s="331"/>
      <c r="V167" s="331"/>
      <c r="W167" s="331"/>
      <c r="X167" s="331"/>
      <c r="Y167" s="331"/>
      <c r="Z167" s="331"/>
      <c r="AA167" s="331"/>
      <c r="AB167" s="331"/>
      <c r="AC167" s="331"/>
      <c r="AD167" s="331"/>
      <c r="AE167" s="331"/>
      <c r="AF167" s="331"/>
      <c r="AG167" s="331"/>
      <c r="AH167" s="331"/>
      <c r="AI167" s="331"/>
      <c r="AJ167" s="331"/>
      <c r="AK167" s="331"/>
      <c r="AL167" s="331"/>
      <c r="AM167" s="331"/>
      <c r="AN167" s="331"/>
      <c r="AO167" s="331"/>
      <c r="AP167" s="331"/>
      <c r="AQ167" s="331"/>
      <c r="AR167" s="331"/>
      <c r="AS167" s="331"/>
      <c r="AT167" s="331"/>
      <c r="AV167" s="331"/>
      <c r="AX167" s="331"/>
    </row>
    <row r="168" spans="1:50" ht="14.25" thickBot="1" x14ac:dyDescent="0.25">
      <c r="A168" s="1344">
        <v>1</v>
      </c>
      <c r="B168" s="1345">
        <v>2</v>
      </c>
      <c r="C168" s="1345">
        <v>3</v>
      </c>
      <c r="D168" s="1345">
        <v>4</v>
      </c>
      <c r="E168" s="1345">
        <v>5</v>
      </c>
      <c r="F168" s="1345">
        <v>6</v>
      </c>
      <c r="G168" s="1345">
        <v>7</v>
      </c>
      <c r="H168" s="1345">
        <v>8</v>
      </c>
      <c r="I168" s="1346" t="s">
        <v>4585</v>
      </c>
      <c r="J168" s="1338"/>
      <c r="K168" s="1338"/>
      <c r="L168" s="1338"/>
      <c r="M168" s="1338"/>
      <c r="N168" s="1338"/>
      <c r="O168" s="1338"/>
      <c r="P168" s="1338"/>
      <c r="R168" s="331"/>
      <c r="S168" s="331"/>
      <c r="T168" s="331"/>
      <c r="U168" s="331"/>
      <c r="V168" s="331"/>
      <c r="W168" s="331"/>
      <c r="X168" s="331"/>
      <c r="Y168" s="331"/>
      <c r="Z168" s="331"/>
      <c r="AA168" s="331"/>
      <c r="AB168" s="331"/>
      <c r="AC168" s="331"/>
      <c r="AD168" s="331"/>
      <c r="AE168" s="331"/>
      <c r="AF168" s="331"/>
      <c r="AG168" s="331"/>
      <c r="AH168" s="331"/>
      <c r="AI168" s="331"/>
      <c r="AJ168" s="331"/>
      <c r="AK168" s="331"/>
      <c r="AL168" s="331"/>
      <c r="AM168" s="331"/>
      <c r="AN168" s="331"/>
      <c r="AO168" s="331"/>
      <c r="AP168" s="331"/>
      <c r="AQ168" s="331"/>
      <c r="AR168" s="331"/>
      <c r="AS168" s="331"/>
      <c r="AT168" s="331"/>
      <c r="AV168" s="331"/>
      <c r="AX168" s="331"/>
    </row>
    <row r="170" spans="1:50" ht="15" x14ac:dyDescent="0.2">
      <c r="A170" s="960" t="s">
        <v>2419</v>
      </c>
      <c r="B170" s="960" t="s">
        <v>947</v>
      </c>
      <c r="C170" s="960" t="s">
        <v>948</v>
      </c>
      <c r="D170" s="960" t="s">
        <v>949</v>
      </c>
      <c r="E170" s="960" t="s">
        <v>950</v>
      </c>
      <c r="F170" s="960" t="s">
        <v>3647</v>
      </c>
      <c r="G170" s="961" t="s">
        <v>3639</v>
      </c>
      <c r="H170" s="961" t="s">
        <v>3640</v>
      </c>
      <c r="I170" s="961" t="s">
        <v>3641</v>
      </c>
      <c r="J170" s="961" t="s">
        <v>3642</v>
      </c>
      <c r="N170" s="331"/>
      <c r="Z170" s="333"/>
      <c r="AB170" s="631"/>
    </row>
    <row r="171" spans="1:50" ht="15" x14ac:dyDescent="0.2">
      <c r="A171" s="960">
        <v>1</v>
      </c>
      <c r="B171" s="960" t="s">
        <v>2393</v>
      </c>
      <c r="C171" s="960" t="s">
        <v>2394</v>
      </c>
      <c r="D171" s="960" t="s">
        <v>2395</v>
      </c>
      <c r="E171" s="960" t="s">
        <v>2396</v>
      </c>
      <c r="F171" s="960" t="s">
        <v>3643</v>
      </c>
      <c r="G171" s="963" t="str">
        <f t="shared" ref="G171:J174" si="11">B176&amp;" "&amp;G176</f>
        <v>अ क थ ह a ka tha ha</v>
      </c>
      <c r="H171" s="963" t="str">
        <f t="shared" si="11"/>
        <v>उ ङ प u ṅa pa</v>
      </c>
      <c r="I171" s="963" t="str">
        <f t="shared" si="11"/>
        <v>आ ख द ā kha da</v>
      </c>
      <c r="J171" s="963" t="str">
        <f t="shared" si="11"/>
        <v>ऊ च फ ū ca pha</v>
      </c>
      <c r="N171" s="331"/>
      <c r="Z171" s="333"/>
      <c r="AB171" s="631"/>
    </row>
    <row r="172" spans="1:50" ht="15" x14ac:dyDescent="0.2">
      <c r="A172" s="960">
        <v>2</v>
      </c>
      <c r="B172" s="960" t="s">
        <v>2397</v>
      </c>
      <c r="C172" s="960" t="s">
        <v>2398</v>
      </c>
      <c r="D172" s="960" t="s">
        <v>2399</v>
      </c>
      <c r="E172" s="960" t="s">
        <v>2400</v>
      </c>
      <c r="F172" s="960" t="s">
        <v>3644</v>
      </c>
      <c r="G172" s="963" t="str">
        <f t="shared" si="11"/>
        <v>ओ ड व o ḍa va</v>
      </c>
      <c r="H172" s="963" t="str">
        <f t="shared" si="11"/>
        <v>ऌ झ म ḷ jha ma</v>
      </c>
      <c r="I172" s="963" t="str">
        <f t="shared" si="11"/>
        <v>औ ढ श au ḍha śa</v>
      </c>
      <c r="J172" s="963" t="str">
        <f t="shared" si="11"/>
        <v>ॡ ञ य ḹ ña ya</v>
      </c>
      <c r="N172" s="331"/>
      <c r="Z172" s="333"/>
      <c r="AB172" s="631"/>
    </row>
    <row r="173" spans="1:50" ht="15" x14ac:dyDescent="0.2">
      <c r="A173" s="960">
        <v>3</v>
      </c>
      <c r="B173" s="960" t="s">
        <v>2401</v>
      </c>
      <c r="C173" s="960" t="s">
        <v>2402</v>
      </c>
      <c r="D173" s="960" t="s">
        <v>2403</v>
      </c>
      <c r="E173" s="960" t="s">
        <v>2404</v>
      </c>
      <c r="F173" s="960" t="s">
        <v>3645</v>
      </c>
      <c r="G173" s="963" t="str">
        <f t="shared" si="11"/>
        <v>ई घ न ī gha na</v>
      </c>
      <c r="H173" s="963" t="str">
        <f t="shared" si="11"/>
        <v>ॠ ज भ ṝ ja bha</v>
      </c>
      <c r="I173" s="963" t="str">
        <f t="shared" si="11"/>
        <v>इ ग ध i ga dha</v>
      </c>
      <c r="J173" s="963" t="str">
        <f t="shared" si="11"/>
        <v>ऋ छ ब ṛ cha ba</v>
      </c>
      <c r="N173" s="331"/>
      <c r="Z173" s="333"/>
      <c r="AB173" s="631"/>
    </row>
    <row r="174" spans="1:50" ht="15" x14ac:dyDescent="0.2">
      <c r="A174" s="960">
        <v>4</v>
      </c>
      <c r="B174" s="960" t="s">
        <v>2405</v>
      </c>
      <c r="C174" s="960" t="s">
        <v>2406</v>
      </c>
      <c r="D174" s="960" t="s">
        <v>2407</v>
      </c>
      <c r="E174" s="960" t="s">
        <v>2408</v>
      </c>
      <c r="F174" s="960" t="s">
        <v>3646</v>
      </c>
      <c r="G174" s="963" t="str">
        <f t="shared" si="11"/>
        <v>अः त स aḥ ta sa</v>
      </c>
      <c r="H174" s="963" t="str">
        <f t="shared" si="11"/>
        <v>ऐ ठ ल ai ṭha la</v>
      </c>
      <c r="I174" s="963" t="str">
        <f t="shared" si="11"/>
        <v>अं ण ष aṁ ṇa ṣa</v>
      </c>
      <c r="J174" s="963" t="str">
        <f t="shared" si="11"/>
        <v>ए ट र e ṭa ra</v>
      </c>
      <c r="N174" s="331"/>
      <c r="Z174" s="333"/>
      <c r="AB174" s="631"/>
    </row>
    <row r="175" spans="1:50" ht="15" x14ac:dyDescent="0.2">
      <c r="A175" s="962" t="s">
        <v>2598</v>
      </c>
      <c r="B175" s="960">
        <v>1</v>
      </c>
      <c r="C175" s="960">
        <v>2</v>
      </c>
      <c r="D175" s="960">
        <v>3</v>
      </c>
      <c r="E175" s="960">
        <v>4</v>
      </c>
      <c r="F175" s="960"/>
      <c r="G175" s="961">
        <v>1</v>
      </c>
      <c r="H175" s="961">
        <v>2</v>
      </c>
      <c r="I175" s="961">
        <v>3</v>
      </c>
      <c r="J175" s="961">
        <v>4</v>
      </c>
      <c r="N175" s="331"/>
      <c r="Z175" s="333"/>
      <c r="AB175" s="631"/>
    </row>
    <row r="176" spans="1:50" ht="15" x14ac:dyDescent="0.2">
      <c r="A176" s="960">
        <v>1</v>
      </c>
      <c r="B176" s="962" t="s">
        <v>3623</v>
      </c>
      <c r="C176" s="962" t="s">
        <v>3627</v>
      </c>
      <c r="D176" s="962" t="s">
        <v>3634</v>
      </c>
      <c r="E176" s="962" t="s">
        <v>3635</v>
      </c>
      <c r="F176" s="962">
        <v>1</v>
      </c>
      <c r="G176" s="961" t="s">
        <v>3608</v>
      </c>
      <c r="H176" s="961" t="s">
        <v>3612</v>
      </c>
      <c r="I176" s="961" t="s">
        <v>3616</v>
      </c>
      <c r="J176" s="961" t="s">
        <v>3619</v>
      </c>
      <c r="N176" s="331"/>
      <c r="Z176" s="333"/>
      <c r="AB176" s="631"/>
    </row>
    <row r="177" spans="1:28" ht="15" x14ac:dyDescent="0.2">
      <c r="A177" s="960">
        <v>2</v>
      </c>
      <c r="B177" s="962" t="s">
        <v>3624</v>
      </c>
      <c r="C177" s="962" t="s">
        <v>3628</v>
      </c>
      <c r="D177" s="962" t="s">
        <v>3633</v>
      </c>
      <c r="E177" s="962" t="s">
        <v>3636</v>
      </c>
      <c r="F177" s="962">
        <v>2</v>
      </c>
      <c r="G177" s="961" t="s">
        <v>3609</v>
      </c>
      <c r="H177" s="961" t="s">
        <v>3613</v>
      </c>
      <c r="I177" s="961" t="s">
        <v>3617</v>
      </c>
      <c r="J177" s="961" t="s">
        <v>3620</v>
      </c>
      <c r="N177" s="331"/>
      <c r="Z177" s="333"/>
      <c r="AB177" s="631"/>
    </row>
    <row r="178" spans="1:28" ht="15" x14ac:dyDescent="0.2">
      <c r="A178" s="960">
        <v>3</v>
      </c>
      <c r="B178" s="962" t="s">
        <v>3625</v>
      </c>
      <c r="C178" s="962" t="s">
        <v>3629</v>
      </c>
      <c r="D178" s="962" t="s">
        <v>3632</v>
      </c>
      <c r="E178" s="962" t="s">
        <v>3637</v>
      </c>
      <c r="F178" s="962">
        <v>3</v>
      </c>
      <c r="G178" s="961" t="s">
        <v>3610</v>
      </c>
      <c r="H178" s="961" t="s">
        <v>3614</v>
      </c>
      <c r="I178" s="961" t="s">
        <v>2403</v>
      </c>
      <c r="J178" s="961" t="s">
        <v>3621</v>
      </c>
      <c r="N178" s="331"/>
      <c r="Z178" s="333"/>
      <c r="AB178" s="631"/>
    </row>
    <row r="179" spans="1:28" ht="15" x14ac:dyDescent="0.2">
      <c r="A179" s="960">
        <v>4</v>
      </c>
      <c r="B179" s="962" t="s">
        <v>3626</v>
      </c>
      <c r="C179" s="962" t="s">
        <v>3630</v>
      </c>
      <c r="D179" s="962" t="s">
        <v>3631</v>
      </c>
      <c r="E179" s="962" t="s">
        <v>3638</v>
      </c>
      <c r="F179" s="962">
        <v>4</v>
      </c>
      <c r="G179" s="961" t="s">
        <v>3611</v>
      </c>
      <c r="H179" s="961" t="s">
        <v>3615</v>
      </c>
      <c r="I179" s="961" t="s">
        <v>3618</v>
      </c>
      <c r="J179" s="961" t="s">
        <v>3622</v>
      </c>
      <c r="N179" s="331"/>
      <c r="Z179" s="333"/>
      <c r="AB179" s="631"/>
    </row>
    <row r="181" spans="1:28" x14ac:dyDescent="0.2">
      <c r="B181" s="331" t="s">
        <v>2599</v>
      </c>
      <c r="C181" s="331" t="s">
        <v>2600</v>
      </c>
      <c r="D181" s="331" t="s">
        <v>2601</v>
      </c>
      <c r="E181" s="332" t="s">
        <v>2602</v>
      </c>
      <c r="F181" s="353" t="s">
        <v>2603</v>
      </c>
      <c r="G181" s="331" t="s">
        <v>2599</v>
      </c>
      <c r="H181" s="331" t="s">
        <v>2600</v>
      </c>
      <c r="I181" s="331" t="s">
        <v>2601</v>
      </c>
      <c r="J181" s="332" t="s">
        <v>2602</v>
      </c>
      <c r="K181" s="353" t="s">
        <v>2603</v>
      </c>
    </row>
    <row r="182" spans="1:28" x14ac:dyDescent="0.2">
      <c r="B182" s="331">
        <v>1</v>
      </c>
      <c r="C182" s="331">
        <v>2</v>
      </c>
      <c r="D182" s="331">
        <v>3</v>
      </c>
      <c r="E182" s="331">
        <v>4</v>
      </c>
      <c r="F182" s="331">
        <v>5</v>
      </c>
      <c r="G182" s="331">
        <v>1</v>
      </c>
      <c r="H182" s="331">
        <v>2</v>
      </c>
      <c r="I182" s="331">
        <v>3</v>
      </c>
      <c r="J182" s="331">
        <v>4</v>
      </c>
      <c r="K182" s="331">
        <v>5</v>
      </c>
    </row>
    <row r="183" spans="1:28" x14ac:dyDescent="0.2">
      <c r="F183" s="354"/>
    </row>
    <row r="184" spans="1:28" x14ac:dyDescent="0.2">
      <c r="F184" s="338"/>
    </row>
    <row r="185" spans="1:28" x14ac:dyDescent="0.2">
      <c r="E185" s="355"/>
    </row>
    <row r="187" spans="1:28" x14ac:dyDescent="0.15">
      <c r="A187" s="737" t="s">
        <v>1716</v>
      </c>
      <c r="B187" s="332" t="s">
        <v>2410</v>
      </c>
      <c r="C187" s="332" t="s">
        <v>2411</v>
      </c>
      <c r="D187" s="332" t="s">
        <v>2412</v>
      </c>
      <c r="E187" s="332" t="s">
        <v>2413</v>
      </c>
      <c r="F187" s="331" t="s">
        <v>2590</v>
      </c>
      <c r="G187" s="331" t="s">
        <v>3711</v>
      </c>
    </row>
    <row r="188" spans="1:28" ht="93.75" x14ac:dyDescent="0.15">
      <c r="A188" s="737">
        <v>1</v>
      </c>
      <c r="B188" s="332" t="s">
        <v>126</v>
      </c>
      <c r="C188" s="332" t="s">
        <v>2586</v>
      </c>
      <c r="D188" s="332" t="s">
        <v>3867</v>
      </c>
      <c r="E188" s="332">
        <v>8</v>
      </c>
      <c r="F188" s="331" t="s">
        <v>3905</v>
      </c>
      <c r="G188" s="331">
        <v>8</v>
      </c>
    </row>
    <row r="189" spans="1:28" ht="83.25" x14ac:dyDescent="0.15">
      <c r="A189" s="737">
        <v>2</v>
      </c>
      <c r="B189" s="332" t="s">
        <v>3863</v>
      </c>
      <c r="C189" s="332" t="s">
        <v>4</v>
      </c>
      <c r="D189" s="332" t="s">
        <v>3876</v>
      </c>
      <c r="E189" s="332">
        <v>7</v>
      </c>
      <c r="G189" s="331">
        <v>0</v>
      </c>
    </row>
    <row r="190" spans="1:28" ht="21.75" x14ac:dyDescent="0.15">
      <c r="A190" s="737">
        <v>3</v>
      </c>
      <c r="B190" s="332" t="s">
        <v>2415</v>
      </c>
      <c r="C190" s="332" t="s">
        <v>3714</v>
      </c>
      <c r="D190" s="332" t="s">
        <v>3713</v>
      </c>
      <c r="E190" s="332">
        <v>6</v>
      </c>
      <c r="G190" s="331">
        <v>0</v>
      </c>
    </row>
    <row r="191" spans="1:28" ht="52.5" x14ac:dyDescent="0.15">
      <c r="A191" s="737">
        <v>4</v>
      </c>
      <c r="B191" s="332" t="s">
        <v>3862</v>
      </c>
      <c r="C191" s="737" t="s">
        <v>2587</v>
      </c>
      <c r="D191" s="332" t="s">
        <v>3877</v>
      </c>
      <c r="E191" s="737">
        <v>5</v>
      </c>
      <c r="F191" s="738"/>
      <c r="G191" s="738">
        <v>0</v>
      </c>
    </row>
    <row r="192" spans="1:28" ht="31.5" x14ac:dyDescent="0.15">
      <c r="A192" s="737">
        <v>5</v>
      </c>
      <c r="B192" s="332" t="s">
        <v>2111</v>
      </c>
      <c r="C192" s="332" t="s">
        <v>2588</v>
      </c>
      <c r="D192" s="332" t="s">
        <v>3712</v>
      </c>
      <c r="E192" s="332">
        <v>4</v>
      </c>
      <c r="G192" s="331">
        <v>2</v>
      </c>
    </row>
    <row r="193" spans="1:13" ht="83.25" x14ac:dyDescent="0.15">
      <c r="A193" s="737">
        <v>6</v>
      </c>
      <c r="B193" s="332" t="s">
        <v>2414</v>
      </c>
      <c r="C193" s="332" t="s">
        <v>3710</v>
      </c>
      <c r="D193" s="332" t="s">
        <v>3868</v>
      </c>
      <c r="E193" s="332">
        <v>3</v>
      </c>
      <c r="F193" s="331" t="s">
        <v>1168</v>
      </c>
      <c r="G193" s="331">
        <v>3</v>
      </c>
    </row>
    <row r="194" spans="1:13" ht="218.25" x14ac:dyDescent="0.15">
      <c r="A194" s="737">
        <v>7</v>
      </c>
      <c r="B194" s="737" t="s">
        <v>2589</v>
      </c>
      <c r="C194" s="332" t="s">
        <v>3904</v>
      </c>
      <c r="D194" s="332" t="s">
        <v>3869</v>
      </c>
      <c r="E194" s="737">
        <v>2</v>
      </c>
      <c r="F194" s="738"/>
      <c r="G194" s="738">
        <v>1</v>
      </c>
    </row>
    <row r="195" spans="1:13" ht="125.25" x14ac:dyDescent="0.15">
      <c r="A195" s="737">
        <v>8</v>
      </c>
      <c r="B195" s="332" t="s">
        <v>2027</v>
      </c>
      <c r="C195" s="332" t="s">
        <v>2597</v>
      </c>
      <c r="D195" s="332" t="s">
        <v>3870</v>
      </c>
      <c r="E195" s="332">
        <v>1</v>
      </c>
      <c r="G195" s="331">
        <v>0.5</v>
      </c>
    </row>
    <row r="196" spans="1:13" ht="409.5" x14ac:dyDescent="0.15">
      <c r="A196" s="737">
        <v>9</v>
      </c>
      <c r="B196" s="332" t="s">
        <v>2416</v>
      </c>
      <c r="C196" s="356" t="s">
        <v>0</v>
      </c>
      <c r="D196" s="356" t="s">
        <v>3879</v>
      </c>
      <c r="E196" s="356" t="s">
        <v>3872</v>
      </c>
      <c r="F196" s="356"/>
      <c r="G196" s="356"/>
      <c r="H196" s="356"/>
      <c r="I196" s="356"/>
      <c r="J196" s="356"/>
      <c r="K196" s="356"/>
      <c r="L196" s="356"/>
      <c r="M196" s="356"/>
    </row>
    <row r="197" spans="1:13" ht="135" x14ac:dyDescent="0.15">
      <c r="A197" s="737">
        <v>10</v>
      </c>
      <c r="B197" s="356" t="s">
        <v>1</v>
      </c>
      <c r="C197" s="356" t="s">
        <v>3871</v>
      </c>
      <c r="D197" s="356" t="s">
        <v>2</v>
      </c>
      <c r="E197" s="356" t="s">
        <v>3872</v>
      </c>
      <c r="F197" s="356"/>
      <c r="G197" s="356"/>
      <c r="H197" s="356"/>
      <c r="I197" s="356"/>
      <c r="J197" s="356"/>
      <c r="K197" s="356"/>
      <c r="L197" s="356"/>
    </row>
    <row r="198" spans="1:13" ht="73.5" x14ac:dyDescent="0.15">
      <c r="A198" s="737">
        <v>11</v>
      </c>
      <c r="B198" s="332" t="s">
        <v>3864</v>
      </c>
      <c r="C198" s="332" t="s">
        <v>5</v>
      </c>
      <c r="D198" s="332" t="s">
        <v>125</v>
      </c>
      <c r="E198" s="332" t="s">
        <v>3872</v>
      </c>
    </row>
    <row r="199" spans="1:13" ht="31.5" x14ac:dyDescent="0.15">
      <c r="A199" s="737">
        <v>12</v>
      </c>
      <c r="B199" s="332" t="s">
        <v>3865</v>
      </c>
      <c r="C199" s="332" t="s">
        <v>3866</v>
      </c>
      <c r="D199" s="332" t="s">
        <v>3</v>
      </c>
      <c r="E199" s="332" t="s">
        <v>3872</v>
      </c>
    </row>
    <row r="200" spans="1:13" ht="21.75" x14ac:dyDescent="0.15">
      <c r="A200" s="910">
        <v>13</v>
      </c>
      <c r="B200" s="910" t="s">
        <v>3873</v>
      </c>
      <c r="C200" s="910" t="s">
        <v>3874</v>
      </c>
      <c r="D200" s="910" t="s">
        <v>3875</v>
      </c>
      <c r="E200" s="910" t="s">
        <v>3872</v>
      </c>
      <c r="F200" s="1000"/>
      <c r="G200" s="1000"/>
    </row>
    <row r="201" spans="1:13" x14ac:dyDescent="0.2">
      <c r="B201" s="332"/>
      <c r="C201" s="332"/>
      <c r="D201" s="332"/>
    </row>
    <row r="202" spans="1:13" x14ac:dyDescent="0.15">
      <c r="A202" s="332" t="s">
        <v>1600</v>
      </c>
      <c r="B202" s="1011" t="s">
        <v>2591</v>
      </c>
      <c r="C202" s="331" t="s">
        <v>3878</v>
      </c>
      <c r="D202" s="332" t="s">
        <v>2409</v>
      </c>
    </row>
    <row r="203" spans="1:13" x14ac:dyDescent="0.2">
      <c r="A203" s="910"/>
      <c r="B203" s="910"/>
      <c r="C203" s="910"/>
      <c r="D203" s="910"/>
      <c r="E203" s="910"/>
      <c r="F203" s="1000"/>
      <c r="G203" s="1000"/>
    </row>
    <row r="204" spans="1:13" x14ac:dyDescent="0.2">
      <c r="A204" s="706" t="s">
        <v>127</v>
      </c>
      <c r="B204" s="706" t="s">
        <v>128</v>
      </c>
      <c r="C204" s="706" t="s">
        <v>129</v>
      </c>
      <c r="D204" s="706" t="s">
        <v>130</v>
      </c>
      <c r="M204" s="333"/>
    </row>
    <row r="205" spans="1:13" x14ac:dyDescent="0.2">
      <c r="A205" s="339" t="s">
        <v>131</v>
      </c>
      <c r="B205" s="339" t="s">
        <v>132</v>
      </c>
      <c r="C205" s="339" t="s">
        <v>133</v>
      </c>
      <c r="D205" s="339" t="s">
        <v>134</v>
      </c>
      <c r="M205" s="333"/>
    </row>
    <row r="206" spans="1:13" x14ac:dyDescent="0.2">
      <c r="A206" s="339" t="s">
        <v>135</v>
      </c>
      <c r="B206" s="339" t="s">
        <v>136</v>
      </c>
      <c r="C206" s="339" t="s">
        <v>137</v>
      </c>
      <c r="D206" s="339" t="s">
        <v>138</v>
      </c>
      <c r="M206" s="333"/>
    </row>
    <row r="207" spans="1:13" ht="13.5" customHeight="1" x14ac:dyDescent="0.2">
      <c r="A207" s="339" t="s">
        <v>139</v>
      </c>
      <c r="B207" s="339" t="s">
        <v>140</v>
      </c>
      <c r="C207" s="339" t="s">
        <v>141</v>
      </c>
      <c r="D207" s="339" t="s">
        <v>142</v>
      </c>
      <c r="M207" s="333"/>
    </row>
    <row r="208" spans="1:13" ht="13.5" customHeight="1" x14ac:dyDescent="0.15">
      <c r="A208" s="688" t="s">
        <v>143</v>
      </c>
      <c r="B208" s="688"/>
      <c r="C208" s="688"/>
      <c r="D208" s="339"/>
      <c r="M208" s="333"/>
    </row>
    <row r="209" spans="1:256" ht="13.5" customHeight="1" x14ac:dyDescent="0.15">
      <c r="A209" s="688" t="s">
        <v>144</v>
      </c>
      <c r="B209" s="688"/>
      <c r="C209" s="688"/>
      <c r="D209" s="339"/>
    </row>
    <row r="210" spans="1:256" ht="21.75" x14ac:dyDescent="0.15">
      <c r="A210" s="688" t="s">
        <v>145</v>
      </c>
      <c r="B210" s="688"/>
      <c r="C210" s="688"/>
      <c r="D210" s="339"/>
    </row>
    <row r="211" spans="1:256" ht="63" x14ac:dyDescent="0.15">
      <c r="A211" s="689" t="s">
        <v>2606</v>
      </c>
      <c r="B211" s="689"/>
      <c r="C211" s="689"/>
      <c r="D211" s="339"/>
    </row>
    <row r="212" spans="1:256" ht="12.75" customHeight="1" x14ac:dyDescent="0.2">
      <c r="A212" s="689"/>
      <c r="B212" s="689"/>
      <c r="C212" s="689"/>
    </row>
    <row r="213" spans="1:256" s="607" customFormat="1" ht="13.5" thickBot="1" x14ac:dyDescent="0.25">
      <c r="A213" s="1558" t="s">
        <v>146</v>
      </c>
      <c r="B213" s="1558"/>
      <c r="C213" s="331"/>
      <c r="D213" s="331"/>
      <c r="E213" s="332"/>
      <c r="F213" s="331"/>
      <c r="G213" s="331"/>
      <c r="H213" s="331"/>
      <c r="I213" s="331"/>
      <c r="J213" s="331"/>
      <c r="K213" s="331"/>
      <c r="L213" s="331"/>
      <c r="M213" s="331"/>
      <c r="N213" s="333"/>
      <c r="O213" s="333"/>
      <c r="P213" s="333"/>
      <c r="Q213" s="333"/>
      <c r="R213" s="333"/>
      <c r="S213" s="333"/>
      <c r="T213" s="333"/>
      <c r="U213" s="333"/>
      <c r="V213" s="333"/>
      <c r="W213" s="333"/>
      <c r="X213" s="333"/>
      <c r="Y213" s="333"/>
      <c r="Z213" s="631"/>
      <c r="AA213" s="631"/>
      <c r="AB213" s="333"/>
      <c r="AC213" s="333"/>
      <c r="AD213" s="333"/>
      <c r="AE213" s="333"/>
      <c r="AF213" s="333"/>
      <c r="AG213" s="333"/>
      <c r="AH213" s="333"/>
      <c r="AI213" s="333"/>
      <c r="AJ213" s="333"/>
      <c r="AK213" s="333"/>
      <c r="AL213" s="333"/>
      <c r="AM213" s="333"/>
      <c r="AN213" s="333"/>
      <c r="AO213" s="333"/>
      <c r="AP213" s="333"/>
      <c r="AQ213" s="333"/>
      <c r="AR213" s="333"/>
      <c r="AS213" s="333"/>
      <c r="IV213" s="359"/>
    </row>
    <row r="214" spans="1:256" ht="13.5" thickBot="1" x14ac:dyDescent="0.2">
      <c r="A214" s="604"/>
      <c r="B214" s="368" t="s">
        <v>4006</v>
      </c>
      <c r="C214" s="368" t="s">
        <v>4011</v>
      </c>
      <c r="D214" s="605" t="s">
        <v>4007</v>
      </c>
      <c r="E214" s="368" t="s">
        <v>4008</v>
      </c>
      <c r="F214" s="368" t="s">
        <v>147</v>
      </c>
      <c r="G214" s="368" t="s">
        <v>147</v>
      </c>
      <c r="H214" s="606" t="s">
        <v>1539</v>
      </c>
      <c r="I214" s="606" t="s">
        <v>148</v>
      </c>
      <c r="J214" s="606" t="s">
        <v>149</v>
      </c>
      <c r="K214" s="368" t="s">
        <v>150</v>
      </c>
      <c r="L214" s="368" t="s">
        <v>1504</v>
      </c>
      <c r="M214" s="359" t="s">
        <v>151</v>
      </c>
      <c r="N214" s="607" t="s">
        <v>152</v>
      </c>
      <c r="O214" s="368" t="s">
        <v>153</v>
      </c>
      <c r="P214" s="368" t="s">
        <v>154</v>
      </c>
      <c r="Q214" s="608" t="s">
        <v>155</v>
      </c>
      <c r="R214" s="609" t="s">
        <v>156</v>
      </c>
      <c r="S214" s="607" t="s">
        <v>4241</v>
      </c>
      <c r="T214" s="607" t="s">
        <v>157</v>
      </c>
      <c r="U214" s="607" t="s">
        <v>4009</v>
      </c>
      <c r="V214" s="607" t="s">
        <v>4009</v>
      </c>
      <c r="W214" s="607" t="s">
        <v>158</v>
      </c>
      <c r="X214" s="607" t="s">
        <v>68</v>
      </c>
      <c r="Y214" s="607" t="s">
        <v>69</v>
      </c>
      <c r="Z214" s="633" t="s">
        <v>70</v>
      </c>
      <c r="AA214" s="633" t="s">
        <v>2093</v>
      </c>
      <c r="AB214" s="607" t="s">
        <v>3557</v>
      </c>
      <c r="AC214" s="607" t="s">
        <v>3558</v>
      </c>
      <c r="AD214" s="607" t="s">
        <v>3559</v>
      </c>
      <c r="AE214" s="607" t="s">
        <v>4012</v>
      </c>
      <c r="AF214" s="607" t="s">
        <v>3683</v>
      </c>
      <c r="AG214" s="607" t="s">
        <v>4013</v>
      </c>
      <c r="AH214" s="607"/>
      <c r="AI214" s="607"/>
      <c r="AJ214" s="607"/>
      <c r="AK214" s="607"/>
      <c r="AL214" s="607"/>
      <c r="AM214" s="607"/>
      <c r="AN214" s="607"/>
      <c r="AO214" s="607"/>
      <c r="AP214" s="607"/>
      <c r="AQ214" s="607"/>
      <c r="AR214" s="607"/>
      <c r="IU214" s="346"/>
    </row>
    <row r="215" spans="1:256" ht="15" x14ac:dyDescent="0.2">
      <c r="A215" s="357">
        <v>1</v>
      </c>
      <c r="B215" s="358" t="s">
        <v>3648</v>
      </c>
      <c r="C215" s="359" t="s">
        <v>159</v>
      </c>
      <c r="D215" s="360" t="s">
        <v>160</v>
      </c>
      <c r="E215" s="346" t="s">
        <v>161</v>
      </c>
      <c r="F215" s="346" t="s">
        <v>2103</v>
      </c>
      <c r="G215" s="346" t="s">
        <v>2104</v>
      </c>
      <c r="H215" s="361" t="s">
        <v>1511</v>
      </c>
      <c r="I215" s="361" t="s">
        <v>162</v>
      </c>
      <c r="J215" s="361" t="s">
        <v>163</v>
      </c>
      <c r="K215" s="331" t="s">
        <v>1514</v>
      </c>
      <c r="L215" s="354">
        <f>12/4</f>
        <v>3</v>
      </c>
      <c r="M215" s="346" t="s">
        <v>164</v>
      </c>
      <c r="N215" s="333">
        <v>0</v>
      </c>
      <c r="O215" s="331" t="s">
        <v>165</v>
      </c>
      <c r="P215" s="331" t="s">
        <v>166</v>
      </c>
      <c r="Q215" s="331" t="s">
        <v>1511</v>
      </c>
      <c r="R215" s="362">
        <v>1</v>
      </c>
      <c r="S215" s="335" t="s">
        <v>1518</v>
      </c>
      <c r="T215" s="335">
        <v>7</v>
      </c>
      <c r="U215" s="363" t="s">
        <v>167</v>
      </c>
      <c r="V215" s="163" t="s">
        <v>168</v>
      </c>
      <c r="W215" s="98">
        <v>0</v>
      </c>
      <c r="X215" s="1137">
        <v>1</v>
      </c>
      <c r="Y215" s="333" t="s">
        <v>2051</v>
      </c>
      <c r="Z215" s="631" t="s">
        <v>71</v>
      </c>
      <c r="AA215" s="631" t="s">
        <v>2041</v>
      </c>
      <c r="AB215" s="947" t="s">
        <v>3579</v>
      </c>
      <c r="AC215" s="333" t="s">
        <v>3560</v>
      </c>
      <c r="AD215" s="333" t="s">
        <v>3561</v>
      </c>
      <c r="AE215" s="333" t="s">
        <v>3562</v>
      </c>
      <c r="AF215" t="s">
        <v>4020</v>
      </c>
      <c r="IU215" s="346"/>
    </row>
    <row r="216" spans="1:256" ht="15" x14ac:dyDescent="0.2">
      <c r="A216" s="364">
        <v>2</v>
      </c>
      <c r="B216" s="365" t="s">
        <v>3649</v>
      </c>
      <c r="C216" s="346" t="s">
        <v>170</v>
      </c>
      <c r="D216" s="360" t="s">
        <v>171</v>
      </c>
      <c r="E216" s="346" t="s">
        <v>172</v>
      </c>
      <c r="F216" s="346" t="s">
        <v>2119</v>
      </c>
      <c r="G216" s="346" t="s">
        <v>2120</v>
      </c>
      <c r="H216" s="361" t="s">
        <v>1512</v>
      </c>
      <c r="I216" s="361" t="s">
        <v>173</v>
      </c>
      <c r="J216" s="361" t="s">
        <v>174</v>
      </c>
      <c r="K216" s="331" t="s">
        <v>1514</v>
      </c>
      <c r="L216" s="331">
        <f>12/4</f>
        <v>3</v>
      </c>
      <c r="M216" s="346" t="s">
        <v>1583</v>
      </c>
      <c r="N216" s="333">
        <f t="shared" ref="N216:N235" si="12">N215+13+1/3</f>
        <v>13.333333333333334</v>
      </c>
      <c r="O216" s="331" t="s">
        <v>175</v>
      </c>
      <c r="P216" s="331" t="s">
        <v>176</v>
      </c>
      <c r="Q216" s="331" t="s">
        <v>1512</v>
      </c>
      <c r="R216" s="362">
        <v>2</v>
      </c>
      <c r="S216" s="335" t="s">
        <v>1519</v>
      </c>
      <c r="T216" s="335">
        <v>20</v>
      </c>
      <c r="U216" s="363" t="s">
        <v>177</v>
      </c>
      <c r="V216" s="163" t="s">
        <v>178</v>
      </c>
      <c r="W216" s="98">
        <v>0.5</v>
      </c>
      <c r="X216" s="1137">
        <v>2</v>
      </c>
      <c r="Y216" s="333" t="s">
        <v>2052</v>
      </c>
      <c r="Z216" s="631" t="s">
        <v>72</v>
      </c>
      <c r="AA216" s="631" t="s">
        <v>2042</v>
      </c>
      <c r="AB216" s="947" t="s">
        <v>3580</v>
      </c>
      <c r="AC216" s="333" t="s">
        <v>3581</v>
      </c>
      <c r="AD216" s="333" t="s">
        <v>3582</v>
      </c>
      <c r="AE216" s="333" t="s">
        <v>3563</v>
      </c>
      <c r="AF216" t="s">
        <v>4242</v>
      </c>
      <c r="IU216" s="346"/>
    </row>
    <row r="217" spans="1:256" ht="15" x14ac:dyDescent="0.2">
      <c r="A217" s="364">
        <v>3</v>
      </c>
      <c r="B217" s="365" t="s">
        <v>3498</v>
      </c>
      <c r="C217" s="346" t="s">
        <v>179</v>
      </c>
      <c r="D217" s="360" t="s">
        <v>180</v>
      </c>
      <c r="E217" s="346" t="s">
        <v>181</v>
      </c>
      <c r="F217" s="346" t="s">
        <v>2165</v>
      </c>
      <c r="G217" s="346" t="s">
        <v>2166</v>
      </c>
      <c r="H217" s="361" t="s">
        <v>1513</v>
      </c>
      <c r="I217" s="361" t="s">
        <v>182</v>
      </c>
      <c r="J217" s="361" t="s">
        <v>183</v>
      </c>
      <c r="K217" s="331" t="s">
        <v>1519</v>
      </c>
      <c r="L217" s="331">
        <f>21/3</f>
        <v>7</v>
      </c>
      <c r="M217" s="346" t="s">
        <v>1510</v>
      </c>
      <c r="N217" s="333">
        <f t="shared" si="12"/>
        <v>26.666666666666668</v>
      </c>
      <c r="O217" s="331" t="s">
        <v>184</v>
      </c>
      <c r="P217" s="331" t="s">
        <v>185</v>
      </c>
      <c r="Q217" s="331" t="s">
        <v>1513</v>
      </c>
      <c r="R217" s="362">
        <v>3</v>
      </c>
      <c r="S217" s="335" t="s">
        <v>1511</v>
      </c>
      <c r="T217" s="335">
        <v>6</v>
      </c>
      <c r="U217" s="363" t="s">
        <v>186</v>
      </c>
      <c r="V217" s="163" t="s">
        <v>187</v>
      </c>
      <c r="W217" s="98">
        <v>0.67</v>
      </c>
      <c r="X217" s="1137">
        <v>3</v>
      </c>
      <c r="Y217" s="333" t="s">
        <v>2053</v>
      </c>
      <c r="Z217" s="631" t="s">
        <v>73</v>
      </c>
      <c r="AA217" s="631" t="s">
        <v>2043</v>
      </c>
      <c r="AB217" s="947" t="s">
        <v>3583</v>
      </c>
      <c r="AC217" s="333" t="s">
        <v>3584</v>
      </c>
      <c r="AD217" s="333" t="s">
        <v>3564</v>
      </c>
      <c r="AE217" s="333" t="s">
        <v>3565</v>
      </c>
      <c r="AF217" t="s">
        <v>4021</v>
      </c>
      <c r="AG217" s="333" t="s">
        <v>2601</v>
      </c>
      <c r="IU217" s="346"/>
    </row>
    <row r="218" spans="1:256" ht="15" x14ac:dyDescent="0.2">
      <c r="A218" s="364">
        <v>4</v>
      </c>
      <c r="B218" s="358" t="s">
        <v>3650</v>
      </c>
      <c r="C218" s="359" t="s">
        <v>188</v>
      </c>
      <c r="D218" s="360" t="s">
        <v>189</v>
      </c>
      <c r="E218" s="346" t="s">
        <v>190</v>
      </c>
      <c r="F218" s="346" t="s">
        <v>2177</v>
      </c>
      <c r="G218" s="346" t="s">
        <v>2178</v>
      </c>
      <c r="H218" s="361" t="s">
        <v>1517</v>
      </c>
      <c r="I218" s="361" t="s">
        <v>191</v>
      </c>
      <c r="J218" s="361" t="s">
        <v>192</v>
      </c>
      <c r="K218" s="331" t="s">
        <v>1519</v>
      </c>
      <c r="L218" s="331">
        <f>21/3</f>
        <v>7</v>
      </c>
      <c r="M218" s="346" t="s">
        <v>1584</v>
      </c>
      <c r="N218" s="333">
        <f t="shared" si="12"/>
        <v>40.000000000000007</v>
      </c>
      <c r="O218" s="331" t="s">
        <v>193</v>
      </c>
      <c r="P218" s="331" t="s">
        <v>194</v>
      </c>
      <c r="Q218" s="331" t="s">
        <v>1517</v>
      </c>
      <c r="R218" s="362">
        <v>4</v>
      </c>
      <c r="S218" s="335" t="s">
        <v>1512</v>
      </c>
      <c r="T218" s="335">
        <v>10</v>
      </c>
      <c r="U218" s="363" t="s">
        <v>195</v>
      </c>
      <c r="V218" s="163" t="s">
        <v>196</v>
      </c>
      <c r="W218" s="98">
        <v>0.75</v>
      </c>
      <c r="X218" s="1137">
        <v>4</v>
      </c>
      <c r="Y218" s="333" t="s">
        <v>18</v>
      </c>
      <c r="Z218" s="631" t="s">
        <v>74</v>
      </c>
      <c r="AA218" s="631" t="s">
        <v>2044</v>
      </c>
      <c r="AB218" s="947" t="s">
        <v>3585</v>
      </c>
      <c r="AC218" s="333" t="s">
        <v>3586</v>
      </c>
      <c r="AD218" s="333" t="s">
        <v>3587</v>
      </c>
      <c r="AE218" s="333" t="s">
        <v>3566</v>
      </c>
      <c r="AF218" t="s">
        <v>3684</v>
      </c>
      <c r="AG218" s="333" t="s">
        <v>4016</v>
      </c>
      <c r="IU218" s="346"/>
    </row>
    <row r="219" spans="1:256" ht="15" x14ac:dyDescent="0.2">
      <c r="A219" s="364">
        <v>5</v>
      </c>
      <c r="B219" s="365" t="s">
        <v>3651</v>
      </c>
      <c r="C219" s="346" t="s">
        <v>198</v>
      </c>
      <c r="D219" s="360" t="s">
        <v>199</v>
      </c>
      <c r="E219" s="346" t="s">
        <v>200</v>
      </c>
      <c r="F219" s="346" t="s">
        <v>2189</v>
      </c>
      <c r="G219" s="346" t="s">
        <v>2190</v>
      </c>
      <c r="H219" s="361" t="s">
        <v>1515</v>
      </c>
      <c r="I219" s="361" t="s">
        <v>201</v>
      </c>
      <c r="J219" s="361" t="s">
        <v>202</v>
      </c>
      <c r="K219" s="331" t="s">
        <v>1519</v>
      </c>
      <c r="L219" s="331">
        <f>21/3</f>
        <v>7</v>
      </c>
      <c r="M219" s="346" t="s">
        <v>1585</v>
      </c>
      <c r="N219" s="333">
        <f t="shared" si="12"/>
        <v>53.333333333333343</v>
      </c>
      <c r="O219" s="331" t="s">
        <v>203</v>
      </c>
      <c r="P219" s="331" t="s">
        <v>204</v>
      </c>
      <c r="Q219" s="331" t="s">
        <v>1515</v>
      </c>
      <c r="R219" s="333">
        <v>5</v>
      </c>
      <c r="S219" s="335" t="s">
        <v>1513</v>
      </c>
      <c r="T219" s="335">
        <v>7</v>
      </c>
      <c r="U219" s="363" t="s">
        <v>205</v>
      </c>
      <c r="V219" s="163" t="s">
        <v>206</v>
      </c>
      <c r="W219" s="98">
        <v>1</v>
      </c>
      <c r="X219" s="1137">
        <v>5</v>
      </c>
      <c r="Y219" s="333" t="s">
        <v>19</v>
      </c>
      <c r="Z219" s="631" t="s">
        <v>75</v>
      </c>
      <c r="AA219" s="631" t="s">
        <v>2045</v>
      </c>
      <c r="AB219" s="947" t="s">
        <v>3588</v>
      </c>
      <c r="AC219" s="333" t="s">
        <v>3589</v>
      </c>
      <c r="AD219" s="333" t="s">
        <v>3590</v>
      </c>
      <c r="AE219" s="333" t="s">
        <v>3567</v>
      </c>
      <c r="AF219" t="s">
        <v>3517</v>
      </c>
      <c r="AG219" s="333" t="s">
        <v>4017</v>
      </c>
      <c r="IU219" s="346"/>
    </row>
    <row r="220" spans="1:256" ht="15" x14ac:dyDescent="0.2">
      <c r="A220" s="364">
        <v>6</v>
      </c>
      <c r="B220" s="365" t="s">
        <v>3652</v>
      </c>
      <c r="C220" s="346" t="s">
        <v>207</v>
      </c>
      <c r="D220" s="360" t="s">
        <v>208</v>
      </c>
      <c r="E220" s="346" t="s">
        <v>209</v>
      </c>
      <c r="F220" s="346" t="s">
        <v>2199</v>
      </c>
      <c r="G220" s="346" t="s">
        <v>2200</v>
      </c>
      <c r="H220" s="361" t="s">
        <v>1519</v>
      </c>
      <c r="I220" s="361" t="s">
        <v>210</v>
      </c>
      <c r="J220" s="361" t="s">
        <v>211</v>
      </c>
      <c r="K220" s="331" t="s">
        <v>1511</v>
      </c>
      <c r="L220" s="331">
        <f>6/4</f>
        <v>1.5</v>
      </c>
      <c r="M220" s="346" t="s">
        <v>1528</v>
      </c>
      <c r="N220" s="333">
        <f t="shared" si="12"/>
        <v>66.666666666666671</v>
      </c>
      <c r="O220" s="331" t="s">
        <v>212</v>
      </c>
      <c r="P220" s="331" t="s">
        <v>213</v>
      </c>
      <c r="Q220" s="331" t="s">
        <v>1519</v>
      </c>
      <c r="R220" s="333">
        <v>6</v>
      </c>
      <c r="S220" s="335" t="s">
        <v>1514</v>
      </c>
      <c r="T220" s="335">
        <v>18</v>
      </c>
      <c r="U220" s="363" t="s">
        <v>214</v>
      </c>
      <c r="V220" s="163" t="s">
        <v>215</v>
      </c>
      <c r="W220" s="98">
        <v>1.1100000000000001</v>
      </c>
      <c r="X220" s="1137">
        <v>6</v>
      </c>
      <c r="Y220" s="333" t="s">
        <v>20</v>
      </c>
      <c r="Z220" s="631" t="s">
        <v>76</v>
      </c>
      <c r="AA220" s="631" t="s">
        <v>2046</v>
      </c>
      <c r="AB220" s="947" t="s">
        <v>3591</v>
      </c>
      <c r="AC220" s="333" t="s">
        <v>3592</v>
      </c>
      <c r="AD220" s="333" t="s">
        <v>3593</v>
      </c>
      <c r="AE220" s="333" t="s">
        <v>3568</v>
      </c>
      <c r="AF220" t="s">
        <v>3510</v>
      </c>
      <c r="AG220" s="333" t="s">
        <v>4025</v>
      </c>
      <c r="IU220" s="346"/>
    </row>
    <row r="221" spans="1:256" ht="15" x14ac:dyDescent="0.2">
      <c r="A221" s="364">
        <v>7</v>
      </c>
      <c r="B221" s="365" t="s">
        <v>3310</v>
      </c>
      <c r="C221" s="346" t="s">
        <v>216</v>
      </c>
      <c r="D221" s="360" t="s">
        <v>217</v>
      </c>
      <c r="E221" s="346" t="s">
        <v>218</v>
      </c>
      <c r="F221" s="346" t="s">
        <v>2208</v>
      </c>
      <c r="G221" s="346" t="s">
        <v>2209</v>
      </c>
      <c r="H221" s="361" t="s">
        <v>1516</v>
      </c>
      <c r="I221" s="361" t="s">
        <v>219</v>
      </c>
      <c r="J221" s="361" t="s">
        <v>220</v>
      </c>
      <c r="K221" s="331" t="s">
        <v>1511</v>
      </c>
      <c r="L221" s="331">
        <f>6/4</f>
        <v>1.5</v>
      </c>
      <c r="M221" s="346" t="s">
        <v>1586</v>
      </c>
      <c r="N221" s="333">
        <f t="shared" si="12"/>
        <v>80</v>
      </c>
      <c r="O221" s="331" t="s">
        <v>221</v>
      </c>
      <c r="P221" s="331" t="s">
        <v>222</v>
      </c>
      <c r="Q221" s="331" t="s">
        <v>1516</v>
      </c>
      <c r="R221" s="333">
        <v>7</v>
      </c>
      <c r="S221" s="335" t="s">
        <v>1515</v>
      </c>
      <c r="T221" s="335">
        <v>16</v>
      </c>
      <c r="U221" s="363" t="s">
        <v>223</v>
      </c>
      <c r="V221" s="163" t="s">
        <v>224</v>
      </c>
      <c r="W221" s="98">
        <v>1.25</v>
      </c>
      <c r="X221" s="1137">
        <v>7</v>
      </c>
      <c r="Y221" s="333" t="s">
        <v>4005</v>
      </c>
      <c r="Z221" s="631" t="s">
        <v>77</v>
      </c>
      <c r="AA221" s="631" t="s">
        <v>2047</v>
      </c>
      <c r="AB221" s="947" t="s">
        <v>3594</v>
      </c>
      <c r="AC221" s="333" t="s">
        <v>3569</v>
      </c>
      <c r="AD221" s="333" t="s">
        <v>3570</v>
      </c>
      <c r="AE221" s="333" t="s">
        <v>3571</v>
      </c>
      <c r="AF221" t="s">
        <v>3685</v>
      </c>
      <c r="IU221" s="346"/>
    </row>
    <row r="222" spans="1:256" ht="15" x14ac:dyDescent="0.2">
      <c r="A222" s="364">
        <v>8</v>
      </c>
      <c r="B222" s="358" t="s">
        <v>3653</v>
      </c>
      <c r="C222" s="359" t="s">
        <v>225</v>
      </c>
      <c r="D222" s="360" t="s">
        <v>226</v>
      </c>
      <c r="E222" s="346" t="s">
        <v>227</v>
      </c>
      <c r="F222" s="346" t="s">
        <v>2214</v>
      </c>
      <c r="G222" s="346" t="s">
        <v>2215</v>
      </c>
      <c r="H222" s="361" t="s">
        <v>1514</v>
      </c>
      <c r="I222" s="361" t="s">
        <v>228</v>
      </c>
      <c r="J222" s="361" t="s">
        <v>229</v>
      </c>
      <c r="K222" s="331" t="s">
        <v>1511</v>
      </c>
      <c r="L222" s="331">
        <f>6/4</f>
        <v>1.5</v>
      </c>
      <c r="M222" s="346" t="s">
        <v>1523</v>
      </c>
      <c r="N222" s="333">
        <f t="shared" si="12"/>
        <v>93.333333333333329</v>
      </c>
      <c r="O222" s="331" t="s">
        <v>230</v>
      </c>
      <c r="P222" s="331" t="s">
        <v>231</v>
      </c>
      <c r="Q222" s="331" t="s">
        <v>1514</v>
      </c>
      <c r="R222" s="333">
        <v>8</v>
      </c>
      <c r="S222" s="335" t="s">
        <v>1516</v>
      </c>
      <c r="T222" s="335">
        <v>19</v>
      </c>
      <c r="U222" s="363" t="s">
        <v>232</v>
      </c>
      <c r="V222" s="163" t="s">
        <v>233</v>
      </c>
      <c r="W222" s="98">
        <v>1.33</v>
      </c>
      <c r="X222" s="1137">
        <v>8</v>
      </c>
      <c r="Y222" s="333" t="s">
        <v>21</v>
      </c>
      <c r="Z222" s="631" t="s">
        <v>78</v>
      </c>
      <c r="AA222" s="631" t="s">
        <v>2048</v>
      </c>
      <c r="AB222" s="947" t="s">
        <v>3595</v>
      </c>
      <c r="AC222" s="333" t="s">
        <v>3596</v>
      </c>
      <c r="AD222" s="333" t="s">
        <v>3597</v>
      </c>
      <c r="AE222" s="333" t="s">
        <v>3572</v>
      </c>
      <c r="AF222" t="s">
        <v>3686</v>
      </c>
      <c r="AG222" s="333" t="s">
        <v>4022</v>
      </c>
      <c r="IU222" s="346"/>
    </row>
    <row r="223" spans="1:256" ht="15" x14ac:dyDescent="0.2">
      <c r="A223" s="364">
        <v>9</v>
      </c>
      <c r="B223" s="365" t="s">
        <v>3654</v>
      </c>
      <c r="C223" s="346" t="s">
        <v>259</v>
      </c>
      <c r="D223" s="360" t="s">
        <v>260</v>
      </c>
      <c r="E223" s="346" t="s">
        <v>261</v>
      </c>
      <c r="F223" s="346" t="s">
        <v>2220</v>
      </c>
      <c r="G223" s="346" t="s">
        <v>2221</v>
      </c>
      <c r="H223" s="361" t="s">
        <v>1518</v>
      </c>
      <c r="I223" s="361" t="s">
        <v>262</v>
      </c>
      <c r="J223" s="361" t="s">
        <v>263</v>
      </c>
      <c r="K223" s="331" t="s">
        <v>1511</v>
      </c>
      <c r="L223" s="331">
        <f>6/4</f>
        <v>1.5</v>
      </c>
      <c r="M223" s="346" t="s">
        <v>1587</v>
      </c>
      <c r="N223" s="333">
        <f t="shared" si="12"/>
        <v>106.66666666666666</v>
      </c>
      <c r="O223" s="331" t="s">
        <v>264</v>
      </c>
      <c r="P223" s="331" t="s">
        <v>265</v>
      </c>
      <c r="Q223" s="331" t="s">
        <v>1518</v>
      </c>
      <c r="R223" s="333">
        <v>9</v>
      </c>
      <c r="S223" s="335" t="s">
        <v>1517</v>
      </c>
      <c r="T223" s="335">
        <v>17</v>
      </c>
      <c r="U223" s="363" t="s">
        <v>266</v>
      </c>
      <c r="V223" s="163" t="s">
        <v>267</v>
      </c>
      <c r="W223" s="98">
        <v>1.5</v>
      </c>
      <c r="X223" s="1137">
        <v>9</v>
      </c>
      <c r="Y223" s="333" t="s">
        <v>22</v>
      </c>
      <c r="Z223" s="631" t="s">
        <v>79</v>
      </c>
      <c r="AA223" s="631" t="s">
        <v>2049</v>
      </c>
      <c r="AB223" s="947" t="s">
        <v>3598</v>
      </c>
      <c r="AC223" s="333" t="s">
        <v>3599</v>
      </c>
      <c r="AD223" s="333" t="s">
        <v>3600</v>
      </c>
      <c r="AE223" s="333" t="s">
        <v>3573</v>
      </c>
      <c r="AF223" t="s">
        <v>4023</v>
      </c>
      <c r="AG223" s="333" t="s">
        <v>4024</v>
      </c>
      <c r="IU223" s="346"/>
    </row>
    <row r="224" spans="1:256" ht="15" x14ac:dyDescent="0.2">
      <c r="A224" s="364">
        <v>10</v>
      </c>
      <c r="B224" s="365" t="s">
        <v>3655</v>
      </c>
      <c r="C224" s="346" t="s">
        <v>268</v>
      </c>
      <c r="D224" s="360" t="s">
        <v>269</v>
      </c>
      <c r="E224" s="346" t="s">
        <v>270</v>
      </c>
      <c r="F224" s="346" t="s">
        <v>2226</v>
      </c>
      <c r="G224" s="346" t="s">
        <v>2227</v>
      </c>
      <c r="H224" s="361"/>
      <c r="I224" s="361" t="s">
        <v>271</v>
      </c>
      <c r="J224" s="361" t="s">
        <v>272</v>
      </c>
      <c r="K224" s="331" t="s">
        <v>2185</v>
      </c>
      <c r="L224" s="331">
        <f>15/3</f>
        <v>5</v>
      </c>
      <c r="M224" s="346" t="s">
        <v>1588</v>
      </c>
      <c r="N224" s="333">
        <f t="shared" si="12"/>
        <v>119.99999999999999</v>
      </c>
      <c r="O224" s="331" t="s">
        <v>273</v>
      </c>
      <c r="P224" s="331" t="s">
        <v>274</v>
      </c>
      <c r="U224" s="363" t="s">
        <v>275</v>
      </c>
      <c r="V224" s="163" t="s">
        <v>276</v>
      </c>
      <c r="W224" s="98">
        <v>1.88</v>
      </c>
      <c r="X224" s="1137">
        <v>10</v>
      </c>
      <c r="Y224" s="333" t="s">
        <v>23</v>
      </c>
      <c r="Z224" s="631" t="s">
        <v>80</v>
      </c>
      <c r="AA224" s="631" t="s">
        <v>181</v>
      </c>
      <c r="AB224" s="947" t="s">
        <v>3601</v>
      </c>
      <c r="AC224" s="333" t="s">
        <v>3574</v>
      </c>
      <c r="AD224" s="333" t="s">
        <v>3602</v>
      </c>
      <c r="AE224" s="333" t="s">
        <v>3575</v>
      </c>
      <c r="AF224" t="s">
        <v>4018</v>
      </c>
      <c r="IU224" s="346"/>
    </row>
    <row r="225" spans="1:256" ht="15" x14ac:dyDescent="0.2">
      <c r="A225" s="364">
        <v>11</v>
      </c>
      <c r="B225" s="365" t="s">
        <v>3656</v>
      </c>
      <c r="C225" s="346" t="s">
        <v>277</v>
      </c>
      <c r="D225" s="360" t="s">
        <v>278</v>
      </c>
      <c r="E225" s="346" t="s">
        <v>279</v>
      </c>
      <c r="F225" s="346" t="s">
        <v>2231</v>
      </c>
      <c r="G225" s="346" t="s">
        <v>2232</v>
      </c>
      <c r="H225" s="361"/>
      <c r="I225" s="361" t="s">
        <v>280</v>
      </c>
      <c r="J225" s="361" t="s">
        <v>281</v>
      </c>
      <c r="K225" s="331" t="s">
        <v>2185</v>
      </c>
      <c r="L225" s="331">
        <f>15/3</f>
        <v>5</v>
      </c>
      <c r="M225" s="346" t="s">
        <v>1087</v>
      </c>
      <c r="N225" s="333">
        <f t="shared" si="12"/>
        <v>133.33333333333334</v>
      </c>
      <c r="O225" s="331" t="s">
        <v>282</v>
      </c>
      <c r="P225" s="331" t="s">
        <v>283</v>
      </c>
      <c r="U225" s="363" t="s">
        <v>284</v>
      </c>
      <c r="V225" s="163" t="s">
        <v>285</v>
      </c>
      <c r="W225" s="98">
        <v>2</v>
      </c>
      <c r="X225" s="1137">
        <v>11</v>
      </c>
      <c r="Y225" s="333" t="s">
        <v>24</v>
      </c>
      <c r="Z225" s="631" t="s">
        <v>81</v>
      </c>
      <c r="AA225" s="631" t="s">
        <v>2050</v>
      </c>
      <c r="AB225" s="947" t="s">
        <v>3603</v>
      </c>
      <c r="AC225" s="333" t="s">
        <v>3604</v>
      </c>
      <c r="AD225" s="333" t="s">
        <v>3605</v>
      </c>
      <c r="AE225" s="333" t="s">
        <v>3576</v>
      </c>
      <c r="AF225" t="s">
        <v>4019</v>
      </c>
      <c r="AG225" s="333" t="s">
        <v>4014</v>
      </c>
      <c r="IU225" s="346"/>
    </row>
    <row r="226" spans="1:256" ht="15" x14ac:dyDescent="0.2">
      <c r="A226" s="364">
        <v>12</v>
      </c>
      <c r="B226" s="358" t="s">
        <v>3657</v>
      </c>
      <c r="C226" s="359" t="s">
        <v>286</v>
      </c>
      <c r="D226" s="360" t="s">
        <v>287</v>
      </c>
      <c r="E226" s="346" t="s">
        <v>288</v>
      </c>
      <c r="F226" s="346" t="s">
        <v>2239</v>
      </c>
      <c r="G226" s="346" t="s">
        <v>2240</v>
      </c>
      <c r="H226" s="361"/>
      <c r="I226" s="361" t="s">
        <v>289</v>
      </c>
      <c r="J226" s="361" t="s">
        <v>290</v>
      </c>
      <c r="K226" s="331" t="s">
        <v>2185</v>
      </c>
      <c r="L226" s="331">
        <f>15/3</f>
        <v>5</v>
      </c>
      <c r="M226" s="346" t="s">
        <v>1088</v>
      </c>
      <c r="N226" s="333">
        <f t="shared" si="12"/>
        <v>146.66666666666669</v>
      </c>
      <c r="O226" s="331" t="s">
        <v>291</v>
      </c>
      <c r="P226" s="331" t="s">
        <v>292</v>
      </c>
      <c r="U226" s="363" t="s">
        <v>293</v>
      </c>
      <c r="V226" s="163" t="s">
        <v>294</v>
      </c>
      <c r="W226" s="98">
        <v>2.2200000000000002</v>
      </c>
      <c r="X226" s="1137">
        <v>12</v>
      </c>
      <c r="Y226" s="333" t="s">
        <v>25</v>
      </c>
      <c r="Z226" s="631" t="s">
        <v>82</v>
      </c>
      <c r="AA226" s="631" t="s">
        <v>2054</v>
      </c>
      <c r="AB226" s="947" t="s">
        <v>3606</v>
      </c>
      <c r="AC226" s="333" t="s">
        <v>3607</v>
      </c>
      <c r="AD226" s="333" t="s">
        <v>3577</v>
      </c>
      <c r="AE226" s="333" t="s">
        <v>3578</v>
      </c>
      <c r="AF226" t="s">
        <v>3849</v>
      </c>
      <c r="AG226" s="333" t="s">
        <v>4015</v>
      </c>
      <c r="IU226" s="346"/>
    </row>
    <row r="227" spans="1:256" ht="15" x14ac:dyDescent="0.2">
      <c r="A227" s="364">
        <v>13</v>
      </c>
      <c r="B227" s="365" t="s">
        <v>3658</v>
      </c>
      <c r="C227" s="346" t="s">
        <v>295</v>
      </c>
      <c r="D227" s="360" t="s">
        <v>296</v>
      </c>
      <c r="E227" s="346" t="s">
        <v>297</v>
      </c>
      <c r="F227" s="346" t="s">
        <v>2246</v>
      </c>
      <c r="G227" s="346" t="s">
        <v>2247</v>
      </c>
      <c r="K227" s="331" t="s">
        <v>1513</v>
      </c>
      <c r="L227" s="331">
        <f>8/4</f>
        <v>2</v>
      </c>
      <c r="M227" s="346" t="s">
        <v>1591</v>
      </c>
      <c r="N227" s="333">
        <f t="shared" si="12"/>
        <v>160.00000000000003</v>
      </c>
      <c r="U227" s="363" t="s">
        <v>298</v>
      </c>
      <c r="V227" s="163" t="s">
        <v>299</v>
      </c>
      <c r="W227" s="98">
        <v>2.25</v>
      </c>
      <c r="X227" s="1137">
        <v>13</v>
      </c>
      <c r="Y227" s="333" t="s">
        <v>26</v>
      </c>
      <c r="Z227" s="631" t="s">
        <v>83</v>
      </c>
      <c r="AA227" s="631" t="s">
        <v>2055</v>
      </c>
      <c r="IV227" s="346"/>
    </row>
    <row r="228" spans="1:256" ht="15" x14ac:dyDescent="0.2">
      <c r="A228" s="364">
        <v>14</v>
      </c>
      <c r="B228" s="365" t="s">
        <v>3659</v>
      </c>
      <c r="C228" s="346" t="s">
        <v>300</v>
      </c>
      <c r="D228" s="360" t="s">
        <v>301</v>
      </c>
      <c r="E228" s="346" t="s">
        <v>302</v>
      </c>
      <c r="F228" s="346" t="s">
        <v>2253</v>
      </c>
      <c r="G228" s="346" t="s">
        <v>2254</v>
      </c>
      <c r="K228" s="331" t="s">
        <v>1513</v>
      </c>
      <c r="L228" s="331">
        <f>8/4</f>
        <v>2</v>
      </c>
      <c r="M228" s="346" t="s">
        <v>1592</v>
      </c>
      <c r="N228" s="333">
        <f t="shared" si="12"/>
        <v>173.33333333333337</v>
      </c>
      <c r="U228" s="363" t="s">
        <v>303</v>
      </c>
      <c r="V228" s="163" t="s">
        <v>304</v>
      </c>
      <c r="W228" s="98">
        <v>2.5</v>
      </c>
      <c r="X228" s="1137">
        <v>14</v>
      </c>
      <c r="Y228" s="333" t="s">
        <v>560</v>
      </c>
      <c r="Z228" s="631" t="s">
        <v>84</v>
      </c>
      <c r="AA228" s="631" t="s">
        <v>307</v>
      </c>
      <c r="IV228" s="346"/>
    </row>
    <row r="229" spans="1:256" ht="15" x14ac:dyDescent="0.2">
      <c r="A229" s="364">
        <v>15</v>
      </c>
      <c r="B229" s="365" t="s">
        <v>575</v>
      </c>
      <c r="C229" s="346" t="s">
        <v>305</v>
      </c>
      <c r="D229" s="360" t="s">
        <v>306</v>
      </c>
      <c r="E229" s="346" t="s">
        <v>307</v>
      </c>
      <c r="F229" s="346" t="s">
        <v>2258</v>
      </c>
      <c r="G229" s="346" t="s">
        <v>2259</v>
      </c>
      <c r="K229" s="331" t="s">
        <v>1513</v>
      </c>
      <c r="L229" s="331">
        <f>8/4</f>
        <v>2</v>
      </c>
      <c r="M229" s="346" t="s">
        <v>1535</v>
      </c>
      <c r="N229" s="333">
        <f t="shared" si="12"/>
        <v>186.66666666666671</v>
      </c>
      <c r="U229" s="363" t="s">
        <v>308</v>
      </c>
      <c r="V229" s="163" t="s">
        <v>309</v>
      </c>
      <c r="W229" s="98">
        <v>2.67</v>
      </c>
      <c r="X229" s="1137">
        <v>15</v>
      </c>
      <c r="Y229" s="333" t="s">
        <v>27</v>
      </c>
      <c r="Z229" s="631" t="s">
        <v>85</v>
      </c>
      <c r="AA229" s="631" t="s">
        <v>2056</v>
      </c>
      <c r="IV229" s="346"/>
    </row>
    <row r="230" spans="1:256" ht="15" x14ac:dyDescent="0.2">
      <c r="A230" s="364">
        <v>16</v>
      </c>
      <c r="B230" s="365" t="s">
        <v>3660</v>
      </c>
      <c r="C230" s="346" t="s">
        <v>310</v>
      </c>
      <c r="D230" s="360" t="s">
        <v>311</v>
      </c>
      <c r="E230" s="346" t="s">
        <v>312</v>
      </c>
      <c r="F230" s="346" t="s">
        <v>2265</v>
      </c>
      <c r="G230" s="346" t="s">
        <v>2266</v>
      </c>
      <c r="K230" s="331" t="s">
        <v>1513</v>
      </c>
      <c r="L230" s="331">
        <f>8/4</f>
        <v>2</v>
      </c>
      <c r="M230" s="346" t="s">
        <v>1593</v>
      </c>
      <c r="N230" s="333">
        <f t="shared" si="12"/>
        <v>200.00000000000006</v>
      </c>
      <c r="U230" s="363" t="s">
        <v>313</v>
      </c>
      <c r="V230" s="163" t="s">
        <v>314</v>
      </c>
      <c r="W230" s="98">
        <v>3</v>
      </c>
      <c r="X230" s="1137">
        <v>16</v>
      </c>
      <c r="Y230" s="333" t="s">
        <v>28</v>
      </c>
      <c r="Z230" s="631" t="s">
        <v>86</v>
      </c>
      <c r="AA230" s="631" t="s">
        <v>2057</v>
      </c>
      <c r="IV230" s="346"/>
    </row>
    <row r="231" spans="1:256" ht="15" x14ac:dyDescent="0.2">
      <c r="A231" s="364">
        <v>17</v>
      </c>
      <c r="B231" s="365" t="s">
        <v>3661</v>
      </c>
      <c r="C231" s="346" t="s">
        <v>315</v>
      </c>
      <c r="D231" s="360" t="s">
        <v>316</v>
      </c>
      <c r="E231" s="346" t="s">
        <v>317</v>
      </c>
      <c r="F231" s="346" t="s">
        <v>2272</v>
      </c>
      <c r="G231" s="346" t="s">
        <v>2273</v>
      </c>
      <c r="K231" s="331" t="s">
        <v>1517</v>
      </c>
      <c r="L231" s="331">
        <f>17/3</f>
        <v>5.666666666666667</v>
      </c>
      <c r="M231" s="346" t="s">
        <v>1526</v>
      </c>
      <c r="N231" s="333">
        <f t="shared" si="12"/>
        <v>213.3333333333334</v>
      </c>
      <c r="U231" s="363" t="s">
        <v>318</v>
      </c>
      <c r="V231" s="163" t="s">
        <v>319</v>
      </c>
      <c r="W231" s="98">
        <v>3.33</v>
      </c>
      <c r="X231" s="1137">
        <v>17</v>
      </c>
      <c r="Y231" s="333" t="s">
        <v>29</v>
      </c>
      <c r="Z231" s="631" t="s">
        <v>87</v>
      </c>
      <c r="AA231" s="631" t="s">
        <v>2058</v>
      </c>
      <c r="IV231" s="346"/>
    </row>
    <row r="232" spans="1:256" ht="15" x14ac:dyDescent="0.2">
      <c r="A232" s="364">
        <v>18</v>
      </c>
      <c r="B232" s="365" t="s">
        <v>3498</v>
      </c>
      <c r="C232" s="346" t="s">
        <v>320</v>
      </c>
      <c r="D232" s="360" t="s">
        <v>321</v>
      </c>
      <c r="E232" s="346" t="s">
        <v>322</v>
      </c>
      <c r="F232" s="346" t="s">
        <v>2277</v>
      </c>
      <c r="G232" s="346" t="s">
        <v>2278</v>
      </c>
      <c r="K232" s="331" t="s">
        <v>1517</v>
      </c>
      <c r="L232" s="331">
        <f>17/3</f>
        <v>5.666666666666667</v>
      </c>
      <c r="M232" s="346" t="s">
        <v>1594</v>
      </c>
      <c r="N232" s="333">
        <f t="shared" si="12"/>
        <v>226.66666666666674</v>
      </c>
      <c r="U232" s="363" t="s">
        <v>323</v>
      </c>
      <c r="V232" s="163" t="s">
        <v>324</v>
      </c>
      <c r="W232" s="98">
        <v>3.5</v>
      </c>
      <c r="X232" s="1137">
        <v>18</v>
      </c>
      <c r="Y232" s="333" t="s">
        <v>30</v>
      </c>
      <c r="Z232" s="631" t="s">
        <v>88</v>
      </c>
      <c r="AA232" s="631" t="s">
        <v>2059</v>
      </c>
      <c r="IV232" s="346"/>
    </row>
    <row r="233" spans="1:256" ht="15" x14ac:dyDescent="0.2">
      <c r="A233" s="364">
        <v>19</v>
      </c>
      <c r="B233" s="358" t="s">
        <v>3662</v>
      </c>
      <c r="C233" s="359" t="s">
        <v>325</v>
      </c>
      <c r="D233" s="360" t="s">
        <v>326</v>
      </c>
      <c r="E233" s="346" t="s">
        <v>327</v>
      </c>
      <c r="F233" s="346" t="s">
        <v>2284</v>
      </c>
      <c r="G233" s="346" t="s">
        <v>2285</v>
      </c>
      <c r="K233" s="331" t="s">
        <v>1517</v>
      </c>
      <c r="L233" s="331">
        <f>17/3</f>
        <v>5.666666666666667</v>
      </c>
      <c r="M233" s="346" t="s">
        <v>1538</v>
      </c>
      <c r="N233" s="333">
        <f t="shared" si="12"/>
        <v>240.00000000000009</v>
      </c>
      <c r="U233" s="363" t="s">
        <v>328</v>
      </c>
      <c r="V233" s="163" t="s">
        <v>329</v>
      </c>
      <c r="W233" s="98">
        <v>3.75</v>
      </c>
      <c r="X233" s="1137">
        <v>19</v>
      </c>
      <c r="Y233" s="333" t="s">
        <v>31</v>
      </c>
      <c r="Z233" s="631" t="s">
        <v>89</v>
      </c>
      <c r="AA233" s="631" t="s">
        <v>2060</v>
      </c>
      <c r="IV233" s="346"/>
    </row>
    <row r="234" spans="1:256" ht="15" x14ac:dyDescent="0.2">
      <c r="A234" s="364">
        <v>20</v>
      </c>
      <c r="B234" s="366" t="s">
        <v>3663</v>
      </c>
      <c r="C234" s="331" t="s">
        <v>330</v>
      </c>
      <c r="D234" s="360" t="s">
        <v>331</v>
      </c>
      <c r="E234" s="346" t="s">
        <v>332</v>
      </c>
      <c r="F234" s="346" t="s">
        <v>2291</v>
      </c>
      <c r="G234" s="346" t="s">
        <v>2292</v>
      </c>
      <c r="K234" s="331" t="s">
        <v>1516</v>
      </c>
      <c r="L234" s="331">
        <f>10/4</f>
        <v>2.5</v>
      </c>
      <c r="M234" s="346" t="s">
        <v>1595</v>
      </c>
      <c r="N234" s="333">
        <f t="shared" si="12"/>
        <v>253.33333333333343</v>
      </c>
      <c r="U234" s="363" t="s">
        <v>333</v>
      </c>
      <c r="V234" s="163" t="s">
        <v>334</v>
      </c>
      <c r="W234" s="98">
        <v>4</v>
      </c>
      <c r="X234" s="1137">
        <v>20</v>
      </c>
      <c r="Y234" s="333" t="s">
        <v>32</v>
      </c>
      <c r="Z234" s="631" t="s">
        <v>90</v>
      </c>
      <c r="AA234" s="631" t="s">
        <v>2061</v>
      </c>
      <c r="IV234" s="346"/>
    </row>
    <row r="235" spans="1:256" ht="15" x14ac:dyDescent="0.2">
      <c r="A235" s="364">
        <v>21</v>
      </c>
      <c r="B235" s="366" t="s">
        <v>3664</v>
      </c>
      <c r="C235" s="346" t="s">
        <v>335</v>
      </c>
      <c r="D235" s="360" t="s">
        <v>336</v>
      </c>
      <c r="E235" s="346" t="s">
        <v>337</v>
      </c>
      <c r="F235" s="346" t="s">
        <v>2299</v>
      </c>
      <c r="G235" s="346" t="s">
        <v>2300</v>
      </c>
      <c r="K235" s="331" t="s">
        <v>1516</v>
      </c>
      <c r="L235" s="331">
        <f>10/4</f>
        <v>2.5</v>
      </c>
      <c r="M235" s="333" t="s">
        <v>1089</v>
      </c>
      <c r="N235" s="333">
        <f t="shared" si="12"/>
        <v>266.66666666666674</v>
      </c>
      <c r="U235" s="363" t="s">
        <v>338</v>
      </c>
      <c r="V235" s="163" t="s">
        <v>339</v>
      </c>
      <c r="W235" s="98">
        <v>4.29</v>
      </c>
      <c r="X235" s="1137">
        <v>21</v>
      </c>
      <c r="Y235" s="333" t="s">
        <v>33</v>
      </c>
      <c r="Z235" s="631" t="s">
        <v>91</v>
      </c>
      <c r="AA235" s="631" t="s">
        <v>2062</v>
      </c>
      <c r="IV235" s="346"/>
    </row>
    <row r="236" spans="1:256" ht="15" x14ac:dyDescent="0.2">
      <c r="A236" s="364">
        <v>22</v>
      </c>
      <c r="B236" s="366" t="s">
        <v>3665</v>
      </c>
      <c r="C236" s="331" t="s">
        <v>340</v>
      </c>
      <c r="D236" s="360" t="s">
        <v>341</v>
      </c>
      <c r="E236" s="346" t="s">
        <v>342</v>
      </c>
      <c r="F236" s="346" t="s">
        <v>2334</v>
      </c>
      <c r="G236" s="346" t="s">
        <v>343</v>
      </c>
      <c r="K236" s="331" t="s">
        <v>1516</v>
      </c>
      <c r="L236" s="331">
        <f>10/4</f>
        <v>2.5</v>
      </c>
      <c r="M236" s="333" t="s">
        <v>344</v>
      </c>
      <c r="N236" s="333">
        <f>N235+(13+1/3)*0.75</f>
        <v>276.66666666666674</v>
      </c>
      <c r="U236" s="363" t="s">
        <v>345</v>
      </c>
      <c r="V236" s="163" t="s">
        <v>346</v>
      </c>
      <c r="W236" s="98">
        <v>4.4400000000000004</v>
      </c>
      <c r="X236" s="1137">
        <v>22</v>
      </c>
      <c r="Y236" s="333" t="s">
        <v>34</v>
      </c>
      <c r="Z236" s="631" t="s">
        <v>92</v>
      </c>
      <c r="AA236" s="631" t="s">
        <v>2063</v>
      </c>
      <c r="IV236" s="346"/>
    </row>
    <row r="237" spans="1:256" ht="15" x14ac:dyDescent="0.2">
      <c r="A237" s="364">
        <v>23</v>
      </c>
      <c r="B237" s="367" t="s">
        <v>3666</v>
      </c>
      <c r="C237" s="368" t="s">
        <v>347</v>
      </c>
      <c r="D237" s="360" t="s">
        <v>348</v>
      </c>
      <c r="E237" s="346" t="s">
        <v>349</v>
      </c>
      <c r="F237" s="346" t="s">
        <v>2305</v>
      </c>
      <c r="G237" s="346" t="s">
        <v>2306</v>
      </c>
      <c r="K237" s="331" t="s">
        <v>1516</v>
      </c>
      <c r="L237" s="331">
        <f>10/4</f>
        <v>2.5</v>
      </c>
      <c r="M237" s="333" t="s">
        <v>1896</v>
      </c>
      <c r="N237" s="333">
        <f>N235+(13+1/3)/15</f>
        <v>267.55555555555566</v>
      </c>
      <c r="U237" s="363" t="s">
        <v>350</v>
      </c>
      <c r="V237" s="163" t="s">
        <v>351</v>
      </c>
      <c r="W237" s="98">
        <v>4.5</v>
      </c>
      <c r="X237" s="1137">
        <v>23</v>
      </c>
      <c r="Y237" s="333" t="s">
        <v>35</v>
      </c>
      <c r="Z237" s="631" t="s">
        <v>93</v>
      </c>
      <c r="AA237" s="631" t="s">
        <v>2064</v>
      </c>
      <c r="IV237" s="346"/>
    </row>
    <row r="238" spans="1:256" ht="15" x14ac:dyDescent="0.2">
      <c r="A238" s="364">
        <v>24</v>
      </c>
      <c r="B238" s="366" t="s">
        <v>3667</v>
      </c>
      <c r="C238" s="331" t="s">
        <v>352</v>
      </c>
      <c r="D238" s="360" t="s">
        <v>353</v>
      </c>
      <c r="E238" s="346" t="s">
        <v>354</v>
      </c>
      <c r="F238" s="346" t="s">
        <v>2312</v>
      </c>
      <c r="G238" s="346" t="s">
        <v>2313</v>
      </c>
      <c r="K238" s="331" t="s">
        <v>1515</v>
      </c>
      <c r="L238" s="331">
        <f>19/3</f>
        <v>6.333333333333333</v>
      </c>
      <c r="M238" s="333" t="s">
        <v>1596</v>
      </c>
      <c r="N238" s="333">
        <f>N235+(13+1/3)*2</f>
        <v>293.33333333333343</v>
      </c>
      <c r="U238" s="363" t="s">
        <v>355</v>
      </c>
      <c r="V238" s="163" t="s">
        <v>356</v>
      </c>
      <c r="W238" s="98">
        <v>4.67</v>
      </c>
      <c r="X238" s="1137">
        <v>24</v>
      </c>
      <c r="Y238" s="333" t="s">
        <v>36</v>
      </c>
      <c r="Z238" s="631" t="s">
        <v>94</v>
      </c>
      <c r="AA238" s="631" t="s">
        <v>2065</v>
      </c>
      <c r="IV238" s="346"/>
    </row>
    <row r="239" spans="1:256" ht="15" x14ac:dyDescent="0.2">
      <c r="A239" s="364">
        <v>25</v>
      </c>
      <c r="B239" s="367" t="s">
        <v>3668</v>
      </c>
      <c r="C239" s="359" t="s">
        <v>357</v>
      </c>
      <c r="D239" s="360" t="s">
        <v>358</v>
      </c>
      <c r="E239" s="346" t="s">
        <v>359</v>
      </c>
      <c r="F239" s="346" t="s">
        <v>2318</v>
      </c>
      <c r="G239" s="346" t="s">
        <v>2319</v>
      </c>
      <c r="K239" s="331" t="s">
        <v>1515</v>
      </c>
      <c r="L239" s="331">
        <f>19/3</f>
        <v>6.333333333333333</v>
      </c>
      <c r="M239" s="333" t="s">
        <v>1597</v>
      </c>
      <c r="N239" s="333">
        <f>N238+13+1/3</f>
        <v>306.66666666666674</v>
      </c>
      <c r="U239" s="363" t="s">
        <v>360</v>
      </c>
      <c r="V239" s="163" t="s">
        <v>361</v>
      </c>
      <c r="W239" s="98">
        <v>5</v>
      </c>
      <c r="X239" s="1137">
        <v>25</v>
      </c>
      <c r="Y239" s="333" t="s">
        <v>37</v>
      </c>
      <c r="Z239" s="631" t="s">
        <v>95</v>
      </c>
      <c r="AA239" s="631" t="s">
        <v>2043</v>
      </c>
      <c r="IV239" s="346"/>
    </row>
    <row r="240" spans="1:256" ht="15" x14ac:dyDescent="0.2">
      <c r="A240" s="369">
        <v>26</v>
      </c>
      <c r="B240" s="367" t="s">
        <v>3669</v>
      </c>
      <c r="C240" s="359" t="s">
        <v>362</v>
      </c>
      <c r="D240" s="360" t="s">
        <v>363</v>
      </c>
      <c r="E240" s="346" t="s">
        <v>364</v>
      </c>
      <c r="F240" s="346" t="s">
        <v>2323</v>
      </c>
      <c r="G240" s="346" t="s">
        <v>2324</v>
      </c>
      <c r="K240" s="331" t="s">
        <v>1515</v>
      </c>
      <c r="L240" s="331">
        <f>19/3</f>
        <v>6.333333333333333</v>
      </c>
      <c r="M240" s="333" t="s">
        <v>1598</v>
      </c>
      <c r="N240" s="333">
        <f>N239+13+1/3</f>
        <v>320.00000000000006</v>
      </c>
      <c r="U240" s="363" t="s">
        <v>365</v>
      </c>
      <c r="V240" s="163" t="s">
        <v>366</v>
      </c>
      <c r="W240" s="98">
        <v>5.25</v>
      </c>
      <c r="X240" s="1137">
        <v>26</v>
      </c>
      <c r="Y240" s="333" t="s">
        <v>38</v>
      </c>
      <c r="Z240" s="631" t="s">
        <v>96</v>
      </c>
      <c r="AA240" s="631" t="s">
        <v>2066</v>
      </c>
      <c r="IV240" s="346"/>
    </row>
    <row r="241" spans="1:256" ht="15" x14ac:dyDescent="0.2">
      <c r="A241" s="369">
        <v>27</v>
      </c>
      <c r="B241" s="366" t="s">
        <v>3670</v>
      </c>
      <c r="C241" s="346" t="s">
        <v>367</v>
      </c>
      <c r="D241" s="360" t="s">
        <v>368</v>
      </c>
      <c r="E241" s="346" t="s">
        <v>369</v>
      </c>
      <c r="F241" s="346" t="s">
        <v>2328</v>
      </c>
      <c r="G241" s="346" t="s">
        <v>2329</v>
      </c>
      <c r="K241" s="331" t="s">
        <v>1514</v>
      </c>
      <c r="L241" s="331">
        <f>12/4</f>
        <v>3</v>
      </c>
      <c r="M241" s="333" t="s">
        <v>1599</v>
      </c>
      <c r="N241" s="333">
        <f>N240+13+1/3</f>
        <v>333.33333333333337</v>
      </c>
      <c r="U241" s="363" t="s">
        <v>370</v>
      </c>
      <c r="V241" s="163" t="s">
        <v>371</v>
      </c>
      <c r="W241" s="98">
        <v>5.33</v>
      </c>
      <c r="X241" s="1137">
        <v>27</v>
      </c>
      <c r="Y241" s="333" t="s">
        <v>1472</v>
      </c>
      <c r="Z241" s="631" t="s">
        <v>1471</v>
      </c>
      <c r="AA241" s="631" t="s">
        <v>2067</v>
      </c>
      <c r="IV241" s="346"/>
    </row>
    <row r="242" spans="1:256" ht="15" x14ac:dyDescent="0.2">
      <c r="A242" s="369">
        <v>28</v>
      </c>
      <c r="B242" s="366" t="s">
        <v>3497</v>
      </c>
      <c r="C242" s="346" t="s">
        <v>372</v>
      </c>
      <c r="D242" s="360"/>
      <c r="E242" s="331"/>
      <c r="F242" s="346" t="s">
        <v>2332</v>
      </c>
      <c r="G242" s="346" t="s">
        <v>2333</v>
      </c>
      <c r="K242" s="331" t="s">
        <v>1514</v>
      </c>
      <c r="L242" s="331">
        <f>12/4</f>
        <v>3</v>
      </c>
      <c r="M242" s="333" t="s">
        <v>1532</v>
      </c>
      <c r="N242" s="333">
        <f>N241+13+1/3</f>
        <v>346.66666666666669</v>
      </c>
      <c r="U242" s="363" t="s">
        <v>373</v>
      </c>
      <c r="V242" s="163" t="s">
        <v>374</v>
      </c>
      <c r="W242" s="98">
        <v>5.5</v>
      </c>
      <c r="X242" s="1137">
        <v>28</v>
      </c>
      <c r="Y242" s="333" t="s">
        <v>39</v>
      </c>
      <c r="Z242" s="631" t="s">
        <v>97</v>
      </c>
      <c r="AA242" s="631" t="s">
        <v>2068</v>
      </c>
      <c r="IV242" s="346"/>
    </row>
    <row r="243" spans="1:256" ht="15" x14ac:dyDescent="0.2">
      <c r="A243" s="369">
        <v>29</v>
      </c>
      <c r="B243" s="366" t="s">
        <v>3671</v>
      </c>
      <c r="C243" s="346" t="s">
        <v>375</v>
      </c>
      <c r="D243" s="332"/>
      <c r="E243" s="331"/>
      <c r="F243" s="346"/>
      <c r="G243" s="346"/>
      <c r="M243" s="333"/>
      <c r="U243" s="363" t="s">
        <v>376</v>
      </c>
      <c r="V243" s="163" t="s">
        <v>377</v>
      </c>
      <c r="W243" s="98">
        <v>5.56</v>
      </c>
      <c r="X243" s="1137">
        <v>29</v>
      </c>
      <c r="Y243" s="333" t="s">
        <v>40</v>
      </c>
      <c r="Z243" s="631" t="s">
        <v>98</v>
      </c>
      <c r="AA243" s="631" t="s">
        <v>2069</v>
      </c>
      <c r="IV243" s="346"/>
    </row>
    <row r="244" spans="1:256" ht="15" x14ac:dyDescent="0.2">
      <c r="A244" s="369">
        <v>30</v>
      </c>
      <c r="B244" s="366" t="s">
        <v>3672</v>
      </c>
      <c r="C244" s="346" t="s">
        <v>378</v>
      </c>
      <c r="D244" s="332"/>
      <c r="E244" s="331"/>
      <c r="M244" s="333"/>
      <c r="U244" s="363" t="s">
        <v>379</v>
      </c>
      <c r="V244" s="163" t="s">
        <v>380</v>
      </c>
      <c r="W244" s="98">
        <v>5.63</v>
      </c>
      <c r="X244" s="1137">
        <v>30</v>
      </c>
      <c r="Y244" s="333" t="s">
        <v>41</v>
      </c>
      <c r="Z244" s="631" t="s">
        <v>99</v>
      </c>
      <c r="AA244" s="631" t="s">
        <v>2070</v>
      </c>
      <c r="IV244" s="346"/>
    </row>
    <row r="245" spans="1:256" ht="15" x14ac:dyDescent="0.2">
      <c r="A245" s="369">
        <v>31</v>
      </c>
      <c r="B245" s="366" t="s">
        <v>3673</v>
      </c>
      <c r="C245" s="346" t="s">
        <v>381</v>
      </c>
      <c r="D245" s="332"/>
      <c r="E245" s="331"/>
      <c r="M245" s="333"/>
      <c r="U245" s="363" t="s">
        <v>382</v>
      </c>
      <c r="V245" s="163" t="s">
        <v>383</v>
      </c>
      <c r="W245" s="98">
        <v>6</v>
      </c>
      <c r="X245" s="1137">
        <v>31</v>
      </c>
      <c r="Y245" s="333" t="s">
        <v>42</v>
      </c>
      <c r="Z245" s="631" t="s">
        <v>100</v>
      </c>
      <c r="AA245" s="631" t="s">
        <v>2071</v>
      </c>
      <c r="IV245" s="346"/>
    </row>
    <row r="246" spans="1:256" ht="15" x14ac:dyDescent="0.2">
      <c r="A246" s="369">
        <v>32</v>
      </c>
      <c r="B246" s="366" t="s">
        <v>3674</v>
      </c>
      <c r="C246" s="346" t="s">
        <v>384</v>
      </c>
      <c r="D246" s="332"/>
      <c r="E246" s="331"/>
      <c r="M246" s="333"/>
      <c r="U246" s="363" t="s">
        <v>385</v>
      </c>
      <c r="V246" s="163" t="s">
        <v>386</v>
      </c>
      <c r="W246" s="98">
        <v>6.25</v>
      </c>
      <c r="X246" s="1137">
        <v>32</v>
      </c>
      <c r="Y246" s="333" t="s">
        <v>43</v>
      </c>
      <c r="Z246" s="631" t="s">
        <v>101</v>
      </c>
      <c r="AA246" s="631" t="s">
        <v>2056</v>
      </c>
      <c r="IV246" s="346"/>
    </row>
    <row r="247" spans="1:256" ht="15" x14ac:dyDescent="0.2">
      <c r="A247" s="369">
        <v>33</v>
      </c>
      <c r="B247" s="366" t="s">
        <v>304</v>
      </c>
      <c r="C247" s="346" t="s">
        <v>303</v>
      </c>
      <c r="D247" s="332"/>
      <c r="E247" s="331"/>
      <c r="M247" s="333"/>
      <c r="U247" s="363" t="s">
        <v>387</v>
      </c>
      <c r="V247" s="163" t="s">
        <v>388</v>
      </c>
      <c r="W247" s="98">
        <v>6.5</v>
      </c>
      <c r="X247" s="1137">
        <v>33</v>
      </c>
      <c r="Y247" s="333" t="s">
        <v>44</v>
      </c>
      <c r="Z247" s="631" t="s">
        <v>102</v>
      </c>
      <c r="AA247" s="631" t="s">
        <v>2072</v>
      </c>
      <c r="IV247" s="346"/>
    </row>
    <row r="248" spans="1:256" ht="15" x14ac:dyDescent="0.2">
      <c r="A248" s="369">
        <v>34</v>
      </c>
      <c r="B248" s="366" t="s">
        <v>3675</v>
      </c>
      <c r="C248" s="346" t="s">
        <v>389</v>
      </c>
      <c r="D248" s="332"/>
      <c r="E248" s="331"/>
      <c r="M248" s="333"/>
      <c r="U248" s="363" t="s">
        <v>390</v>
      </c>
      <c r="V248" s="163" t="s">
        <v>391</v>
      </c>
      <c r="W248" s="98">
        <v>6.67</v>
      </c>
      <c r="X248" s="1137">
        <v>34</v>
      </c>
      <c r="Y248" s="333" t="s">
        <v>45</v>
      </c>
      <c r="Z248" s="631" t="s">
        <v>71</v>
      </c>
      <c r="AA248" s="631" t="s">
        <v>2073</v>
      </c>
      <c r="IV248" s="346"/>
    </row>
    <row r="249" spans="1:256" ht="15" x14ac:dyDescent="0.2">
      <c r="A249" s="369">
        <v>35</v>
      </c>
      <c r="B249" s="366" t="s">
        <v>178</v>
      </c>
      <c r="C249" s="346" t="s">
        <v>177</v>
      </c>
      <c r="D249" s="332"/>
      <c r="E249" s="331"/>
      <c r="M249" s="333"/>
      <c r="U249" s="363" t="s">
        <v>392</v>
      </c>
      <c r="V249" s="163" t="s">
        <v>393</v>
      </c>
      <c r="W249" s="98">
        <v>6.75</v>
      </c>
      <c r="X249" s="1137">
        <v>35</v>
      </c>
      <c r="Y249" s="333" t="s">
        <v>46</v>
      </c>
      <c r="Z249" s="631" t="s">
        <v>103</v>
      </c>
      <c r="AA249" s="631" t="s">
        <v>172</v>
      </c>
      <c r="IV249" s="346"/>
    </row>
    <row r="250" spans="1:256" ht="15" x14ac:dyDescent="0.2">
      <c r="A250" s="369">
        <v>36</v>
      </c>
      <c r="B250" s="366" t="s">
        <v>3676</v>
      </c>
      <c r="C250" s="346" t="s">
        <v>394</v>
      </c>
      <c r="D250" s="332"/>
      <c r="E250" s="331"/>
      <c r="M250" s="333"/>
      <c r="U250" s="363" t="s">
        <v>395</v>
      </c>
      <c r="V250" s="163" t="s">
        <v>396</v>
      </c>
      <c r="W250" s="98">
        <v>7</v>
      </c>
      <c r="X250" s="1137">
        <v>36</v>
      </c>
      <c r="Y250" s="333" t="s">
        <v>47</v>
      </c>
      <c r="Z250" s="631" t="s">
        <v>104</v>
      </c>
      <c r="AA250" s="631" t="s">
        <v>2074</v>
      </c>
      <c r="IV250" s="346"/>
    </row>
    <row r="251" spans="1:256" ht="15" x14ac:dyDescent="0.2">
      <c r="A251" s="369">
        <v>37</v>
      </c>
      <c r="B251" s="367" t="s">
        <v>3677</v>
      </c>
      <c r="C251" s="359" t="s">
        <v>397</v>
      </c>
      <c r="D251" s="332"/>
      <c r="E251" s="331"/>
      <c r="M251" s="333"/>
      <c r="U251" s="363" t="s">
        <v>398</v>
      </c>
      <c r="V251" s="163" t="s">
        <v>399</v>
      </c>
      <c r="W251" s="98">
        <v>7.33</v>
      </c>
      <c r="X251" s="1137">
        <v>37</v>
      </c>
      <c r="Y251" s="333" t="s">
        <v>48</v>
      </c>
      <c r="Z251" s="631" t="s">
        <v>105</v>
      </c>
      <c r="AA251" s="631" t="s">
        <v>2075</v>
      </c>
      <c r="IV251" s="346"/>
    </row>
    <row r="252" spans="1:256" ht="15" x14ac:dyDescent="0.2">
      <c r="A252" s="369">
        <v>38</v>
      </c>
      <c r="B252" s="367" t="s">
        <v>3678</v>
      </c>
      <c r="C252" s="359" t="s">
        <v>400</v>
      </c>
      <c r="D252" s="332"/>
      <c r="E252" s="331"/>
      <c r="M252" s="333"/>
      <c r="U252" s="363" t="s">
        <v>401</v>
      </c>
      <c r="V252" s="163" t="s">
        <v>402</v>
      </c>
      <c r="W252" s="98">
        <v>7.5</v>
      </c>
      <c r="X252" s="1137">
        <v>38</v>
      </c>
      <c r="Y252" s="333" t="s">
        <v>29</v>
      </c>
      <c r="Z252" s="631" t="s">
        <v>105</v>
      </c>
      <c r="AA252" s="631" t="s">
        <v>2058</v>
      </c>
      <c r="IV252" s="346"/>
    </row>
    <row r="253" spans="1:256" ht="15" x14ac:dyDescent="0.2">
      <c r="A253" s="369">
        <v>39</v>
      </c>
      <c r="B253" s="366" t="s">
        <v>3679</v>
      </c>
      <c r="C253" s="346" t="s">
        <v>403</v>
      </c>
      <c r="D253" s="332"/>
      <c r="E253" s="331"/>
      <c r="M253" s="333"/>
      <c r="U253" s="363" t="s">
        <v>404</v>
      </c>
      <c r="V253" s="163" t="s">
        <v>405</v>
      </c>
      <c r="W253" s="98">
        <v>7.78</v>
      </c>
      <c r="X253" s="1137">
        <v>39</v>
      </c>
      <c r="Y253" s="333" t="s">
        <v>49</v>
      </c>
      <c r="Z253" s="631" t="s">
        <v>106</v>
      </c>
      <c r="AA253" s="631" t="s">
        <v>2076</v>
      </c>
      <c r="IV253" s="346"/>
    </row>
    <row r="254" spans="1:256" ht="15" x14ac:dyDescent="0.2">
      <c r="A254" s="369">
        <v>40</v>
      </c>
      <c r="B254" s="366" t="s">
        <v>3680</v>
      </c>
      <c r="C254" s="346" t="s">
        <v>406</v>
      </c>
      <c r="D254" s="332"/>
      <c r="E254" s="331"/>
      <c r="M254" s="333"/>
      <c r="U254" s="363" t="s">
        <v>407</v>
      </c>
      <c r="V254" s="163" t="s">
        <v>408</v>
      </c>
      <c r="W254" s="98">
        <v>8</v>
      </c>
      <c r="X254" s="1137">
        <v>40</v>
      </c>
      <c r="Y254" s="333" t="s">
        <v>50</v>
      </c>
      <c r="Z254" s="631" t="s">
        <v>107</v>
      </c>
      <c r="AA254" s="631" t="s">
        <v>2077</v>
      </c>
      <c r="IV254" s="346"/>
    </row>
    <row r="255" spans="1:256" ht="15" x14ac:dyDescent="0.2">
      <c r="A255" s="369">
        <v>41</v>
      </c>
      <c r="D255" s="332"/>
      <c r="E255" s="331"/>
      <c r="M255" s="333"/>
      <c r="U255" s="363" t="s">
        <v>409</v>
      </c>
      <c r="V255" s="163" t="s">
        <v>410</v>
      </c>
      <c r="W255" s="98">
        <v>8.25</v>
      </c>
      <c r="X255" s="1137">
        <v>41</v>
      </c>
      <c r="Y255" s="333" t="s">
        <v>51</v>
      </c>
      <c r="Z255" s="631" t="s">
        <v>108</v>
      </c>
      <c r="AA255" s="631" t="s">
        <v>2078</v>
      </c>
      <c r="IV255" s="346"/>
    </row>
    <row r="256" spans="1:256" ht="15" x14ac:dyDescent="0.2">
      <c r="A256" s="369">
        <v>42</v>
      </c>
      <c r="D256" s="332"/>
      <c r="E256" s="331"/>
      <c r="M256" s="333"/>
      <c r="U256" s="363" t="s">
        <v>411</v>
      </c>
      <c r="V256" s="163" t="s">
        <v>412</v>
      </c>
      <c r="W256" s="98">
        <v>8.5</v>
      </c>
      <c r="X256" s="1137">
        <v>42</v>
      </c>
      <c r="Y256" s="333" t="s">
        <v>52</v>
      </c>
      <c r="Z256" s="631" t="s">
        <v>109</v>
      </c>
      <c r="AA256" s="631" t="s">
        <v>2079</v>
      </c>
      <c r="IV256" s="346"/>
    </row>
    <row r="257" spans="1:256" ht="15" x14ac:dyDescent="0.2">
      <c r="A257" s="369">
        <v>43</v>
      </c>
      <c r="D257" s="332"/>
      <c r="E257" s="331"/>
      <c r="M257" s="333"/>
      <c r="U257" s="363" t="s">
        <v>413</v>
      </c>
      <c r="V257" s="163" t="s">
        <v>414</v>
      </c>
      <c r="W257" s="98">
        <v>8.57</v>
      </c>
      <c r="X257" s="1137">
        <v>43</v>
      </c>
      <c r="Y257" s="333" t="s">
        <v>53</v>
      </c>
      <c r="Z257" s="631" t="s">
        <v>110</v>
      </c>
      <c r="AA257" s="631" t="s">
        <v>2080</v>
      </c>
      <c r="IV257" s="346"/>
    </row>
    <row r="258" spans="1:256" ht="15" x14ac:dyDescent="0.2">
      <c r="A258" s="369">
        <v>44</v>
      </c>
      <c r="D258" s="332"/>
      <c r="E258" s="331"/>
      <c r="M258" s="333"/>
      <c r="U258" s="363" t="s">
        <v>415</v>
      </c>
      <c r="V258" s="163" t="s">
        <v>416</v>
      </c>
      <c r="W258" s="98">
        <v>8.67</v>
      </c>
      <c r="X258" s="1137">
        <v>44</v>
      </c>
      <c r="Y258" s="333" t="s">
        <v>27</v>
      </c>
      <c r="Z258" s="631" t="s">
        <v>101</v>
      </c>
      <c r="AA258" s="631" t="s">
        <v>2056</v>
      </c>
      <c r="IV258" s="346"/>
    </row>
    <row r="259" spans="1:256" ht="15" x14ac:dyDescent="0.2">
      <c r="A259" s="369">
        <v>45</v>
      </c>
      <c r="D259" s="332"/>
      <c r="E259" s="331"/>
      <c r="M259" s="333"/>
      <c r="U259" s="363" t="s">
        <v>417</v>
      </c>
      <c r="V259" s="163" t="s">
        <v>418</v>
      </c>
      <c r="W259" s="98">
        <v>8.75</v>
      </c>
      <c r="X259" s="1137">
        <v>45</v>
      </c>
      <c r="Y259" s="333" t="s">
        <v>54</v>
      </c>
      <c r="Z259" s="631" t="s">
        <v>111</v>
      </c>
      <c r="AA259" s="631" t="s">
        <v>2081</v>
      </c>
      <c r="IV259" s="346"/>
    </row>
    <row r="260" spans="1:256" ht="15" x14ac:dyDescent="0.2">
      <c r="A260" s="369">
        <v>46</v>
      </c>
      <c r="D260" s="332"/>
      <c r="E260" s="331"/>
      <c r="M260" s="333"/>
      <c r="U260" s="363" t="s">
        <v>419</v>
      </c>
      <c r="V260" s="163" t="s">
        <v>420</v>
      </c>
      <c r="W260" s="98">
        <v>8.89</v>
      </c>
      <c r="X260" s="1137">
        <v>46</v>
      </c>
      <c r="Y260" s="333" t="s">
        <v>32</v>
      </c>
      <c r="Z260" s="631" t="s">
        <v>90</v>
      </c>
      <c r="AA260" s="631" t="s">
        <v>2061</v>
      </c>
      <c r="IV260" s="346"/>
    </row>
    <row r="261" spans="1:256" ht="15" x14ac:dyDescent="0.2">
      <c r="A261" s="369">
        <v>47</v>
      </c>
      <c r="D261" s="332"/>
      <c r="E261" s="331"/>
      <c r="M261" s="333"/>
      <c r="U261" s="363" t="s">
        <v>421</v>
      </c>
      <c r="V261" s="163" t="s">
        <v>422</v>
      </c>
      <c r="W261" s="98">
        <v>9</v>
      </c>
      <c r="X261" s="1137">
        <v>47</v>
      </c>
      <c r="Y261" s="333" t="s">
        <v>55</v>
      </c>
      <c r="Z261" s="631" t="s">
        <v>112</v>
      </c>
      <c r="AA261" s="631" t="s">
        <v>2082</v>
      </c>
      <c r="IV261" s="346"/>
    </row>
    <row r="262" spans="1:256" ht="15" x14ac:dyDescent="0.2">
      <c r="A262" s="369">
        <v>48</v>
      </c>
      <c r="D262" s="332"/>
      <c r="E262" s="331"/>
      <c r="M262" s="333"/>
      <c r="U262" s="363" t="s">
        <v>423</v>
      </c>
      <c r="V262" s="163" t="s">
        <v>424</v>
      </c>
      <c r="W262" s="98">
        <v>9.33</v>
      </c>
      <c r="X262" s="1137">
        <v>48</v>
      </c>
      <c r="Y262" s="333" t="s">
        <v>56</v>
      </c>
      <c r="Z262" s="631" t="s">
        <v>113</v>
      </c>
      <c r="AA262" s="631" t="s">
        <v>2083</v>
      </c>
      <c r="IV262" s="346"/>
    </row>
    <row r="263" spans="1:256" ht="15" x14ac:dyDescent="0.2">
      <c r="A263" s="369">
        <v>49</v>
      </c>
      <c r="D263" s="332"/>
      <c r="E263" s="331"/>
      <c r="M263" s="333"/>
      <c r="U263" s="363" t="s">
        <v>425</v>
      </c>
      <c r="V263" s="163" t="s">
        <v>426</v>
      </c>
      <c r="W263" s="98">
        <v>9.3800000000000008</v>
      </c>
      <c r="X263" s="1137">
        <v>49</v>
      </c>
      <c r="Y263" s="333" t="s">
        <v>57</v>
      </c>
      <c r="Z263" s="631" t="s">
        <v>114</v>
      </c>
      <c r="AA263" s="631" t="s">
        <v>200</v>
      </c>
      <c r="IV263" s="346"/>
    </row>
    <row r="264" spans="1:256" ht="15" x14ac:dyDescent="0.2">
      <c r="A264" s="369">
        <v>50</v>
      </c>
      <c r="D264" s="332"/>
      <c r="E264" s="331"/>
      <c r="M264" s="333"/>
      <c r="U264" s="363" t="s">
        <v>427</v>
      </c>
      <c r="V264" s="163" t="s">
        <v>428</v>
      </c>
      <c r="W264" s="98">
        <v>9.5</v>
      </c>
      <c r="X264" s="1137">
        <v>50</v>
      </c>
      <c r="Y264" s="333" t="s">
        <v>58</v>
      </c>
      <c r="Z264" s="631" t="s">
        <v>115</v>
      </c>
      <c r="AA264" s="631" t="s">
        <v>2084</v>
      </c>
      <c r="IV264" s="346"/>
    </row>
    <row r="265" spans="1:256" ht="15" x14ac:dyDescent="0.2">
      <c r="A265" s="369">
        <v>51</v>
      </c>
      <c r="D265" s="332"/>
      <c r="E265" s="331"/>
      <c r="M265" s="333"/>
      <c r="U265" s="363" t="s">
        <v>429</v>
      </c>
      <c r="V265" s="163" t="s">
        <v>430</v>
      </c>
      <c r="W265" s="98">
        <v>9.75</v>
      </c>
      <c r="X265" s="1137">
        <v>51</v>
      </c>
      <c r="Y265" s="333" t="s">
        <v>59</v>
      </c>
      <c r="Z265" s="631" t="s">
        <v>116</v>
      </c>
      <c r="AA265" s="631" t="s">
        <v>2085</v>
      </c>
      <c r="IV265" s="346"/>
    </row>
    <row r="266" spans="1:256" ht="15" x14ac:dyDescent="0.2">
      <c r="A266" s="369">
        <v>52</v>
      </c>
      <c r="D266" s="332"/>
      <c r="E266" s="331"/>
      <c r="M266" s="333"/>
      <c r="U266" s="363" t="s">
        <v>431</v>
      </c>
      <c r="V266" s="163" t="s">
        <v>432</v>
      </c>
      <c r="W266" s="98">
        <v>10</v>
      </c>
      <c r="X266" s="1137">
        <v>52</v>
      </c>
      <c r="Y266" s="333" t="s">
        <v>60</v>
      </c>
      <c r="Z266" s="631" t="s">
        <v>117</v>
      </c>
      <c r="AA266" s="631" t="s">
        <v>2086</v>
      </c>
      <c r="IV266" s="346"/>
    </row>
    <row r="267" spans="1:256" ht="15" x14ac:dyDescent="0.2">
      <c r="A267" s="369">
        <v>53</v>
      </c>
      <c r="D267" s="332"/>
      <c r="E267" s="331"/>
      <c r="M267" s="333"/>
      <c r="U267" s="363" t="s">
        <v>433</v>
      </c>
      <c r="V267" s="163" t="s">
        <v>434</v>
      </c>
      <c r="W267" s="98">
        <v>10.5</v>
      </c>
      <c r="X267" s="1137">
        <v>53</v>
      </c>
      <c r="Y267" s="333" t="s">
        <v>61</v>
      </c>
      <c r="Z267" s="631" t="s">
        <v>118</v>
      </c>
      <c r="AA267" s="631" t="s">
        <v>2087</v>
      </c>
      <c r="IV267" s="346"/>
    </row>
    <row r="268" spans="1:256" ht="15" x14ac:dyDescent="0.2">
      <c r="A268" s="369">
        <v>54</v>
      </c>
      <c r="D268" s="332"/>
      <c r="E268" s="331"/>
      <c r="M268" s="333"/>
      <c r="U268" s="363" t="s">
        <v>435</v>
      </c>
      <c r="V268" s="163" t="s">
        <v>436</v>
      </c>
      <c r="W268" s="98">
        <v>10.67</v>
      </c>
      <c r="X268" s="1137">
        <v>54</v>
      </c>
      <c r="Y268" s="333" t="s">
        <v>54</v>
      </c>
      <c r="Z268" s="631" t="s">
        <v>111</v>
      </c>
      <c r="AA268" s="631" t="s">
        <v>2081</v>
      </c>
      <c r="IV268" s="346"/>
    </row>
    <row r="269" spans="1:256" ht="15" x14ac:dyDescent="0.2">
      <c r="A269" s="369">
        <v>55</v>
      </c>
      <c r="D269" s="332"/>
      <c r="E269" s="331"/>
      <c r="M269" s="333"/>
      <c r="U269" s="363" t="s">
        <v>437</v>
      </c>
      <c r="V269" s="163" t="s">
        <v>438</v>
      </c>
      <c r="W269" s="98">
        <v>11</v>
      </c>
      <c r="X269" s="1137">
        <v>55</v>
      </c>
      <c r="Y269" s="333" t="s">
        <v>62</v>
      </c>
      <c r="Z269" s="631" t="s">
        <v>119</v>
      </c>
      <c r="AA269" s="631" t="s">
        <v>2088</v>
      </c>
      <c r="IV269" s="346"/>
    </row>
    <row r="270" spans="1:256" ht="15" x14ac:dyDescent="0.2">
      <c r="A270" s="369">
        <v>56</v>
      </c>
      <c r="D270" s="332"/>
      <c r="E270" s="331"/>
      <c r="M270" s="333"/>
      <c r="U270" s="363" t="s">
        <v>439</v>
      </c>
      <c r="V270" s="163" t="s">
        <v>440</v>
      </c>
      <c r="W270" s="98">
        <v>11.11</v>
      </c>
      <c r="X270" s="1137">
        <v>56</v>
      </c>
      <c r="Y270" s="333" t="s">
        <v>63</v>
      </c>
      <c r="Z270" s="631" t="s">
        <v>120</v>
      </c>
      <c r="AA270" s="631" t="s">
        <v>2089</v>
      </c>
      <c r="IV270" s="346"/>
    </row>
    <row r="271" spans="1:256" ht="15" x14ac:dyDescent="0.2">
      <c r="A271" s="369">
        <v>57</v>
      </c>
      <c r="D271" s="332"/>
      <c r="E271" s="331"/>
      <c r="M271" s="333"/>
      <c r="U271" s="363" t="s">
        <v>441</v>
      </c>
      <c r="V271" s="163" t="s">
        <v>442</v>
      </c>
      <c r="W271" s="98">
        <v>11.25</v>
      </c>
      <c r="X271" s="1137">
        <v>57</v>
      </c>
      <c r="Y271" s="333" t="s">
        <v>64</v>
      </c>
      <c r="Z271" s="631" t="s">
        <v>105</v>
      </c>
      <c r="AA271" s="631" t="s">
        <v>2058</v>
      </c>
      <c r="IV271" s="346"/>
    </row>
    <row r="272" spans="1:256" ht="15" x14ac:dyDescent="0.2">
      <c r="A272" s="369">
        <v>58</v>
      </c>
      <c r="D272" s="332"/>
      <c r="E272" s="331"/>
      <c r="M272" s="333"/>
      <c r="U272" s="363" t="s">
        <v>443</v>
      </c>
      <c r="V272" s="163" t="s">
        <v>444</v>
      </c>
      <c r="W272" s="98">
        <v>11.33</v>
      </c>
      <c r="X272" s="1137">
        <v>58</v>
      </c>
      <c r="Y272" s="333" t="s">
        <v>65</v>
      </c>
      <c r="Z272" s="631" t="s">
        <v>121</v>
      </c>
      <c r="AA272" s="631" t="s">
        <v>2090</v>
      </c>
      <c r="IV272" s="346"/>
    </row>
    <row r="273" spans="1:256" ht="15" x14ac:dyDescent="0.2">
      <c r="A273" s="369">
        <v>59</v>
      </c>
      <c r="D273" s="332"/>
      <c r="E273" s="331"/>
      <c r="M273" s="333"/>
      <c r="U273" s="363" t="s">
        <v>445</v>
      </c>
      <c r="V273" s="163" t="s">
        <v>446</v>
      </c>
      <c r="W273" s="98">
        <v>11.5</v>
      </c>
      <c r="X273" s="1137">
        <v>59</v>
      </c>
      <c r="Y273" s="333" t="s">
        <v>66</v>
      </c>
      <c r="Z273" s="631" t="s">
        <v>122</v>
      </c>
      <c r="AA273" s="631" t="s">
        <v>2091</v>
      </c>
      <c r="IV273" s="346"/>
    </row>
    <row r="274" spans="1:256" ht="15" x14ac:dyDescent="0.2">
      <c r="A274" s="369">
        <v>60</v>
      </c>
      <c r="D274" s="332"/>
      <c r="E274" s="331"/>
      <c r="M274" s="333"/>
      <c r="U274" s="363" t="s">
        <v>447</v>
      </c>
      <c r="V274" s="163" t="s">
        <v>448</v>
      </c>
      <c r="W274" s="98">
        <v>12</v>
      </c>
      <c r="X274" s="1137">
        <v>60</v>
      </c>
      <c r="Y274" s="333" t="s">
        <v>67</v>
      </c>
      <c r="Z274" s="631" t="s">
        <v>123</v>
      </c>
      <c r="AA274" s="631" t="s">
        <v>2092</v>
      </c>
      <c r="IV274" s="346"/>
    </row>
    <row r="275" spans="1:256" ht="15" x14ac:dyDescent="0.2">
      <c r="A275" s="369">
        <v>61</v>
      </c>
      <c r="D275" s="332"/>
      <c r="E275" s="331"/>
      <c r="M275" s="333"/>
      <c r="U275" s="363" t="s">
        <v>449</v>
      </c>
      <c r="V275" s="163" t="s">
        <v>450</v>
      </c>
      <c r="W275" s="98">
        <v>12.22</v>
      </c>
      <c r="IV275" s="346"/>
    </row>
    <row r="276" spans="1:256" ht="15" x14ac:dyDescent="0.2">
      <c r="A276" s="369">
        <v>62</v>
      </c>
      <c r="D276" s="332"/>
      <c r="E276" s="331"/>
      <c r="M276" s="333"/>
      <c r="U276" s="363" t="s">
        <v>398</v>
      </c>
      <c r="V276" s="163" t="s">
        <v>399</v>
      </c>
      <c r="W276" s="98">
        <v>12.5</v>
      </c>
      <c r="IV276" s="346"/>
    </row>
    <row r="277" spans="1:256" ht="15" x14ac:dyDescent="0.2">
      <c r="A277" s="369">
        <v>63</v>
      </c>
      <c r="D277" s="332"/>
      <c r="E277" s="331"/>
      <c r="M277" s="333"/>
      <c r="U277" s="363" t="s">
        <v>451</v>
      </c>
      <c r="V277" s="163" t="s">
        <v>452</v>
      </c>
      <c r="W277" s="98">
        <v>12.67</v>
      </c>
      <c r="IV277" s="346"/>
    </row>
    <row r="278" spans="1:256" ht="15" x14ac:dyDescent="0.2">
      <c r="A278" s="369">
        <v>64</v>
      </c>
      <c r="D278" s="332"/>
      <c r="E278" s="331"/>
      <c r="M278" s="333"/>
      <c r="U278" s="363" t="s">
        <v>453</v>
      </c>
      <c r="V278" s="163" t="s">
        <v>454</v>
      </c>
      <c r="W278" s="98">
        <v>12.75</v>
      </c>
      <c r="IV278" s="346"/>
    </row>
    <row r="279" spans="1:256" ht="15" x14ac:dyDescent="0.2">
      <c r="A279" s="369">
        <v>65</v>
      </c>
      <c r="D279" s="332"/>
      <c r="E279" s="331"/>
      <c r="M279" s="333"/>
      <c r="U279" s="363" t="s">
        <v>455</v>
      </c>
      <c r="V279" s="163" t="s">
        <v>456</v>
      </c>
      <c r="W279" s="98">
        <v>12.86</v>
      </c>
      <c r="IV279" s="346"/>
    </row>
    <row r="280" spans="1:256" ht="15" x14ac:dyDescent="0.2">
      <c r="A280" s="369">
        <v>66</v>
      </c>
      <c r="D280" s="332"/>
      <c r="E280" s="331"/>
      <c r="M280" s="333"/>
      <c r="U280" s="363" t="s">
        <v>457</v>
      </c>
      <c r="V280" s="163" t="s">
        <v>458</v>
      </c>
      <c r="W280" s="98">
        <v>13</v>
      </c>
      <c r="IV280" s="346"/>
    </row>
    <row r="281" spans="1:256" ht="15" x14ac:dyDescent="0.2">
      <c r="A281" s="369">
        <v>67</v>
      </c>
      <c r="D281" s="332"/>
      <c r="E281" s="331"/>
      <c r="M281" s="333"/>
      <c r="U281" s="363" t="s">
        <v>459</v>
      </c>
      <c r="V281" s="163" t="s">
        <v>460</v>
      </c>
      <c r="W281" s="98">
        <v>13.13</v>
      </c>
      <c r="IV281" s="346"/>
    </row>
    <row r="282" spans="1:256" ht="15" x14ac:dyDescent="0.2">
      <c r="A282" s="369">
        <v>68</v>
      </c>
      <c r="D282" s="332"/>
      <c r="E282" s="331"/>
      <c r="M282" s="333"/>
      <c r="U282" s="363" t="s">
        <v>461</v>
      </c>
      <c r="V282" s="163" t="s">
        <v>462</v>
      </c>
      <c r="W282" s="98">
        <v>13.33</v>
      </c>
      <c r="IV282" s="346"/>
    </row>
    <row r="283" spans="1:256" ht="15" x14ac:dyDescent="0.2">
      <c r="A283" s="369">
        <v>69</v>
      </c>
      <c r="D283" s="332"/>
      <c r="E283" s="331"/>
      <c r="M283" s="333"/>
      <c r="U283" s="363" t="s">
        <v>463</v>
      </c>
      <c r="V283" s="163" t="s">
        <v>464</v>
      </c>
      <c r="W283" s="98">
        <v>13.5</v>
      </c>
      <c r="IV283" s="346"/>
    </row>
    <row r="284" spans="1:256" ht="15" x14ac:dyDescent="0.2">
      <c r="A284" s="369">
        <v>70</v>
      </c>
      <c r="D284" s="332"/>
      <c r="E284" s="331"/>
      <c r="M284" s="333"/>
      <c r="U284" s="363" t="s">
        <v>465</v>
      </c>
      <c r="V284" s="163" t="s">
        <v>466</v>
      </c>
      <c r="W284" s="98">
        <v>13.75</v>
      </c>
      <c r="IV284" s="346"/>
    </row>
    <row r="285" spans="1:256" ht="15" x14ac:dyDescent="0.2">
      <c r="A285" s="369">
        <v>71</v>
      </c>
      <c r="D285" s="332"/>
      <c r="E285" s="331"/>
      <c r="M285" s="333"/>
      <c r="U285" s="363" t="s">
        <v>467</v>
      </c>
      <c r="V285" s="163" t="s">
        <v>468</v>
      </c>
      <c r="W285" s="98">
        <v>14</v>
      </c>
      <c r="IV285" s="346"/>
    </row>
    <row r="286" spans="1:256" ht="15" x14ac:dyDescent="0.2">
      <c r="A286" s="369">
        <v>72</v>
      </c>
      <c r="D286" s="332"/>
      <c r="E286" s="331"/>
      <c r="M286" s="333"/>
      <c r="U286" s="363" t="s">
        <v>469</v>
      </c>
      <c r="V286" s="163" t="s">
        <v>470</v>
      </c>
      <c r="W286" s="98">
        <v>14.25</v>
      </c>
      <c r="IV286" s="346"/>
    </row>
    <row r="287" spans="1:256" ht="15" x14ac:dyDescent="0.2">
      <c r="A287" s="369">
        <v>73</v>
      </c>
      <c r="D287" s="332"/>
      <c r="E287" s="331"/>
      <c r="M287" s="333"/>
      <c r="U287" s="370" t="s">
        <v>471</v>
      </c>
      <c r="V287" s="371" t="s">
        <v>472</v>
      </c>
      <c r="W287" s="98">
        <v>14.44</v>
      </c>
      <c r="IV287" s="346"/>
    </row>
    <row r="288" spans="1:256" ht="15" x14ac:dyDescent="0.2">
      <c r="A288" s="369">
        <v>74</v>
      </c>
      <c r="D288" s="332"/>
      <c r="E288" s="331"/>
      <c r="M288" s="333"/>
      <c r="U288" s="370" t="s">
        <v>473</v>
      </c>
      <c r="V288" s="371" t="s">
        <v>474</v>
      </c>
      <c r="W288" s="98">
        <v>14.5</v>
      </c>
      <c r="IV288" s="346"/>
    </row>
    <row r="289" spans="1:256" ht="15" x14ac:dyDescent="0.2">
      <c r="A289" s="369">
        <v>75</v>
      </c>
      <c r="D289" s="332"/>
      <c r="E289" s="331"/>
      <c r="M289" s="333"/>
      <c r="U289" s="370" t="s">
        <v>475</v>
      </c>
      <c r="V289" s="371" t="s">
        <v>476</v>
      </c>
      <c r="W289" s="98">
        <v>14.67</v>
      </c>
      <c r="IV289" s="346"/>
    </row>
    <row r="290" spans="1:256" ht="15" x14ac:dyDescent="0.2">
      <c r="A290" s="369">
        <v>76</v>
      </c>
      <c r="D290" s="332"/>
      <c r="E290" s="331"/>
      <c r="M290" s="333"/>
      <c r="U290" s="370" t="s">
        <v>477</v>
      </c>
      <c r="V290" s="371" t="s">
        <v>478</v>
      </c>
      <c r="W290" s="98">
        <v>15</v>
      </c>
      <c r="IV290" s="346"/>
    </row>
    <row r="291" spans="1:256" ht="15" x14ac:dyDescent="0.2">
      <c r="A291" s="369">
        <v>77</v>
      </c>
      <c r="D291" s="332"/>
      <c r="E291" s="331"/>
      <c r="M291" s="333"/>
      <c r="U291" s="370" t="s">
        <v>413</v>
      </c>
      <c r="V291" s="371" t="s">
        <v>414</v>
      </c>
      <c r="W291" s="98">
        <v>15.33</v>
      </c>
      <c r="IV291" s="346"/>
    </row>
    <row r="292" spans="1:256" ht="15" x14ac:dyDescent="0.2">
      <c r="A292" s="369">
        <v>78</v>
      </c>
      <c r="D292" s="332"/>
      <c r="E292" s="331"/>
      <c r="M292" s="333"/>
      <c r="U292" s="370" t="s">
        <v>479</v>
      </c>
      <c r="V292" s="371" t="s">
        <v>480</v>
      </c>
      <c r="W292" s="98">
        <v>15.5</v>
      </c>
      <c r="IV292" s="346"/>
    </row>
    <row r="293" spans="1:256" ht="15" x14ac:dyDescent="0.2">
      <c r="A293" s="369">
        <v>79</v>
      </c>
      <c r="D293" s="332"/>
      <c r="E293" s="331"/>
      <c r="M293" s="333"/>
      <c r="U293" s="370" t="s">
        <v>481</v>
      </c>
      <c r="V293" s="371" t="s">
        <v>482</v>
      </c>
      <c r="W293" s="98">
        <v>15.56</v>
      </c>
      <c r="IV293" s="346"/>
    </row>
    <row r="294" spans="1:256" ht="15" x14ac:dyDescent="0.2">
      <c r="A294" s="369">
        <v>80</v>
      </c>
      <c r="D294" s="332"/>
      <c r="E294" s="331"/>
      <c r="M294" s="333"/>
      <c r="U294" s="370" t="s">
        <v>483</v>
      </c>
      <c r="V294" s="371" t="s">
        <v>484</v>
      </c>
      <c r="W294" s="98">
        <v>15.75</v>
      </c>
      <c r="IV294" s="346"/>
    </row>
    <row r="295" spans="1:256" ht="15" x14ac:dyDescent="0.2">
      <c r="A295" s="369">
        <v>81</v>
      </c>
      <c r="D295" s="332"/>
      <c r="E295" s="331"/>
      <c r="M295" s="333"/>
      <c r="U295" s="370" t="s">
        <v>485</v>
      </c>
      <c r="V295" s="371" t="s">
        <v>486</v>
      </c>
      <c r="W295" s="98">
        <v>16</v>
      </c>
      <c r="IV295" s="346"/>
    </row>
    <row r="296" spans="1:256" ht="15" x14ac:dyDescent="0.2">
      <c r="A296" s="369">
        <v>82</v>
      </c>
      <c r="D296" s="332"/>
      <c r="E296" s="331"/>
      <c r="M296" s="333"/>
      <c r="U296" s="370" t="s">
        <v>487</v>
      </c>
      <c r="V296" s="371" t="s">
        <v>488</v>
      </c>
      <c r="W296" s="98">
        <v>16.25</v>
      </c>
      <c r="IV296" s="346"/>
    </row>
    <row r="297" spans="1:256" ht="15" x14ac:dyDescent="0.2">
      <c r="A297" s="369">
        <v>83</v>
      </c>
      <c r="D297" s="332"/>
      <c r="E297" s="331"/>
      <c r="M297" s="333"/>
      <c r="U297" s="370" t="s">
        <v>489</v>
      </c>
      <c r="V297" s="371" t="s">
        <v>490</v>
      </c>
      <c r="W297" s="98">
        <v>16.5</v>
      </c>
      <c r="IV297" s="346"/>
    </row>
    <row r="298" spans="1:256" ht="15" x14ac:dyDescent="0.2">
      <c r="A298" s="369">
        <v>84</v>
      </c>
      <c r="D298" s="332"/>
      <c r="E298" s="331"/>
      <c r="M298" s="333"/>
      <c r="U298" s="370" t="s">
        <v>491</v>
      </c>
      <c r="V298" s="371" t="s">
        <v>492</v>
      </c>
      <c r="W298" s="98">
        <v>16.670000000000002</v>
      </c>
      <c r="IV298" s="346"/>
    </row>
    <row r="299" spans="1:256" ht="15" x14ac:dyDescent="0.2">
      <c r="A299" s="369">
        <v>85</v>
      </c>
      <c r="D299" s="332"/>
      <c r="E299" s="331"/>
      <c r="M299" s="333"/>
      <c r="U299" s="370" t="s">
        <v>493</v>
      </c>
      <c r="V299" s="371" t="s">
        <v>494</v>
      </c>
      <c r="W299" s="98">
        <v>16.88</v>
      </c>
      <c r="IV299" s="346"/>
    </row>
    <row r="300" spans="1:256" ht="15" x14ac:dyDescent="0.2">
      <c r="A300" s="369">
        <v>86</v>
      </c>
      <c r="D300" s="332"/>
      <c r="E300" s="331"/>
      <c r="M300" s="333"/>
      <c r="U300" s="370" t="s">
        <v>495</v>
      </c>
      <c r="V300" s="371" t="s">
        <v>496</v>
      </c>
      <c r="W300" s="98">
        <v>17</v>
      </c>
      <c r="IV300" s="346"/>
    </row>
    <row r="301" spans="1:256" ht="15" x14ac:dyDescent="0.2">
      <c r="A301" s="369">
        <v>87</v>
      </c>
      <c r="D301" s="332"/>
      <c r="E301" s="331"/>
      <c r="M301" s="333"/>
      <c r="U301" s="370" t="s">
        <v>497</v>
      </c>
      <c r="V301" s="371" t="s">
        <v>498</v>
      </c>
      <c r="W301" s="98">
        <v>17.14</v>
      </c>
      <c r="IV301" s="346"/>
    </row>
    <row r="302" spans="1:256" ht="15" x14ac:dyDescent="0.2">
      <c r="A302" s="369">
        <v>88</v>
      </c>
      <c r="D302" s="332"/>
      <c r="E302" s="331"/>
      <c r="M302" s="333"/>
      <c r="U302" s="370" t="s">
        <v>499</v>
      </c>
      <c r="V302" s="371" t="s">
        <v>500</v>
      </c>
      <c r="W302" s="98">
        <v>17.25</v>
      </c>
      <c r="IV302" s="346"/>
    </row>
    <row r="303" spans="1:256" ht="15" x14ac:dyDescent="0.2">
      <c r="A303" s="369">
        <v>89</v>
      </c>
      <c r="D303" s="332"/>
      <c r="E303" s="331"/>
      <c r="M303" s="333"/>
      <c r="U303" s="370" t="s">
        <v>501</v>
      </c>
      <c r="V303" s="371" t="s">
        <v>502</v>
      </c>
      <c r="W303" s="98">
        <v>17.329999999999998</v>
      </c>
      <c r="IV303" s="346"/>
    </row>
    <row r="304" spans="1:256" ht="15" x14ac:dyDescent="0.2">
      <c r="A304" s="369">
        <v>90</v>
      </c>
      <c r="D304" s="332"/>
      <c r="E304" s="331"/>
      <c r="M304" s="333"/>
      <c r="U304" s="370" t="s">
        <v>503</v>
      </c>
      <c r="V304" s="371" t="s">
        <v>504</v>
      </c>
      <c r="W304" s="98">
        <v>17.5</v>
      </c>
      <c r="IV304" s="346"/>
    </row>
    <row r="305" spans="1:256" ht="15" x14ac:dyDescent="0.2">
      <c r="A305" s="369">
        <v>91</v>
      </c>
      <c r="D305" s="332"/>
      <c r="E305" s="331"/>
      <c r="M305" s="333"/>
      <c r="U305" s="370" t="s">
        <v>505</v>
      </c>
      <c r="V305" s="371" t="s">
        <v>506</v>
      </c>
      <c r="W305" s="98">
        <v>17.78</v>
      </c>
      <c r="IV305" s="346"/>
    </row>
    <row r="306" spans="1:256" ht="15" x14ac:dyDescent="0.2">
      <c r="A306" s="369">
        <v>92</v>
      </c>
      <c r="D306" s="332"/>
      <c r="E306" s="331"/>
      <c r="M306" s="333"/>
      <c r="U306" s="370" t="s">
        <v>507</v>
      </c>
      <c r="V306" s="371" t="s">
        <v>508</v>
      </c>
      <c r="W306" s="98">
        <v>18</v>
      </c>
      <c r="IV306" s="346"/>
    </row>
    <row r="307" spans="1:256" ht="15" x14ac:dyDescent="0.2">
      <c r="A307" s="369">
        <v>93</v>
      </c>
      <c r="D307" s="332"/>
      <c r="E307" s="331"/>
      <c r="M307" s="333"/>
      <c r="U307" s="370" t="s">
        <v>509</v>
      </c>
      <c r="V307" s="371" t="s">
        <v>510</v>
      </c>
      <c r="W307" s="98">
        <v>18.5</v>
      </c>
      <c r="IV307" s="346"/>
    </row>
    <row r="308" spans="1:256" ht="15" x14ac:dyDescent="0.2">
      <c r="A308" s="369">
        <v>94</v>
      </c>
      <c r="D308" s="332"/>
      <c r="E308" s="331"/>
      <c r="M308" s="333"/>
      <c r="U308" s="370" t="s">
        <v>511</v>
      </c>
      <c r="V308" s="371" t="s">
        <v>512</v>
      </c>
      <c r="W308" s="98">
        <v>18.670000000000002</v>
      </c>
      <c r="IV308" s="346"/>
    </row>
    <row r="309" spans="1:256" ht="15" x14ac:dyDescent="0.2">
      <c r="A309" s="369">
        <v>95</v>
      </c>
      <c r="D309" s="332"/>
      <c r="E309" s="331"/>
      <c r="M309" s="333"/>
      <c r="U309" s="370" t="s">
        <v>513</v>
      </c>
      <c r="V309" s="371" t="s">
        <v>514</v>
      </c>
      <c r="W309" s="98">
        <v>18.75</v>
      </c>
      <c r="IV309" s="346"/>
    </row>
    <row r="310" spans="1:256" ht="15" x14ac:dyDescent="0.2">
      <c r="A310" s="369">
        <v>96</v>
      </c>
      <c r="D310" s="332"/>
      <c r="E310" s="331"/>
      <c r="M310" s="333"/>
      <c r="U310" s="370" t="s">
        <v>515</v>
      </c>
      <c r="V310" s="371" t="s">
        <v>516</v>
      </c>
      <c r="W310" s="98">
        <v>18.89</v>
      </c>
      <c r="IV310" s="346"/>
    </row>
    <row r="311" spans="1:256" ht="15" x14ac:dyDescent="0.2">
      <c r="A311" s="369">
        <v>97</v>
      </c>
      <c r="D311" s="332"/>
      <c r="E311" s="331"/>
      <c r="M311" s="333"/>
      <c r="U311" s="370" t="s">
        <v>517</v>
      </c>
      <c r="V311" s="371" t="s">
        <v>518</v>
      </c>
      <c r="W311" s="98">
        <v>19</v>
      </c>
      <c r="IV311" s="346"/>
    </row>
    <row r="312" spans="1:256" ht="15" x14ac:dyDescent="0.2">
      <c r="A312" s="369">
        <v>98</v>
      </c>
      <c r="D312" s="332"/>
      <c r="E312" s="331"/>
      <c r="M312" s="333"/>
      <c r="U312" s="370" t="s">
        <v>519</v>
      </c>
      <c r="V312" s="371" t="s">
        <v>520</v>
      </c>
      <c r="W312" s="98">
        <v>19.329999999999998</v>
      </c>
      <c r="IV312" s="346"/>
    </row>
    <row r="313" spans="1:256" ht="15" x14ac:dyDescent="0.2">
      <c r="A313" s="369">
        <v>99</v>
      </c>
      <c r="D313" s="332"/>
      <c r="E313" s="331"/>
      <c r="M313" s="333"/>
      <c r="U313" s="370" t="s">
        <v>521</v>
      </c>
      <c r="V313" s="371" t="s">
        <v>522</v>
      </c>
      <c r="W313" s="98">
        <v>19.5</v>
      </c>
      <c r="IV313" s="346"/>
    </row>
    <row r="314" spans="1:256" ht="15" x14ac:dyDescent="0.2">
      <c r="A314" s="369">
        <v>100</v>
      </c>
      <c r="D314" s="332"/>
      <c r="E314" s="331"/>
      <c r="M314" s="333"/>
      <c r="U314" s="370" t="s">
        <v>523</v>
      </c>
      <c r="V314" s="371" t="s">
        <v>524</v>
      </c>
      <c r="W314" s="98">
        <v>20</v>
      </c>
      <c r="IV314" s="346"/>
    </row>
    <row r="315" spans="1:256" ht="15" x14ac:dyDescent="0.2">
      <c r="A315" s="369">
        <v>101</v>
      </c>
      <c r="D315" s="332"/>
      <c r="E315" s="331"/>
      <c r="M315" s="333"/>
      <c r="U315" s="370" t="s">
        <v>525</v>
      </c>
      <c r="V315" s="371" t="s">
        <v>526</v>
      </c>
      <c r="W315" s="98">
        <v>20.25</v>
      </c>
      <c r="IV315" s="346"/>
    </row>
    <row r="316" spans="1:256" ht="15" x14ac:dyDescent="0.2">
      <c r="A316" s="369">
        <v>102</v>
      </c>
      <c r="D316" s="332"/>
      <c r="E316" s="331"/>
      <c r="M316" s="333"/>
      <c r="U316" s="370" t="s">
        <v>527</v>
      </c>
      <c r="V316" s="371" t="s">
        <v>528</v>
      </c>
      <c r="W316" s="98">
        <v>20.5</v>
      </c>
      <c r="IV316" s="346"/>
    </row>
    <row r="317" spans="1:256" ht="15" x14ac:dyDescent="0.2">
      <c r="A317" s="369">
        <v>103</v>
      </c>
      <c r="D317" s="332"/>
      <c r="E317" s="331"/>
      <c r="M317" s="333"/>
      <c r="U317" s="370" t="s">
        <v>529</v>
      </c>
      <c r="V317" s="371" t="s">
        <v>530</v>
      </c>
      <c r="W317" s="98">
        <v>20.63</v>
      </c>
      <c r="IV317" s="346"/>
    </row>
    <row r="318" spans="1:256" ht="15" x14ac:dyDescent="0.2">
      <c r="A318" s="369">
        <v>104</v>
      </c>
      <c r="D318" s="332"/>
      <c r="E318" s="331"/>
      <c r="M318" s="333"/>
      <c r="U318" s="370" t="s">
        <v>531</v>
      </c>
      <c r="V318" s="371" t="s">
        <v>532</v>
      </c>
      <c r="W318" s="98">
        <v>20.67</v>
      </c>
      <c r="IV318" s="346"/>
    </row>
    <row r="319" spans="1:256" ht="15" x14ac:dyDescent="0.2">
      <c r="A319" s="369">
        <v>105</v>
      </c>
      <c r="D319" s="332"/>
      <c r="E319" s="331"/>
      <c r="M319" s="333"/>
      <c r="U319" s="370" t="s">
        <v>533</v>
      </c>
      <c r="V319" s="371" t="s">
        <v>534</v>
      </c>
      <c r="W319" s="98">
        <v>21</v>
      </c>
      <c r="IV319" s="346"/>
    </row>
    <row r="320" spans="1:256" ht="15" x14ac:dyDescent="0.2">
      <c r="A320" s="369">
        <v>106</v>
      </c>
      <c r="D320" s="332"/>
      <c r="E320" s="331"/>
      <c r="M320" s="333"/>
      <c r="U320" s="370" t="s">
        <v>535</v>
      </c>
      <c r="V320" s="371" t="s">
        <v>536</v>
      </c>
      <c r="W320" s="98">
        <v>21.11</v>
      </c>
      <c r="IV320" s="346"/>
    </row>
    <row r="321" spans="1:256" ht="15" x14ac:dyDescent="0.2">
      <c r="A321" s="369">
        <v>107</v>
      </c>
      <c r="D321" s="332"/>
      <c r="E321" s="331"/>
      <c r="M321" s="333"/>
      <c r="U321" s="370" t="s">
        <v>537</v>
      </c>
      <c r="V321" s="371" t="s">
        <v>538</v>
      </c>
      <c r="W321" s="98">
        <v>21.25</v>
      </c>
      <c r="IV321" s="346"/>
    </row>
    <row r="322" spans="1:256" ht="15" x14ac:dyDescent="0.2">
      <c r="A322" s="369">
        <v>108</v>
      </c>
      <c r="D322" s="332"/>
      <c r="E322" s="331"/>
      <c r="M322" s="333"/>
      <c r="U322" s="370" t="s">
        <v>539</v>
      </c>
      <c r="V322" s="371" t="s">
        <v>540</v>
      </c>
      <c r="W322" s="98">
        <v>21.33</v>
      </c>
      <c r="IV322" s="346"/>
    </row>
    <row r="323" spans="1:256" ht="15" x14ac:dyDescent="0.2">
      <c r="A323" s="369">
        <v>109</v>
      </c>
      <c r="D323" s="332"/>
      <c r="E323" s="331"/>
      <c r="M323" s="333"/>
      <c r="U323" s="370" t="s">
        <v>541</v>
      </c>
      <c r="V323" s="371" t="s">
        <v>542</v>
      </c>
      <c r="W323" s="98">
        <v>21.43</v>
      </c>
      <c r="IV323" s="346"/>
    </row>
    <row r="324" spans="1:256" ht="15" x14ac:dyDescent="0.2">
      <c r="A324" s="369">
        <v>110</v>
      </c>
      <c r="D324" s="332"/>
      <c r="E324" s="331"/>
      <c r="M324" s="333"/>
      <c r="U324" s="370" t="s">
        <v>543</v>
      </c>
      <c r="V324" s="371" t="s">
        <v>544</v>
      </c>
      <c r="W324" s="98">
        <v>21.5</v>
      </c>
      <c r="IV324" s="346"/>
    </row>
    <row r="325" spans="1:256" ht="15" x14ac:dyDescent="0.2">
      <c r="A325" s="369">
        <v>111</v>
      </c>
      <c r="D325" s="332"/>
      <c r="E325" s="331"/>
      <c r="M325" s="333"/>
      <c r="U325" s="370" t="s">
        <v>545</v>
      </c>
      <c r="V325" s="371" t="s">
        <v>546</v>
      </c>
      <c r="W325" s="98">
        <v>21.75</v>
      </c>
      <c r="IV325" s="346"/>
    </row>
    <row r="326" spans="1:256" ht="15" x14ac:dyDescent="0.2">
      <c r="A326" s="369">
        <v>112</v>
      </c>
      <c r="D326" s="332"/>
      <c r="E326" s="331"/>
      <c r="M326" s="333"/>
      <c r="U326" s="370" t="s">
        <v>445</v>
      </c>
      <c r="V326" s="371" t="s">
        <v>446</v>
      </c>
      <c r="W326" s="98">
        <v>22</v>
      </c>
      <c r="IV326" s="346"/>
    </row>
    <row r="327" spans="1:256" ht="15" x14ac:dyDescent="0.2">
      <c r="A327" s="369">
        <v>113</v>
      </c>
      <c r="D327" s="332"/>
      <c r="E327" s="331"/>
      <c r="M327" s="333"/>
      <c r="U327" s="370" t="s">
        <v>547</v>
      </c>
      <c r="V327" s="371" t="s">
        <v>548</v>
      </c>
      <c r="W327" s="98">
        <v>22.22</v>
      </c>
      <c r="IV327" s="346"/>
    </row>
    <row r="328" spans="1:256" ht="15" x14ac:dyDescent="0.2">
      <c r="A328" s="369">
        <v>114</v>
      </c>
      <c r="D328" s="332"/>
      <c r="E328" s="331"/>
      <c r="M328" s="333"/>
      <c r="U328" s="370" t="s">
        <v>549</v>
      </c>
      <c r="V328" s="371" t="s">
        <v>550</v>
      </c>
      <c r="W328" s="98">
        <v>22.5</v>
      </c>
      <c r="IV328" s="346"/>
    </row>
    <row r="329" spans="1:256" ht="15" x14ac:dyDescent="0.2">
      <c r="A329" s="369">
        <v>115</v>
      </c>
      <c r="D329" s="332"/>
      <c r="E329" s="331"/>
      <c r="M329" s="333"/>
      <c r="U329" s="370" t="s">
        <v>551</v>
      </c>
      <c r="V329" s="371" t="s">
        <v>552</v>
      </c>
      <c r="W329" s="98">
        <v>22.67</v>
      </c>
      <c r="IV329" s="346"/>
    </row>
    <row r="330" spans="1:256" ht="15" x14ac:dyDescent="0.2">
      <c r="A330" s="369">
        <v>116</v>
      </c>
      <c r="D330" s="332"/>
      <c r="E330" s="331"/>
      <c r="M330" s="333"/>
      <c r="U330" s="370" t="s">
        <v>553</v>
      </c>
      <c r="V330" s="371" t="s">
        <v>554</v>
      </c>
      <c r="W330" s="98">
        <v>23</v>
      </c>
      <c r="IV330" s="346"/>
    </row>
    <row r="331" spans="1:256" ht="15" x14ac:dyDescent="0.2">
      <c r="A331" s="369">
        <v>117</v>
      </c>
      <c r="D331" s="332"/>
      <c r="E331" s="331"/>
      <c r="M331" s="333"/>
      <c r="U331" s="370" t="s">
        <v>555</v>
      </c>
      <c r="V331" s="371" t="s">
        <v>556</v>
      </c>
      <c r="W331" s="98">
        <v>23.25</v>
      </c>
      <c r="IV331" s="346"/>
    </row>
    <row r="332" spans="1:256" ht="15" x14ac:dyDescent="0.2">
      <c r="A332" s="369">
        <v>118</v>
      </c>
      <c r="D332" s="332"/>
      <c r="E332" s="331"/>
      <c r="M332" s="333"/>
      <c r="U332" s="370" t="s">
        <v>557</v>
      </c>
      <c r="V332" s="371" t="s">
        <v>558</v>
      </c>
      <c r="W332" s="98">
        <v>23.33</v>
      </c>
      <c r="IV332" s="346"/>
    </row>
    <row r="333" spans="1:256" ht="15" x14ac:dyDescent="0.2">
      <c r="A333" s="369">
        <v>119</v>
      </c>
      <c r="D333" s="332"/>
      <c r="E333" s="331"/>
      <c r="M333" s="333"/>
      <c r="U333" s="370" t="s">
        <v>559</v>
      </c>
      <c r="V333" s="371" t="s">
        <v>560</v>
      </c>
      <c r="W333" s="98">
        <v>23.5</v>
      </c>
      <c r="IV333" s="346"/>
    </row>
    <row r="334" spans="1:256" ht="15" x14ac:dyDescent="0.2">
      <c r="A334" s="369">
        <v>120</v>
      </c>
      <c r="D334" s="332"/>
      <c r="E334" s="331"/>
      <c r="M334" s="333"/>
      <c r="U334" s="370" t="s">
        <v>561</v>
      </c>
      <c r="V334" s="371" t="s">
        <v>562</v>
      </c>
      <c r="W334" s="98">
        <v>23.75</v>
      </c>
      <c r="IV334" s="346"/>
    </row>
    <row r="335" spans="1:256" ht="15" x14ac:dyDescent="0.2">
      <c r="A335" s="369">
        <v>121</v>
      </c>
      <c r="D335" s="332"/>
      <c r="E335" s="331"/>
      <c r="M335" s="333"/>
      <c r="U335" s="370" t="s">
        <v>563</v>
      </c>
      <c r="V335" s="371" t="s">
        <v>564</v>
      </c>
      <c r="W335" s="98">
        <v>24</v>
      </c>
      <c r="IV335" s="346"/>
    </row>
    <row r="336" spans="1:256" ht="15" x14ac:dyDescent="0.2">
      <c r="A336" s="369">
        <v>122</v>
      </c>
      <c r="D336" s="332"/>
      <c r="E336" s="331"/>
      <c r="M336" s="333"/>
      <c r="U336" s="370" t="s">
        <v>565</v>
      </c>
      <c r="V336" s="371" t="s">
        <v>566</v>
      </c>
      <c r="W336" s="98">
        <v>24.38</v>
      </c>
      <c r="IV336" s="346"/>
    </row>
    <row r="337" spans="1:256" ht="15" x14ac:dyDescent="0.2">
      <c r="A337" s="369">
        <v>123</v>
      </c>
      <c r="D337" s="332"/>
      <c r="E337" s="331"/>
      <c r="M337" s="333"/>
      <c r="U337" s="370" t="s">
        <v>567</v>
      </c>
      <c r="V337" s="371" t="s">
        <v>568</v>
      </c>
      <c r="W337" s="98">
        <v>24.44</v>
      </c>
      <c r="IV337" s="346"/>
    </row>
    <row r="338" spans="1:256" ht="15" x14ac:dyDescent="0.2">
      <c r="A338" s="369">
        <v>124</v>
      </c>
      <c r="D338" s="332"/>
      <c r="E338" s="331"/>
      <c r="M338" s="333"/>
      <c r="U338" s="370" t="s">
        <v>569</v>
      </c>
      <c r="V338" s="371" t="s">
        <v>570</v>
      </c>
      <c r="W338" s="98">
        <v>24.5</v>
      </c>
      <c r="IV338" s="346"/>
    </row>
    <row r="339" spans="1:256" ht="15" x14ac:dyDescent="0.2">
      <c r="A339" s="369">
        <v>125</v>
      </c>
      <c r="D339" s="332"/>
      <c r="E339" s="331"/>
      <c r="M339" s="333"/>
      <c r="U339" s="370" t="s">
        <v>571</v>
      </c>
      <c r="V339" s="371" t="s">
        <v>572</v>
      </c>
      <c r="W339" s="98">
        <v>24.67</v>
      </c>
      <c r="IV339" s="346"/>
    </row>
    <row r="340" spans="1:256" ht="15" x14ac:dyDescent="0.2">
      <c r="A340" s="369">
        <v>126</v>
      </c>
      <c r="D340" s="332"/>
      <c r="E340" s="331"/>
      <c r="M340" s="333"/>
      <c r="U340" s="370" t="s">
        <v>573</v>
      </c>
      <c r="V340" s="371" t="s">
        <v>574</v>
      </c>
      <c r="W340" s="98">
        <v>24.75</v>
      </c>
      <c r="IV340" s="346"/>
    </row>
    <row r="341" spans="1:256" ht="15" x14ac:dyDescent="0.2">
      <c r="A341" s="369">
        <v>127</v>
      </c>
      <c r="D341" s="332"/>
      <c r="E341" s="331"/>
      <c r="M341" s="333"/>
      <c r="U341" s="370" t="s">
        <v>305</v>
      </c>
      <c r="V341" s="371" t="s">
        <v>575</v>
      </c>
      <c r="W341" s="98">
        <v>25</v>
      </c>
      <c r="IV341" s="346"/>
    </row>
    <row r="342" spans="1:256" ht="15" x14ac:dyDescent="0.2">
      <c r="A342" s="369">
        <v>128</v>
      </c>
      <c r="D342" s="332"/>
      <c r="E342" s="331"/>
      <c r="M342" s="333"/>
      <c r="U342" s="370" t="s">
        <v>487</v>
      </c>
      <c r="V342" s="371" t="s">
        <v>488</v>
      </c>
      <c r="W342" s="98">
        <v>25.33</v>
      </c>
      <c r="IV342" s="346"/>
    </row>
    <row r="343" spans="1:256" ht="15" x14ac:dyDescent="0.2">
      <c r="A343" s="369">
        <v>129</v>
      </c>
      <c r="D343" s="332"/>
      <c r="E343" s="331"/>
      <c r="M343" s="333"/>
      <c r="U343" s="370" t="s">
        <v>576</v>
      </c>
      <c r="V343" s="371" t="s">
        <v>577</v>
      </c>
      <c r="W343" s="98">
        <v>25.5</v>
      </c>
      <c r="IV343" s="346"/>
    </row>
    <row r="344" spans="1:256" ht="15" x14ac:dyDescent="0.2">
      <c r="A344" s="369">
        <v>130</v>
      </c>
      <c r="D344" s="332"/>
      <c r="E344" s="331"/>
      <c r="M344" s="333"/>
      <c r="U344" s="370" t="s">
        <v>578</v>
      </c>
      <c r="V344" s="371" t="s">
        <v>579</v>
      </c>
      <c r="W344" s="98">
        <v>25.56</v>
      </c>
      <c r="IV344" s="346"/>
    </row>
    <row r="345" spans="1:256" ht="15" x14ac:dyDescent="0.2">
      <c r="A345" s="369">
        <v>131</v>
      </c>
      <c r="D345" s="332"/>
      <c r="E345" s="331"/>
      <c r="M345" s="333"/>
      <c r="U345" s="370" t="s">
        <v>580</v>
      </c>
      <c r="V345" s="371" t="s">
        <v>581</v>
      </c>
      <c r="W345" s="98">
        <v>25.71</v>
      </c>
      <c r="IV345" s="346"/>
    </row>
    <row r="346" spans="1:256" ht="15" x14ac:dyDescent="0.2">
      <c r="A346" s="369">
        <v>132</v>
      </c>
      <c r="D346" s="332"/>
      <c r="E346" s="331"/>
      <c r="M346" s="333"/>
      <c r="U346" s="370" t="s">
        <v>582</v>
      </c>
      <c r="V346" s="371" t="s">
        <v>583</v>
      </c>
      <c r="W346" s="98">
        <v>26</v>
      </c>
      <c r="IV346" s="346"/>
    </row>
    <row r="347" spans="1:256" ht="15" x14ac:dyDescent="0.2">
      <c r="A347" s="369">
        <v>133</v>
      </c>
      <c r="D347" s="332"/>
      <c r="E347" s="331"/>
      <c r="M347" s="333"/>
      <c r="U347" s="370" t="s">
        <v>584</v>
      </c>
      <c r="V347" s="371" t="s">
        <v>585</v>
      </c>
      <c r="W347" s="98">
        <v>26.25</v>
      </c>
      <c r="IV347" s="346"/>
    </row>
    <row r="348" spans="1:256" ht="15" x14ac:dyDescent="0.2">
      <c r="A348" s="369">
        <v>134</v>
      </c>
      <c r="D348" s="332"/>
      <c r="E348" s="331"/>
      <c r="M348" s="333"/>
      <c r="U348" s="370" t="s">
        <v>586</v>
      </c>
      <c r="V348" s="371" t="s">
        <v>587</v>
      </c>
      <c r="W348" s="98">
        <v>26.5</v>
      </c>
      <c r="IV348" s="346"/>
    </row>
    <row r="349" spans="1:256" ht="15" x14ac:dyDescent="0.2">
      <c r="A349" s="369">
        <v>135</v>
      </c>
      <c r="D349" s="332"/>
      <c r="E349" s="331"/>
      <c r="M349" s="333"/>
      <c r="U349" s="370" t="s">
        <v>588</v>
      </c>
      <c r="V349" s="371" t="s">
        <v>589</v>
      </c>
      <c r="W349" s="98">
        <v>26.67</v>
      </c>
      <c r="IV349" s="346"/>
    </row>
    <row r="350" spans="1:256" ht="15" x14ac:dyDescent="0.2">
      <c r="A350" s="369">
        <v>136</v>
      </c>
      <c r="D350" s="332"/>
      <c r="E350" s="331"/>
      <c r="M350" s="333"/>
      <c r="U350" s="370" t="s">
        <v>590</v>
      </c>
      <c r="V350" s="371" t="s">
        <v>591</v>
      </c>
      <c r="W350" s="98">
        <v>27</v>
      </c>
      <c r="IV350" s="346"/>
    </row>
    <row r="351" spans="1:256" ht="15" x14ac:dyDescent="0.2">
      <c r="A351" s="369">
        <v>137</v>
      </c>
      <c r="D351" s="332"/>
      <c r="E351" s="331"/>
      <c r="M351" s="333"/>
      <c r="U351" s="370" t="s">
        <v>592</v>
      </c>
      <c r="V351" s="371" t="s">
        <v>593</v>
      </c>
      <c r="W351" s="98">
        <v>27.33</v>
      </c>
      <c r="IV351" s="346"/>
    </row>
    <row r="352" spans="1:256" ht="15" x14ac:dyDescent="0.2">
      <c r="A352" s="369">
        <v>138</v>
      </c>
      <c r="D352" s="332"/>
      <c r="E352" s="331"/>
      <c r="M352" s="333"/>
      <c r="U352" s="370" t="s">
        <v>535</v>
      </c>
      <c r="V352" s="371" t="s">
        <v>536</v>
      </c>
      <c r="W352" s="98">
        <v>27.5</v>
      </c>
      <c r="IV352" s="346"/>
    </row>
    <row r="353" spans="1:256" ht="15" x14ac:dyDescent="0.2">
      <c r="A353" s="369">
        <v>139</v>
      </c>
      <c r="D353" s="332"/>
      <c r="E353" s="331"/>
      <c r="M353" s="333"/>
      <c r="U353" s="370" t="s">
        <v>594</v>
      </c>
      <c r="V353" s="371" t="s">
        <v>595</v>
      </c>
      <c r="W353" s="98">
        <v>27.75</v>
      </c>
      <c r="IV353" s="346"/>
    </row>
    <row r="354" spans="1:256" ht="15" x14ac:dyDescent="0.2">
      <c r="A354" s="369">
        <v>140</v>
      </c>
      <c r="D354" s="332"/>
      <c r="E354" s="331"/>
      <c r="M354" s="333"/>
      <c r="U354" s="370" t="s">
        <v>596</v>
      </c>
      <c r="V354" s="371" t="s">
        <v>597</v>
      </c>
      <c r="W354" s="98">
        <v>27.78</v>
      </c>
      <c r="IV354" s="346"/>
    </row>
    <row r="355" spans="1:256" ht="15" x14ac:dyDescent="0.2">
      <c r="A355" s="369">
        <v>141</v>
      </c>
      <c r="D355" s="332"/>
      <c r="E355" s="331"/>
      <c r="M355" s="333"/>
      <c r="U355" s="370" t="s">
        <v>598</v>
      </c>
      <c r="V355" s="371" t="s">
        <v>599</v>
      </c>
      <c r="W355" s="98">
        <v>28</v>
      </c>
      <c r="IV355" s="346"/>
    </row>
    <row r="356" spans="1:256" ht="15" x14ac:dyDescent="0.2">
      <c r="A356" s="369">
        <v>142</v>
      </c>
      <c r="D356" s="332"/>
      <c r="E356" s="331"/>
      <c r="M356" s="333"/>
      <c r="U356" s="370" t="s">
        <v>600</v>
      </c>
      <c r="V356" s="371" t="s">
        <v>601</v>
      </c>
      <c r="W356" s="98">
        <v>28.13</v>
      </c>
      <c r="IV356" s="346"/>
    </row>
    <row r="357" spans="1:256" ht="15" x14ac:dyDescent="0.2">
      <c r="A357" s="369">
        <v>143</v>
      </c>
      <c r="D357" s="332"/>
      <c r="E357" s="331"/>
      <c r="M357" s="333"/>
      <c r="U357" s="370" t="s">
        <v>602</v>
      </c>
      <c r="V357" s="371" t="s">
        <v>603</v>
      </c>
      <c r="W357" s="98">
        <v>28.5</v>
      </c>
      <c r="IV357" s="346"/>
    </row>
    <row r="358" spans="1:256" ht="15" x14ac:dyDescent="0.2">
      <c r="A358" s="369">
        <v>144</v>
      </c>
      <c r="D358" s="332"/>
      <c r="E358" s="331"/>
      <c r="M358" s="333"/>
      <c r="U358" s="370" t="s">
        <v>604</v>
      </c>
      <c r="V358" s="371" t="s">
        <v>605</v>
      </c>
      <c r="W358" s="98">
        <v>28.67</v>
      </c>
      <c r="IV358" s="346"/>
    </row>
    <row r="359" spans="1:256" ht="15" x14ac:dyDescent="0.2">
      <c r="A359" s="369">
        <v>145</v>
      </c>
      <c r="D359" s="332"/>
      <c r="E359" s="331"/>
      <c r="M359" s="333"/>
      <c r="U359" s="370" t="s">
        <v>606</v>
      </c>
      <c r="V359" s="371" t="s">
        <v>607</v>
      </c>
      <c r="W359" s="98">
        <v>28.75</v>
      </c>
      <c r="IV359" s="346"/>
    </row>
    <row r="360" spans="1:256" ht="15" x14ac:dyDescent="0.2">
      <c r="A360" s="369">
        <v>146</v>
      </c>
      <c r="D360" s="332"/>
      <c r="E360" s="331"/>
      <c r="M360" s="333"/>
      <c r="U360" s="370" t="s">
        <v>608</v>
      </c>
      <c r="V360" s="371" t="s">
        <v>609</v>
      </c>
      <c r="W360" s="98">
        <v>28.89</v>
      </c>
      <c r="IV360" s="346"/>
    </row>
    <row r="361" spans="1:256" ht="15" x14ac:dyDescent="0.2">
      <c r="A361" s="369">
        <v>147</v>
      </c>
      <c r="D361" s="332"/>
      <c r="E361" s="331"/>
      <c r="M361" s="333"/>
      <c r="U361" s="370" t="s">
        <v>610</v>
      </c>
      <c r="V361" s="371" t="s">
        <v>611</v>
      </c>
      <c r="W361" s="98">
        <v>29</v>
      </c>
      <c r="IV361" s="346"/>
    </row>
    <row r="362" spans="1:256" ht="15" x14ac:dyDescent="0.2">
      <c r="A362" s="369">
        <v>148</v>
      </c>
      <c r="D362" s="332"/>
      <c r="E362" s="331"/>
      <c r="M362" s="333"/>
      <c r="U362" s="370" t="s">
        <v>612</v>
      </c>
      <c r="V362" s="371" t="s">
        <v>613</v>
      </c>
      <c r="W362" s="98">
        <v>29.25</v>
      </c>
      <c r="IV362" s="346"/>
    </row>
    <row r="363" spans="1:256" ht="15" x14ac:dyDescent="0.2">
      <c r="A363" s="369">
        <v>149</v>
      </c>
      <c r="D363" s="332"/>
      <c r="E363" s="331"/>
      <c r="M363" s="333"/>
      <c r="U363" s="370" t="s">
        <v>614</v>
      </c>
      <c r="V363" s="371" t="s">
        <v>615</v>
      </c>
      <c r="W363" s="98">
        <v>29.33</v>
      </c>
      <c r="IV363" s="346"/>
    </row>
    <row r="364" spans="1:256" ht="15" x14ac:dyDescent="0.2">
      <c r="A364" s="369">
        <v>150</v>
      </c>
      <c r="D364" s="332"/>
      <c r="E364" s="331"/>
      <c r="M364" s="333"/>
      <c r="U364" s="370" t="s">
        <v>616</v>
      </c>
      <c r="V364" s="371" t="s">
        <v>617</v>
      </c>
      <c r="W364" s="98">
        <v>29.5</v>
      </c>
      <c r="IV364" s="346"/>
    </row>
    <row r="365" spans="1:256" x14ac:dyDescent="0.2">
      <c r="A365" s="369"/>
      <c r="D365" s="332"/>
      <c r="E365" s="331"/>
      <c r="M365" s="333"/>
      <c r="IV365" s="346"/>
    </row>
    <row r="366" spans="1:256" x14ac:dyDescent="0.2">
      <c r="A366" s="369"/>
      <c r="D366" s="332"/>
      <c r="E366" s="331"/>
      <c r="M366" s="333"/>
    </row>
    <row r="367" spans="1:256" x14ac:dyDescent="0.2">
      <c r="A367" s="369"/>
    </row>
    <row r="368" spans="1:256" s="375" customFormat="1" x14ac:dyDescent="0.2">
      <c r="A368" s="331"/>
      <c r="B368" s="331"/>
      <c r="C368" s="331"/>
      <c r="D368" s="331"/>
      <c r="E368" s="332"/>
      <c r="F368" s="331"/>
      <c r="G368" s="331"/>
      <c r="H368" s="331"/>
      <c r="I368" s="331"/>
      <c r="J368" s="331"/>
      <c r="K368" s="331"/>
      <c r="L368" s="331"/>
      <c r="M368" s="331"/>
      <c r="N368" s="333"/>
      <c r="O368" s="333"/>
      <c r="P368" s="333"/>
      <c r="Q368" s="333"/>
      <c r="R368" s="333"/>
      <c r="S368" s="333"/>
      <c r="T368" s="333"/>
      <c r="U368" s="333"/>
      <c r="V368" s="333"/>
      <c r="W368" s="333"/>
      <c r="X368" s="333"/>
      <c r="Y368" s="333"/>
      <c r="Z368" s="631"/>
      <c r="AA368" s="631"/>
      <c r="AB368" s="333"/>
      <c r="AC368" s="333"/>
      <c r="AD368" s="333"/>
      <c r="AE368" s="333"/>
      <c r="AF368" s="333"/>
      <c r="AG368" s="333"/>
      <c r="AH368" s="333"/>
      <c r="AI368" s="333"/>
      <c r="AJ368" s="333"/>
      <c r="AK368" s="333"/>
      <c r="AL368" s="333"/>
      <c r="AM368" s="333"/>
      <c r="AN368" s="333"/>
      <c r="AO368" s="333"/>
      <c r="AP368" s="333"/>
      <c r="AQ368" s="333"/>
      <c r="AR368" s="333"/>
      <c r="AS368" s="333"/>
    </row>
    <row r="369" spans="1:45" s="375" customFormat="1" x14ac:dyDescent="0.2">
      <c r="A369" s="372" t="s">
        <v>618</v>
      </c>
      <c r="B369" s="373" t="s">
        <v>619</v>
      </c>
      <c r="C369" s="373" t="s">
        <v>2337</v>
      </c>
      <c r="D369" s="373"/>
      <c r="E369" s="373" t="s">
        <v>1623</v>
      </c>
      <c r="F369" s="373" t="s">
        <v>620</v>
      </c>
      <c r="G369" s="373" t="s">
        <v>1722</v>
      </c>
      <c r="H369" s="372"/>
      <c r="I369" s="374"/>
      <c r="J369" s="374"/>
      <c r="K369" s="374"/>
      <c r="L369" s="374"/>
      <c r="M369" s="374"/>
      <c r="Z369" s="634"/>
      <c r="AA369" s="634"/>
    </row>
    <row r="370" spans="1:45" s="375" customFormat="1" ht="35.25" x14ac:dyDescent="0.15">
      <c r="A370" s="372" t="s">
        <v>621</v>
      </c>
      <c r="B370" s="373">
        <v>2</v>
      </c>
      <c r="C370" s="373">
        <v>3</v>
      </c>
      <c r="D370" s="373" t="s">
        <v>622</v>
      </c>
      <c r="E370" s="373">
        <v>4</v>
      </c>
      <c r="F370" s="373">
        <v>5</v>
      </c>
      <c r="G370" s="376" t="s">
        <v>623</v>
      </c>
      <c r="H370" s="377" t="s">
        <v>624</v>
      </c>
      <c r="I370" s="374"/>
      <c r="J370" s="374"/>
      <c r="K370" s="374"/>
      <c r="L370" s="374"/>
      <c r="M370" s="374"/>
      <c r="Z370" s="634"/>
      <c r="AA370" s="634"/>
    </row>
    <row r="371" spans="1:45" s="375" customFormat="1" x14ac:dyDescent="0.2">
      <c r="A371" s="378" t="s">
        <v>1985</v>
      </c>
      <c r="B371" s="379" t="s">
        <v>1985</v>
      </c>
      <c r="C371" s="379" t="s">
        <v>2343</v>
      </c>
      <c r="D371" s="379" t="s">
        <v>625</v>
      </c>
      <c r="E371" s="379" t="s">
        <v>1645</v>
      </c>
      <c r="F371" s="379" t="s">
        <v>626</v>
      </c>
      <c r="G371" s="379" t="s">
        <v>1985</v>
      </c>
      <c r="H371" s="380" t="s">
        <v>2004</v>
      </c>
      <c r="I371" s="374"/>
      <c r="J371" s="374"/>
      <c r="K371" s="374"/>
      <c r="L371" s="374"/>
      <c r="M371" s="374"/>
      <c r="Z371" s="634"/>
      <c r="AA371" s="634"/>
    </row>
    <row r="372" spans="1:45" s="375" customFormat="1" x14ac:dyDescent="0.2">
      <c r="A372" s="378" t="s">
        <v>1989</v>
      </c>
      <c r="B372" s="379" t="s">
        <v>2003</v>
      </c>
      <c r="C372" s="379" t="s">
        <v>627</v>
      </c>
      <c r="D372" s="379" t="s">
        <v>628</v>
      </c>
      <c r="E372" s="379" t="s">
        <v>1642</v>
      </c>
      <c r="F372" s="379" t="s">
        <v>629</v>
      </c>
      <c r="G372" s="379" t="s">
        <v>1989</v>
      </c>
      <c r="H372" s="380" t="s">
        <v>2006</v>
      </c>
      <c r="I372" s="374"/>
      <c r="J372" s="374"/>
      <c r="K372" s="374"/>
      <c r="L372" s="374"/>
      <c r="M372" s="374"/>
      <c r="Z372" s="634"/>
      <c r="AA372" s="634"/>
    </row>
    <row r="373" spans="1:45" s="375" customFormat="1" x14ac:dyDescent="0.2">
      <c r="A373" s="378" t="s">
        <v>1993</v>
      </c>
      <c r="B373" s="379" t="s">
        <v>2013</v>
      </c>
      <c r="C373" s="379" t="s">
        <v>2347</v>
      </c>
      <c r="D373" s="379" t="s">
        <v>2364</v>
      </c>
      <c r="E373" s="379" t="s">
        <v>1648</v>
      </c>
      <c r="F373" s="379" t="s">
        <v>630</v>
      </c>
      <c r="G373" s="379" t="s">
        <v>1998</v>
      </c>
      <c r="H373" s="380" t="s">
        <v>2011</v>
      </c>
      <c r="I373" s="374"/>
      <c r="J373" s="374"/>
      <c r="K373" s="374"/>
      <c r="L373" s="374"/>
      <c r="M373" s="374"/>
      <c r="Z373" s="634"/>
      <c r="AA373" s="634"/>
    </row>
    <row r="374" spans="1:45" s="375" customFormat="1" x14ac:dyDescent="0.2">
      <c r="A374" s="378" t="s">
        <v>1998</v>
      </c>
      <c r="B374" s="379" t="s">
        <v>2002</v>
      </c>
      <c r="C374" s="379" t="s">
        <v>2347</v>
      </c>
      <c r="D374" s="379" t="s">
        <v>625</v>
      </c>
      <c r="E374" s="379" t="s">
        <v>1647</v>
      </c>
      <c r="F374" s="379" t="s">
        <v>631</v>
      </c>
      <c r="G374" s="379" t="s">
        <v>2004</v>
      </c>
      <c r="H374" s="380" t="s">
        <v>1985</v>
      </c>
      <c r="I374" s="374"/>
      <c r="J374" s="374"/>
      <c r="K374" s="374"/>
      <c r="L374" s="374"/>
      <c r="M374" s="374"/>
      <c r="Z374" s="634"/>
      <c r="AA374" s="634"/>
    </row>
    <row r="375" spans="1:45" s="375" customFormat="1" x14ac:dyDescent="0.2">
      <c r="A375" s="378" t="s">
        <v>2002</v>
      </c>
      <c r="B375" s="379" t="s">
        <v>2011</v>
      </c>
      <c r="C375" s="379" t="s">
        <v>2351</v>
      </c>
      <c r="D375" s="379" t="s">
        <v>2364</v>
      </c>
      <c r="E375" s="379" t="s">
        <v>1642</v>
      </c>
      <c r="F375" s="379" t="s">
        <v>632</v>
      </c>
      <c r="G375" s="379" t="s">
        <v>2011</v>
      </c>
      <c r="H375" s="380" t="s">
        <v>1998</v>
      </c>
      <c r="I375" s="374"/>
      <c r="J375" s="374"/>
      <c r="K375" s="374"/>
      <c r="L375" s="374"/>
      <c r="M375" s="374"/>
      <c r="Z375" s="634"/>
      <c r="AA375" s="634"/>
    </row>
    <row r="376" spans="1:45" s="375" customFormat="1" x14ac:dyDescent="0.2">
      <c r="A376" s="378" t="s">
        <v>2003</v>
      </c>
      <c r="B376" s="379" t="s">
        <v>1993</v>
      </c>
      <c r="C376" s="379" t="s">
        <v>627</v>
      </c>
      <c r="D376" s="379" t="s">
        <v>633</v>
      </c>
      <c r="E376" s="379" t="s">
        <v>1642</v>
      </c>
      <c r="F376" s="379" t="s">
        <v>634</v>
      </c>
      <c r="G376" s="379" t="s">
        <v>2015</v>
      </c>
      <c r="H376" s="380" t="s">
        <v>2003</v>
      </c>
      <c r="I376" s="374"/>
      <c r="J376" s="374"/>
      <c r="K376" s="374"/>
      <c r="L376" s="374"/>
      <c r="M376" s="374"/>
      <c r="Z376" s="634"/>
      <c r="AA376" s="634"/>
    </row>
    <row r="377" spans="1:45" s="375" customFormat="1" x14ac:dyDescent="0.2">
      <c r="A377" s="378" t="s">
        <v>2004</v>
      </c>
      <c r="B377" s="379" t="s">
        <v>635</v>
      </c>
      <c r="C377" s="379" t="s">
        <v>636</v>
      </c>
      <c r="D377" s="379" t="s">
        <v>637</v>
      </c>
      <c r="E377" s="379" t="s">
        <v>1643</v>
      </c>
      <c r="F377" s="379" t="s">
        <v>638</v>
      </c>
      <c r="G377" s="379" t="s">
        <v>2003</v>
      </c>
      <c r="H377" s="380" t="s">
        <v>2015</v>
      </c>
      <c r="I377" s="374"/>
      <c r="J377" s="374"/>
      <c r="K377" s="374"/>
      <c r="L377" s="374"/>
      <c r="M377" s="374"/>
      <c r="Z377" s="634"/>
      <c r="AA377" s="634"/>
    </row>
    <row r="378" spans="1:45" s="375" customFormat="1" x14ac:dyDescent="0.2">
      <c r="A378" s="378" t="s">
        <v>2006</v>
      </c>
      <c r="B378" s="379" t="s">
        <v>1989</v>
      </c>
      <c r="C378" s="379" t="s">
        <v>2343</v>
      </c>
      <c r="D378" s="379" t="s">
        <v>2364</v>
      </c>
      <c r="E378" s="379" t="s">
        <v>1646</v>
      </c>
      <c r="F378" s="379" t="s">
        <v>1532</v>
      </c>
      <c r="G378" s="379" t="s">
        <v>2006</v>
      </c>
      <c r="H378" s="380" t="s">
        <v>1989</v>
      </c>
      <c r="I378" s="374"/>
      <c r="J378" s="374"/>
      <c r="K378" s="374"/>
      <c r="L378" s="374"/>
      <c r="M378" s="374"/>
      <c r="Z378" s="634"/>
      <c r="AA378" s="634"/>
    </row>
    <row r="379" spans="1:45" s="375" customFormat="1" x14ac:dyDescent="0.2">
      <c r="A379" s="378" t="s">
        <v>635</v>
      </c>
      <c r="B379" s="379" t="s">
        <v>2015</v>
      </c>
      <c r="C379" s="379" t="s">
        <v>2351</v>
      </c>
      <c r="D379" s="379" t="s">
        <v>2361</v>
      </c>
      <c r="E379" s="379" t="s">
        <v>1646</v>
      </c>
      <c r="F379" s="379" t="s">
        <v>2436</v>
      </c>
      <c r="G379" s="379" t="s">
        <v>635</v>
      </c>
      <c r="H379" s="380" t="s">
        <v>1993</v>
      </c>
      <c r="I379" s="374"/>
      <c r="J379" s="374"/>
      <c r="K379" s="374"/>
      <c r="L379" s="374"/>
      <c r="M379" s="374"/>
      <c r="Z379" s="634"/>
      <c r="AA379" s="634"/>
    </row>
    <row r="380" spans="1:45" s="375" customFormat="1" x14ac:dyDescent="0.2">
      <c r="A380" s="378" t="s">
        <v>2011</v>
      </c>
      <c r="B380" s="379" t="s">
        <v>2002</v>
      </c>
      <c r="C380" s="379" t="s">
        <v>636</v>
      </c>
      <c r="D380" s="379" t="s">
        <v>637</v>
      </c>
      <c r="E380" s="379" t="s">
        <v>1644</v>
      </c>
      <c r="F380" s="379" t="s">
        <v>1584</v>
      </c>
      <c r="G380" s="379" t="s">
        <v>2013</v>
      </c>
      <c r="H380" s="380" t="s">
        <v>2002</v>
      </c>
      <c r="I380" s="374"/>
      <c r="J380" s="374"/>
      <c r="K380" s="374"/>
      <c r="L380" s="374"/>
      <c r="M380" s="374"/>
      <c r="Z380" s="634"/>
      <c r="AA380" s="634"/>
    </row>
    <row r="381" spans="1:45" s="375" customFormat="1" x14ac:dyDescent="0.2">
      <c r="A381" s="378" t="s">
        <v>2013</v>
      </c>
      <c r="B381" s="379" t="s">
        <v>635</v>
      </c>
      <c r="C381" s="379" t="s">
        <v>2351</v>
      </c>
      <c r="D381" s="379" t="s">
        <v>628</v>
      </c>
      <c r="E381" s="379" t="s">
        <v>1643</v>
      </c>
      <c r="F381" s="379" t="s">
        <v>1528</v>
      </c>
      <c r="G381" s="379" t="s">
        <v>1993</v>
      </c>
      <c r="H381" s="380" t="s">
        <v>635</v>
      </c>
      <c r="I381" s="374"/>
      <c r="J381" s="374"/>
      <c r="K381" s="374"/>
      <c r="L381" s="374"/>
      <c r="M381" s="374"/>
      <c r="Z381" s="634"/>
      <c r="AA381" s="634"/>
    </row>
    <row r="382" spans="1:45" s="386" customFormat="1" x14ac:dyDescent="0.2">
      <c r="A382" s="381" t="s">
        <v>2015</v>
      </c>
      <c r="B382" s="382" t="s">
        <v>2013</v>
      </c>
      <c r="C382" s="382" t="s">
        <v>627</v>
      </c>
      <c r="D382" s="382" t="s">
        <v>637</v>
      </c>
      <c r="E382" s="382" t="s">
        <v>1646</v>
      </c>
      <c r="F382" s="382" t="s">
        <v>639</v>
      </c>
      <c r="G382" s="382" t="s">
        <v>2002</v>
      </c>
      <c r="H382" s="383" t="s">
        <v>2013</v>
      </c>
      <c r="I382" s="374"/>
      <c r="J382" s="374"/>
      <c r="K382" s="374"/>
      <c r="L382" s="374"/>
      <c r="M382" s="374"/>
      <c r="N382" s="375"/>
      <c r="O382" s="375"/>
      <c r="P382" s="375"/>
      <c r="Q382" s="375"/>
      <c r="R382" s="375"/>
      <c r="S382" s="375"/>
      <c r="T382" s="375"/>
      <c r="U382" s="375"/>
      <c r="V382" s="375"/>
      <c r="W382" s="375"/>
      <c r="X382" s="375"/>
      <c r="Y382" s="375"/>
      <c r="Z382" s="634"/>
      <c r="AA382" s="634"/>
      <c r="AB382" s="375"/>
      <c r="AC382" s="375"/>
      <c r="AD382" s="375"/>
      <c r="AE382" s="375"/>
      <c r="AF382" s="375"/>
      <c r="AG382" s="375"/>
      <c r="AH382" s="375"/>
      <c r="AI382" s="375"/>
      <c r="AJ382" s="375"/>
      <c r="AK382" s="375"/>
      <c r="AL382" s="375"/>
      <c r="AM382" s="375"/>
      <c r="AN382" s="375"/>
      <c r="AO382" s="375"/>
      <c r="AP382" s="375"/>
      <c r="AQ382" s="375"/>
      <c r="AR382" s="375"/>
      <c r="AS382" s="375"/>
    </row>
    <row r="383" spans="1:45" x14ac:dyDescent="0.2">
      <c r="A383" s="384"/>
      <c r="B383" s="384"/>
      <c r="C383" s="384"/>
      <c r="D383" s="384"/>
      <c r="E383" s="385"/>
      <c r="F383" s="384"/>
      <c r="G383" s="384"/>
      <c r="H383" s="384"/>
      <c r="I383" s="384"/>
      <c r="J383" s="384"/>
      <c r="K383" s="384"/>
      <c r="L383" s="384"/>
      <c r="M383" s="384"/>
      <c r="N383" s="386"/>
      <c r="O383" s="386"/>
      <c r="P383" s="386"/>
      <c r="Q383" s="386"/>
      <c r="R383" s="386"/>
      <c r="S383" s="386"/>
      <c r="T383" s="386"/>
      <c r="U383" s="386"/>
      <c r="V383" s="386"/>
      <c r="W383" s="386"/>
      <c r="X383" s="386"/>
      <c r="Y383" s="386"/>
      <c r="Z383" s="634"/>
      <c r="AA383" s="634"/>
      <c r="AB383" s="386"/>
      <c r="AC383" s="386"/>
      <c r="AD383" s="386"/>
      <c r="AE383" s="386"/>
      <c r="AF383" s="386"/>
      <c r="AG383" s="386"/>
      <c r="AH383" s="386"/>
      <c r="AI383" s="386"/>
      <c r="AJ383" s="386"/>
      <c r="AK383" s="386"/>
      <c r="AL383" s="386"/>
      <c r="AM383" s="386"/>
      <c r="AN383" s="386"/>
      <c r="AO383" s="386"/>
      <c r="AP383" s="386"/>
      <c r="AQ383" s="386"/>
      <c r="AR383" s="386"/>
      <c r="AS383" s="386"/>
    </row>
    <row r="384" spans="1:45" hidden="1" x14ac:dyDescent="0.2">
      <c r="A384" s="722" t="s">
        <v>2438</v>
      </c>
      <c r="B384" s="723" t="s">
        <v>2439</v>
      </c>
      <c r="C384" s="723" t="s">
        <v>2440</v>
      </c>
      <c r="D384" s="723" t="s">
        <v>2441</v>
      </c>
      <c r="E384" s="723" t="s">
        <v>2442</v>
      </c>
      <c r="F384" s="723" t="s">
        <v>2443</v>
      </c>
      <c r="G384" s="723" t="s">
        <v>2444</v>
      </c>
      <c r="H384" s="723" t="s">
        <v>2445</v>
      </c>
      <c r="I384" s="723" t="s">
        <v>2446</v>
      </c>
      <c r="J384" s="723" t="s">
        <v>2447</v>
      </c>
      <c r="K384" s="723" t="s">
        <v>2448</v>
      </c>
      <c r="L384" s="723" t="s">
        <v>2449</v>
      </c>
      <c r="M384" s="724" t="s">
        <v>3894</v>
      </c>
    </row>
    <row r="385" spans="1:13" ht="15" x14ac:dyDescent="0.2">
      <c r="A385" s="1406" t="s">
        <v>2450</v>
      </c>
      <c r="B385" s="1407" t="s">
        <v>2451</v>
      </c>
      <c r="C385" s="1407" t="s">
        <v>2452</v>
      </c>
      <c r="D385" s="1407" t="s">
        <v>2453</v>
      </c>
      <c r="E385" s="1407" t="s">
        <v>2454</v>
      </c>
      <c r="F385" s="1407" t="s">
        <v>2455</v>
      </c>
      <c r="G385" s="1407" t="s">
        <v>2456</v>
      </c>
      <c r="H385" s="1407" t="s">
        <v>2457</v>
      </c>
      <c r="I385" s="1407" t="s">
        <v>2458</v>
      </c>
      <c r="J385" s="1407" t="s">
        <v>2459</v>
      </c>
      <c r="K385" s="1407" t="s">
        <v>2460</v>
      </c>
      <c r="L385" s="1407" t="s">
        <v>2461</v>
      </c>
      <c r="M385" s="1408" t="s">
        <v>2462</v>
      </c>
    </row>
    <row r="386" spans="1:13" hidden="1" x14ac:dyDescent="0.2">
      <c r="A386" s="725" t="s">
        <v>2463</v>
      </c>
      <c r="B386" s="726" t="s">
        <v>2464</v>
      </c>
      <c r="C386" s="726" t="s">
        <v>2465</v>
      </c>
      <c r="D386" s="726" t="s">
        <v>2466</v>
      </c>
      <c r="E386" s="726" t="s">
        <v>2467</v>
      </c>
      <c r="F386" s="726" t="s">
        <v>2468</v>
      </c>
      <c r="G386" s="726" t="s">
        <v>2469</v>
      </c>
      <c r="H386" s="726" t="s">
        <v>2470</v>
      </c>
      <c r="I386" s="726" t="s">
        <v>2471</v>
      </c>
      <c r="J386" s="726" t="s">
        <v>2472</v>
      </c>
      <c r="K386" s="726" t="s">
        <v>2473</v>
      </c>
      <c r="L386" s="726" t="s">
        <v>2474</v>
      </c>
      <c r="M386" s="727" t="s">
        <v>2475</v>
      </c>
    </row>
    <row r="387" spans="1:13" ht="15" x14ac:dyDescent="0.2">
      <c r="A387" s="725" t="s">
        <v>2476</v>
      </c>
      <c r="B387" s="726" t="s">
        <v>2477</v>
      </c>
      <c r="C387" s="726" t="s">
        <v>2478</v>
      </c>
      <c r="D387" s="726" t="s">
        <v>2479</v>
      </c>
      <c r="E387" s="726" t="s">
        <v>2480</v>
      </c>
      <c r="F387" s="726" t="s">
        <v>2481</v>
      </c>
      <c r="G387" s="726" t="s">
        <v>2482</v>
      </c>
      <c r="H387" s="726" t="s">
        <v>2483</v>
      </c>
      <c r="I387" s="726" t="s">
        <v>2484</v>
      </c>
      <c r="J387" s="726" t="s">
        <v>2485</v>
      </c>
      <c r="K387" s="726" t="s">
        <v>2486</v>
      </c>
      <c r="L387" s="726" t="s">
        <v>2487</v>
      </c>
      <c r="M387" s="727" t="s">
        <v>2488</v>
      </c>
    </row>
    <row r="388" spans="1:13" ht="19.5" hidden="1" x14ac:dyDescent="0.2">
      <c r="A388" s="725" t="s">
        <v>2489</v>
      </c>
      <c r="B388" s="750">
        <v>40549</v>
      </c>
      <c r="C388" s="750">
        <v>42134</v>
      </c>
      <c r="D388" s="750">
        <v>40946</v>
      </c>
      <c r="E388" s="750">
        <v>40946</v>
      </c>
      <c r="F388" s="750">
        <v>41341</v>
      </c>
      <c r="G388" s="750">
        <v>42134</v>
      </c>
      <c r="H388" s="750">
        <v>41738</v>
      </c>
      <c r="I388" s="750">
        <v>40549</v>
      </c>
      <c r="J388" s="750">
        <v>41341</v>
      </c>
      <c r="K388" s="750">
        <v>41738</v>
      </c>
      <c r="L388" s="750">
        <v>41341</v>
      </c>
      <c r="M388" s="751">
        <v>42134</v>
      </c>
    </row>
    <row r="389" spans="1:13" ht="15" x14ac:dyDescent="0.2">
      <c r="A389" s="725" t="s">
        <v>2490</v>
      </c>
      <c r="B389" s="728" t="s">
        <v>2343</v>
      </c>
      <c r="C389" s="728" t="s">
        <v>4372</v>
      </c>
      <c r="D389" s="728" t="s">
        <v>2347</v>
      </c>
      <c r="E389" s="728" t="s">
        <v>2347</v>
      </c>
      <c r="F389" s="728" t="s">
        <v>2351</v>
      </c>
      <c r="G389" s="728" t="s">
        <v>4372</v>
      </c>
      <c r="H389" s="728" t="s">
        <v>4377</v>
      </c>
      <c r="I389" s="728" t="s">
        <v>2343</v>
      </c>
      <c r="J389" s="728" t="s">
        <v>2351</v>
      </c>
      <c r="K389" s="728" t="s">
        <v>4377</v>
      </c>
      <c r="L389" s="728" t="s">
        <v>2351</v>
      </c>
      <c r="M389" s="729" t="s">
        <v>4372</v>
      </c>
    </row>
    <row r="390" spans="1:13" hidden="1" x14ac:dyDescent="0.2">
      <c r="A390" s="725" t="s">
        <v>2491</v>
      </c>
      <c r="B390" s="726" t="s">
        <v>2492</v>
      </c>
      <c r="C390" s="726" t="s">
        <v>2493</v>
      </c>
      <c r="D390" s="726" t="s">
        <v>2494</v>
      </c>
      <c r="E390" s="726" t="s">
        <v>2495</v>
      </c>
      <c r="F390" s="726" t="s">
        <v>2493</v>
      </c>
      <c r="G390" s="726" t="s">
        <v>2493</v>
      </c>
      <c r="H390" s="726" t="s">
        <v>2496</v>
      </c>
      <c r="I390" s="726" t="s">
        <v>2497</v>
      </c>
      <c r="J390" s="726" t="s">
        <v>2497</v>
      </c>
      <c r="K390" s="726" t="s">
        <v>2498</v>
      </c>
      <c r="L390" s="726" t="s">
        <v>2496</v>
      </c>
      <c r="M390" s="727" t="s">
        <v>2497</v>
      </c>
    </row>
    <row r="391" spans="1:13" ht="27.75" x14ac:dyDescent="0.2">
      <c r="A391" s="725" t="s">
        <v>2499</v>
      </c>
      <c r="B391" s="726" t="s">
        <v>2500</v>
      </c>
      <c r="C391" s="726" t="s">
        <v>2501</v>
      </c>
      <c r="D391" s="726" t="s">
        <v>2502</v>
      </c>
      <c r="E391" s="726" t="s">
        <v>2503</v>
      </c>
      <c r="F391" s="726" t="s">
        <v>2501</v>
      </c>
      <c r="G391" s="726" t="s">
        <v>2501</v>
      </c>
      <c r="H391" s="726" t="s">
        <v>2504</v>
      </c>
      <c r="I391" s="726" t="s">
        <v>2505</v>
      </c>
      <c r="J391" s="726" t="s">
        <v>2505</v>
      </c>
      <c r="K391" s="726" t="s">
        <v>2506</v>
      </c>
      <c r="L391" s="726" t="s">
        <v>2504</v>
      </c>
      <c r="M391" s="727" t="s">
        <v>2505</v>
      </c>
    </row>
    <row r="392" spans="1:13" hidden="1" x14ac:dyDescent="0.2">
      <c r="A392" s="725" t="s">
        <v>2507</v>
      </c>
      <c r="B392" s="726" t="s">
        <v>2508</v>
      </c>
      <c r="C392" s="726" t="s">
        <v>2509</v>
      </c>
      <c r="D392" s="726" t="s">
        <v>2510</v>
      </c>
      <c r="E392" s="726" t="s">
        <v>2511</v>
      </c>
      <c r="F392" s="726" t="s">
        <v>2512</v>
      </c>
      <c r="G392" s="726" t="s">
        <v>2513</v>
      </c>
      <c r="H392" s="726" t="s">
        <v>2514</v>
      </c>
      <c r="I392" s="726" t="s">
        <v>2515</v>
      </c>
      <c r="J392" s="726" t="s">
        <v>2516</v>
      </c>
      <c r="K392" s="726" t="s">
        <v>2517</v>
      </c>
      <c r="L392" s="726" t="s">
        <v>2518</v>
      </c>
      <c r="M392" s="727" t="s">
        <v>2519</v>
      </c>
    </row>
    <row r="393" spans="1:13" ht="15" x14ac:dyDescent="0.2">
      <c r="A393" s="725" t="s">
        <v>2520</v>
      </c>
      <c r="B393" s="726" t="s">
        <v>2521</v>
      </c>
      <c r="C393" s="726" t="s">
        <v>2522</v>
      </c>
      <c r="D393" s="726" t="s">
        <v>2523</v>
      </c>
      <c r="E393" s="726" t="s">
        <v>2524</v>
      </c>
      <c r="F393" s="726" t="s">
        <v>2525</v>
      </c>
      <c r="G393" s="726" t="s">
        <v>2526</v>
      </c>
      <c r="H393" s="726" t="s">
        <v>2527</v>
      </c>
      <c r="I393" s="726" t="s">
        <v>2528</v>
      </c>
      <c r="J393" s="726" t="s">
        <v>2437</v>
      </c>
      <c r="K393" s="726" t="s">
        <v>2529</v>
      </c>
      <c r="L393" s="726" t="s">
        <v>2530</v>
      </c>
      <c r="M393" s="727" t="s">
        <v>2531</v>
      </c>
    </row>
    <row r="394" spans="1:13" hidden="1" x14ac:dyDescent="0.2">
      <c r="A394" s="725" t="s">
        <v>2532</v>
      </c>
      <c r="B394" s="726" t="s">
        <v>2533</v>
      </c>
      <c r="C394" s="726" t="s">
        <v>2534</v>
      </c>
      <c r="D394" s="726" t="s">
        <v>2535</v>
      </c>
      <c r="E394" s="726" t="s">
        <v>2536</v>
      </c>
      <c r="F394" s="726" t="s">
        <v>2537</v>
      </c>
      <c r="G394" s="726" t="s">
        <v>2534</v>
      </c>
      <c r="H394" s="726" t="s">
        <v>2534</v>
      </c>
      <c r="I394" s="726" t="s">
        <v>2538</v>
      </c>
      <c r="J394" s="726" t="s">
        <v>2539</v>
      </c>
      <c r="K394" s="726" t="s">
        <v>2540</v>
      </c>
      <c r="L394" s="726" t="s">
        <v>2541</v>
      </c>
      <c r="M394" s="727" t="s">
        <v>2539</v>
      </c>
    </row>
    <row r="395" spans="1:13" ht="15" x14ac:dyDescent="0.2">
      <c r="A395" s="725" t="s">
        <v>2542</v>
      </c>
      <c r="B395" s="726" t="s">
        <v>2543</v>
      </c>
      <c r="C395" s="726" t="s">
        <v>2544</v>
      </c>
      <c r="D395" s="726" t="s">
        <v>2545</v>
      </c>
      <c r="E395" s="726" t="s">
        <v>2546</v>
      </c>
      <c r="F395" s="726" t="s">
        <v>2547</v>
      </c>
      <c r="G395" s="726" t="s">
        <v>2544</v>
      </c>
      <c r="H395" s="726" t="s">
        <v>2544</v>
      </c>
      <c r="I395" s="726" t="s">
        <v>2548</v>
      </c>
      <c r="J395" s="726" t="s">
        <v>2549</v>
      </c>
      <c r="K395" s="726" t="s">
        <v>2550</v>
      </c>
      <c r="L395" s="726" t="s">
        <v>2551</v>
      </c>
      <c r="M395" s="727" t="s">
        <v>2549</v>
      </c>
    </row>
    <row r="396" spans="1:13" hidden="1" x14ac:dyDescent="0.2">
      <c r="A396" s="725" t="s">
        <v>2552</v>
      </c>
      <c r="B396" s="726" t="s">
        <v>2553</v>
      </c>
      <c r="C396" s="726" t="s">
        <v>2554</v>
      </c>
      <c r="D396" s="726" t="s">
        <v>2555</v>
      </c>
      <c r="E396" s="726" t="s">
        <v>2556</v>
      </c>
      <c r="F396" s="726" t="s">
        <v>2553</v>
      </c>
      <c r="G396" s="726" t="s">
        <v>2555</v>
      </c>
      <c r="H396" s="726" t="s">
        <v>2557</v>
      </c>
      <c r="I396" s="726" t="s">
        <v>2558</v>
      </c>
      <c r="J396" s="726" t="s">
        <v>2557</v>
      </c>
      <c r="K396" s="726" t="s">
        <v>2554</v>
      </c>
      <c r="L396" s="726" t="s">
        <v>2559</v>
      </c>
      <c r="M396" s="727" t="s">
        <v>2560</v>
      </c>
    </row>
    <row r="397" spans="1:13" ht="15" x14ac:dyDescent="0.2">
      <c r="A397" s="725" t="s">
        <v>2561</v>
      </c>
      <c r="B397" s="726" t="s">
        <v>2562</v>
      </c>
      <c r="C397" s="726" t="s">
        <v>2563</v>
      </c>
      <c r="D397" s="726" t="s">
        <v>2564</v>
      </c>
      <c r="E397" s="726" t="s">
        <v>2565</v>
      </c>
      <c r="F397" s="726" t="s">
        <v>2562</v>
      </c>
      <c r="G397" s="726" t="s">
        <v>2564</v>
      </c>
      <c r="H397" s="726" t="s">
        <v>2566</v>
      </c>
      <c r="I397" s="726" t="s">
        <v>2567</v>
      </c>
      <c r="J397" s="726" t="s">
        <v>2566</v>
      </c>
      <c r="K397" s="726" t="s">
        <v>2563</v>
      </c>
      <c r="L397" s="726" t="s">
        <v>2568</v>
      </c>
      <c r="M397" s="727" t="s">
        <v>2569</v>
      </c>
    </row>
    <row r="398" spans="1:13" ht="19.5" hidden="1" x14ac:dyDescent="0.2">
      <c r="A398" s="725" t="s">
        <v>2570</v>
      </c>
      <c r="B398" s="730">
        <v>1</v>
      </c>
      <c r="C398" s="730">
        <v>4</v>
      </c>
      <c r="D398" s="730">
        <v>3</v>
      </c>
      <c r="E398" s="730">
        <v>5</v>
      </c>
      <c r="F398" s="730">
        <v>5</v>
      </c>
      <c r="G398" s="730">
        <v>5</v>
      </c>
      <c r="H398" s="730">
        <v>4</v>
      </c>
      <c r="I398" s="730">
        <v>1</v>
      </c>
      <c r="J398" s="730">
        <v>1</v>
      </c>
      <c r="K398" s="730">
        <v>4</v>
      </c>
      <c r="L398" s="730">
        <v>3</v>
      </c>
      <c r="M398" s="731">
        <v>4</v>
      </c>
    </row>
    <row r="399" spans="1:13" ht="15" x14ac:dyDescent="0.2">
      <c r="A399" s="725" t="s">
        <v>2571</v>
      </c>
      <c r="B399" s="732">
        <v>1</v>
      </c>
      <c r="C399" s="732">
        <v>4</v>
      </c>
      <c r="D399" s="732">
        <v>3</v>
      </c>
      <c r="E399" s="732">
        <v>5</v>
      </c>
      <c r="F399" s="732">
        <v>5</v>
      </c>
      <c r="G399" s="732">
        <v>5</v>
      </c>
      <c r="H399" s="732">
        <v>4</v>
      </c>
      <c r="I399" s="732">
        <v>1</v>
      </c>
      <c r="J399" s="732">
        <v>1</v>
      </c>
      <c r="K399" s="732">
        <v>4</v>
      </c>
      <c r="L399" s="732">
        <v>3</v>
      </c>
      <c r="M399" s="733">
        <v>4</v>
      </c>
    </row>
    <row r="400" spans="1:13" hidden="1" x14ac:dyDescent="0.2">
      <c r="A400" s="725" t="s">
        <v>2572</v>
      </c>
      <c r="B400" s="726" t="s">
        <v>2573</v>
      </c>
      <c r="C400" s="726" t="s">
        <v>2574</v>
      </c>
      <c r="D400" s="726" t="s">
        <v>2449</v>
      </c>
      <c r="E400" s="726" t="s">
        <v>2575</v>
      </c>
      <c r="F400" s="726" t="s">
        <v>2448</v>
      </c>
      <c r="G400" s="726" t="s">
        <v>2441</v>
      </c>
      <c r="H400" s="726" t="s">
        <v>2447</v>
      </c>
      <c r="I400" s="726" t="s">
        <v>2576</v>
      </c>
      <c r="J400" s="726" t="s">
        <v>3894</v>
      </c>
      <c r="K400" s="726" t="s">
        <v>2575</v>
      </c>
      <c r="L400" s="726" t="s">
        <v>2447</v>
      </c>
      <c r="M400" s="727" t="s">
        <v>2577</v>
      </c>
    </row>
    <row r="401" spans="1:27" ht="27.75" x14ac:dyDescent="0.2">
      <c r="A401" s="725" t="s">
        <v>2578</v>
      </c>
      <c r="B401" s="726" t="s">
        <v>2579</v>
      </c>
      <c r="C401" s="726" t="s">
        <v>2580</v>
      </c>
      <c r="D401" s="726" t="s">
        <v>2461</v>
      </c>
      <c r="E401" s="726" t="s">
        <v>2581</v>
      </c>
      <c r="F401" s="726" t="s">
        <v>2460</v>
      </c>
      <c r="G401" s="726" t="s">
        <v>2453</v>
      </c>
      <c r="H401" s="726" t="s">
        <v>2459</v>
      </c>
      <c r="I401" s="726" t="s">
        <v>2582</v>
      </c>
      <c r="J401" s="726" t="s">
        <v>2462</v>
      </c>
      <c r="K401" s="726" t="s">
        <v>2581</v>
      </c>
      <c r="L401" s="726" t="s">
        <v>2459</v>
      </c>
      <c r="M401" s="727" t="s">
        <v>2583</v>
      </c>
    </row>
    <row r="402" spans="1:27" hidden="1" x14ac:dyDescent="0.2">
      <c r="A402" s="725" t="s">
        <v>2584</v>
      </c>
      <c r="B402" s="726" t="s">
        <v>2573</v>
      </c>
      <c r="C402" s="726" t="s">
        <v>2447</v>
      </c>
      <c r="D402" s="726" t="s">
        <v>2447</v>
      </c>
      <c r="E402" s="726" t="s">
        <v>3894</v>
      </c>
      <c r="F402" s="726" t="s">
        <v>2446</v>
      </c>
      <c r="G402" s="726" t="s">
        <v>2446</v>
      </c>
      <c r="H402" s="726" t="s">
        <v>3894</v>
      </c>
      <c r="I402" s="726" t="s">
        <v>2447</v>
      </c>
      <c r="J402" s="726" t="s">
        <v>2574</v>
      </c>
      <c r="K402" s="726" t="s">
        <v>2446</v>
      </c>
      <c r="L402" s="726" t="s">
        <v>2441</v>
      </c>
      <c r="M402" s="727" t="s">
        <v>2577</v>
      </c>
    </row>
    <row r="403" spans="1:27" ht="27.75" x14ac:dyDescent="0.2">
      <c r="A403" s="734" t="s">
        <v>2585</v>
      </c>
      <c r="B403" s="735" t="s">
        <v>2579</v>
      </c>
      <c r="C403" s="735" t="s">
        <v>2459</v>
      </c>
      <c r="D403" s="735" t="s">
        <v>2459</v>
      </c>
      <c r="E403" s="735" t="s">
        <v>2462</v>
      </c>
      <c r="F403" s="735" t="s">
        <v>2458</v>
      </c>
      <c r="G403" s="735" t="s">
        <v>2458</v>
      </c>
      <c r="H403" s="735" t="s">
        <v>2462</v>
      </c>
      <c r="I403" s="735" t="s">
        <v>2459</v>
      </c>
      <c r="J403" s="735" t="s">
        <v>2580</v>
      </c>
      <c r="K403" s="735" t="s">
        <v>2458</v>
      </c>
      <c r="L403" s="735" t="s">
        <v>2453</v>
      </c>
      <c r="M403" s="736" t="s">
        <v>2583</v>
      </c>
    </row>
    <row r="405" spans="1:27" ht="27.75" x14ac:dyDescent="0.2">
      <c r="A405" s="754" t="s">
        <v>2438</v>
      </c>
      <c r="B405" s="755" t="s">
        <v>2450</v>
      </c>
      <c r="C405" s="755" t="s">
        <v>2463</v>
      </c>
      <c r="D405" s="755" t="s">
        <v>2476</v>
      </c>
      <c r="E405" s="755" t="s">
        <v>2489</v>
      </c>
      <c r="F405" s="755" t="s">
        <v>2490</v>
      </c>
      <c r="G405" s="755" t="s">
        <v>2491</v>
      </c>
      <c r="H405" s="755" t="s">
        <v>2499</v>
      </c>
      <c r="I405" s="755" t="s">
        <v>2507</v>
      </c>
      <c r="J405" s="755" t="s">
        <v>2520</v>
      </c>
      <c r="K405" s="755" t="s">
        <v>2532</v>
      </c>
      <c r="L405" s="755" t="s">
        <v>2542</v>
      </c>
      <c r="M405" s="755" t="s">
        <v>2552</v>
      </c>
      <c r="N405" s="755" t="s">
        <v>2561</v>
      </c>
      <c r="O405" s="755" t="s">
        <v>2570</v>
      </c>
      <c r="P405" s="755" t="s">
        <v>2571</v>
      </c>
      <c r="Q405" s="755" t="s">
        <v>2572</v>
      </c>
      <c r="R405" s="755" t="s">
        <v>2578</v>
      </c>
      <c r="S405" s="755" t="s">
        <v>2584</v>
      </c>
      <c r="T405" s="756" t="s">
        <v>2585</v>
      </c>
      <c r="Z405" s="333"/>
      <c r="AA405" s="333"/>
    </row>
    <row r="406" spans="1:27" ht="19.5" x14ac:dyDescent="0.2">
      <c r="A406" s="723" t="s">
        <v>2439</v>
      </c>
      <c r="B406" s="726" t="s">
        <v>2451</v>
      </c>
      <c r="C406" s="726" t="s">
        <v>2464</v>
      </c>
      <c r="D406" s="726" t="s">
        <v>2477</v>
      </c>
      <c r="E406" s="750">
        <v>40549</v>
      </c>
      <c r="F406" s="752">
        <v>40549</v>
      </c>
      <c r="G406" s="726" t="s">
        <v>2492</v>
      </c>
      <c r="H406" s="726" t="s">
        <v>2500</v>
      </c>
      <c r="I406" s="726" t="s">
        <v>2508</v>
      </c>
      <c r="J406" s="726" t="s">
        <v>2521</v>
      </c>
      <c r="K406" s="726" t="s">
        <v>2533</v>
      </c>
      <c r="L406" s="726" t="s">
        <v>2543</v>
      </c>
      <c r="M406" s="726" t="s">
        <v>2553</v>
      </c>
      <c r="N406" s="726" t="s">
        <v>2562</v>
      </c>
      <c r="O406" s="730">
        <v>1</v>
      </c>
      <c r="P406" s="732">
        <v>1</v>
      </c>
      <c r="Q406" s="726" t="s">
        <v>2573</v>
      </c>
      <c r="R406" s="726" t="s">
        <v>2579</v>
      </c>
      <c r="S406" s="726" t="s">
        <v>2573</v>
      </c>
      <c r="T406" s="735" t="s">
        <v>2579</v>
      </c>
      <c r="Z406" s="333"/>
      <c r="AA406" s="333"/>
    </row>
    <row r="407" spans="1:27" ht="19.5" x14ac:dyDescent="0.2">
      <c r="A407" s="723" t="s">
        <v>2440</v>
      </c>
      <c r="B407" s="726" t="s">
        <v>2452</v>
      </c>
      <c r="C407" s="726" t="s">
        <v>2465</v>
      </c>
      <c r="D407" s="726" t="s">
        <v>2478</v>
      </c>
      <c r="E407" s="750">
        <v>42134</v>
      </c>
      <c r="F407" s="752">
        <v>42134</v>
      </c>
      <c r="G407" s="726" t="s">
        <v>2493</v>
      </c>
      <c r="H407" s="726" t="s">
        <v>2501</v>
      </c>
      <c r="I407" s="726" t="s">
        <v>2509</v>
      </c>
      <c r="J407" s="726" t="s">
        <v>2522</v>
      </c>
      <c r="K407" s="726" t="s">
        <v>2534</v>
      </c>
      <c r="L407" s="726" t="s">
        <v>2544</v>
      </c>
      <c r="M407" s="726" t="s">
        <v>2554</v>
      </c>
      <c r="N407" s="726" t="s">
        <v>2563</v>
      </c>
      <c r="O407" s="730">
        <v>4</v>
      </c>
      <c r="P407" s="732">
        <v>4</v>
      </c>
      <c r="Q407" s="726" t="s">
        <v>2574</v>
      </c>
      <c r="R407" s="726" t="s">
        <v>2580</v>
      </c>
      <c r="S407" s="726" t="s">
        <v>2447</v>
      </c>
      <c r="T407" s="735" t="s">
        <v>2459</v>
      </c>
      <c r="Z407" s="333"/>
      <c r="AA407" s="333"/>
    </row>
    <row r="408" spans="1:27" ht="19.5" x14ac:dyDescent="0.2">
      <c r="A408" s="723" t="s">
        <v>2441</v>
      </c>
      <c r="B408" s="726" t="s">
        <v>2453</v>
      </c>
      <c r="C408" s="726" t="s">
        <v>2466</v>
      </c>
      <c r="D408" s="726" t="s">
        <v>2479</v>
      </c>
      <c r="E408" s="750">
        <v>40946</v>
      </c>
      <c r="F408" s="752">
        <v>40946</v>
      </c>
      <c r="G408" s="726" t="s">
        <v>2494</v>
      </c>
      <c r="H408" s="726" t="s">
        <v>2502</v>
      </c>
      <c r="I408" s="726" t="s">
        <v>2510</v>
      </c>
      <c r="J408" s="726" t="s">
        <v>2523</v>
      </c>
      <c r="K408" s="726" t="s">
        <v>2535</v>
      </c>
      <c r="L408" s="726" t="s">
        <v>2545</v>
      </c>
      <c r="M408" s="726" t="s">
        <v>2555</v>
      </c>
      <c r="N408" s="726" t="s">
        <v>2564</v>
      </c>
      <c r="O408" s="730">
        <v>3</v>
      </c>
      <c r="P408" s="732">
        <v>3</v>
      </c>
      <c r="Q408" s="726" t="s">
        <v>2449</v>
      </c>
      <c r="R408" s="726" t="s">
        <v>2461</v>
      </c>
      <c r="S408" s="726" t="s">
        <v>2447</v>
      </c>
      <c r="T408" s="735" t="s">
        <v>2459</v>
      </c>
      <c r="Z408" s="333"/>
      <c r="AA408" s="333"/>
    </row>
    <row r="409" spans="1:27" ht="19.5" x14ac:dyDescent="0.2">
      <c r="A409" s="723" t="s">
        <v>2442</v>
      </c>
      <c r="B409" s="726" t="s">
        <v>2454</v>
      </c>
      <c r="C409" s="726" t="s">
        <v>2467</v>
      </c>
      <c r="D409" s="726" t="s">
        <v>2480</v>
      </c>
      <c r="E409" s="750">
        <v>40946</v>
      </c>
      <c r="F409" s="752">
        <v>40946</v>
      </c>
      <c r="G409" s="726" t="s">
        <v>2495</v>
      </c>
      <c r="H409" s="726" t="s">
        <v>2503</v>
      </c>
      <c r="I409" s="726" t="s">
        <v>2511</v>
      </c>
      <c r="J409" s="726" t="s">
        <v>2524</v>
      </c>
      <c r="K409" s="726" t="s">
        <v>2536</v>
      </c>
      <c r="L409" s="726" t="s">
        <v>2546</v>
      </c>
      <c r="M409" s="726" t="s">
        <v>2556</v>
      </c>
      <c r="N409" s="726" t="s">
        <v>2565</v>
      </c>
      <c r="O409" s="730">
        <v>5</v>
      </c>
      <c r="P409" s="732">
        <v>5</v>
      </c>
      <c r="Q409" s="726" t="s">
        <v>2575</v>
      </c>
      <c r="R409" s="726" t="s">
        <v>2581</v>
      </c>
      <c r="S409" s="726" t="s">
        <v>3894</v>
      </c>
      <c r="T409" s="735" t="s">
        <v>2462</v>
      </c>
      <c r="Z409" s="333"/>
      <c r="AA409" s="333"/>
    </row>
    <row r="410" spans="1:27" ht="19.5" x14ac:dyDescent="0.2">
      <c r="A410" s="723" t="s">
        <v>2443</v>
      </c>
      <c r="B410" s="726" t="s">
        <v>2455</v>
      </c>
      <c r="C410" s="726" t="s">
        <v>2468</v>
      </c>
      <c r="D410" s="726" t="s">
        <v>2481</v>
      </c>
      <c r="E410" s="750">
        <v>41341</v>
      </c>
      <c r="F410" s="752">
        <v>41341</v>
      </c>
      <c r="G410" s="726" t="s">
        <v>2493</v>
      </c>
      <c r="H410" s="726" t="s">
        <v>2501</v>
      </c>
      <c r="I410" s="726" t="s">
        <v>2512</v>
      </c>
      <c r="J410" s="726" t="s">
        <v>2525</v>
      </c>
      <c r="K410" s="726" t="s">
        <v>2537</v>
      </c>
      <c r="L410" s="726" t="s">
        <v>2547</v>
      </c>
      <c r="M410" s="726" t="s">
        <v>2553</v>
      </c>
      <c r="N410" s="726" t="s">
        <v>2562</v>
      </c>
      <c r="O410" s="730">
        <v>5</v>
      </c>
      <c r="P410" s="732">
        <v>5</v>
      </c>
      <c r="Q410" s="726" t="s">
        <v>2448</v>
      </c>
      <c r="R410" s="726" t="s">
        <v>2460</v>
      </c>
      <c r="S410" s="726" t="s">
        <v>2446</v>
      </c>
      <c r="T410" s="735" t="s">
        <v>2458</v>
      </c>
      <c r="Z410" s="333"/>
      <c r="AA410" s="333"/>
    </row>
    <row r="411" spans="1:27" ht="19.5" x14ac:dyDescent="0.2">
      <c r="A411" s="723" t="s">
        <v>2444</v>
      </c>
      <c r="B411" s="726" t="s">
        <v>2456</v>
      </c>
      <c r="C411" s="726" t="s">
        <v>2469</v>
      </c>
      <c r="D411" s="726" t="s">
        <v>2482</v>
      </c>
      <c r="E411" s="750">
        <v>42134</v>
      </c>
      <c r="F411" s="752">
        <v>42134</v>
      </c>
      <c r="G411" s="726" t="s">
        <v>2493</v>
      </c>
      <c r="H411" s="726" t="s">
        <v>2501</v>
      </c>
      <c r="I411" s="726" t="s">
        <v>2513</v>
      </c>
      <c r="J411" s="726" t="s">
        <v>2526</v>
      </c>
      <c r="K411" s="726" t="s">
        <v>2534</v>
      </c>
      <c r="L411" s="726" t="s">
        <v>2544</v>
      </c>
      <c r="M411" s="726" t="s">
        <v>2555</v>
      </c>
      <c r="N411" s="726" t="s">
        <v>2564</v>
      </c>
      <c r="O411" s="730">
        <v>5</v>
      </c>
      <c r="P411" s="732">
        <v>5</v>
      </c>
      <c r="Q411" s="726" t="s">
        <v>2441</v>
      </c>
      <c r="R411" s="726" t="s">
        <v>2453</v>
      </c>
      <c r="S411" s="726" t="s">
        <v>2446</v>
      </c>
      <c r="T411" s="735" t="s">
        <v>2458</v>
      </c>
      <c r="Z411" s="333"/>
      <c r="AA411" s="333"/>
    </row>
    <row r="412" spans="1:27" ht="19.5" x14ac:dyDescent="0.2">
      <c r="A412" s="723" t="s">
        <v>2445</v>
      </c>
      <c r="B412" s="726" t="s">
        <v>2457</v>
      </c>
      <c r="C412" s="726" t="s">
        <v>2470</v>
      </c>
      <c r="D412" s="726" t="s">
        <v>2483</v>
      </c>
      <c r="E412" s="750">
        <v>41738</v>
      </c>
      <c r="F412" s="752">
        <v>41738</v>
      </c>
      <c r="G412" s="726" t="s">
        <v>2496</v>
      </c>
      <c r="H412" s="726" t="s">
        <v>2504</v>
      </c>
      <c r="I412" s="726" t="s">
        <v>2514</v>
      </c>
      <c r="J412" s="726" t="s">
        <v>2527</v>
      </c>
      <c r="K412" s="726" t="s">
        <v>2534</v>
      </c>
      <c r="L412" s="726" t="s">
        <v>2544</v>
      </c>
      <c r="M412" s="726" t="s">
        <v>2557</v>
      </c>
      <c r="N412" s="726" t="s">
        <v>2566</v>
      </c>
      <c r="O412" s="730">
        <v>4</v>
      </c>
      <c r="P412" s="732">
        <v>4</v>
      </c>
      <c r="Q412" s="726" t="s">
        <v>2447</v>
      </c>
      <c r="R412" s="726" t="s">
        <v>2459</v>
      </c>
      <c r="S412" s="726" t="s">
        <v>3894</v>
      </c>
      <c r="T412" s="735" t="s">
        <v>2462</v>
      </c>
      <c r="Z412" s="333"/>
      <c r="AA412" s="333"/>
    </row>
    <row r="413" spans="1:27" ht="19.5" x14ac:dyDescent="0.2">
      <c r="A413" s="723" t="s">
        <v>2446</v>
      </c>
      <c r="B413" s="726" t="s">
        <v>2458</v>
      </c>
      <c r="C413" s="726" t="s">
        <v>2471</v>
      </c>
      <c r="D413" s="726" t="s">
        <v>2484</v>
      </c>
      <c r="E413" s="750">
        <v>40549</v>
      </c>
      <c r="F413" s="752">
        <v>40549</v>
      </c>
      <c r="G413" s="726" t="s">
        <v>2497</v>
      </c>
      <c r="H413" s="726" t="s">
        <v>2505</v>
      </c>
      <c r="I413" s="726" t="s">
        <v>2515</v>
      </c>
      <c r="J413" s="726" t="s">
        <v>2528</v>
      </c>
      <c r="K413" s="726" t="s">
        <v>2538</v>
      </c>
      <c r="L413" s="726" t="s">
        <v>2548</v>
      </c>
      <c r="M413" s="726" t="s">
        <v>2558</v>
      </c>
      <c r="N413" s="726" t="s">
        <v>2567</v>
      </c>
      <c r="O413" s="730">
        <v>1</v>
      </c>
      <c r="P413" s="732">
        <v>1</v>
      </c>
      <c r="Q413" s="726" t="s">
        <v>2576</v>
      </c>
      <c r="R413" s="726" t="s">
        <v>2582</v>
      </c>
      <c r="S413" s="726" t="s">
        <v>2447</v>
      </c>
      <c r="T413" s="735" t="s">
        <v>2459</v>
      </c>
      <c r="Z413" s="333"/>
      <c r="AA413" s="333"/>
    </row>
    <row r="414" spans="1:27" ht="19.5" x14ac:dyDescent="0.2">
      <c r="A414" s="723" t="s">
        <v>2447</v>
      </c>
      <c r="B414" s="726" t="s">
        <v>2459</v>
      </c>
      <c r="C414" s="726" t="s">
        <v>2472</v>
      </c>
      <c r="D414" s="726" t="s">
        <v>2485</v>
      </c>
      <c r="E414" s="750">
        <v>41341</v>
      </c>
      <c r="F414" s="752">
        <v>41341</v>
      </c>
      <c r="G414" s="726" t="s">
        <v>2497</v>
      </c>
      <c r="H414" s="726" t="s">
        <v>2505</v>
      </c>
      <c r="I414" s="726" t="s">
        <v>2516</v>
      </c>
      <c r="J414" s="726" t="s">
        <v>2437</v>
      </c>
      <c r="K414" s="726" t="s">
        <v>2539</v>
      </c>
      <c r="L414" s="726" t="s">
        <v>2549</v>
      </c>
      <c r="M414" s="726" t="s">
        <v>2557</v>
      </c>
      <c r="N414" s="726" t="s">
        <v>2566</v>
      </c>
      <c r="O414" s="730">
        <v>1</v>
      </c>
      <c r="P414" s="732">
        <v>1</v>
      </c>
      <c r="Q414" s="726" t="s">
        <v>3894</v>
      </c>
      <c r="R414" s="726" t="s">
        <v>2462</v>
      </c>
      <c r="S414" s="726" t="s">
        <v>2574</v>
      </c>
      <c r="T414" s="735" t="s">
        <v>2580</v>
      </c>
      <c r="Z414" s="333"/>
      <c r="AA414" s="333"/>
    </row>
    <row r="415" spans="1:27" ht="27.75" x14ac:dyDescent="0.2">
      <c r="A415" s="723" t="s">
        <v>2448</v>
      </c>
      <c r="B415" s="726" t="s">
        <v>2460</v>
      </c>
      <c r="C415" s="726" t="s">
        <v>2473</v>
      </c>
      <c r="D415" s="726" t="s">
        <v>2486</v>
      </c>
      <c r="E415" s="750">
        <v>41738</v>
      </c>
      <c r="F415" s="752">
        <v>41738</v>
      </c>
      <c r="G415" s="726" t="s">
        <v>2498</v>
      </c>
      <c r="H415" s="726" t="s">
        <v>2506</v>
      </c>
      <c r="I415" s="726" t="s">
        <v>2517</v>
      </c>
      <c r="J415" s="726" t="s">
        <v>2529</v>
      </c>
      <c r="K415" s="726" t="s">
        <v>2540</v>
      </c>
      <c r="L415" s="726" t="s">
        <v>2550</v>
      </c>
      <c r="M415" s="726" t="s">
        <v>2554</v>
      </c>
      <c r="N415" s="726" t="s">
        <v>2563</v>
      </c>
      <c r="O415" s="730">
        <v>4</v>
      </c>
      <c r="P415" s="732">
        <v>4</v>
      </c>
      <c r="Q415" s="726" t="s">
        <v>2575</v>
      </c>
      <c r="R415" s="726" t="s">
        <v>2581</v>
      </c>
      <c r="S415" s="726" t="s">
        <v>2446</v>
      </c>
      <c r="T415" s="735" t="s">
        <v>2458</v>
      </c>
      <c r="Z415" s="333"/>
      <c r="AA415" s="333"/>
    </row>
    <row r="416" spans="1:27" ht="19.5" x14ac:dyDescent="0.2">
      <c r="A416" s="723" t="s">
        <v>2449</v>
      </c>
      <c r="B416" s="726" t="s">
        <v>2461</v>
      </c>
      <c r="C416" s="726" t="s">
        <v>2474</v>
      </c>
      <c r="D416" s="726" t="s">
        <v>2487</v>
      </c>
      <c r="E416" s="750">
        <v>41341</v>
      </c>
      <c r="F416" s="752">
        <v>41341</v>
      </c>
      <c r="G416" s="726" t="s">
        <v>2496</v>
      </c>
      <c r="H416" s="726" t="s">
        <v>2504</v>
      </c>
      <c r="I416" s="726" t="s">
        <v>2518</v>
      </c>
      <c r="J416" s="726" t="s">
        <v>2530</v>
      </c>
      <c r="K416" s="726" t="s">
        <v>2541</v>
      </c>
      <c r="L416" s="726" t="s">
        <v>2551</v>
      </c>
      <c r="M416" s="726" t="s">
        <v>2559</v>
      </c>
      <c r="N416" s="726" t="s">
        <v>2568</v>
      </c>
      <c r="O416" s="730">
        <v>3</v>
      </c>
      <c r="P416" s="732">
        <v>3</v>
      </c>
      <c r="Q416" s="726" t="s">
        <v>2447</v>
      </c>
      <c r="R416" s="726" t="s">
        <v>2459</v>
      </c>
      <c r="S416" s="726" t="s">
        <v>2441</v>
      </c>
      <c r="T416" s="735" t="s">
        <v>2453</v>
      </c>
      <c r="Z416" s="333"/>
      <c r="AA416" s="333"/>
    </row>
    <row r="417" spans="1:256" ht="19.5" x14ac:dyDescent="0.2">
      <c r="A417" s="724" t="s">
        <v>3894</v>
      </c>
      <c r="B417" s="727" t="s">
        <v>2462</v>
      </c>
      <c r="C417" s="727" t="s">
        <v>2475</v>
      </c>
      <c r="D417" s="727" t="s">
        <v>2488</v>
      </c>
      <c r="E417" s="751">
        <v>42134</v>
      </c>
      <c r="F417" s="753">
        <v>42134</v>
      </c>
      <c r="G417" s="727" t="s">
        <v>2497</v>
      </c>
      <c r="H417" s="727" t="s">
        <v>2505</v>
      </c>
      <c r="I417" s="727" t="s">
        <v>2519</v>
      </c>
      <c r="J417" s="727" t="s">
        <v>2531</v>
      </c>
      <c r="K417" s="727" t="s">
        <v>2539</v>
      </c>
      <c r="L417" s="727" t="s">
        <v>2549</v>
      </c>
      <c r="M417" s="727" t="s">
        <v>2560</v>
      </c>
      <c r="N417" s="727" t="s">
        <v>2569</v>
      </c>
      <c r="O417" s="731">
        <v>4</v>
      </c>
      <c r="P417" s="733">
        <v>4</v>
      </c>
      <c r="Q417" s="727" t="s">
        <v>2577</v>
      </c>
      <c r="R417" s="727" t="s">
        <v>2583</v>
      </c>
      <c r="S417" s="727" t="s">
        <v>2577</v>
      </c>
      <c r="T417" s="736" t="s">
        <v>2583</v>
      </c>
      <c r="Z417" s="333"/>
      <c r="AA417" s="333"/>
    </row>
    <row r="419" spans="1:256" ht="15" x14ac:dyDescent="0.2">
      <c r="A419"/>
      <c r="B419" s="346"/>
      <c r="C419" s="346"/>
      <c r="D419" s="346"/>
      <c r="E419" s="360"/>
      <c r="F419" s="346"/>
      <c r="IU419" s="346"/>
      <c r="IV419" s="346"/>
    </row>
    <row r="420" spans="1:256" ht="21.75" x14ac:dyDescent="0.15">
      <c r="A420" s="387" t="s">
        <v>640</v>
      </c>
      <c r="B420" s="387" t="s">
        <v>641</v>
      </c>
      <c r="C420" s="387" t="s">
        <v>642</v>
      </c>
      <c r="D420" s="387" t="s">
        <v>643</v>
      </c>
      <c r="E420" s="331"/>
      <c r="L420" s="333"/>
      <c r="M420" s="333"/>
      <c r="IU420" s="346"/>
      <c r="IV420" s="346"/>
    </row>
    <row r="421" spans="1:256" x14ac:dyDescent="0.2">
      <c r="A421" s="388" t="s">
        <v>644</v>
      </c>
      <c r="B421" s="1556" t="s">
        <v>645</v>
      </c>
      <c r="C421" s="1556"/>
      <c r="D421" s="1556"/>
      <c r="E421" s="331"/>
      <c r="L421" s="333"/>
      <c r="M421" s="333"/>
      <c r="IU421" s="346"/>
      <c r="IV421" s="346"/>
    </row>
    <row r="422" spans="1:256" x14ac:dyDescent="0.2">
      <c r="A422" s="388"/>
      <c r="B422" s="366" t="s">
        <v>646</v>
      </c>
      <c r="C422" s="366" t="s">
        <v>647</v>
      </c>
      <c r="D422" s="389" t="s">
        <v>648</v>
      </c>
      <c r="E422" s="331"/>
      <c r="L422" s="333"/>
      <c r="M422" s="333"/>
      <c r="IU422" s="346"/>
      <c r="IV422" s="346"/>
    </row>
    <row r="423" spans="1:256" x14ac:dyDescent="0.2">
      <c r="A423" s="388"/>
      <c r="B423" s="366" t="s">
        <v>649</v>
      </c>
      <c r="C423" s="366" t="s">
        <v>650</v>
      </c>
      <c r="D423" s="390" t="s">
        <v>651</v>
      </c>
      <c r="E423" s="331"/>
      <c r="L423" s="333"/>
      <c r="M423" s="333"/>
      <c r="IU423" s="346"/>
      <c r="IV423" s="346"/>
    </row>
    <row r="424" spans="1:256" x14ac:dyDescent="0.2">
      <c r="A424" s="388"/>
      <c r="B424" s="366" t="s">
        <v>652</v>
      </c>
      <c r="C424" s="366" t="s">
        <v>653</v>
      </c>
      <c r="D424" s="390" t="s">
        <v>654</v>
      </c>
      <c r="E424" s="331"/>
      <c r="L424" s="333"/>
      <c r="M424" s="333"/>
      <c r="IU424" s="346"/>
      <c r="IV424" s="346"/>
    </row>
    <row r="425" spans="1:256" x14ac:dyDescent="0.2">
      <c r="A425" s="388"/>
      <c r="B425" s="366" t="s">
        <v>655</v>
      </c>
      <c r="C425" s="366" t="s">
        <v>656</v>
      </c>
      <c r="D425" s="389"/>
      <c r="E425" s="331"/>
      <c r="L425" s="333"/>
      <c r="M425" s="333"/>
      <c r="IU425" s="346"/>
      <c r="IV425" s="346"/>
    </row>
    <row r="426" spans="1:256" x14ac:dyDescent="0.2">
      <c r="A426" s="388"/>
      <c r="B426" s="366" t="s">
        <v>657</v>
      </c>
      <c r="C426" s="366" t="s">
        <v>658</v>
      </c>
      <c r="D426" s="390" t="s">
        <v>659</v>
      </c>
      <c r="E426" s="331"/>
      <c r="L426" s="333"/>
      <c r="M426" s="333"/>
      <c r="IU426" s="346"/>
      <c r="IV426" s="346"/>
    </row>
    <row r="427" spans="1:256" x14ac:dyDescent="0.2">
      <c r="A427" s="388"/>
      <c r="B427" s="366" t="s">
        <v>660</v>
      </c>
      <c r="C427" s="366" t="s">
        <v>661</v>
      </c>
      <c r="D427" s="389"/>
      <c r="E427" s="331"/>
      <c r="L427" s="333"/>
      <c r="M427" s="333"/>
      <c r="IU427" s="346"/>
      <c r="IV427" s="346"/>
    </row>
    <row r="428" spans="1:256" x14ac:dyDescent="0.2">
      <c r="A428" s="388"/>
      <c r="B428" s="366" t="s">
        <v>662</v>
      </c>
      <c r="C428" s="366" t="s">
        <v>663</v>
      </c>
      <c r="D428" s="366" t="s">
        <v>664</v>
      </c>
      <c r="E428" s="331"/>
      <c r="L428" s="333"/>
      <c r="M428" s="333"/>
      <c r="IU428" s="346"/>
      <c r="IV428" s="346"/>
    </row>
    <row r="429" spans="1:256" x14ac:dyDescent="0.2">
      <c r="A429" s="388"/>
      <c r="B429" s="366" t="s">
        <v>665</v>
      </c>
      <c r="C429" s="366" t="s">
        <v>666</v>
      </c>
      <c r="D429" s="389"/>
      <c r="E429" s="331"/>
      <c r="L429" s="333"/>
      <c r="M429" s="333"/>
      <c r="IU429" s="346"/>
      <c r="IV429" s="346"/>
    </row>
    <row r="430" spans="1:256" x14ac:dyDescent="0.2">
      <c r="A430" s="388"/>
      <c r="B430" s="366" t="s">
        <v>667</v>
      </c>
      <c r="C430" s="366" t="s">
        <v>668</v>
      </c>
      <c r="D430" s="366" t="s">
        <v>669</v>
      </c>
      <c r="E430" s="331"/>
      <c r="L430" s="333"/>
      <c r="M430" s="333"/>
      <c r="IU430" s="346"/>
      <c r="IV430" s="346"/>
    </row>
    <row r="431" spans="1:256" x14ac:dyDescent="0.2">
      <c r="A431" s="388"/>
      <c r="B431" s="366" t="s">
        <v>670</v>
      </c>
      <c r="C431" s="366" t="s">
        <v>671</v>
      </c>
      <c r="D431" s="389"/>
      <c r="E431" s="331"/>
      <c r="L431" s="333"/>
      <c r="M431" s="333"/>
      <c r="IU431" s="346"/>
      <c r="IV431" s="346"/>
    </row>
    <row r="432" spans="1:256" x14ac:dyDescent="0.2">
      <c r="A432" s="388"/>
      <c r="B432" s="1556" t="s">
        <v>672</v>
      </c>
      <c r="C432" s="1556"/>
      <c r="D432" s="389"/>
      <c r="E432" s="331"/>
      <c r="L432" s="333"/>
      <c r="M432" s="333"/>
      <c r="IU432" s="346"/>
      <c r="IV432" s="346"/>
    </row>
    <row r="433" spans="1:256" x14ac:dyDescent="0.2">
      <c r="A433" s="388"/>
      <c r="B433" s="366" t="s">
        <v>652</v>
      </c>
      <c r="C433" s="366" t="s">
        <v>673</v>
      </c>
      <c r="D433" s="366" t="s">
        <v>674</v>
      </c>
      <c r="E433" s="331"/>
      <c r="L433" s="333"/>
      <c r="M433" s="333"/>
      <c r="IU433" s="346"/>
      <c r="IV433" s="346"/>
    </row>
    <row r="434" spans="1:256" x14ac:dyDescent="0.2">
      <c r="A434" s="388"/>
      <c r="B434" s="366" t="s">
        <v>655</v>
      </c>
      <c r="C434" s="366" t="s">
        <v>675</v>
      </c>
      <c r="D434" s="389"/>
      <c r="E434" s="331"/>
      <c r="L434" s="333"/>
      <c r="M434" s="333"/>
      <c r="IU434" s="346"/>
      <c r="IV434" s="346"/>
    </row>
    <row r="435" spans="1:256" x14ac:dyDescent="0.2">
      <c r="A435" s="388"/>
      <c r="B435" s="366" t="s">
        <v>657</v>
      </c>
      <c r="C435" s="366" t="s">
        <v>676</v>
      </c>
      <c r="D435" s="366" t="s">
        <v>677</v>
      </c>
      <c r="E435" s="331"/>
      <c r="L435" s="333"/>
      <c r="M435" s="333"/>
      <c r="IU435" s="346"/>
      <c r="IV435" s="346"/>
    </row>
    <row r="436" spans="1:256" x14ac:dyDescent="0.2">
      <c r="A436" s="388"/>
      <c r="B436" s="366" t="s">
        <v>660</v>
      </c>
      <c r="C436" s="366" t="s">
        <v>678</v>
      </c>
      <c r="D436" s="390" t="s">
        <v>679</v>
      </c>
      <c r="E436" s="331"/>
      <c r="L436" s="333"/>
      <c r="M436" s="333"/>
      <c r="IU436" s="346"/>
      <c r="IV436" s="346"/>
    </row>
    <row r="437" spans="1:256" x14ac:dyDescent="0.2">
      <c r="A437" s="388"/>
      <c r="B437" s="1556" t="s">
        <v>680</v>
      </c>
      <c r="C437" s="1556"/>
      <c r="D437" s="389"/>
      <c r="E437" s="331"/>
      <c r="L437" s="333"/>
      <c r="M437" s="333"/>
      <c r="IU437" s="346"/>
      <c r="IV437" s="346"/>
    </row>
    <row r="438" spans="1:256" x14ac:dyDescent="0.2">
      <c r="A438" s="388"/>
      <c r="B438" s="366" t="s">
        <v>681</v>
      </c>
      <c r="C438" s="366" t="s">
        <v>682</v>
      </c>
      <c r="D438" s="366" t="s">
        <v>683</v>
      </c>
      <c r="E438" s="331"/>
      <c r="L438" s="333"/>
      <c r="M438" s="333"/>
      <c r="IU438" s="346"/>
      <c r="IV438" s="346"/>
    </row>
    <row r="439" spans="1:256" x14ac:dyDescent="0.2">
      <c r="A439" s="388"/>
      <c r="B439" s="366" t="s">
        <v>684</v>
      </c>
      <c r="C439" s="366" t="s">
        <v>685</v>
      </c>
      <c r="D439" s="366" t="s">
        <v>686</v>
      </c>
      <c r="E439" s="331"/>
      <c r="L439" s="333"/>
      <c r="M439" s="333"/>
      <c r="IV439" s="346"/>
    </row>
    <row r="440" spans="1:256" x14ac:dyDescent="0.2">
      <c r="A440" s="391" t="s">
        <v>687</v>
      </c>
      <c r="B440" s="1556" t="s">
        <v>688</v>
      </c>
      <c r="C440" s="1556"/>
      <c r="D440" s="1556"/>
      <c r="E440" s="392"/>
      <c r="M440" s="333"/>
      <c r="IU440" s="346"/>
      <c r="IV440" s="346"/>
    </row>
    <row r="441" spans="1:256" x14ac:dyDescent="0.2">
      <c r="A441" s="393"/>
      <c r="B441" s="366" t="s">
        <v>712</v>
      </c>
      <c r="C441" s="366" t="s">
        <v>713</v>
      </c>
      <c r="D441" s="390" t="s">
        <v>714</v>
      </c>
      <c r="E441" s="331"/>
      <c r="L441" s="333"/>
      <c r="M441" s="333"/>
      <c r="IU441" s="346"/>
      <c r="IV441" s="346"/>
    </row>
    <row r="442" spans="1:256" x14ac:dyDescent="0.2">
      <c r="A442" s="393"/>
      <c r="B442" s="366" t="s">
        <v>715</v>
      </c>
      <c r="C442" s="366" t="s">
        <v>716</v>
      </c>
      <c r="D442" s="366" t="s">
        <v>717</v>
      </c>
      <c r="E442" s="331"/>
      <c r="L442" s="333"/>
      <c r="M442" s="333"/>
      <c r="IU442" s="346"/>
      <c r="IV442" s="346"/>
    </row>
    <row r="443" spans="1:256" x14ac:dyDescent="0.2">
      <c r="A443" s="393"/>
      <c r="B443" s="366" t="s">
        <v>718</v>
      </c>
      <c r="C443" s="366" t="s">
        <v>719</v>
      </c>
      <c r="D443" s="366" t="s">
        <v>720</v>
      </c>
      <c r="E443" s="331"/>
      <c r="L443" s="333"/>
      <c r="M443" s="333"/>
      <c r="IU443" s="346"/>
      <c r="IV443" s="346"/>
    </row>
    <row r="444" spans="1:256" x14ac:dyDescent="0.2">
      <c r="A444" s="393"/>
      <c r="B444" s="366" t="s">
        <v>721</v>
      </c>
      <c r="C444" s="366" t="s">
        <v>722</v>
      </c>
      <c r="D444" s="389" t="s">
        <v>723</v>
      </c>
      <c r="E444" s="331"/>
      <c r="L444" s="333"/>
      <c r="M444" s="333"/>
      <c r="IU444" s="346"/>
      <c r="IV444" s="346"/>
    </row>
    <row r="445" spans="1:256" x14ac:dyDescent="0.2">
      <c r="A445" s="393"/>
      <c r="B445" s="366" t="s">
        <v>724</v>
      </c>
      <c r="C445" s="366" t="s">
        <v>725</v>
      </c>
      <c r="D445" s="390" t="s">
        <v>726</v>
      </c>
      <c r="E445" s="331"/>
      <c r="L445" s="333"/>
      <c r="M445" s="333"/>
    </row>
    <row r="446" spans="1:256" x14ac:dyDescent="0.2">
      <c r="A446" s="394" t="s">
        <v>727</v>
      </c>
      <c r="B446" s="1556" t="s">
        <v>728</v>
      </c>
      <c r="C446" s="1556"/>
      <c r="D446" s="1556"/>
      <c r="E446" s="395"/>
      <c r="F446" s="392"/>
    </row>
    <row r="447" spans="1:256" x14ac:dyDescent="0.2">
      <c r="A447" s="394"/>
      <c r="B447" s="366" t="s">
        <v>712</v>
      </c>
      <c r="C447" s="366" t="s">
        <v>729</v>
      </c>
      <c r="D447" s="366" t="s">
        <v>730</v>
      </c>
      <c r="E447" s="395"/>
      <c r="F447" s="392"/>
    </row>
    <row r="448" spans="1:256" x14ac:dyDescent="0.2">
      <c r="A448" s="394"/>
      <c r="B448" s="366" t="s">
        <v>715</v>
      </c>
      <c r="C448" s="366" t="s">
        <v>731</v>
      </c>
      <c r="D448" s="390" t="s">
        <v>732</v>
      </c>
      <c r="E448" s="395"/>
      <c r="F448" s="392"/>
    </row>
    <row r="449" spans="1:6" x14ac:dyDescent="0.2">
      <c r="A449" s="394"/>
      <c r="B449" s="366" t="s">
        <v>718</v>
      </c>
      <c r="C449" s="366" t="s">
        <v>733</v>
      </c>
      <c r="D449" s="366" t="s">
        <v>734</v>
      </c>
      <c r="E449" s="395"/>
      <c r="F449" s="392"/>
    </row>
    <row r="450" spans="1:6" x14ac:dyDescent="0.2">
      <c r="A450" s="394"/>
      <c r="B450" s="366" t="s">
        <v>721</v>
      </c>
      <c r="C450" s="366" t="s">
        <v>735</v>
      </c>
      <c r="D450" s="366" t="s">
        <v>736</v>
      </c>
      <c r="E450" s="395"/>
      <c r="F450" s="392"/>
    </row>
    <row r="451" spans="1:6" x14ac:dyDescent="0.2">
      <c r="A451" s="394"/>
      <c r="B451" s="366" t="s">
        <v>724</v>
      </c>
      <c r="C451" s="366" t="s">
        <v>737</v>
      </c>
      <c r="D451" s="366" t="s">
        <v>738</v>
      </c>
      <c r="E451" s="395"/>
      <c r="F451" s="392"/>
    </row>
    <row r="452" spans="1:6" x14ac:dyDescent="0.2">
      <c r="A452" s="396" t="s">
        <v>739</v>
      </c>
      <c r="B452" s="1556" t="s">
        <v>740</v>
      </c>
      <c r="C452" s="1556"/>
      <c r="D452" s="1556"/>
      <c r="E452" s="395"/>
      <c r="F452" s="392"/>
    </row>
    <row r="453" spans="1:6" x14ac:dyDescent="0.2">
      <c r="A453" s="396"/>
      <c r="B453" s="366" t="s">
        <v>712</v>
      </c>
      <c r="C453" s="366" t="s">
        <v>741</v>
      </c>
      <c r="D453" s="390" t="s">
        <v>742</v>
      </c>
      <c r="E453" s="395"/>
      <c r="F453" s="346"/>
    </row>
    <row r="454" spans="1:6" x14ac:dyDescent="0.2">
      <c r="A454" s="396"/>
      <c r="B454" s="366" t="s">
        <v>715</v>
      </c>
      <c r="C454" s="366" t="s">
        <v>743</v>
      </c>
      <c r="D454" s="366" t="s">
        <v>744</v>
      </c>
      <c r="E454" s="395"/>
      <c r="F454" s="346"/>
    </row>
    <row r="455" spans="1:6" x14ac:dyDescent="0.2">
      <c r="A455" s="396"/>
      <c r="B455" s="366" t="s">
        <v>718</v>
      </c>
      <c r="C455" s="366" t="s">
        <v>745</v>
      </c>
      <c r="D455" s="366" t="s">
        <v>746</v>
      </c>
      <c r="E455" s="395"/>
      <c r="F455" s="346"/>
    </row>
    <row r="456" spans="1:6" x14ac:dyDescent="0.2">
      <c r="A456" s="396"/>
      <c r="B456" s="366" t="s">
        <v>721</v>
      </c>
      <c r="C456" s="366" t="s">
        <v>747</v>
      </c>
      <c r="D456" s="366" t="s">
        <v>748</v>
      </c>
      <c r="E456" s="395"/>
      <c r="F456" s="346"/>
    </row>
    <row r="457" spans="1:6" x14ac:dyDescent="0.2">
      <c r="A457" s="396"/>
      <c r="B457" s="366" t="s">
        <v>724</v>
      </c>
      <c r="C457" s="366" t="s">
        <v>749</v>
      </c>
      <c r="D457" s="366" t="s">
        <v>750</v>
      </c>
      <c r="E457" s="395"/>
      <c r="F457" s="346"/>
    </row>
    <row r="458" spans="1:6" x14ac:dyDescent="0.2">
      <c r="A458" s="397" t="s">
        <v>751</v>
      </c>
      <c r="B458" s="1556" t="s">
        <v>752</v>
      </c>
      <c r="C458" s="1556"/>
      <c r="D458" s="1556"/>
      <c r="E458" s="395"/>
      <c r="F458" s="346"/>
    </row>
    <row r="459" spans="1:6" x14ac:dyDescent="0.2">
      <c r="A459" s="397"/>
      <c r="B459" s="366" t="s">
        <v>712</v>
      </c>
      <c r="C459" s="366" t="s">
        <v>753</v>
      </c>
      <c r="D459" s="366" t="s">
        <v>754</v>
      </c>
      <c r="E459" s="395"/>
      <c r="F459" s="346"/>
    </row>
    <row r="460" spans="1:6" x14ac:dyDescent="0.2">
      <c r="A460" s="397"/>
      <c r="B460" s="366" t="s">
        <v>715</v>
      </c>
      <c r="C460" s="366" t="s">
        <v>755</v>
      </c>
      <c r="D460" s="366" t="s">
        <v>756</v>
      </c>
      <c r="E460" s="395"/>
      <c r="F460" s="346"/>
    </row>
    <row r="461" spans="1:6" x14ac:dyDescent="0.2">
      <c r="A461" s="397"/>
      <c r="B461" s="366" t="s">
        <v>718</v>
      </c>
      <c r="C461" s="366" t="s">
        <v>757</v>
      </c>
      <c r="D461" s="390" t="s">
        <v>758</v>
      </c>
      <c r="E461" s="395"/>
      <c r="F461" s="346"/>
    </row>
    <row r="462" spans="1:6" x14ac:dyDescent="0.2">
      <c r="A462" s="397"/>
      <c r="B462" s="366" t="s">
        <v>721</v>
      </c>
      <c r="C462" s="366" t="s">
        <v>759</v>
      </c>
      <c r="D462" s="366" t="s">
        <v>760</v>
      </c>
      <c r="E462" s="395"/>
      <c r="F462" s="346"/>
    </row>
    <row r="463" spans="1:6" x14ac:dyDescent="0.2">
      <c r="A463" s="397"/>
      <c r="B463" s="366" t="s">
        <v>724</v>
      </c>
      <c r="C463" s="366" t="s">
        <v>761</v>
      </c>
      <c r="D463" s="366" t="s">
        <v>762</v>
      </c>
      <c r="E463" s="395"/>
      <c r="F463" s="346"/>
    </row>
    <row r="464" spans="1:6" x14ac:dyDescent="0.2">
      <c r="A464" s="387" t="s">
        <v>763</v>
      </c>
      <c r="B464" s="1556" t="s">
        <v>764</v>
      </c>
      <c r="C464" s="1556"/>
      <c r="D464" s="1556"/>
      <c r="E464" s="395"/>
      <c r="F464" s="346"/>
    </row>
    <row r="465" spans="1:6" x14ac:dyDescent="0.2">
      <c r="A465" s="398"/>
      <c r="B465" s="366" t="s">
        <v>712</v>
      </c>
      <c r="C465" s="366" t="s">
        <v>765</v>
      </c>
      <c r="D465" s="366" t="s">
        <v>766</v>
      </c>
      <c r="E465" s="395"/>
      <c r="F465" s="346"/>
    </row>
    <row r="466" spans="1:6" x14ac:dyDescent="0.2">
      <c r="A466" s="398"/>
      <c r="B466" s="366" t="s">
        <v>715</v>
      </c>
      <c r="C466" s="366" t="s">
        <v>767</v>
      </c>
      <c r="D466" s="390" t="s">
        <v>768</v>
      </c>
      <c r="E466" s="395"/>
      <c r="F466" s="346"/>
    </row>
    <row r="467" spans="1:6" x14ac:dyDescent="0.2">
      <c r="A467" s="398"/>
      <c r="B467" s="366" t="s">
        <v>718</v>
      </c>
      <c r="C467" s="366" t="s">
        <v>769</v>
      </c>
      <c r="D467" s="366" t="s">
        <v>770</v>
      </c>
      <c r="E467" s="395"/>
      <c r="F467" s="346"/>
    </row>
    <row r="468" spans="1:6" x14ac:dyDescent="0.2">
      <c r="A468" s="398"/>
      <c r="B468" s="366" t="s">
        <v>721</v>
      </c>
      <c r="C468" s="366" t="s">
        <v>771</v>
      </c>
      <c r="D468" s="390" t="s">
        <v>772</v>
      </c>
      <c r="E468" s="395"/>
      <c r="F468" s="346"/>
    </row>
    <row r="469" spans="1:6" x14ac:dyDescent="0.2">
      <c r="A469" s="398"/>
      <c r="B469" s="366" t="s">
        <v>724</v>
      </c>
      <c r="C469" s="366" t="s">
        <v>773</v>
      </c>
      <c r="D469" s="366" t="s">
        <v>774</v>
      </c>
      <c r="E469" s="395"/>
      <c r="F469" s="346"/>
    </row>
    <row r="470" spans="1:6" x14ac:dyDescent="0.2">
      <c r="A470" s="366" t="s">
        <v>775</v>
      </c>
      <c r="B470" s="1556" t="s">
        <v>776</v>
      </c>
      <c r="C470" s="1556"/>
      <c r="D470" s="1556"/>
      <c r="E470" s="360"/>
      <c r="F470" s="346"/>
    </row>
    <row r="471" spans="1:6" x14ac:dyDescent="0.2">
      <c r="A471" s="366"/>
      <c r="B471" s="366" t="s">
        <v>777</v>
      </c>
      <c r="C471" s="366" t="s">
        <v>778</v>
      </c>
      <c r="D471" s="366" t="s">
        <v>779</v>
      </c>
      <c r="E471" s="395"/>
      <c r="F471" s="346"/>
    </row>
    <row r="472" spans="1:6" x14ac:dyDescent="0.2">
      <c r="A472" s="366"/>
      <c r="B472" s="366" t="s">
        <v>780</v>
      </c>
      <c r="C472" s="366" t="s">
        <v>781</v>
      </c>
      <c r="D472" s="366" t="s">
        <v>782</v>
      </c>
      <c r="E472" s="395"/>
      <c r="F472" s="346"/>
    </row>
    <row r="473" spans="1:6" x14ac:dyDescent="0.2">
      <c r="A473" s="366"/>
      <c r="B473" s="366" t="s">
        <v>783</v>
      </c>
      <c r="C473" s="366" t="s">
        <v>784</v>
      </c>
      <c r="D473" s="390" t="s">
        <v>785</v>
      </c>
      <c r="E473" s="395"/>
      <c r="F473" s="346"/>
    </row>
    <row r="474" spans="1:6" x14ac:dyDescent="0.2">
      <c r="A474" s="366"/>
      <c r="B474" s="366" t="s">
        <v>786</v>
      </c>
      <c r="C474" s="366" t="s">
        <v>787</v>
      </c>
      <c r="D474" s="366" t="s">
        <v>788</v>
      </c>
      <c r="E474" s="395"/>
      <c r="F474" s="346"/>
    </row>
    <row r="475" spans="1:6" x14ac:dyDescent="0.2">
      <c r="A475" s="366"/>
      <c r="B475" s="1557" t="s">
        <v>789</v>
      </c>
      <c r="C475" s="1557"/>
      <c r="D475" s="1557"/>
      <c r="E475" s="346"/>
      <c r="F475" s="346"/>
    </row>
    <row r="476" spans="1:6" x14ac:dyDescent="0.2">
      <c r="A476" s="366"/>
      <c r="B476" s="366" t="s">
        <v>777</v>
      </c>
      <c r="C476" s="366" t="s">
        <v>790</v>
      </c>
      <c r="D476" s="366" t="s">
        <v>791</v>
      </c>
      <c r="E476" s="395"/>
      <c r="F476" s="346"/>
    </row>
    <row r="477" spans="1:6" x14ac:dyDescent="0.2">
      <c r="A477" s="366"/>
      <c r="B477" s="366" t="s">
        <v>780</v>
      </c>
      <c r="C477" s="366" t="s">
        <v>792</v>
      </c>
      <c r="D477" s="366" t="s">
        <v>793</v>
      </c>
      <c r="E477" s="395"/>
      <c r="F477" s="346"/>
    </row>
    <row r="478" spans="1:6" x14ac:dyDescent="0.2">
      <c r="A478" s="366"/>
      <c r="B478" s="366" t="s">
        <v>783</v>
      </c>
      <c r="C478" s="366" t="s">
        <v>794</v>
      </c>
      <c r="D478" s="366" t="s">
        <v>795</v>
      </c>
      <c r="E478" s="395"/>
      <c r="F478" s="346"/>
    </row>
    <row r="479" spans="1:6" x14ac:dyDescent="0.2">
      <c r="A479" s="366"/>
      <c r="B479" s="1556" t="s">
        <v>796</v>
      </c>
      <c r="C479" s="1556"/>
      <c r="D479" s="1556"/>
      <c r="E479" s="395"/>
      <c r="F479" s="346"/>
    </row>
    <row r="480" spans="1:6" ht="15" x14ac:dyDescent="0.2">
      <c r="A480" s="366"/>
      <c r="B480" s="399"/>
      <c r="C480" s="366" t="s">
        <v>797</v>
      </c>
      <c r="D480" s="366" t="s">
        <v>798</v>
      </c>
      <c r="E480" s="395"/>
      <c r="F480" s="346"/>
    </row>
    <row r="481" spans="1:18" ht="15" x14ac:dyDescent="0.2">
      <c r="A481" s="366"/>
      <c r="B481" s="399"/>
      <c r="C481" s="366" t="s">
        <v>799</v>
      </c>
      <c r="D481" s="366" t="s">
        <v>834</v>
      </c>
      <c r="E481" s="395"/>
      <c r="F481" s="346"/>
    </row>
    <row r="482" spans="1:18" ht="13.5" thickBot="1" x14ac:dyDescent="0.25"/>
    <row r="483" spans="1:18" x14ac:dyDescent="0.2">
      <c r="A483" s="400" t="s">
        <v>1539</v>
      </c>
      <c r="B483" s="331" t="s">
        <v>835</v>
      </c>
    </row>
    <row r="484" spans="1:18" x14ac:dyDescent="0.2">
      <c r="A484" s="401" t="s">
        <v>1511</v>
      </c>
      <c r="B484" s="401" t="s">
        <v>1511</v>
      </c>
    </row>
    <row r="485" spans="1:18" x14ac:dyDescent="0.2">
      <c r="A485" s="402" t="s">
        <v>1512</v>
      </c>
      <c r="B485" s="402" t="s">
        <v>1512</v>
      </c>
    </row>
    <row r="486" spans="1:18" x14ac:dyDescent="0.2">
      <c r="A486" s="402" t="s">
        <v>1513</v>
      </c>
      <c r="B486" s="402" t="s">
        <v>1513</v>
      </c>
    </row>
    <row r="487" spans="1:18" x14ac:dyDescent="0.2">
      <c r="A487" s="402" t="s">
        <v>1517</v>
      </c>
      <c r="B487" s="402" t="s">
        <v>1517</v>
      </c>
    </row>
    <row r="488" spans="1:18" x14ac:dyDescent="0.2">
      <c r="A488" s="402" t="s">
        <v>1515</v>
      </c>
      <c r="B488" s="402" t="s">
        <v>1515</v>
      </c>
    </row>
    <row r="489" spans="1:18" x14ac:dyDescent="0.2">
      <c r="A489" s="402" t="s">
        <v>1519</v>
      </c>
      <c r="B489" s="402" t="s">
        <v>1519</v>
      </c>
    </row>
    <row r="490" spans="1:18" x14ac:dyDescent="0.2">
      <c r="A490" s="402" t="s">
        <v>1516</v>
      </c>
      <c r="B490" s="402" t="s">
        <v>1516</v>
      </c>
    </row>
    <row r="491" spans="1:18" x14ac:dyDescent="0.2">
      <c r="A491" s="403" t="s">
        <v>1514</v>
      </c>
      <c r="B491" s="403" t="s">
        <v>1514</v>
      </c>
    </row>
    <row r="492" spans="1:18" ht="13.5" thickBot="1" x14ac:dyDescent="0.25">
      <c r="A492" s="404" t="s">
        <v>1518</v>
      </c>
    </row>
    <row r="494" spans="1:18" x14ac:dyDescent="0.2">
      <c r="A494" s="331" t="s">
        <v>1518</v>
      </c>
      <c r="B494" s="331" t="s">
        <v>1519</v>
      </c>
      <c r="C494" s="331" t="s">
        <v>1511</v>
      </c>
      <c r="D494" s="331" t="s">
        <v>1512</v>
      </c>
      <c r="E494" s="332" t="s">
        <v>1513</v>
      </c>
      <c r="F494" s="331" t="s">
        <v>1514</v>
      </c>
      <c r="G494" s="331" t="s">
        <v>1515</v>
      </c>
      <c r="H494" s="331" t="s">
        <v>1516</v>
      </c>
      <c r="I494" s="331" t="s">
        <v>1517</v>
      </c>
      <c r="J494" s="331" t="s">
        <v>836</v>
      </c>
      <c r="K494" s="331" t="s">
        <v>837</v>
      </c>
      <c r="L494" s="331" t="s">
        <v>838</v>
      </c>
      <c r="M494" s="331" t="s">
        <v>839</v>
      </c>
      <c r="N494" s="331" t="s">
        <v>840</v>
      </c>
      <c r="O494" s="331" t="s">
        <v>841</v>
      </c>
      <c r="P494" s="331" t="s">
        <v>842</v>
      </c>
      <c r="Q494" s="331" t="s">
        <v>843</v>
      </c>
      <c r="R494" s="331" t="s">
        <v>844</v>
      </c>
    </row>
    <row r="495" spans="1:18" x14ac:dyDescent="0.2">
      <c r="A495" s="331">
        <v>0</v>
      </c>
      <c r="B495" s="331">
        <v>0</v>
      </c>
      <c r="C495" s="331">
        <v>0</v>
      </c>
      <c r="D495" s="331">
        <v>0</v>
      </c>
      <c r="E495" s="332">
        <v>0</v>
      </c>
      <c r="F495" s="331">
        <v>0</v>
      </c>
      <c r="G495" s="331">
        <v>0</v>
      </c>
      <c r="H495" s="331">
        <v>0</v>
      </c>
      <c r="I495" s="331">
        <v>0</v>
      </c>
      <c r="K495" s="331">
        <v>1</v>
      </c>
      <c r="N495" s="331">
        <f>1-0</f>
        <v>1</v>
      </c>
      <c r="O495" s="331"/>
      <c r="P495" s="331">
        <f>1-0</f>
        <v>1</v>
      </c>
      <c r="Q495" s="331">
        <f>1-0</f>
        <v>1</v>
      </c>
      <c r="R495" s="331">
        <f>1-0</f>
        <v>1</v>
      </c>
    </row>
    <row r="496" spans="1:18" x14ac:dyDescent="0.2">
      <c r="A496" s="338">
        <v>5.83333333333333E-2</v>
      </c>
      <c r="B496" s="338">
        <v>0.16666666666666702</v>
      </c>
      <c r="C496" s="338">
        <v>0.05</v>
      </c>
      <c r="D496" s="338">
        <v>8.3333333333333301E-2</v>
      </c>
      <c r="E496" s="355">
        <v>5.83333333333333E-2</v>
      </c>
      <c r="F496" s="338">
        <v>0.15</v>
      </c>
      <c r="G496" s="338">
        <v>0.133333333333333</v>
      </c>
      <c r="H496" s="338">
        <v>0.15833333333333302</v>
      </c>
      <c r="I496" s="338">
        <v>0.14166666666666702</v>
      </c>
      <c r="J496" s="338"/>
      <c r="K496" s="338">
        <f>1-0.166666666666667</f>
        <v>0.83333333333333304</v>
      </c>
      <c r="L496" s="338"/>
      <c r="M496" s="338"/>
      <c r="N496" s="338">
        <f>1-0.0583333333333333</f>
        <v>0.94166666666666665</v>
      </c>
      <c r="O496" s="338"/>
      <c r="P496" s="338">
        <f>1-0.133333333333333</f>
        <v>0.86666666666666703</v>
      </c>
      <c r="Q496" s="338">
        <f>1-0.158333333333333</f>
        <v>0.84166666666666701</v>
      </c>
      <c r="R496" s="338">
        <f>1-0.141666666666667</f>
        <v>0.85833333333333295</v>
      </c>
    </row>
    <row r="497" spans="1:18" x14ac:dyDescent="0.2">
      <c r="A497" s="338">
        <v>0.22500000000000001</v>
      </c>
      <c r="B497" s="338">
        <v>0.21666666666666701</v>
      </c>
      <c r="C497" s="338">
        <v>0.133333333333333</v>
      </c>
      <c r="D497" s="338">
        <v>0.14166666666666702</v>
      </c>
      <c r="E497" s="355">
        <v>0.20833333333333301</v>
      </c>
      <c r="F497" s="338">
        <v>0.28333333333333305</v>
      </c>
      <c r="G497" s="338">
        <v>0.29166666666666702</v>
      </c>
      <c r="H497" s="338">
        <v>0.3</v>
      </c>
      <c r="I497" s="338">
        <v>0.2</v>
      </c>
      <c r="J497" s="338"/>
      <c r="K497" s="338">
        <f>1-0.216666666666667</f>
        <v>0.78333333333333299</v>
      </c>
      <c r="L497" s="338"/>
      <c r="M497" s="338"/>
      <c r="N497" s="338">
        <f>1-0.208333333333333</f>
        <v>0.79166666666666696</v>
      </c>
      <c r="O497" s="338"/>
      <c r="P497" s="338">
        <f>1-0.291666666666667</f>
        <v>0.70833333333333304</v>
      </c>
      <c r="Q497" s="338">
        <f>1-0.3</f>
        <v>0.7</v>
      </c>
      <c r="R497" s="338">
        <f>1-0.2</f>
        <v>0.8</v>
      </c>
    </row>
    <row r="498" spans="1:18" x14ac:dyDescent="0.2">
      <c r="A498" s="338">
        <v>0.27500000000000002</v>
      </c>
      <c r="B498" s="338">
        <v>0.3</v>
      </c>
      <c r="C498" s="338">
        <v>0.19166666666666701</v>
      </c>
      <c r="D498" s="338">
        <v>0.29166666666666702</v>
      </c>
      <c r="E498" s="355">
        <v>0.34166666666666701</v>
      </c>
      <c r="F498" s="338">
        <v>0.44166666666666704</v>
      </c>
      <c r="G498" s="338">
        <v>0.43333333333333302</v>
      </c>
      <c r="H498" s="338">
        <v>0.358333333333333</v>
      </c>
      <c r="I498" s="338">
        <v>0.36666666666666703</v>
      </c>
      <c r="J498" s="338"/>
      <c r="K498" s="338">
        <f>1-0.3</f>
        <v>0.7</v>
      </c>
      <c r="L498" s="338"/>
      <c r="M498" s="338"/>
      <c r="N498" s="338">
        <f>1-0.341666666666667</f>
        <v>0.65833333333333299</v>
      </c>
      <c r="O498" s="338"/>
      <c r="P498" s="338">
        <f>1-0.433333333333333</f>
        <v>0.56666666666666698</v>
      </c>
      <c r="Q498" s="338">
        <f>1-0.358333333333333</f>
        <v>0.64166666666666705</v>
      </c>
      <c r="R498" s="338">
        <f>1-0.366666666666667</f>
        <v>0.63333333333333308</v>
      </c>
    </row>
    <row r="499" spans="1:18" x14ac:dyDescent="0.2">
      <c r="A499" s="338">
        <v>0.358333333333333</v>
      </c>
      <c r="B499" s="338">
        <v>0.358333333333333</v>
      </c>
      <c r="C499" s="338">
        <v>0.34166666666666701</v>
      </c>
      <c r="D499" s="338">
        <v>0.42499999999999999</v>
      </c>
      <c r="E499" s="355">
        <v>0.5</v>
      </c>
      <c r="F499" s="338">
        <v>0.58333333333333304</v>
      </c>
      <c r="G499" s="338">
        <v>0.49166666666666703</v>
      </c>
      <c r="H499" s="338">
        <v>0.52500000000000002</v>
      </c>
      <c r="I499" s="338">
        <v>0.41666666666666702</v>
      </c>
      <c r="J499" s="338"/>
      <c r="K499" s="338">
        <f>1-0.358333333333333</f>
        <v>0.64166666666666705</v>
      </c>
      <c r="L499" s="338"/>
      <c r="M499" s="338"/>
      <c r="N499" s="338">
        <f>1-0.5</f>
        <v>0.5</v>
      </c>
      <c r="O499" s="338"/>
      <c r="P499" s="338">
        <f>1-0.491666666666667</f>
        <v>0.50833333333333308</v>
      </c>
      <c r="Q499" s="338">
        <f>1-0.525</f>
        <v>0.47499999999999998</v>
      </c>
      <c r="R499" s="338">
        <f>1-0.416666666666667</f>
        <v>0.58333333333333304</v>
      </c>
    </row>
    <row r="500" spans="1:18" x14ac:dyDescent="0.2">
      <c r="A500" s="338">
        <v>0.41666666666666702</v>
      </c>
      <c r="B500" s="338">
        <v>0.50833333333333308</v>
      </c>
      <c r="C500" s="338">
        <v>0.47499999999999998</v>
      </c>
      <c r="D500" s="338">
        <v>0.58333333333333304</v>
      </c>
      <c r="E500" s="355">
        <v>0.64166666666666705</v>
      </c>
      <c r="F500" s="338">
        <v>0.64166666666666705</v>
      </c>
      <c r="G500" s="338">
        <v>0.6583333333333331</v>
      </c>
      <c r="H500" s="338">
        <v>0.57499999999999996</v>
      </c>
      <c r="I500" s="338">
        <v>0.5</v>
      </c>
      <c r="J500" s="338"/>
      <c r="K500" s="338">
        <f>1-0.508333333333333</f>
        <v>0.49166666666666703</v>
      </c>
      <c r="L500" s="338"/>
      <c r="M500" s="338"/>
      <c r="N500" s="338">
        <f>1-0.641666666666667</f>
        <v>0.35833333333333295</v>
      </c>
      <c r="O500" s="338"/>
      <c r="P500" s="338">
        <f>1-0.658333333333333</f>
        <v>0.34166666666666701</v>
      </c>
      <c r="Q500" s="338">
        <f>1-0.575</f>
        <v>0.42500000000000004</v>
      </c>
      <c r="R500" s="338">
        <f>1-0.5</f>
        <v>0.5</v>
      </c>
    </row>
    <row r="501" spans="1:18" x14ac:dyDescent="0.2">
      <c r="A501" s="338">
        <v>0.5666666666666671</v>
      </c>
      <c r="B501" s="338">
        <v>0.64166666666666705</v>
      </c>
      <c r="C501" s="338">
        <v>0.63333333333333308</v>
      </c>
      <c r="D501" s="338">
        <v>0.72499999999999998</v>
      </c>
      <c r="E501" s="355">
        <v>0.7</v>
      </c>
      <c r="F501" s="338">
        <v>0.80833333333333302</v>
      </c>
      <c r="G501" s="338">
        <v>0.70833333333333304</v>
      </c>
      <c r="H501" s="338">
        <v>0.6583333333333331</v>
      </c>
      <c r="I501" s="338">
        <v>0.55833333333333302</v>
      </c>
      <c r="J501" s="338"/>
      <c r="K501" s="338">
        <f>1-0.641666666666667</f>
        <v>0.35833333333333295</v>
      </c>
      <c r="L501" s="338"/>
      <c r="M501" s="338"/>
      <c r="N501" s="338">
        <f>1-0.7</f>
        <v>0.30000000000000004</v>
      </c>
      <c r="O501" s="338"/>
      <c r="P501" s="338">
        <f>1-0.708333333333333</f>
        <v>0.29166666666666696</v>
      </c>
      <c r="Q501" s="338">
        <f>1-0.658333333333333</f>
        <v>0.34166666666666701</v>
      </c>
      <c r="R501" s="338">
        <f>1-0.558333333333333</f>
        <v>0.44166666666666698</v>
      </c>
    </row>
    <row r="502" spans="1:18" x14ac:dyDescent="0.2">
      <c r="A502" s="338">
        <v>0.7</v>
      </c>
      <c r="B502" s="338">
        <v>0.8</v>
      </c>
      <c r="C502" s="338">
        <v>0.77500000000000002</v>
      </c>
      <c r="D502" s="338">
        <v>0.7833333333333331</v>
      </c>
      <c r="E502" s="355">
        <v>0.86666666666666703</v>
      </c>
      <c r="F502" s="338">
        <v>0.85833333333333306</v>
      </c>
      <c r="G502" s="338">
        <v>0.79166666666666707</v>
      </c>
      <c r="H502" s="338">
        <v>0.71666666666666701</v>
      </c>
      <c r="I502" s="338">
        <v>0.70833333333333304</v>
      </c>
      <c r="J502" s="338"/>
      <c r="K502" s="338">
        <f>1-0.8</f>
        <v>0.19999999999999996</v>
      </c>
      <c r="L502" s="338"/>
      <c r="M502" s="338"/>
      <c r="N502" s="338">
        <f>1-0.866666666666667</f>
        <v>0.13333333333333297</v>
      </c>
      <c r="O502" s="338"/>
      <c r="P502" s="338">
        <f>1-0.791666666666667</f>
        <v>0.20833333333333304</v>
      </c>
      <c r="Q502" s="338">
        <f>1-0.716666666666667</f>
        <v>0.28333333333333299</v>
      </c>
      <c r="R502" s="338">
        <f>1-0.708333333333333</f>
        <v>0.29166666666666696</v>
      </c>
    </row>
    <row r="503" spans="1:18" x14ac:dyDescent="0.2">
      <c r="A503" s="338">
        <v>0.85833333333333306</v>
      </c>
      <c r="B503" s="338">
        <v>0.9416666666666671</v>
      </c>
      <c r="C503" s="338">
        <v>0.83333333333333304</v>
      </c>
      <c r="D503" s="338">
        <v>0.95</v>
      </c>
      <c r="E503" s="355">
        <v>0.91666666666666707</v>
      </c>
      <c r="F503" s="338">
        <v>0.9416666666666671</v>
      </c>
      <c r="G503" s="338">
        <v>0.85</v>
      </c>
      <c r="H503" s="338">
        <v>0.86666666666666703</v>
      </c>
      <c r="I503" s="338">
        <v>0.84166666666666712</v>
      </c>
      <c r="J503" s="338"/>
      <c r="K503" s="338">
        <f>1-0.941666666666667</f>
        <v>5.8333333333333015E-2</v>
      </c>
      <c r="L503" s="338"/>
      <c r="M503" s="338"/>
      <c r="N503" s="338">
        <f>1-0.916666666666667</f>
        <v>8.3333333333333037E-2</v>
      </c>
      <c r="O503" s="338"/>
      <c r="P503" s="338">
        <f>1-0.85</f>
        <v>0.15000000000000002</v>
      </c>
      <c r="Q503" s="338">
        <f>1-0.866666666666667</f>
        <v>0.13333333333333297</v>
      </c>
      <c r="R503" s="338">
        <f>1-0.841666666666667</f>
        <v>0.15833333333333299</v>
      </c>
    </row>
    <row r="504" spans="1:18" x14ac:dyDescent="0.2">
      <c r="A504" s="338">
        <v>1</v>
      </c>
      <c r="B504" s="338">
        <v>1</v>
      </c>
      <c r="C504" s="338">
        <v>1</v>
      </c>
      <c r="D504" s="338">
        <v>1</v>
      </c>
      <c r="E504" s="355">
        <v>1</v>
      </c>
      <c r="F504" s="338">
        <v>1</v>
      </c>
      <c r="G504" s="338">
        <v>1</v>
      </c>
      <c r="H504" s="338">
        <v>1</v>
      </c>
      <c r="I504" s="338">
        <v>1</v>
      </c>
      <c r="J504" s="338"/>
      <c r="K504" s="338">
        <f>1-1</f>
        <v>0</v>
      </c>
      <c r="L504" s="338"/>
      <c r="M504" s="338"/>
      <c r="N504" s="338">
        <f>1-1</f>
        <v>0</v>
      </c>
      <c r="O504" s="338"/>
      <c r="P504" s="338">
        <f>1-1</f>
        <v>0</v>
      </c>
      <c r="Q504" s="338">
        <f>1-1</f>
        <v>0</v>
      </c>
      <c r="R504" s="338">
        <f>1-1</f>
        <v>0</v>
      </c>
    </row>
    <row r="507" spans="1:18" x14ac:dyDescent="0.2">
      <c r="A507" s="1554" t="s">
        <v>845</v>
      </c>
      <c r="B507" s="1554"/>
      <c r="C507" s="1554"/>
      <c r="E507" s="331">
        <f>30/8</f>
        <v>3.75</v>
      </c>
      <c r="F507" s="332"/>
      <c r="N507" s="331"/>
    </row>
    <row r="508" spans="1:18" x14ac:dyDescent="0.2">
      <c r="A508" s="346" t="s">
        <v>1115</v>
      </c>
      <c r="B508" s="346" t="s">
        <v>1623</v>
      </c>
      <c r="C508" s="346" t="s">
        <v>1626</v>
      </c>
      <c r="E508" s="346" t="s">
        <v>1115</v>
      </c>
      <c r="F508" s="332"/>
      <c r="N508" s="331"/>
    </row>
    <row r="509" spans="1:18" x14ac:dyDescent="0.2">
      <c r="A509" s="346" t="s">
        <v>1645</v>
      </c>
      <c r="B509" s="346">
        <v>26</v>
      </c>
      <c r="C509" s="346">
        <f>B513</f>
        <v>10</v>
      </c>
      <c r="E509" s="346" t="s">
        <v>1645</v>
      </c>
      <c r="F509" s="332"/>
      <c r="N509" s="331"/>
    </row>
    <row r="510" spans="1:18" x14ac:dyDescent="0.2">
      <c r="A510" s="346" t="s">
        <v>1648</v>
      </c>
      <c r="B510" s="346">
        <f t="shared" ref="B510:B515" si="13">B509-4</f>
        <v>22</v>
      </c>
      <c r="C510" s="346">
        <f>B514</f>
        <v>6</v>
      </c>
      <c r="E510" s="346" t="s">
        <v>1648</v>
      </c>
      <c r="F510" s="332"/>
      <c r="N510" s="331"/>
    </row>
    <row r="511" spans="1:18" x14ac:dyDescent="0.2">
      <c r="A511" s="346" t="s">
        <v>1644</v>
      </c>
      <c r="B511" s="346">
        <f t="shared" si="13"/>
        <v>18</v>
      </c>
      <c r="C511" s="346">
        <f>B515</f>
        <v>2</v>
      </c>
      <c r="E511" s="346" t="s">
        <v>1644</v>
      </c>
      <c r="F511" s="332"/>
      <c r="N511" s="331"/>
    </row>
    <row r="512" spans="1:18" x14ac:dyDescent="0.2">
      <c r="A512" s="346" t="s">
        <v>1647</v>
      </c>
      <c r="B512" s="346">
        <f t="shared" si="13"/>
        <v>14</v>
      </c>
      <c r="C512" s="346">
        <f>B509</f>
        <v>26</v>
      </c>
      <c r="E512" s="346" t="s">
        <v>1647</v>
      </c>
      <c r="F512" s="332"/>
      <c r="N512" s="331"/>
    </row>
    <row r="513" spans="1:14" x14ac:dyDescent="0.2">
      <c r="A513" s="346" t="s">
        <v>1643</v>
      </c>
      <c r="B513" s="346">
        <f t="shared" si="13"/>
        <v>10</v>
      </c>
      <c r="C513" s="346">
        <f>B510</f>
        <v>22</v>
      </c>
      <c r="E513" s="346" t="s">
        <v>1643</v>
      </c>
      <c r="F513" s="332"/>
      <c r="N513" s="331"/>
    </row>
    <row r="514" spans="1:14" x14ac:dyDescent="0.2">
      <c r="A514" s="346" t="s">
        <v>1646</v>
      </c>
      <c r="B514" s="346">
        <f t="shared" si="13"/>
        <v>6</v>
      </c>
      <c r="C514" s="346">
        <f>B511</f>
        <v>18</v>
      </c>
      <c r="E514" s="346" t="s">
        <v>1646</v>
      </c>
      <c r="F514" s="332"/>
      <c r="N514" s="331"/>
    </row>
    <row r="515" spans="1:14" x14ac:dyDescent="0.2">
      <c r="A515" s="346" t="s">
        <v>1642</v>
      </c>
      <c r="B515" s="346">
        <f t="shared" si="13"/>
        <v>2</v>
      </c>
      <c r="C515" s="346">
        <f>B512</f>
        <v>14</v>
      </c>
      <c r="E515" s="346" t="s">
        <v>1642</v>
      </c>
      <c r="F515" s="332"/>
      <c r="N515" s="331"/>
    </row>
    <row r="517" spans="1:14" x14ac:dyDescent="0.2">
      <c r="D517" s="346"/>
    </row>
    <row r="519" spans="1:14" ht="15" x14ac:dyDescent="0.2">
      <c r="A519" s="1555" t="s">
        <v>846</v>
      </c>
      <c r="B519" s="1555"/>
      <c r="C519" s="1555"/>
      <c r="D519" s="1555"/>
      <c r="E519" s="1555"/>
    </row>
    <row r="520" spans="1:14" ht="27.75" x14ac:dyDescent="0.2">
      <c r="A520" s="760" t="s">
        <v>1650</v>
      </c>
      <c r="B520" s="761" t="s">
        <v>847</v>
      </c>
      <c r="C520" s="761" t="s">
        <v>848</v>
      </c>
      <c r="D520" s="762" t="s">
        <v>849</v>
      </c>
      <c r="E520" s="763" t="s">
        <v>850</v>
      </c>
      <c r="F520" s="785" t="s">
        <v>2417</v>
      </c>
      <c r="G520" s="785" t="s">
        <v>3228</v>
      </c>
      <c r="H520" s="785" t="s">
        <v>2418</v>
      </c>
      <c r="I520" s="785" t="s">
        <v>2881</v>
      </c>
      <c r="J520" s="785" t="s">
        <v>2882</v>
      </c>
      <c r="K520" s="785" t="s">
        <v>2883</v>
      </c>
      <c r="L520" s="785" t="s">
        <v>2884</v>
      </c>
    </row>
    <row r="521" spans="1:14" ht="27.75" x14ac:dyDescent="0.2">
      <c r="A521" s="757" t="s">
        <v>1511</v>
      </c>
      <c r="B521" s="405" t="s">
        <v>851</v>
      </c>
      <c r="C521" s="405" t="s">
        <v>2002</v>
      </c>
      <c r="D521" s="405" t="s">
        <v>1515</v>
      </c>
      <c r="E521" s="758" t="s">
        <v>2346</v>
      </c>
      <c r="F521" s="787" t="s">
        <v>1515</v>
      </c>
      <c r="G521" s="787"/>
      <c r="H521" s="787"/>
      <c r="I521" s="787"/>
      <c r="J521" s="787"/>
      <c r="K521" s="787"/>
      <c r="L521" s="787"/>
    </row>
    <row r="522" spans="1:14" ht="54.75" x14ac:dyDescent="0.2">
      <c r="A522" s="757" t="s">
        <v>619</v>
      </c>
      <c r="B522" s="406" t="s">
        <v>852</v>
      </c>
      <c r="C522" s="405" t="s">
        <v>1998</v>
      </c>
      <c r="D522" s="406" t="s">
        <v>853</v>
      </c>
      <c r="E522" s="759" t="s">
        <v>854</v>
      </c>
      <c r="F522" s="786" t="s">
        <v>2217</v>
      </c>
      <c r="G522" s="786" t="s">
        <v>1515</v>
      </c>
      <c r="H522" s="786"/>
      <c r="I522" s="786"/>
      <c r="J522" s="786"/>
      <c r="K522" s="786"/>
      <c r="L522" s="786"/>
    </row>
    <row r="523" spans="1:14" ht="54.75" x14ac:dyDescent="0.2">
      <c r="A523" s="757" t="s">
        <v>1513</v>
      </c>
      <c r="B523" s="406" t="s">
        <v>855</v>
      </c>
      <c r="C523" s="406" t="s">
        <v>856</v>
      </c>
      <c r="D523" s="406" t="s">
        <v>857</v>
      </c>
      <c r="E523" s="759" t="s">
        <v>858</v>
      </c>
      <c r="F523" s="786" t="s">
        <v>2217</v>
      </c>
      <c r="G523" s="786" t="s">
        <v>1519</v>
      </c>
      <c r="H523" s="786"/>
      <c r="I523" s="786"/>
      <c r="J523" s="786"/>
      <c r="K523" s="786"/>
      <c r="L523" s="786"/>
    </row>
    <row r="524" spans="1:14" ht="41.25" x14ac:dyDescent="0.2">
      <c r="A524" s="757" t="s">
        <v>1517</v>
      </c>
      <c r="B524" s="406" t="s">
        <v>859</v>
      </c>
      <c r="C524" s="406" t="s">
        <v>860</v>
      </c>
      <c r="D524" s="406" t="s">
        <v>861</v>
      </c>
      <c r="E524" s="759" t="s">
        <v>862</v>
      </c>
      <c r="F524" s="786" t="s">
        <v>1512</v>
      </c>
      <c r="G524" s="786" t="s">
        <v>1513</v>
      </c>
      <c r="H524" s="786" t="s">
        <v>1515</v>
      </c>
      <c r="I524" s="786" t="s">
        <v>1519</v>
      </c>
      <c r="J524" s="786" t="s">
        <v>1516</v>
      </c>
      <c r="K524" s="786" t="s">
        <v>1514</v>
      </c>
      <c r="L524" s="786" t="s">
        <v>1518</v>
      </c>
    </row>
    <row r="525" spans="1:14" ht="54.75" x14ac:dyDescent="0.2">
      <c r="A525" s="757" t="s">
        <v>863</v>
      </c>
      <c r="B525" s="406" t="s">
        <v>864</v>
      </c>
      <c r="C525" s="406" t="s">
        <v>865</v>
      </c>
      <c r="D525" s="406" t="s">
        <v>866</v>
      </c>
      <c r="E525" s="767" t="s">
        <v>867</v>
      </c>
      <c r="F525" s="786" t="s">
        <v>1511</v>
      </c>
      <c r="G525" s="786" t="s">
        <v>1512</v>
      </c>
      <c r="H525" s="786" t="s">
        <v>2217</v>
      </c>
      <c r="I525" s="786" t="s">
        <v>1519</v>
      </c>
      <c r="J525" s="786" t="s">
        <v>1516</v>
      </c>
      <c r="K525" s="786" t="s">
        <v>1514</v>
      </c>
      <c r="L525" s="786" t="s">
        <v>1518</v>
      </c>
    </row>
    <row r="526" spans="1:14" ht="54.75" x14ac:dyDescent="0.2">
      <c r="A526" s="757" t="s">
        <v>868</v>
      </c>
      <c r="B526" s="406" t="s">
        <v>869</v>
      </c>
      <c r="C526" s="406" t="s">
        <v>870</v>
      </c>
      <c r="D526" s="406" t="s">
        <v>871</v>
      </c>
      <c r="E526" s="759" t="s">
        <v>872</v>
      </c>
      <c r="F526" s="786" t="s">
        <v>1513</v>
      </c>
      <c r="G526" s="786" t="s">
        <v>2217</v>
      </c>
      <c r="H526" s="786" t="s">
        <v>1515</v>
      </c>
      <c r="I526" s="786" t="s">
        <v>1516</v>
      </c>
      <c r="J526" s="786" t="s">
        <v>1514</v>
      </c>
      <c r="K526" s="786" t="s">
        <v>1518</v>
      </c>
      <c r="L526" s="786"/>
    </row>
    <row r="527" spans="1:14" ht="81" x14ac:dyDescent="0.2">
      <c r="A527" s="757" t="s">
        <v>1516</v>
      </c>
      <c r="B527" s="406" t="s">
        <v>873</v>
      </c>
      <c r="C527" s="406" t="s">
        <v>874</v>
      </c>
      <c r="D527" s="406" t="s">
        <v>875</v>
      </c>
      <c r="E527" s="759" t="s">
        <v>876</v>
      </c>
      <c r="F527" s="786" t="s">
        <v>2217</v>
      </c>
      <c r="G527" s="786" t="s">
        <v>1515</v>
      </c>
      <c r="H527" s="786" t="s">
        <v>1519</v>
      </c>
      <c r="I527" s="786"/>
      <c r="J527" s="786"/>
      <c r="K527" s="786"/>
      <c r="L527" s="786"/>
    </row>
    <row r="528" spans="1:14" ht="81" x14ac:dyDescent="0.2">
      <c r="A528" s="757" t="s">
        <v>1514</v>
      </c>
      <c r="B528" s="406" t="s">
        <v>877</v>
      </c>
      <c r="C528" s="405" t="s">
        <v>2013</v>
      </c>
      <c r="D528" s="406" t="s">
        <v>878</v>
      </c>
      <c r="E528" s="759" t="s">
        <v>879</v>
      </c>
      <c r="F528" s="786" t="s">
        <v>2217</v>
      </c>
      <c r="G528" s="786" t="s">
        <v>1515</v>
      </c>
      <c r="H528" s="786" t="s">
        <v>1519</v>
      </c>
      <c r="I528" s="786" t="s">
        <v>1516</v>
      </c>
      <c r="J528" s="786"/>
      <c r="K528" s="786"/>
      <c r="L528" s="786"/>
    </row>
    <row r="529" spans="1:12" ht="41.25" x14ac:dyDescent="0.2">
      <c r="A529" s="764" t="s">
        <v>1518</v>
      </c>
      <c r="B529" s="765" t="s">
        <v>635</v>
      </c>
      <c r="C529" s="765" t="s">
        <v>2006</v>
      </c>
      <c r="D529" s="765" t="s">
        <v>880</v>
      </c>
      <c r="E529" s="766" t="s">
        <v>881</v>
      </c>
      <c r="F529" s="788" t="s">
        <v>1511</v>
      </c>
      <c r="G529" s="788" t="s">
        <v>1512</v>
      </c>
      <c r="H529" s="788"/>
      <c r="I529" s="788"/>
      <c r="J529" s="788"/>
      <c r="K529" s="788"/>
      <c r="L529" s="788"/>
    </row>
    <row r="530" spans="1:12" x14ac:dyDescent="0.2">
      <c r="A530" s="368"/>
    </row>
    <row r="532" spans="1:12" ht="18" x14ac:dyDescent="0.25">
      <c r="A532" s="630"/>
      <c r="B532" s="1553" t="s">
        <v>8</v>
      </c>
      <c r="C532" s="1553"/>
      <c r="D532" s="1553"/>
      <c r="E532" s="1553"/>
    </row>
    <row r="533" spans="1:12" ht="15" x14ac:dyDescent="0.2">
      <c r="A533" s="1247" t="s">
        <v>4334</v>
      </c>
      <c r="B533" s="1247" t="s">
        <v>4428</v>
      </c>
      <c r="C533" s="1247" t="s">
        <v>4429</v>
      </c>
      <c r="D533" s="1247" t="s">
        <v>4430</v>
      </c>
      <c r="E533" s="1247" t="s">
        <v>4431</v>
      </c>
      <c r="F533" s="1248" t="s">
        <v>4426</v>
      </c>
      <c r="G533" s="1248" t="s">
        <v>4427</v>
      </c>
      <c r="H533" s="1251" t="s">
        <v>1716</v>
      </c>
      <c r="I533" s="1310" t="s">
        <v>4463</v>
      </c>
      <c r="J533" s="1310" t="s">
        <v>4462</v>
      </c>
      <c r="K533" s="1310" t="s">
        <v>4464</v>
      </c>
    </row>
    <row r="534" spans="1:12" ht="15" x14ac:dyDescent="0.2">
      <c r="A534" s="282" t="s">
        <v>1653</v>
      </c>
      <c r="B534" s="282">
        <v>6</v>
      </c>
      <c r="C534" s="282">
        <v>5</v>
      </c>
      <c r="D534" s="282">
        <v>3</v>
      </c>
      <c r="E534" s="282">
        <v>3.5</v>
      </c>
      <c r="F534" s="282">
        <v>1</v>
      </c>
      <c r="G534" s="282">
        <f t="shared" ref="G534:G549" si="14">MOD(120+F534-1,12)+1</f>
        <v>1</v>
      </c>
      <c r="H534" s="1248">
        <v>1</v>
      </c>
      <c r="I534" s="1248"/>
      <c r="J534" s="1248"/>
      <c r="K534" s="1248"/>
    </row>
    <row r="535" spans="1:12" ht="15" x14ac:dyDescent="0.2">
      <c r="A535" s="282" t="s">
        <v>9</v>
      </c>
      <c r="B535" s="282">
        <v>2</v>
      </c>
      <c r="C535" s="282">
        <v>2</v>
      </c>
      <c r="D535" s="282">
        <v>1.5</v>
      </c>
      <c r="E535" s="282">
        <v>1</v>
      </c>
      <c r="F535" s="282">
        <v>2</v>
      </c>
      <c r="G535" s="282">
        <f t="shared" si="14"/>
        <v>2</v>
      </c>
      <c r="H535" s="1248">
        <v>2</v>
      </c>
      <c r="I535" s="1309" t="s">
        <v>4432</v>
      </c>
      <c r="J535" s="1248" t="s">
        <v>4438</v>
      </c>
      <c r="K535" s="1248" t="s">
        <v>4447</v>
      </c>
    </row>
    <row r="536" spans="1:12" ht="15" x14ac:dyDescent="0.2">
      <c r="A536" s="282" t="s">
        <v>1656</v>
      </c>
      <c r="B536" s="282">
        <v>4</v>
      </c>
      <c r="C536" s="282">
        <v>3</v>
      </c>
      <c r="D536" s="282">
        <v>1.5</v>
      </c>
      <c r="E536" s="282">
        <v>1</v>
      </c>
      <c r="F536" s="282">
        <v>3</v>
      </c>
      <c r="G536" s="282">
        <f t="shared" si="14"/>
        <v>3</v>
      </c>
      <c r="H536" s="1248">
        <v>3</v>
      </c>
      <c r="I536" s="1248" t="s">
        <v>4433</v>
      </c>
      <c r="J536" s="1248" t="s">
        <v>4439</v>
      </c>
      <c r="K536" s="1248" t="s">
        <v>4448</v>
      </c>
    </row>
    <row r="537" spans="1:12" ht="15" x14ac:dyDescent="0.2">
      <c r="A537" s="282" t="s">
        <v>1662</v>
      </c>
      <c r="B537" s="282">
        <v>5</v>
      </c>
      <c r="C537" s="282">
        <v>2.5</v>
      </c>
      <c r="D537" s="282">
        <v>1.5</v>
      </c>
      <c r="E537" s="282">
        <v>3</v>
      </c>
      <c r="F537" s="282">
        <v>9</v>
      </c>
      <c r="G537" s="282">
        <f t="shared" si="14"/>
        <v>9</v>
      </c>
      <c r="H537" s="1248">
        <v>4</v>
      </c>
      <c r="I537" s="1248" t="s">
        <v>4434</v>
      </c>
      <c r="J537" s="1248" t="s">
        <v>4440</v>
      </c>
      <c r="K537" s="1248" t="s">
        <v>4449</v>
      </c>
    </row>
    <row r="538" spans="1:12" ht="15" x14ac:dyDescent="0.2">
      <c r="A538" s="282" t="s">
        <v>1666</v>
      </c>
      <c r="B538" s="282">
        <v>2</v>
      </c>
      <c r="C538" s="282">
        <v>4.5</v>
      </c>
      <c r="D538" s="282">
        <v>1.5</v>
      </c>
      <c r="E538" s="282">
        <v>0.5</v>
      </c>
      <c r="F538" s="282">
        <v>12</v>
      </c>
      <c r="G538" s="282">
        <f t="shared" si="14"/>
        <v>12</v>
      </c>
      <c r="H538" s="1248">
        <v>5</v>
      </c>
      <c r="I538" s="1248" t="s">
        <v>4435</v>
      </c>
      <c r="J538" s="1248" t="s">
        <v>4441</v>
      </c>
      <c r="K538" s="1248" t="s">
        <v>4450</v>
      </c>
    </row>
    <row r="539" spans="1:12" ht="15" x14ac:dyDescent="0.2">
      <c r="A539" s="282" t="s">
        <v>10</v>
      </c>
      <c r="B539" s="282">
        <v>1</v>
      </c>
      <c r="C539" s="282">
        <v>2</v>
      </c>
      <c r="D539" s="282">
        <v>1.5</v>
      </c>
      <c r="E539" s="282">
        <v>1</v>
      </c>
      <c r="F539" s="282">
        <v>30</v>
      </c>
      <c r="G539" s="282">
        <f t="shared" si="14"/>
        <v>6</v>
      </c>
      <c r="H539" s="1248">
        <v>6</v>
      </c>
      <c r="I539" s="1248" t="s">
        <v>4436</v>
      </c>
      <c r="J539" s="1248" t="s">
        <v>4442</v>
      </c>
      <c r="K539" s="1248" t="s">
        <v>4451</v>
      </c>
    </row>
    <row r="540" spans="1:12" ht="15" x14ac:dyDescent="0.2">
      <c r="A540" s="282" t="s">
        <v>1660</v>
      </c>
      <c r="B540" s="282"/>
      <c r="C540" s="282">
        <v>1</v>
      </c>
      <c r="D540" s="282">
        <v>1.5</v>
      </c>
      <c r="E540" s="282">
        <v>0.5</v>
      </c>
      <c r="F540" s="282">
        <v>7</v>
      </c>
      <c r="G540" s="282">
        <f t="shared" si="14"/>
        <v>7</v>
      </c>
      <c r="H540" s="1248">
        <v>7</v>
      </c>
      <c r="I540" s="1248" t="s">
        <v>4437</v>
      </c>
      <c r="J540" s="1248" t="s">
        <v>4443</v>
      </c>
      <c r="K540" s="1248" t="s">
        <v>4452</v>
      </c>
    </row>
    <row r="541" spans="1:12" ht="15" x14ac:dyDescent="0.2">
      <c r="A541" s="282" t="s">
        <v>1664</v>
      </c>
      <c r="B541" s="282"/>
      <c r="C541" s="282"/>
      <c r="D541" s="282">
        <v>1.5</v>
      </c>
      <c r="E541" s="282">
        <v>0.5</v>
      </c>
      <c r="F541" s="282">
        <v>10</v>
      </c>
      <c r="G541" s="282">
        <f t="shared" si="14"/>
        <v>10</v>
      </c>
      <c r="H541" s="1248">
        <v>8</v>
      </c>
      <c r="I541" s="1248"/>
      <c r="J541" s="1248" t="s">
        <v>4444</v>
      </c>
      <c r="K541" s="1248" t="s">
        <v>4453</v>
      </c>
    </row>
    <row r="542" spans="1:12" ht="15" x14ac:dyDescent="0.2">
      <c r="A542" s="282" t="s">
        <v>11</v>
      </c>
      <c r="B542" s="282"/>
      <c r="C542" s="282"/>
      <c r="D542" s="282">
        <v>1.5</v>
      </c>
      <c r="E542" s="282">
        <v>2</v>
      </c>
      <c r="F542" s="282">
        <v>16</v>
      </c>
      <c r="G542" s="282">
        <f t="shared" si="14"/>
        <v>4</v>
      </c>
      <c r="H542" s="1248">
        <v>9</v>
      </c>
      <c r="I542" s="1248"/>
      <c r="J542" s="1248" t="s">
        <v>4445</v>
      </c>
      <c r="K542" s="1248" t="s">
        <v>4454</v>
      </c>
    </row>
    <row r="543" spans="1:12" ht="15" x14ac:dyDescent="0.2">
      <c r="A543" s="282" t="s">
        <v>12</v>
      </c>
      <c r="B543" s="282"/>
      <c r="C543" s="282"/>
      <c r="D543" s="282">
        <v>5</v>
      </c>
      <c r="E543" s="282">
        <v>4</v>
      </c>
      <c r="F543" s="282">
        <v>60</v>
      </c>
      <c r="G543" s="282">
        <f t="shared" si="14"/>
        <v>12</v>
      </c>
      <c r="H543" s="1248">
        <v>10</v>
      </c>
      <c r="I543" s="1248"/>
      <c r="J543" s="1248" t="s">
        <v>4446</v>
      </c>
      <c r="K543" s="1248" t="s">
        <v>4455</v>
      </c>
    </row>
    <row r="544" spans="1:12" ht="15" x14ac:dyDescent="0.2">
      <c r="A544" s="282" t="s">
        <v>13</v>
      </c>
      <c r="B544" s="282"/>
      <c r="C544" s="282"/>
      <c r="D544" s="282"/>
      <c r="E544" s="282">
        <v>0.5</v>
      </c>
      <c r="F544" s="282">
        <v>20</v>
      </c>
      <c r="G544" s="282">
        <f t="shared" si="14"/>
        <v>8</v>
      </c>
      <c r="H544" s="1248">
        <v>11</v>
      </c>
      <c r="I544" s="1248"/>
      <c r="J544" s="1248"/>
      <c r="K544" s="1248" t="s">
        <v>4456</v>
      </c>
    </row>
    <row r="545" spans="1:11" ht="15" x14ac:dyDescent="0.2">
      <c r="A545" s="282" t="s">
        <v>14</v>
      </c>
      <c r="B545" s="282"/>
      <c r="C545" s="282"/>
      <c r="D545" s="282"/>
      <c r="E545" s="282">
        <v>0.5</v>
      </c>
      <c r="F545" s="282">
        <v>24</v>
      </c>
      <c r="G545" s="282">
        <f t="shared" si="14"/>
        <v>12</v>
      </c>
      <c r="H545" s="1248">
        <v>12</v>
      </c>
      <c r="I545" s="1248"/>
      <c r="J545" s="1248"/>
      <c r="K545" s="1248" t="s">
        <v>4457</v>
      </c>
    </row>
    <row r="546" spans="1:11" ht="15" x14ac:dyDescent="0.2">
      <c r="A546" s="282" t="s">
        <v>15</v>
      </c>
      <c r="B546" s="282"/>
      <c r="C546" s="282"/>
      <c r="D546" s="282"/>
      <c r="E546" s="282">
        <v>0.5</v>
      </c>
      <c r="F546" s="282">
        <v>27</v>
      </c>
      <c r="G546" s="282">
        <f t="shared" si="14"/>
        <v>3</v>
      </c>
      <c r="H546" s="1248">
        <v>13</v>
      </c>
      <c r="I546" s="1248"/>
      <c r="J546" s="1248"/>
      <c r="K546" s="1248" t="s">
        <v>4458</v>
      </c>
    </row>
    <row r="547" spans="1:11" ht="15" x14ac:dyDescent="0.2">
      <c r="A547" s="282" t="s">
        <v>1658</v>
      </c>
      <c r="B547" s="282"/>
      <c r="C547" s="282"/>
      <c r="D547" s="282"/>
      <c r="E547" s="282">
        <v>0.5</v>
      </c>
      <c r="F547" s="282">
        <v>4</v>
      </c>
      <c r="G547" s="282">
        <f t="shared" si="14"/>
        <v>4</v>
      </c>
      <c r="H547" s="1248">
        <v>14</v>
      </c>
      <c r="I547" s="1248"/>
      <c r="J547" s="1248"/>
      <c r="K547" s="1248" t="s">
        <v>4459</v>
      </c>
    </row>
    <row r="548" spans="1:11" ht="15" x14ac:dyDescent="0.2">
      <c r="A548" s="282" t="s">
        <v>16</v>
      </c>
      <c r="B548" s="282"/>
      <c r="C548" s="282"/>
      <c r="D548" s="282"/>
      <c r="E548" s="282">
        <v>0.5</v>
      </c>
      <c r="F548" s="282">
        <v>40</v>
      </c>
      <c r="G548" s="282">
        <f t="shared" si="14"/>
        <v>4</v>
      </c>
      <c r="H548" s="1248">
        <v>15</v>
      </c>
      <c r="I548" s="1248"/>
      <c r="J548" s="1248"/>
      <c r="K548" s="1248" t="s">
        <v>4460</v>
      </c>
    </row>
    <row r="549" spans="1:11" ht="15" x14ac:dyDescent="0.2">
      <c r="A549" s="282" t="s">
        <v>17</v>
      </c>
      <c r="B549" s="282"/>
      <c r="C549" s="282"/>
      <c r="D549" s="282"/>
      <c r="E549" s="282">
        <v>0.5</v>
      </c>
      <c r="F549" s="282">
        <v>45</v>
      </c>
      <c r="G549" s="282">
        <f t="shared" si="14"/>
        <v>9</v>
      </c>
      <c r="H549" s="1248">
        <v>16</v>
      </c>
      <c r="I549" s="1248"/>
      <c r="J549" s="1248"/>
      <c r="K549" s="1248" t="s">
        <v>4461</v>
      </c>
    </row>
    <row r="550" spans="1:11" ht="15" x14ac:dyDescent="0.2">
      <c r="A550" s="1249" t="s">
        <v>1600</v>
      </c>
      <c r="B550" s="1249">
        <f>SUBTOTAL(109,vargavishwa[Shadvarga Vimshopaka])</f>
        <v>20</v>
      </c>
      <c r="C550" s="1249">
        <f>SUBTOTAL(109,vargavishwa[Saptavarga Vimshopaka])</f>
        <v>20</v>
      </c>
      <c r="D550" s="1249">
        <f>SUBTOTAL(109,vargavishwa[DasaVarga Vimshopaka])</f>
        <v>20</v>
      </c>
      <c r="E550" s="282">
        <f>SUBTOTAL(109,vargavishwa[ShodasaVarga Vimshopaka])</f>
        <v>20</v>
      </c>
      <c r="F550" s="1250">
        <f>SUBTOTAL(103,vargavishwa[Divisor])</f>
        <v>16</v>
      </c>
      <c r="G550" s="1250">
        <f>SUBTOTAL(103,vargavishwa[House Equivalent])</f>
        <v>16</v>
      </c>
      <c r="H550" s="282"/>
      <c r="I550" s="282" t="s">
        <v>4465</v>
      </c>
      <c r="J550" s="282" t="s">
        <v>4465</v>
      </c>
      <c r="K550" s="282" t="s">
        <v>4465</v>
      </c>
    </row>
    <row r="551" spans="1:11" x14ac:dyDescent="0.2">
      <c r="B551" s="1206"/>
      <c r="C551" s="1206"/>
      <c r="D551" s="1206"/>
      <c r="E551" s="1206"/>
    </row>
    <row r="552" spans="1:11" ht="13.5" thickBot="1" x14ac:dyDescent="0.25"/>
    <row r="553" spans="1:11" ht="22.5" thickTop="1" x14ac:dyDescent="0.2">
      <c r="A553" s="658"/>
      <c r="B553" s="1549" t="s">
        <v>234</v>
      </c>
      <c r="C553" s="1550"/>
      <c r="D553" s="1549" t="s">
        <v>235</v>
      </c>
      <c r="E553" s="1550"/>
      <c r="F553" s="1549" t="s">
        <v>236</v>
      </c>
      <c r="G553" s="1550"/>
      <c r="H553" s="1549" t="s">
        <v>237</v>
      </c>
      <c r="I553" s="1552"/>
      <c r="J553" s="331" t="s">
        <v>4483</v>
      </c>
    </row>
    <row r="554" spans="1:11" ht="15" x14ac:dyDescent="0.2">
      <c r="A554" s="659"/>
      <c r="B554" s="654" t="s">
        <v>1582</v>
      </c>
      <c r="C554" s="654" t="s">
        <v>1941</v>
      </c>
      <c r="D554" s="654" t="s">
        <v>1582</v>
      </c>
      <c r="E554" s="654" t="s">
        <v>1941</v>
      </c>
      <c r="F554" s="654" t="s">
        <v>1582</v>
      </c>
      <c r="G554" s="654" t="s">
        <v>1941</v>
      </c>
      <c r="H554" s="654" t="s">
        <v>1582</v>
      </c>
      <c r="I554" s="660" t="s">
        <v>1941</v>
      </c>
    </row>
    <row r="555" spans="1:11" ht="15" x14ac:dyDescent="0.2">
      <c r="A555" s="659" t="s">
        <v>1511</v>
      </c>
      <c r="B555" s="655" t="s">
        <v>1516</v>
      </c>
      <c r="C555" s="655">
        <v>6</v>
      </c>
      <c r="D555" s="654" t="s">
        <v>1513</v>
      </c>
      <c r="E555" s="654">
        <v>7</v>
      </c>
      <c r="F555" s="654" t="s">
        <v>1515</v>
      </c>
      <c r="G555" s="654">
        <v>9</v>
      </c>
      <c r="H555" s="654" t="s">
        <v>1519</v>
      </c>
      <c r="I555" s="660">
        <v>11</v>
      </c>
    </row>
    <row r="556" spans="1:11" ht="15" x14ac:dyDescent="0.2">
      <c r="A556" s="659" t="s">
        <v>1512</v>
      </c>
      <c r="B556" s="654" t="s">
        <v>1519</v>
      </c>
      <c r="C556" s="654">
        <v>7</v>
      </c>
      <c r="D556" s="654" t="s">
        <v>1513</v>
      </c>
      <c r="E556" s="654">
        <v>9</v>
      </c>
      <c r="F556" s="654" t="s">
        <v>1516</v>
      </c>
      <c r="G556" s="654">
        <v>11</v>
      </c>
      <c r="H556" s="654" t="s">
        <v>1511</v>
      </c>
      <c r="I556" s="660">
        <v>3</v>
      </c>
    </row>
    <row r="557" spans="1:11" ht="15" x14ac:dyDescent="0.2">
      <c r="A557" s="659" t="s">
        <v>1513</v>
      </c>
      <c r="B557" s="654" t="s">
        <v>1511</v>
      </c>
      <c r="C557" s="654">
        <v>2</v>
      </c>
      <c r="D557" s="654" t="s">
        <v>1512</v>
      </c>
      <c r="E557" s="654">
        <v>6</v>
      </c>
      <c r="F557" s="654" t="s">
        <v>1516</v>
      </c>
      <c r="G557" s="654">
        <v>11</v>
      </c>
      <c r="H557" s="655" t="s">
        <v>1517</v>
      </c>
      <c r="I557" s="661">
        <v>12</v>
      </c>
    </row>
    <row r="558" spans="1:11" ht="15" x14ac:dyDescent="0.2">
      <c r="A558" s="659" t="s">
        <v>1517</v>
      </c>
      <c r="B558" s="654" t="s">
        <v>1512</v>
      </c>
      <c r="C558" s="654">
        <v>2</v>
      </c>
      <c r="D558" s="654" t="s">
        <v>1515</v>
      </c>
      <c r="E558" s="654">
        <v>4</v>
      </c>
      <c r="F558" s="654" t="s">
        <v>1519</v>
      </c>
      <c r="G558" s="654">
        <v>5</v>
      </c>
      <c r="H558" s="655" t="s">
        <v>1513</v>
      </c>
      <c r="I558" s="661">
        <v>3</v>
      </c>
    </row>
    <row r="559" spans="1:11" ht="15" x14ac:dyDescent="0.2">
      <c r="A559" s="659" t="s">
        <v>1515</v>
      </c>
      <c r="B559" s="655" t="s">
        <v>1516</v>
      </c>
      <c r="C559" s="655">
        <v>6</v>
      </c>
      <c r="D559" s="654" t="s">
        <v>1513</v>
      </c>
      <c r="E559" s="654">
        <v>5</v>
      </c>
      <c r="F559" s="654" t="s">
        <v>1512</v>
      </c>
      <c r="G559" s="654">
        <v>7</v>
      </c>
      <c r="H559" s="654" t="s">
        <v>1511</v>
      </c>
      <c r="I559" s="660">
        <v>12</v>
      </c>
    </row>
    <row r="560" spans="1:11" ht="15" x14ac:dyDescent="0.2">
      <c r="A560" s="659" t="s">
        <v>1519</v>
      </c>
      <c r="B560" s="654" t="s">
        <v>1512</v>
      </c>
      <c r="C560" s="654">
        <v>2</v>
      </c>
      <c r="D560" s="654" t="s">
        <v>1517</v>
      </c>
      <c r="E560" s="654">
        <v>6</v>
      </c>
      <c r="F560" s="656" t="s">
        <v>1511</v>
      </c>
      <c r="G560" s="656">
        <v>12</v>
      </c>
      <c r="H560" s="657" t="s">
        <v>1516</v>
      </c>
      <c r="I560" s="662">
        <v>4</v>
      </c>
    </row>
    <row r="561" spans="1:9" ht="15.75" thickBot="1" x14ac:dyDescent="0.25">
      <c r="A561" s="663" t="s">
        <v>1516</v>
      </c>
      <c r="B561" s="664" t="s">
        <v>1519</v>
      </c>
      <c r="C561" s="664">
        <v>3</v>
      </c>
      <c r="D561" s="664" t="s">
        <v>1512</v>
      </c>
      <c r="E561" s="664">
        <v>11</v>
      </c>
      <c r="F561" s="665" t="s">
        <v>1515</v>
      </c>
      <c r="G561" s="665">
        <v>6</v>
      </c>
      <c r="H561" s="664" t="s">
        <v>1513</v>
      </c>
      <c r="I561" s="666">
        <v>7</v>
      </c>
    </row>
    <row r="562" spans="1:9" ht="13.5" thickTop="1" x14ac:dyDescent="0.2"/>
    <row r="563" spans="1:9" x14ac:dyDescent="0.15">
      <c r="A563" s="667" t="s">
        <v>238</v>
      </c>
    </row>
    <row r="564" spans="1:9" x14ac:dyDescent="0.15">
      <c r="A564" s="667" t="s">
        <v>239</v>
      </c>
    </row>
    <row r="565" spans="1:9" x14ac:dyDescent="0.15">
      <c r="A565" s="667" t="s">
        <v>240</v>
      </c>
    </row>
    <row r="566" spans="1:9" x14ac:dyDescent="0.15">
      <c r="A566" s="667" t="s">
        <v>241</v>
      </c>
    </row>
    <row r="567" spans="1:9" x14ac:dyDescent="0.15">
      <c r="A567" s="667" t="s">
        <v>242</v>
      </c>
    </row>
    <row r="568" spans="1:9" x14ac:dyDescent="0.15">
      <c r="A568" s="667" t="s">
        <v>243</v>
      </c>
    </row>
    <row r="569" spans="1:9" x14ac:dyDescent="0.15">
      <c r="A569" s="667" t="s">
        <v>244</v>
      </c>
    </row>
    <row r="570" spans="1:9" x14ac:dyDescent="0.15">
      <c r="A570" s="667" t="s">
        <v>246</v>
      </c>
    </row>
    <row r="571" spans="1:9" x14ac:dyDescent="0.15">
      <c r="A571" s="667" t="s">
        <v>247</v>
      </c>
    </row>
    <row r="572" spans="1:9" x14ac:dyDescent="0.15">
      <c r="A572" s="667" t="s">
        <v>248</v>
      </c>
    </row>
    <row r="573" spans="1:9" hidden="1" x14ac:dyDescent="0.2"/>
    <row r="574" spans="1:9" x14ac:dyDescent="0.15">
      <c r="A574" s="667" t="s">
        <v>249</v>
      </c>
    </row>
    <row r="575" spans="1:9" x14ac:dyDescent="0.15">
      <c r="A575" s="667" t="s">
        <v>257</v>
      </c>
    </row>
    <row r="576" spans="1:9" x14ac:dyDescent="0.15">
      <c r="A576" s="667" t="s">
        <v>250</v>
      </c>
    </row>
    <row r="577" spans="1:5" x14ac:dyDescent="0.15">
      <c r="A577" s="667" t="s">
        <v>258</v>
      </c>
    </row>
    <row r="578" spans="1:5" x14ac:dyDescent="0.15">
      <c r="A578" s="667" t="s">
        <v>251</v>
      </c>
    </row>
    <row r="579" spans="1:5" x14ac:dyDescent="0.15">
      <c r="A579" s="667" t="s">
        <v>252</v>
      </c>
    </row>
    <row r="580" spans="1:5" x14ac:dyDescent="0.15">
      <c r="A580" s="667" t="s">
        <v>253</v>
      </c>
    </row>
    <row r="581" spans="1:5" x14ac:dyDescent="0.15">
      <c r="A581" s="667" t="s">
        <v>254</v>
      </c>
    </row>
    <row r="582" spans="1:5" x14ac:dyDescent="0.15">
      <c r="A582" s="667" t="s">
        <v>255</v>
      </c>
    </row>
    <row r="583" spans="1:5" x14ac:dyDescent="0.15">
      <c r="A583" s="667" t="s">
        <v>256</v>
      </c>
    </row>
    <row r="586" spans="1:5" ht="28.5" thickBot="1" x14ac:dyDescent="0.25">
      <c r="A586" s="848" t="s">
        <v>1582</v>
      </c>
      <c r="B586" s="849" t="s">
        <v>1676</v>
      </c>
      <c r="C586" s="850" t="s">
        <v>2143</v>
      </c>
      <c r="D586" s="850" t="s">
        <v>2144</v>
      </c>
      <c r="E586" s="1266" t="s">
        <v>2417</v>
      </c>
    </row>
    <row r="587" spans="1:5" ht="15" thickBot="1" x14ac:dyDescent="0.25">
      <c r="A587" s="851" t="s">
        <v>644</v>
      </c>
      <c r="B587" s="852">
        <v>1</v>
      </c>
      <c r="C587" s="852" t="s">
        <v>2145</v>
      </c>
      <c r="D587" s="850" t="s">
        <v>2146</v>
      </c>
      <c r="E587" s="1266">
        <v>1</v>
      </c>
    </row>
    <row r="588" spans="1:5" ht="15" thickBot="1" x14ac:dyDescent="0.25">
      <c r="A588" s="851" t="s">
        <v>775</v>
      </c>
      <c r="B588" s="852">
        <v>2</v>
      </c>
      <c r="C588" s="852" t="s">
        <v>2147</v>
      </c>
      <c r="D588" s="850" t="s">
        <v>2148</v>
      </c>
      <c r="E588" s="1266">
        <v>2</v>
      </c>
    </row>
    <row r="589" spans="1:5" ht="15" thickBot="1" x14ac:dyDescent="0.25">
      <c r="A589" s="851" t="s">
        <v>687</v>
      </c>
      <c r="B589" s="852">
        <v>9</v>
      </c>
      <c r="C589" s="852" t="s">
        <v>2149</v>
      </c>
      <c r="D589" s="850" t="s">
        <v>2150</v>
      </c>
      <c r="E589" s="1266">
        <v>4</v>
      </c>
    </row>
    <row r="590" spans="1:5" ht="15" thickBot="1" x14ac:dyDescent="0.25">
      <c r="A590" s="851" t="s">
        <v>739</v>
      </c>
      <c r="B590" s="852">
        <v>5</v>
      </c>
      <c r="C590" s="852" t="s">
        <v>2151</v>
      </c>
      <c r="D590" s="850" t="s">
        <v>2152</v>
      </c>
      <c r="E590" s="1266">
        <v>5</v>
      </c>
    </row>
    <row r="591" spans="1:5" ht="15" thickBot="1" x14ac:dyDescent="0.25">
      <c r="A591" s="851" t="s">
        <v>751</v>
      </c>
      <c r="B591" s="852">
        <v>3</v>
      </c>
      <c r="C591" s="852" t="s">
        <v>2153</v>
      </c>
      <c r="D591" s="850" t="s">
        <v>2154</v>
      </c>
      <c r="E591" s="1266">
        <v>6</v>
      </c>
    </row>
    <row r="592" spans="1:5" ht="15" thickBot="1" x14ac:dyDescent="0.25">
      <c r="A592" s="851" t="s">
        <v>727</v>
      </c>
      <c r="B592" s="852">
        <v>6</v>
      </c>
      <c r="C592" s="852" t="s">
        <v>2155</v>
      </c>
      <c r="D592" s="850" t="s">
        <v>2156</v>
      </c>
      <c r="E592" s="1266">
        <v>3</v>
      </c>
    </row>
    <row r="593" spans="1:45" ht="15" thickBot="1" x14ac:dyDescent="0.25">
      <c r="A593" s="851" t="s">
        <v>763</v>
      </c>
      <c r="B593" s="852">
        <v>8</v>
      </c>
      <c r="C593" s="852" t="s">
        <v>2157</v>
      </c>
      <c r="D593" s="850" t="s">
        <v>2158</v>
      </c>
      <c r="E593" s="1266">
        <v>7</v>
      </c>
    </row>
    <row r="594" spans="1:45" ht="15.75" thickBot="1" x14ac:dyDescent="0.25">
      <c r="A594" s="851" t="s">
        <v>2159</v>
      </c>
      <c r="B594" s="852">
        <v>4</v>
      </c>
      <c r="C594" s="853" t="s">
        <v>2160</v>
      </c>
      <c r="D594" s="854"/>
      <c r="E594" s="1266">
        <v>8</v>
      </c>
    </row>
    <row r="595" spans="1:45" ht="15" x14ac:dyDescent="0.2">
      <c r="A595" s="855" t="s">
        <v>2161</v>
      </c>
      <c r="B595" s="856">
        <v>7</v>
      </c>
      <c r="C595" s="857" t="s">
        <v>2162</v>
      </c>
      <c r="D595" s="858"/>
      <c r="E595" s="1266">
        <v>9</v>
      </c>
    </row>
    <row r="597" spans="1:45" x14ac:dyDescent="0.2">
      <c r="D597" s="332"/>
      <c r="E597" s="331"/>
      <c r="M597" s="333"/>
      <c r="X597" s="631"/>
      <c r="Y597" s="631"/>
      <c r="Z597" s="333"/>
      <c r="AA597" s="333"/>
    </row>
    <row r="598" spans="1:45" s="694" customFormat="1" ht="14.25" customHeight="1" thickBot="1" x14ac:dyDescent="0.25">
      <c r="A598" s="331"/>
      <c r="B598" s="331"/>
      <c r="C598" s="331"/>
      <c r="D598" s="331"/>
      <c r="E598" s="332"/>
      <c r="F598" s="331"/>
      <c r="G598" s="331"/>
      <c r="H598" s="331"/>
      <c r="I598" s="331"/>
      <c r="J598" s="331"/>
      <c r="K598" s="331"/>
      <c r="L598" s="331"/>
      <c r="M598" s="331"/>
      <c r="N598" s="333"/>
      <c r="O598" s="333"/>
      <c r="P598" s="333"/>
      <c r="Q598" s="333"/>
      <c r="R598" s="333"/>
      <c r="S598" s="333"/>
      <c r="T598" s="333"/>
      <c r="U598" s="333"/>
      <c r="V598" s="333"/>
      <c r="W598" s="333"/>
      <c r="X598" s="333"/>
      <c r="Y598" s="333"/>
      <c r="Z598" s="631"/>
      <c r="AA598" s="631"/>
      <c r="AB598" s="333"/>
      <c r="AC598" s="333"/>
      <c r="AD598" s="333"/>
      <c r="AE598" s="333"/>
      <c r="AF598" s="333"/>
      <c r="AG598" s="333"/>
      <c r="AH598" s="333"/>
      <c r="AI598" s="333"/>
      <c r="AJ598" s="333"/>
      <c r="AK598" s="333"/>
      <c r="AL598" s="333"/>
      <c r="AM598" s="333"/>
      <c r="AN598" s="333"/>
      <c r="AO598" s="333"/>
      <c r="AP598" s="333"/>
      <c r="AQ598" s="333"/>
      <c r="AR598" s="333"/>
      <c r="AS598" s="333"/>
    </row>
    <row r="599" spans="1:45" s="694" customFormat="1" ht="14.25" customHeight="1" thickBot="1" x14ac:dyDescent="0.2">
      <c r="A599" s="742" t="s">
        <v>1676</v>
      </c>
      <c r="B599" s="743" t="s">
        <v>2607</v>
      </c>
      <c r="C599" s="743" t="s">
        <v>1719</v>
      </c>
      <c r="D599" s="742" t="s">
        <v>2608</v>
      </c>
      <c r="E599" s="742" t="s">
        <v>2609</v>
      </c>
      <c r="F599" s="742" t="s">
        <v>2610</v>
      </c>
      <c r="G599" s="354" t="s">
        <v>3389</v>
      </c>
      <c r="H599" s="354"/>
      <c r="I599" s="354"/>
      <c r="J599" s="354"/>
      <c r="K599" s="354"/>
      <c r="L599" s="354"/>
      <c r="M599" s="354"/>
      <c r="N599" s="354"/>
      <c r="AA599" s="744"/>
      <c r="AB599" s="744"/>
    </row>
    <row r="600" spans="1:45" s="694" customFormat="1" ht="14.25" customHeight="1" thickBot="1" x14ac:dyDescent="0.2">
      <c r="A600" s="745" t="s">
        <v>2611</v>
      </c>
      <c r="B600" s="898" t="s">
        <v>2612</v>
      </c>
      <c r="C600" s="898" t="s">
        <v>3375</v>
      </c>
      <c r="D600" s="898" t="s">
        <v>2613</v>
      </c>
      <c r="E600" s="898" t="s">
        <v>2614</v>
      </c>
      <c r="F600" s="898" t="s">
        <v>2615</v>
      </c>
      <c r="G600" s="904">
        <v>35</v>
      </c>
      <c r="H600" s="354"/>
      <c r="I600" s="354"/>
      <c r="J600" s="354"/>
      <c r="K600" s="354"/>
      <c r="L600" s="354"/>
      <c r="M600" s="354"/>
      <c r="N600" s="354"/>
      <c r="AA600" s="744"/>
      <c r="AB600" s="744"/>
    </row>
    <row r="601" spans="1:45" s="694" customFormat="1" ht="14.25" customHeight="1" thickBot="1" x14ac:dyDescent="0.2">
      <c r="A601" s="745" t="s">
        <v>2616</v>
      </c>
      <c r="B601" s="898" t="s">
        <v>2617</v>
      </c>
      <c r="C601" s="898" t="s">
        <v>3376</v>
      </c>
      <c r="D601" s="898" t="s">
        <v>2618</v>
      </c>
      <c r="E601" s="898" t="s">
        <v>2619</v>
      </c>
      <c r="F601" s="898" t="s">
        <v>2620</v>
      </c>
      <c r="G601" s="904">
        <v>36</v>
      </c>
      <c r="H601" s="354"/>
      <c r="I601" s="354"/>
      <c r="J601" s="354"/>
      <c r="K601" s="354"/>
      <c r="L601" s="354"/>
      <c r="M601" s="354"/>
      <c r="N601" s="354"/>
      <c r="AA601" s="744"/>
      <c r="AB601" s="744"/>
    </row>
    <row r="602" spans="1:45" s="694" customFormat="1" ht="14.25" customHeight="1" thickBot="1" x14ac:dyDescent="0.2">
      <c r="A602" s="745" t="s">
        <v>2621</v>
      </c>
      <c r="B602" s="898" t="s">
        <v>2622</v>
      </c>
      <c r="C602" s="898" t="s">
        <v>3377</v>
      </c>
      <c r="D602" s="898" t="s">
        <v>2623</v>
      </c>
      <c r="E602" s="898" t="s">
        <v>2624</v>
      </c>
      <c r="F602" s="898" t="s">
        <v>2625</v>
      </c>
      <c r="G602" s="904">
        <v>37</v>
      </c>
      <c r="H602" s="354"/>
      <c r="I602" s="354"/>
      <c r="J602" s="354"/>
      <c r="K602" s="354"/>
      <c r="L602" s="354"/>
      <c r="M602" s="354"/>
      <c r="N602" s="354"/>
      <c r="AA602" s="744"/>
      <c r="AB602" s="744"/>
    </row>
    <row r="603" spans="1:45" s="694" customFormat="1" ht="14.25" customHeight="1" thickBot="1" x14ac:dyDescent="0.2">
      <c r="A603" s="745" t="s">
        <v>2626</v>
      </c>
      <c r="B603" s="898" t="s">
        <v>2627</v>
      </c>
      <c r="C603" s="898" t="s">
        <v>3378</v>
      </c>
      <c r="D603" s="898" t="s">
        <v>2628</v>
      </c>
      <c r="E603" s="898" t="s">
        <v>2629</v>
      </c>
      <c r="F603" s="898" t="s">
        <v>2630</v>
      </c>
      <c r="G603" s="904">
        <v>38</v>
      </c>
      <c r="H603" s="354"/>
      <c r="I603" s="354"/>
      <c r="J603" s="354"/>
      <c r="K603" s="354"/>
      <c r="L603" s="354"/>
      <c r="M603" s="354"/>
      <c r="N603" s="354"/>
      <c r="AA603" s="744"/>
      <c r="AB603" s="744"/>
    </row>
    <row r="604" spans="1:45" s="694" customFormat="1" ht="14.25" customHeight="1" thickBot="1" x14ac:dyDescent="0.2">
      <c r="A604" s="745" t="s">
        <v>2631</v>
      </c>
      <c r="B604" s="898" t="s">
        <v>2632</v>
      </c>
      <c r="C604" s="898" t="s">
        <v>3379</v>
      </c>
      <c r="D604" s="898" t="s">
        <v>2633</v>
      </c>
      <c r="E604" s="898" t="s">
        <v>2634</v>
      </c>
      <c r="F604" s="898" t="s">
        <v>2635</v>
      </c>
      <c r="G604" s="904">
        <v>39</v>
      </c>
      <c r="H604" s="354"/>
      <c r="I604" s="354"/>
      <c r="J604" s="354"/>
      <c r="K604" s="354"/>
      <c r="L604" s="354"/>
      <c r="M604" s="354"/>
      <c r="N604" s="354"/>
      <c r="AA604" s="744"/>
      <c r="AB604" s="744"/>
    </row>
    <row r="605" spans="1:45" s="694" customFormat="1" ht="14.25" customHeight="1" thickBot="1" x14ac:dyDescent="0.2">
      <c r="A605" s="745" t="s">
        <v>2636</v>
      </c>
      <c r="B605" s="898" t="s">
        <v>2637</v>
      </c>
      <c r="C605" s="898" t="s">
        <v>3380</v>
      </c>
      <c r="D605" s="898" t="s">
        <v>2638</v>
      </c>
      <c r="E605" s="898" t="s">
        <v>2639</v>
      </c>
      <c r="F605" s="898" t="s">
        <v>2640</v>
      </c>
      <c r="G605" s="904">
        <v>40</v>
      </c>
      <c r="H605" s="354"/>
      <c r="I605" s="354"/>
      <c r="J605" s="354"/>
      <c r="K605" s="354"/>
      <c r="L605" s="354"/>
      <c r="M605" s="354"/>
      <c r="N605" s="354"/>
      <c r="AA605" s="744"/>
      <c r="AB605" s="744"/>
    </row>
    <row r="606" spans="1:45" s="694" customFormat="1" ht="14.25" customHeight="1" thickBot="1" x14ac:dyDescent="0.2">
      <c r="A606" s="745" t="s">
        <v>2641</v>
      </c>
      <c r="B606" s="898" t="s">
        <v>2642</v>
      </c>
      <c r="C606" s="898" t="s">
        <v>3381</v>
      </c>
      <c r="D606" s="898" t="s">
        <v>2643</v>
      </c>
      <c r="E606" s="898" t="s">
        <v>2644</v>
      </c>
      <c r="F606" s="898" t="s">
        <v>2645</v>
      </c>
      <c r="G606" s="905">
        <v>41</v>
      </c>
      <c r="H606" s="354"/>
      <c r="I606" s="354"/>
      <c r="J606" s="354"/>
      <c r="K606" s="354"/>
      <c r="L606" s="354"/>
      <c r="M606" s="354"/>
      <c r="N606" s="354"/>
      <c r="AA606" s="744"/>
      <c r="AB606" s="744"/>
    </row>
    <row r="607" spans="1:45" s="694" customFormat="1" ht="14.25" customHeight="1" thickBot="1" x14ac:dyDescent="0.2">
      <c r="A607" s="745" t="s">
        <v>2646</v>
      </c>
      <c r="B607" s="898" t="s">
        <v>2647</v>
      </c>
      <c r="C607" s="898" t="s">
        <v>3382</v>
      </c>
      <c r="D607" s="898" t="s">
        <v>2648</v>
      </c>
      <c r="E607" s="898" t="s">
        <v>2649</v>
      </c>
      <c r="F607" s="898" t="s">
        <v>2650</v>
      </c>
      <c r="G607" s="905">
        <v>42</v>
      </c>
      <c r="H607" s="354"/>
      <c r="I607" s="354"/>
      <c r="J607" s="354"/>
      <c r="K607" s="354"/>
      <c r="L607" s="354"/>
      <c r="M607" s="354"/>
      <c r="N607" s="354"/>
      <c r="AA607" s="744"/>
      <c r="AB607" s="744"/>
    </row>
    <row r="608" spans="1:45" s="694" customFormat="1" ht="14.25" customHeight="1" thickBot="1" x14ac:dyDescent="0.2">
      <c r="A608" s="745" t="s">
        <v>2651</v>
      </c>
      <c r="B608" s="898" t="s">
        <v>2652</v>
      </c>
      <c r="C608" s="898" t="s">
        <v>3383</v>
      </c>
      <c r="D608" s="898" t="s">
        <v>2653</v>
      </c>
      <c r="E608" s="898" t="s">
        <v>2654</v>
      </c>
      <c r="F608" s="898" t="s">
        <v>2655</v>
      </c>
      <c r="G608" s="905">
        <v>43</v>
      </c>
      <c r="H608" s="354"/>
      <c r="I608" s="354"/>
      <c r="J608" s="354"/>
      <c r="K608" s="354"/>
      <c r="L608" s="354"/>
      <c r="M608" s="354"/>
      <c r="N608" s="354"/>
      <c r="AA608" s="744"/>
      <c r="AB608" s="744"/>
    </row>
    <row r="609" spans="1:28" s="694" customFormat="1" ht="14.25" customHeight="1" thickBot="1" x14ac:dyDescent="0.2">
      <c r="A609" s="745">
        <v>10</v>
      </c>
      <c r="B609" s="898" t="s">
        <v>2656</v>
      </c>
      <c r="C609" s="898" t="s">
        <v>3384</v>
      </c>
      <c r="D609" s="898" t="s">
        <v>2657</v>
      </c>
      <c r="E609" s="898" t="s">
        <v>2658</v>
      </c>
      <c r="F609" s="898" t="s">
        <v>2659</v>
      </c>
      <c r="G609" s="905">
        <v>44</v>
      </c>
      <c r="H609" s="354"/>
      <c r="I609" s="354"/>
      <c r="J609" s="354"/>
      <c r="K609" s="354"/>
      <c r="L609" s="354"/>
      <c r="M609" s="354"/>
      <c r="N609" s="354"/>
      <c r="AA609" s="744"/>
      <c r="AB609" s="744"/>
    </row>
    <row r="610" spans="1:28" s="694" customFormat="1" ht="14.25" customHeight="1" thickBot="1" x14ac:dyDescent="0.2">
      <c r="A610" s="745">
        <v>11</v>
      </c>
      <c r="B610" s="898" t="s">
        <v>2660</v>
      </c>
      <c r="C610" s="898" t="s">
        <v>3385</v>
      </c>
      <c r="D610" s="898" t="s">
        <v>2661</v>
      </c>
      <c r="E610" s="898" t="s">
        <v>2662</v>
      </c>
      <c r="F610" s="898" t="s">
        <v>2663</v>
      </c>
      <c r="G610" s="905">
        <v>45</v>
      </c>
      <c r="H610" s="354"/>
      <c r="I610" s="354"/>
      <c r="J610" s="354"/>
      <c r="K610" s="354"/>
      <c r="L610" s="354"/>
      <c r="M610" s="354"/>
      <c r="N610" s="354"/>
      <c r="AA610" s="744"/>
      <c r="AB610" s="744"/>
    </row>
    <row r="611" spans="1:28" s="694" customFormat="1" ht="14.25" customHeight="1" thickBot="1" x14ac:dyDescent="0.2">
      <c r="A611" s="745">
        <v>12</v>
      </c>
      <c r="B611" s="898" t="s">
        <v>2664</v>
      </c>
      <c r="C611" s="898" t="s">
        <v>3386</v>
      </c>
      <c r="D611" s="898" t="s">
        <v>2665</v>
      </c>
      <c r="E611" s="898" t="s">
        <v>2666</v>
      </c>
      <c r="F611" s="898" t="s">
        <v>2667</v>
      </c>
      <c r="G611" s="905">
        <v>46</v>
      </c>
      <c r="H611" s="354"/>
      <c r="I611" s="354"/>
      <c r="J611" s="354"/>
      <c r="K611" s="354"/>
      <c r="L611" s="354"/>
      <c r="M611" s="354"/>
      <c r="N611" s="354"/>
      <c r="AA611" s="744"/>
      <c r="AB611" s="744"/>
    </row>
    <row r="612" spans="1:28" s="694" customFormat="1" ht="14.25" customHeight="1" thickBot="1" x14ac:dyDescent="0.2">
      <c r="A612" s="745">
        <v>13</v>
      </c>
      <c r="B612" s="898" t="s">
        <v>2668</v>
      </c>
      <c r="C612" s="902" t="s">
        <v>3387</v>
      </c>
      <c r="D612" s="898" t="s">
        <v>2669</v>
      </c>
      <c r="E612" s="898" t="s">
        <v>2670</v>
      </c>
      <c r="F612" s="898" t="s">
        <v>2671</v>
      </c>
      <c r="G612" s="905">
        <v>47</v>
      </c>
      <c r="H612" s="354"/>
      <c r="I612" s="354"/>
      <c r="J612" s="354"/>
      <c r="K612" s="354"/>
      <c r="L612" s="354"/>
      <c r="M612" s="354"/>
      <c r="N612" s="354"/>
      <c r="AA612" s="744"/>
      <c r="AB612" s="744"/>
    </row>
    <row r="613" spans="1:28" s="694" customFormat="1" ht="14.25" customHeight="1" thickBot="1" x14ac:dyDescent="0.2">
      <c r="A613" s="745">
        <v>14</v>
      </c>
      <c r="B613" s="898" t="s">
        <v>2672</v>
      </c>
      <c r="C613" s="898" t="s">
        <v>3388</v>
      </c>
      <c r="D613" s="898" t="s">
        <v>2673</v>
      </c>
      <c r="E613" s="898" t="s">
        <v>2674</v>
      </c>
      <c r="F613" s="898" t="s">
        <v>2675</v>
      </c>
      <c r="G613" s="905">
        <v>48</v>
      </c>
      <c r="H613" s="354"/>
      <c r="I613" s="354"/>
      <c r="J613" s="354"/>
      <c r="K613" s="354"/>
      <c r="L613" s="354"/>
      <c r="M613" s="354"/>
      <c r="N613" s="354"/>
      <c r="AA613" s="744"/>
      <c r="AB613" s="744"/>
    </row>
    <row r="614" spans="1:28" s="694" customFormat="1" ht="14.25" customHeight="1" thickBot="1" x14ac:dyDescent="0.2">
      <c r="A614" s="745">
        <v>15</v>
      </c>
      <c r="B614" s="898" t="s">
        <v>2676</v>
      </c>
      <c r="C614" s="898" t="s">
        <v>3390</v>
      </c>
      <c r="D614" s="898" t="s">
        <v>2677</v>
      </c>
      <c r="E614" s="898" t="s">
        <v>2678</v>
      </c>
      <c r="F614" s="898" t="s">
        <v>2679</v>
      </c>
      <c r="G614" s="905">
        <v>49</v>
      </c>
      <c r="H614" s="354"/>
      <c r="I614" s="354"/>
      <c r="J614" s="354"/>
      <c r="K614" s="354"/>
      <c r="L614" s="354"/>
      <c r="M614" s="354"/>
      <c r="N614" s="354"/>
      <c r="AA614" s="744"/>
      <c r="AB614" s="744"/>
    </row>
    <row r="615" spans="1:28" s="694" customFormat="1" ht="14.25" customHeight="1" thickBot="1" x14ac:dyDescent="0.2">
      <c r="A615" s="745">
        <v>16</v>
      </c>
      <c r="B615" s="898" t="s">
        <v>2680</v>
      </c>
      <c r="C615" s="898" t="s">
        <v>3437</v>
      </c>
      <c r="D615" s="898" t="s">
        <v>2681</v>
      </c>
      <c r="E615" s="898" t="s">
        <v>2682</v>
      </c>
      <c r="F615" s="898" t="s">
        <v>2683</v>
      </c>
      <c r="G615" s="905">
        <v>50</v>
      </c>
      <c r="H615" s="354"/>
      <c r="I615" s="354"/>
      <c r="J615" s="354"/>
      <c r="K615" s="354"/>
      <c r="L615" s="354"/>
      <c r="M615" s="354"/>
      <c r="N615" s="354"/>
      <c r="AA615" s="744"/>
      <c r="AB615" s="744"/>
    </row>
    <row r="616" spans="1:28" s="694" customFormat="1" ht="14.25" customHeight="1" thickBot="1" x14ac:dyDescent="0.2">
      <c r="A616" s="745">
        <v>17</v>
      </c>
      <c r="B616" s="898" t="s">
        <v>2684</v>
      </c>
      <c r="C616" s="898" t="s">
        <v>3391</v>
      </c>
      <c r="D616" s="898" t="s">
        <v>2685</v>
      </c>
      <c r="E616" s="898" t="s">
        <v>2686</v>
      </c>
      <c r="F616" s="898" t="s">
        <v>2687</v>
      </c>
      <c r="G616" s="905">
        <v>51</v>
      </c>
      <c r="H616" s="354"/>
      <c r="I616" s="354"/>
      <c r="J616" s="354"/>
      <c r="K616" s="354"/>
      <c r="L616" s="354"/>
      <c r="M616" s="354"/>
      <c r="N616" s="354"/>
      <c r="AA616" s="744"/>
      <c r="AB616" s="744"/>
    </row>
    <row r="617" spans="1:28" s="694" customFormat="1" ht="14.25" customHeight="1" thickBot="1" x14ac:dyDescent="0.2">
      <c r="A617" s="745">
        <v>18</v>
      </c>
      <c r="B617" s="898" t="s">
        <v>2688</v>
      </c>
      <c r="C617" s="906" t="s">
        <v>3392</v>
      </c>
      <c r="D617" s="898" t="s">
        <v>2689</v>
      </c>
      <c r="E617" s="898" t="s">
        <v>2690</v>
      </c>
      <c r="F617" s="898" t="s">
        <v>2691</v>
      </c>
      <c r="G617" s="905">
        <v>52</v>
      </c>
      <c r="H617" s="354"/>
      <c r="I617" s="354"/>
      <c r="J617" s="354"/>
      <c r="K617" s="354"/>
      <c r="L617" s="354"/>
      <c r="M617" s="354"/>
      <c r="N617" s="354"/>
      <c r="AA617" s="744"/>
      <c r="AB617" s="744"/>
    </row>
    <row r="618" spans="1:28" s="694" customFormat="1" ht="14.25" customHeight="1" thickBot="1" x14ac:dyDescent="0.2">
      <c r="A618" s="745">
        <v>19</v>
      </c>
      <c r="B618" s="898" t="s">
        <v>2692</v>
      </c>
      <c r="C618" s="898" t="s">
        <v>3393</v>
      </c>
      <c r="D618" s="898" t="s">
        <v>2693</v>
      </c>
      <c r="E618" s="898" t="s">
        <v>2694</v>
      </c>
      <c r="F618" s="898" t="s">
        <v>2695</v>
      </c>
      <c r="G618" s="905">
        <v>53</v>
      </c>
      <c r="H618" s="354"/>
      <c r="I618" s="354"/>
      <c r="J618" s="354"/>
      <c r="K618" s="354"/>
      <c r="L618" s="354"/>
      <c r="M618" s="354"/>
      <c r="N618" s="354"/>
      <c r="AA618" s="744"/>
      <c r="AB618" s="744"/>
    </row>
    <row r="619" spans="1:28" s="694" customFormat="1" ht="14.25" customHeight="1" thickBot="1" x14ac:dyDescent="0.2">
      <c r="A619" s="745">
        <v>20</v>
      </c>
      <c r="B619" s="898" t="s">
        <v>2696</v>
      </c>
      <c r="C619" s="898" t="s">
        <v>3394</v>
      </c>
      <c r="D619" s="898" t="s">
        <v>2697</v>
      </c>
      <c r="E619" s="898" t="s">
        <v>2698</v>
      </c>
      <c r="F619" s="898" t="s">
        <v>2699</v>
      </c>
      <c r="G619" s="905">
        <v>54</v>
      </c>
      <c r="H619" s="354"/>
      <c r="I619" s="354"/>
      <c r="J619" s="354"/>
      <c r="K619" s="354"/>
      <c r="L619" s="354"/>
      <c r="M619" s="354"/>
      <c r="N619" s="354"/>
      <c r="AA619" s="744"/>
      <c r="AB619" s="744"/>
    </row>
    <row r="620" spans="1:28" s="694" customFormat="1" ht="14.25" customHeight="1" thickBot="1" x14ac:dyDescent="0.2">
      <c r="A620" s="745">
        <v>21</v>
      </c>
      <c r="B620" s="899" t="s">
        <v>2700</v>
      </c>
      <c r="C620" s="899" t="s">
        <v>3395</v>
      </c>
      <c r="D620" s="899" t="s">
        <v>2701</v>
      </c>
      <c r="E620" s="899" t="s">
        <v>2702</v>
      </c>
      <c r="F620" s="899" t="s">
        <v>2703</v>
      </c>
      <c r="G620" s="905">
        <v>55</v>
      </c>
      <c r="H620" s="354"/>
      <c r="I620" s="354"/>
      <c r="J620" s="354"/>
      <c r="K620" s="354"/>
      <c r="L620" s="354"/>
      <c r="M620" s="354"/>
      <c r="N620" s="354"/>
      <c r="AA620" s="744"/>
      <c r="AB620" s="744"/>
    </row>
    <row r="621" spans="1:28" s="694" customFormat="1" ht="14.25" customHeight="1" thickBot="1" x14ac:dyDescent="0.2">
      <c r="A621" s="745">
        <v>22</v>
      </c>
      <c r="B621" s="899" t="s">
        <v>2704</v>
      </c>
      <c r="C621" s="899" t="s">
        <v>3396</v>
      </c>
      <c r="D621" s="899" t="s">
        <v>2705</v>
      </c>
      <c r="E621" s="899" t="s">
        <v>2706</v>
      </c>
      <c r="F621" s="899" t="s">
        <v>2707</v>
      </c>
      <c r="G621" s="905">
        <v>56</v>
      </c>
      <c r="H621" s="354"/>
      <c r="I621" s="354"/>
      <c r="J621" s="354"/>
      <c r="K621" s="354"/>
      <c r="L621" s="354"/>
      <c r="M621" s="354"/>
      <c r="N621" s="354"/>
      <c r="AA621" s="744"/>
      <c r="AB621" s="744"/>
    </row>
    <row r="622" spans="1:28" s="694" customFormat="1" ht="14.25" customHeight="1" thickBot="1" x14ac:dyDescent="0.2">
      <c r="A622" s="745">
        <v>23</v>
      </c>
      <c r="B622" s="899" t="s">
        <v>2708</v>
      </c>
      <c r="C622" s="899" t="s">
        <v>3397</v>
      </c>
      <c r="D622" s="899" t="s">
        <v>2709</v>
      </c>
      <c r="E622" s="899" t="s">
        <v>2710</v>
      </c>
      <c r="F622" s="899" t="s">
        <v>2711</v>
      </c>
      <c r="G622" s="905">
        <v>57</v>
      </c>
      <c r="H622" s="354"/>
      <c r="I622" s="354"/>
      <c r="J622" s="354"/>
      <c r="K622" s="354"/>
      <c r="L622" s="354"/>
      <c r="M622" s="354"/>
      <c r="N622" s="354"/>
      <c r="AA622" s="744"/>
      <c r="AB622" s="744"/>
    </row>
    <row r="623" spans="1:28" s="694" customFormat="1" ht="14.25" customHeight="1" thickBot="1" x14ac:dyDescent="0.2">
      <c r="A623" s="745">
        <v>24</v>
      </c>
      <c r="B623" s="899" t="s">
        <v>2712</v>
      </c>
      <c r="C623" s="899" t="s">
        <v>3398</v>
      </c>
      <c r="D623" s="899" t="s">
        <v>2713</v>
      </c>
      <c r="E623" s="899" t="s">
        <v>2714</v>
      </c>
      <c r="F623" s="899" t="s">
        <v>2715</v>
      </c>
      <c r="G623" s="905">
        <v>58</v>
      </c>
      <c r="H623" s="354"/>
      <c r="I623" s="354"/>
      <c r="J623" s="354"/>
      <c r="K623" s="354"/>
      <c r="L623" s="354"/>
      <c r="M623" s="354"/>
      <c r="N623" s="354"/>
      <c r="AA623" s="744"/>
      <c r="AB623" s="744"/>
    </row>
    <row r="624" spans="1:28" s="694" customFormat="1" ht="14.25" customHeight="1" thickBot="1" x14ac:dyDescent="0.2">
      <c r="A624" s="745">
        <v>25</v>
      </c>
      <c r="B624" s="899" t="s">
        <v>2716</v>
      </c>
      <c r="C624" s="907" t="s">
        <v>3399</v>
      </c>
      <c r="D624" s="899" t="s">
        <v>2717</v>
      </c>
      <c r="E624" s="899" t="s">
        <v>2718</v>
      </c>
      <c r="F624" s="899" t="s">
        <v>2719</v>
      </c>
      <c r="G624" s="905">
        <v>59</v>
      </c>
      <c r="H624" s="354"/>
      <c r="I624" s="354"/>
      <c r="J624" s="354"/>
      <c r="K624" s="354"/>
      <c r="L624" s="354"/>
      <c r="M624" s="354"/>
      <c r="N624" s="354"/>
      <c r="AA624" s="744"/>
      <c r="AB624" s="744"/>
    </row>
    <row r="625" spans="1:28" s="694" customFormat="1" ht="14.25" customHeight="1" thickBot="1" x14ac:dyDescent="0.2">
      <c r="A625" s="745">
        <v>26</v>
      </c>
      <c r="B625" s="899" t="s">
        <v>2720</v>
      </c>
      <c r="C625" s="899" t="s">
        <v>3400</v>
      </c>
      <c r="D625" s="899" t="s">
        <v>2721</v>
      </c>
      <c r="E625" s="899" t="s">
        <v>2722</v>
      </c>
      <c r="F625" s="899" t="s">
        <v>2723</v>
      </c>
      <c r="G625" s="905">
        <v>60</v>
      </c>
      <c r="H625" s="354"/>
      <c r="I625" s="354"/>
      <c r="J625" s="354"/>
      <c r="K625" s="354"/>
      <c r="L625" s="354"/>
      <c r="M625" s="354"/>
      <c r="N625" s="354"/>
      <c r="AA625" s="744"/>
      <c r="AB625" s="744"/>
    </row>
    <row r="626" spans="1:28" s="694" customFormat="1" ht="14.25" customHeight="1" thickBot="1" x14ac:dyDescent="0.2">
      <c r="A626" s="745">
        <v>27</v>
      </c>
      <c r="B626" s="899" t="s">
        <v>197</v>
      </c>
      <c r="C626" s="899" t="s">
        <v>3401</v>
      </c>
      <c r="D626" s="900" t="s">
        <v>2724</v>
      </c>
      <c r="E626" s="899" t="s">
        <v>2725</v>
      </c>
      <c r="F626" s="899" t="s">
        <v>2726</v>
      </c>
      <c r="G626" s="903">
        <v>1</v>
      </c>
      <c r="H626" s="354"/>
      <c r="I626" s="354"/>
      <c r="J626" s="354"/>
      <c r="K626" s="354"/>
      <c r="L626" s="354"/>
      <c r="M626" s="354"/>
      <c r="N626" s="354"/>
      <c r="AA626" s="744"/>
      <c r="AB626" s="744"/>
    </row>
    <row r="627" spans="1:28" s="694" customFormat="1" ht="14.25" customHeight="1" thickBot="1" x14ac:dyDescent="0.2">
      <c r="A627" s="745">
        <v>28</v>
      </c>
      <c r="B627" s="899" t="s">
        <v>2351</v>
      </c>
      <c r="C627" s="899" t="s">
        <v>3402</v>
      </c>
      <c r="D627" s="899" t="s">
        <v>2727</v>
      </c>
      <c r="E627" s="899" t="s">
        <v>2728</v>
      </c>
      <c r="F627" s="899" t="s">
        <v>2729</v>
      </c>
      <c r="G627" s="903">
        <v>2</v>
      </c>
      <c r="H627" s="354"/>
      <c r="I627" s="354"/>
      <c r="J627" s="354"/>
      <c r="K627" s="354"/>
      <c r="L627" s="354"/>
      <c r="M627" s="354"/>
      <c r="N627" s="354"/>
      <c r="AA627" s="744"/>
      <c r="AB627" s="744"/>
    </row>
    <row r="628" spans="1:28" s="694" customFormat="1" ht="14.25" customHeight="1" thickBot="1" x14ac:dyDescent="0.2">
      <c r="A628" s="745">
        <v>29</v>
      </c>
      <c r="B628" s="899" t="s">
        <v>1830</v>
      </c>
      <c r="C628" s="899" t="s">
        <v>3403</v>
      </c>
      <c r="D628" s="899" t="s">
        <v>2730</v>
      </c>
      <c r="E628" s="899" t="s">
        <v>2731</v>
      </c>
      <c r="F628" s="899" t="s">
        <v>2732</v>
      </c>
      <c r="G628" s="903">
        <v>3</v>
      </c>
      <c r="H628" s="354"/>
      <c r="I628" s="354"/>
      <c r="J628" s="354"/>
      <c r="K628" s="354"/>
      <c r="L628" s="354"/>
      <c r="M628" s="354"/>
      <c r="N628" s="354"/>
      <c r="AA628" s="744"/>
      <c r="AB628" s="744"/>
    </row>
    <row r="629" spans="1:28" s="694" customFormat="1" ht="14.25" customHeight="1" thickBot="1" x14ac:dyDescent="0.2">
      <c r="A629" s="745">
        <v>30</v>
      </c>
      <c r="B629" s="899" t="s">
        <v>2733</v>
      </c>
      <c r="C629" s="899" t="s">
        <v>3404</v>
      </c>
      <c r="D629" s="899" t="s">
        <v>2734</v>
      </c>
      <c r="E629" s="899" t="s">
        <v>2735</v>
      </c>
      <c r="F629" s="899" t="s">
        <v>2736</v>
      </c>
      <c r="G629" s="903">
        <v>4</v>
      </c>
      <c r="H629" s="354"/>
      <c r="I629" s="354"/>
      <c r="J629" s="354"/>
      <c r="K629" s="354"/>
      <c r="L629" s="354"/>
      <c r="M629" s="354"/>
      <c r="N629" s="354"/>
      <c r="AA629" s="744"/>
      <c r="AB629" s="744"/>
    </row>
    <row r="630" spans="1:28" s="694" customFormat="1" ht="14.25" customHeight="1" thickBot="1" x14ac:dyDescent="0.2">
      <c r="A630" s="745">
        <v>31</v>
      </c>
      <c r="B630" s="899" t="s">
        <v>2737</v>
      </c>
      <c r="C630" s="899" t="s">
        <v>3405</v>
      </c>
      <c r="D630" s="899" t="s">
        <v>2738</v>
      </c>
      <c r="E630" s="899" t="s">
        <v>2739</v>
      </c>
      <c r="F630" s="899" t="s">
        <v>2740</v>
      </c>
      <c r="G630" s="903">
        <v>5</v>
      </c>
      <c r="H630" s="354"/>
      <c r="I630" s="354"/>
      <c r="J630" s="354"/>
      <c r="K630" s="354"/>
      <c r="L630" s="354"/>
      <c r="M630" s="354"/>
      <c r="N630" s="354"/>
      <c r="AA630" s="744"/>
      <c r="AB630" s="744"/>
    </row>
    <row r="631" spans="1:28" s="694" customFormat="1" ht="14.25" customHeight="1" thickBot="1" x14ac:dyDescent="0.2">
      <c r="A631" s="745">
        <v>32</v>
      </c>
      <c r="B631" s="899" t="s">
        <v>2741</v>
      </c>
      <c r="C631" s="899" t="s">
        <v>3406</v>
      </c>
      <c r="D631" s="899" t="s">
        <v>2742</v>
      </c>
      <c r="E631" s="899" t="s">
        <v>2743</v>
      </c>
      <c r="F631" s="899" t="s">
        <v>2744</v>
      </c>
      <c r="G631" s="903">
        <v>6</v>
      </c>
      <c r="H631" s="354"/>
      <c r="I631" s="354"/>
      <c r="J631" s="354"/>
      <c r="K631" s="354"/>
      <c r="L631" s="354"/>
      <c r="M631" s="354"/>
      <c r="N631" s="354"/>
      <c r="AA631" s="744"/>
      <c r="AB631" s="744"/>
    </row>
    <row r="632" spans="1:28" s="694" customFormat="1" ht="14.25" customHeight="1" thickBot="1" x14ac:dyDescent="0.2">
      <c r="A632" s="745">
        <v>33</v>
      </c>
      <c r="B632" s="899" t="s">
        <v>2745</v>
      </c>
      <c r="C632" s="899" t="s">
        <v>3407</v>
      </c>
      <c r="D632" s="899" t="s">
        <v>2746</v>
      </c>
      <c r="E632" s="899" t="s">
        <v>2747</v>
      </c>
      <c r="F632" s="899" t="s">
        <v>2748</v>
      </c>
      <c r="G632" s="903">
        <v>7</v>
      </c>
      <c r="H632" s="354"/>
      <c r="I632" s="354"/>
      <c r="J632" s="354"/>
      <c r="K632" s="354"/>
      <c r="L632" s="354"/>
      <c r="M632" s="354"/>
      <c r="N632" s="354"/>
      <c r="AA632" s="744"/>
      <c r="AB632" s="744"/>
    </row>
    <row r="633" spans="1:28" s="694" customFormat="1" ht="14.25" customHeight="1" thickBot="1" x14ac:dyDescent="0.2">
      <c r="A633" s="745">
        <v>34</v>
      </c>
      <c r="B633" s="899" t="s">
        <v>2749</v>
      </c>
      <c r="C633" s="907" t="s">
        <v>3408</v>
      </c>
      <c r="D633" s="899" t="s">
        <v>2750</v>
      </c>
      <c r="E633" s="899" t="s">
        <v>2751</v>
      </c>
      <c r="F633" s="899" t="s">
        <v>2752</v>
      </c>
      <c r="G633" s="903">
        <v>8</v>
      </c>
      <c r="H633" s="354"/>
      <c r="I633" s="354"/>
      <c r="J633" s="354"/>
      <c r="K633" s="354"/>
      <c r="L633" s="354"/>
      <c r="M633" s="354"/>
      <c r="N633" s="354"/>
      <c r="AA633" s="744"/>
      <c r="AB633" s="744"/>
    </row>
    <row r="634" spans="1:28" s="694" customFormat="1" ht="14.25" customHeight="1" thickBot="1" x14ac:dyDescent="0.2">
      <c r="A634" s="745">
        <v>35</v>
      </c>
      <c r="B634" s="899" t="s">
        <v>2753</v>
      </c>
      <c r="C634" s="899" t="s">
        <v>3409</v>
      </c>
      <c r="D634" s="899" t="s">
        <v>2754</v>
      </c>
      <c r="E634" s="899" t="s">
        <v>2755</v>
      </c>
      <c r="F634" s="899" t="s">
        <v>2756</v>
      </c>
      <c r="G634" s="903">
        <v>9</v>
      </c>
      <c r="H634" s="354"/>
      <c r="I634" s="354"/>
      <c r="J634" s="354"/>
      <c r="K634" s="354"/>
      <c r="L634" s="354"/>
      <c r="M634" s="354"/>
      <c r="N634" s="354"/>
      <c r="AA634" s="744"/>
      <c r="AB634" s="744"/>
    </row>
    <row r="635" spans="1:28" s="694" customFormat="1" ht="14.25" customHeight="1" thickBot="1" x14ac:dyDescent="0.2">
      <c r="A635" s="745">
        <v>36</v>
      </c>
      <c r="B635" s="899" t="s">
        <v>2757</v>
      </c>
      <c r="C635" s="899" t="s">
        <v>3410</v>
      </c>
      <c r="D635" s="899" t="s">
        <v>2758</v>
      </c>
      <c r="E635" s="899" t="s">
        <v>2759</v>
      </c>
      <c r="F635" s="899" t="s">
        <v>2760</v>
      </c>
      <c r="G635" s="903">
        <v>10</v>
      </c>
      <c r="H635" s="354"/>
      <c r="I635" s="354"/>
      <c r="J635" s="354"/>
      <c r="K635" s="354"/>
      <c r="L635" s="354"/>
      <c r="M635" s="354"/>
      <c r="N635" s="354"/>
      <c r="AA635" s="744"/>
      <c r="AB635" s="744"/>
    </row>
    <row r="636" spans="1:28" s="694" customFormat="1" ht="14.25" customHeight="1" thickBot="1" x14ac:dyDescent="0.2">
      <c r="A636" s="745">
        <v>37</v>
      </c>
      <c r="B636" s="899" t="s">
        <v>2761</v>
      </c>
      <c r="C636" s="899" t="s">
        <v>3411</v>
      </c>
      <c r="D636" s="899" t="s">
        <v>2762</v>
      </c>
      <c r="E636" s="899" t="s">
        <v>2763</v>
      </c>
      <c r="F636" s="899" t="s">
        <v>2764</v>
      </c>
      <c r="G636" s="903">
        <v>11</v>
      </c>
      <c r="H636" s="354"/>
      <c r="I636" s="354"/>
      <c r="J636" s="354"/>
      <c r="K636" s="354"/>
      <c r="L636" s="354"/>
      <c r="M636" s="354"/>
      <c r="N636" s="354"/>
      <c r="AA636" s="744"/>
      <c r="AB636" s="744"/>
    </row>
    <row r="637" spans="1:28" s="694" customFormat="1" ht="14.25" customHeight="1" thickBot="1" x14ac:dyDescent="0.2">
      <c r="A637" s="745">
        <v>38</v>
      </c>
      <c r="B637" s="899" t="s">
        <v>2765</v>
      </c>
      <c r="C637" s="899" t="s">
        <v>3412</v>
      </c>
      <c r="D637" s="899" t="s">
        <v>2766</v>
      </c>
      <c r="E637" s="899" t="s">
        <v>2767</v>
      </c>
      <c r="F637" s="899" t="s">
        <v>2768</v>
      </c>
      <c r="G637" s="903">
        <v>12</v>
      </c>
      <c r="H637" s="354"/>
      <c r="I637" s="354"/>
      <c r="J637" s="354"/>
      <c r="K637" s="354"/>
      <c r="L637" s="354"/>
      <c r="M637" s="354"/>
      <c r="N637" s="354"/>
      <c r="AA637" s="744"/>
      <c r="AB637" s="744"/>
    </row>
    <row r="638" spans="1:28" s="694" customFormat="1" ht="14.25" customHeight="1" thickBot="1" x14ac:dyDescent="0.2">
      <c r="A638" s="745">
        <v>39</v>
      </c>
      <c r="B638" s="899" t="s">
        <v>2769</v>
      </c>
      <c r="C638" s="899" t="s">
        <v>3413</v>
      </c>
      <c r="D638" s="899" t="s">
        <v>2770</v>
      </c>
      <c r="E638" s="899" t="s">
        <v>2771</v>
      </c>
      <c r="F638" s="899" t="s">
        <v>2772</v>
      </c>
      <c r="G638" s="903">
        <v>13</v>
      </c>
      <c r="H638" s="354"/>
      <c r="I638" s="354"/>
      <c r="J638" s="354"/>
      <c r="K638" s="354"/>
      <c r="L638" s="354"/>
      <c r="M638" s="354"/>
      <c r="N638" s="354"/>
      <c r="AA638" s="744"/>
      <c r="AB638" s="744"/>
    </row>
    <row r="639" spans="1:28" s="694" customFormat="1" ht="14.25" customHeight="1" thickBot="1" x14ac:dyDescent="0.2">
      <c r="A639" s="745">
        <v>40</v>
      </c>
      <c r="B639" s="899" t="s">
        <v>2773</v>
      </c>
      <c r="C639" s="899" t="s">
        <v>3414</v>
      </c>
      <c r="D639" s="899" t="s">
        <v>2774</v>
      </c>
      <c r="E639" s="899" t="s">
        <v>2775</v>
      </c>
      <c r="F639" s="899" t="s">
        <v>2776</v>
      </c>
      <c r="G639" s="903">
        <v>14</v>
      </c>
      <c r="H639" s="354"/>
      <c r="I639" s="354"/>
      <c r="J639" s="354"/>
      <c r="K639" s="354"/>
      <c r="L639" s="354"/>
      <c r="M639" s="354"/>
      <c r="N639" s="354"/>
      <c r="AA639" s="744"/>
      <c r="AB639" s="744"/>
    </row>
    <row r="640" spans="1:28" s="694" customFormat="1" ht="14.25" customHeight="1" thickBot="1" x14ac:dyDescent="0.2">
      <c r="A640" s="745">
        <v>41</v>
      </c>
      <c r="B640" s="901" t="s">
        <v>2777</v>
      </c>
      <c r="C640" s="901" t="s">
        <v>3415</v>
      </c>
      <c r="D640" s="901" t="s">
        <v>2778</v>
      </c>
      <c r="E640" s="901" t="s">
        <v>2779</v>
      </c>
      <c r="F640" s="901" t="s">
        <v>2780</v>
      </c>
      <c r="G640" s="903">
        <v>15</v>
      </c>
      <c r="H640" s="354"/>
      <c r="I640" s="354"/>
      <c r="J640" s="354"/>
      <c r="K640" s="354"/>
      <c r="L640" s="354"/>
      <c r="M640" s="354"/>
      <c r="N640" s="354"/>
      <c r="AA640" s="744"/>
      <c r="AB640" s="744"/>
    </row>
    <row r="641" spans="1:28" s="694" customFormat="1" ht="14.25" customHeight="1" thickBot="1" x14ac:dyDescent="0.2">
      <c r="A641" s="745">
        <v>42</v>
      </c>
      <c r="B641" s="901" t="s">
        <v>2781</v>
      </c>
      <c r="C641" s="901" t="s">
        <v>3416</v>
      </c>
      <c r="D641" s="901" t="s">
        <v>2782</v>
      </c>
      <c r="E641" s="901" t="s">
        <v>2783</v>
      </c>
      <c r="F641" s="901" t="s">
        <v>2784</v>
      </c>
      <c r="G641" s="903">
        <v>16</v>
      </c>
      <c r="H641" s="354"/>
      <c r="I641" s="354"/>
      <c r="J641" s="354"/>
      <c r="K641" s="354"/>
      <c r="L641" s="354"/>
      <c r="M641" s="354"/>
      <c r="N641" s="354"/>
      <c r="AA641" s="744"/>
      <c r="AB641" s="744"/>
    </row>
    <row r="642" spans="1:28" s="694" customFormat="1" ht="14.25" customHeight="1" thickBot="1" x14ac:dyDescent="0.2">
      <c r="A642" s="745">
        <v>43</v>
      </c>
      <c r="B642" s="901" t="s">
        <v>2785</v>
      </c>
      <c r="C642" s="901" t="s">
        <v>3417</v>
      </c>
      <c r="D642" s="901" t="s">
        <v>2786</v>
      </c>
      <c r="E642" s="901" t="s">
        <v>2787</v>
      </c>
      <c r="F642" s="901" t="s">
        <v>2788</v>
      </c>
      <c r="G642" s="903">
        <v>17</v>
      </c>
      <c r="H642" s="354"/>
      <c r="I642" s="354"/>
      <c r="J642" s="354"/>
      <c r="K642" s="354"/>
      <c r="L642" s="354"/>
      <c r="M642" s="354"/>
      <c r="Z642" s="744"/>
      <c r="AA642" s="744"/>
    </row>
    <row r="643" spans="1:28" s="694" customFormat="1" ht="14.25" customHeight="1" thickBot="1" x14ac:dyDescent="0.2">
      <c r="A643" s="745">
        <v>44</v>
      </c>
      <c r="B643" s="901" t="s">
        <v>2789</v>
      </c>
      <c r="C643" s="901" t="s">
        <v>3418</v>
      </c>
      <c r="D643" s="901" t="s">
        <v>2790</v>
      </c>
      <c r="E643" s="901" t="s">
        <v>2791</v>
      </c>
      <c r="F643" s="901" t="s">
        <v>2792</v>
      </c>
      <c r="G643" s="903">
        <v>18</v>
      </c>
      <c r="H643" s="354"/>
      <c r="I643" s="354"/>
      <c r="J643" s="354"/>
      <c r="K643" s="354"/>
      <c r="L643" s="354"/>
      <c r="M643" s="354"/>
      <c r="Z643" s="744"/>
      <c r="AA643" s="744"/>
    </row>
    <row r="644" spans="1:28" s="694" customFormat="1" ht="14.25" customHeight="1" thickBot="1" x14ac:dyDescent="0.2">
      <c r="A644" s="745">
        <v>45</v>
      </c>
      <c r="B644" s="901" t="s">
        <v>2793</v>
      </c>
      <c r="C644" s="901" t="s">
        <v>3419</v>
      </c>
      <c r="D644" s="901" t="s">
        <v>2794</v>
      </c>
      <c r="E644" s="901" t="s">
        <v>2795</v>
      </c>
      <c r="F644" s="901" t="s">
        <v>2796</v>
      </c>
      <c r="G644" s="903">
        <v>19</v>
      </c>
      <c r="H644" s="354"/>
      <c r="I644" s="354"/>
      <c r="J644" s="354"/>
      <c r="K644" s="354"/>
      <c r="L644" s="354"/>
      <c r="M644" s="354"/>
      <c r="N644" s="354"/>
      <c r="AA644" s="744"/>
      <c r="AB644" s="744"/>
    </row>
    <row r="645" spans="1:28" s="694" customFormat="1" ht="14.25" customHeight="1" thickBot="1" x14ac:dyDescent="0.2">
      <c r="A645" s="745">
        <v>46</v>
      </c>
      <c r="B645" s="901" t="s">
        <v>2797</v>
      </c>
      <c r="C645" s="901" t="s">
        <v>3420</v>
      </c>
      <c r="D645" s="901" t="s">
        <v>2798</v>
      </c>
      <c r="E645" s="901" t="s">
        <v>2799</v>
      </c>
      <c r="F645" s="901" t="s">
        <v>2800</v>
      </c>
      <c r="G645" s="903">
        <v>20</v>
      </c>
      <c r="H645" s="354"/>
      <c r="I645" s="354"/>
      <c r="J645" s="354"/>
      <c r="K645" s="354"/>
      <c r="L645" s="354"/>
      <c r="M645" s="354"/>
      <c r="N645" s="354"/>
      <c r="AA645" s="744"/>
      <c r="AB645" s="744"/>
    </row>
    <row r="646" spans="1:28" s="694" customFormat="1" ht="14.25" customHeight="1" thickBot="1" x14ac:dyDescent="0.2">
      <c r="A646" s="745">
        <v>47</v>
      </c>
      <c r="B646" s="901" t="s">
        <v>2801</v>
      </c>
      <c r="C646" s="901" t="s">
        <v>3421</v>
      </c>
      <c r="D646" s="901" t="s">
        <v>2802</v>
      </c>
      <c r="E646" s="901" t="s">
        <v>2803</v>
      </c>
      <c r="F646" s="901" t="s">
        <v>2804</v>
      </c>
      <c r="G646" s="904">
        <v>21</v>
      </c>
      <c r="H646" s="354"/>
      <c r="I646" s="354"/>
      <c r="J646" s="354"/>
      <c r="K646" s="354"/>
      <c r="L646" s="354"/>
      <c r="M646" s="354"/>
      <c r="N646" s="354"/>
      <c r="AA646" s="744"/>
      <c r="AB646" s="744"/>
    </row>
    <row r="647" spans="1:28" s="694" customFormat="1" ht="14.25" customHeight="1" thickBot="1" x14ac:dyDescent="0.2">
      <c r="A647" s="745">
        <v>48</v>
      </c>
      <c r="B647" s="901" t="s">
        <v>2805</v>
      </c>
      <c r="C647" s="901" t="s">
        <v>3422</v>
      </c>
      <c r="D647" s="901" t="s">
        <v>2806</v>
      </c>
      <c r="E647" s="901" t="s">
        <v>2807</v>
      </c>
      <c r="F647" s="901" t="s">
        <v>2808</v>
      </c>
      <c r="G647" s="904">
        <v>22</v>
      </c>
      <c r="H647" s="354"/>
      <c r="I647" s="354"/>
      <c r="J647" s="354"/>
      <c r="K647" s="354"/>
      <c r="L647" s="354"/>
      <c r="M647" s="354"/>
      <c r="N647" s="354"/>
      <c r="AA647" s="744"/>
      <c r="AB647" s="744"/>
    </row>
    <row r="648" spans="1:28" s="694" customFormat="1" ht="14.25" customHeight="1" thickBot="1" x14ac:dyDescent="0.2">
      <c r="A648" s="745">
        <v>49</v>
      </c>
      <c r="B648" s="901" t="s">
        <v>2809</v>
      </c>
      <c r="C648" s="901" t="s">
        <v>3423</v>
      </c>
      <c r="D648" s="901" t="s">
        <v>2810</v>
      </c>
      <c r="E648" s="901" t="s">
        <v>2811</v>
      </c>
      <c r="F648" s="901" t="s">
        <v>2812</v>
      </c>
      <c r="G648" s="904">
        <v>23</v>
      </c>
      <c r="H648" s="354"/>
      <c r="I648" s="354"/>
      <c r="J648" s="354"/>
      <c r="K648" s="354"/>
      <c r="L648" s="354"/>
      <c r="M648" s="354"/>
      <c r="N648" s="354"/>
      <c r="AA648" s="744"/>
      <c r="AB648" s="744"/>
    </row>
    <row r="649" spans="1:28" s="694" customFormat="1" ht="14.25" customHeight="1" thickBot="1" x14ac:dyDescent="0.2">
      <c r="A649" s="745">
        <v>50</v>
      </c>
      <c r="B649" s="901" t="s">
        <v>2813</v>
      </c>
      <c r="C649" s="901" t="s">
        <v>3424</v>
      </c>
      <c r="D649" s="901" t="s">
        <v>2814</v>
      </c>
      <c r="E649" s="901" t="s">
        <v>2815</v>
      </c>
      <c r="F649" s="901" t="s">
        <v>2816</v>
      </c>
      <c r="G649" s="904">
        <v>24</v>
      </c>
      <c r="H649" s="354"/>
      <c r="I649" s="354"/>
      <c r="J649" s="354"/>
      <c r="K649" s="354"/>
      <c r="L649" s="354"/>
      <c r="M649" s="354"/>
      <c r="N649" s="354"/>
      <c r="AA649" s="744"/>
      <c r="AB649" s="744"/>
    </row>
    <row r="650" spans="1:28" s="694" customFormat="1" ht="14.25" customHeight="1" thickBot="1" x14ac:dyDescent="0.2">
      <c r="A650" s="745">
        <v>51</v>
      </c>
      <c r="B650" s="901" t="s">
        <v>2817</v>
      </c>
      <c r="C650" s="901" t="s">
        <v>3425</v>
      </c>
      <c r="D650" s="901" t="s">
        <v>2818</v>
      </c>
      <c r="E650" s="901" t="s">
        <v>2819</v>
      </c>
      <c r="F650" s="901" t="s">
        <v>2820</v>
      </c>
      <c r="G650" s="904">
        <v>25</v>
      </c>
      <c r="H650" s="354"/>
      <c r="I650" s="354"/>
      <c r="J650" s="354"/>
      <c r="K650" s="354"/>
      <c r="L650" s="354"/>
      <c r="M650" s="354"/>
      <c r="N650" s="354"/>
      <c r="AA650" s="744"/>
      <c r="AB650" s="744"/>
    </row>
    <row r="651" spans="1:28" s="694" customFormat="1" ht="14.25" customHeight="1" thickBot="1" x14ac:dyDescent="0.2">
      <c r="A651" s="745">
        <v>52</v>
      </c>
      <c r="B651" s="901" t="s">
        <v>2821</v>
      </c>
      <c r="C651" s="901" t="s">
        <v>3426</v>
      </c>
      <c r="D651" s="901" t="s">
        <v>2822</v>
      </c>
      <c r="E651" s="901" t="s">
        <v>2823</v>
      </c>
      <c r="F651" s="901" t="s">
        <v>2824</v>
      </c>
      <c r="G651" s="904">
        <v>26</v>
      </c>
      <c r="H651" s="354"/>
      <c r="I651" s="354"/>
      <c r="J651" s="354"/>
      <c r="K651" s="354"/>
      <c r="L651" s="354"/>
      <c r="M651" s="354"/>
      <c r="N651" s="354"/>
      <c r="AA651" s="744"/>
      <c r="AB651" s="744"/>
    </row>
    <row r="652" spans="1:28" s="694" customFormat="1" ht="14.25" customHeight="1" thickBot="1" x14ac:dyDescent="0.2">
      <c r="A652" s="745">
        <v>53</v>
      </c>
      <c r="B652" s="901" t="s">
        <v>2825</v>
      </c>
      <c r="C652" s="908" t="s">
        <v>3427</v>
      </c>
      <c r="D652" s="901" t="s">
        <v>2826</v>
      </c>
      <c r="E652" s="901" t="s">
        <v>2827</v>
      </c>
      <c r="F652" s="901" t="s">
        <v>2828</v>
      </c>
      <c r="G652" s="904">
        <v>27</v>
      </c>
      <c r="H652" s="354"/>
      <c r="I652" s="354"/>
      <c r="J652" s="354"/>
      <c r="K652" s="354"/>
      <c r="L652" s="354"/>
      <c r="M652" s="354"/>
      <c r="N652" s="354"/>
      <c r="AA652" s="744"/>
      <c r="AB652" s="744"/>
    </row>
    <row r="653" spans="1:28" s="694" customFormat="1" ht="14.25" customHeight="1" thickBot="1" x14ac:dyDescent="0.2">
      <c r="A653" s="745">
        <v>54</v>
      </c>
      <c r="B653" s="901" t="s">
        <v>2829</v>
      </c>
      <c r="C653" s="901" t="s">
        <v>3428</v>
      </c>
      <c r="D653" s="901" t="s">
        <v>2830</v>
      </c>
      <c r="E653" s="901" t="s">
        <v>2831</v>
      </c>
      <c r="F653" s="901" t="s">
        <v>2832</v>
      </c>
      <c r="G653" s="904">
        <v>28</v>
      </c>
      <c r="H653" s="354"/>
      <c r="I653" s="354"/>
      <c r="J653" s="354"/>
      <c r="K653" s="354"/>
      <c r="L653" s="354"/>
      <c r="M653" s="354"/>
      <c r="N653" s="354"/>
      <c r="AA653" s="744"/>
      <c r="AB653" s="744"/>
    </row>
    <row r="654" spans="1:28" s="694" customFormat="1" ht="14.25" customHeight="1" thickBot="1" x14ac:dyDescent="0.2">
      <c r="A654" s="745">
        <v>55</v>
      </c>
      <c r="B654" s="901" t="s">
        <v>2833</v>
      </c>
      <c r="C654" s="901" t="s">
        <v>3429</v>
      </c>
      <c r="D654" s="901" t="s">
        <v>2834</v>
      </c>
      <c r="E654" s="901" t="s">
        <v>2835</v>
      </c>
      <c r="F654" s="901" t="s">
        <v>2836</v>
      </c>
      <c r="G654" s="904">
        <v>29</v>
      </c>
      <c r="H654" s="354"/>
      <c r="I654" s="354"/>
      <c r="J654" s="354"/>
      <c r="K654" s="354"/>
      <c r="L654" s="354"/>
      <c r="M654" s="354"/>
      <c r="N654" s="354"/>
      <c r="AA654" s="744"/>
      <c r="AB654" s="744"/>
    </row>
    <row r="655" spans="1:28" s="694" customFormat="1" ht="14.25" customHeight="1" thickBot="1" x14ac:dyDescent="0.2">
      <c r="A655" s="745">
        <v>56</v>
      </c>
      <c r="B655" s="901" t="s">
        <v>2837</v>
      </c>
      <c r="C655" s="901" t="s">
        <v>3430</v>
      </c>
      <c r="D655" s="901" t="s">
        <v>2838</v>
      </c>
      <c r="E655" s="901" t="s">
        <v>2839</v>
      </c>
      <c r="F655" s="901" t="s">
        <v>2840</v>
      </c>
      <c r="G655" s="904">
        <v>30</v>
      </c>
      <c r="H655" s="354"/>
      <c r="I655" s="354"/>
      <c r="J655" s="354"/>
      <c r="K655" s="354"/>
      <c r="L655" s="354"/>
      <c r="M655" s="354"/>
      <c r="N655" s="354"/>
      <c r="AA655" s="744"/>
      <c r="AB655" s="744"/>
    </row>
    <row r="656" spans="1:28" s="694" customFormat="1" ht="14.25" customHeight="1" thickBot="1" x14ac:dyDescent="0.2">
      <c r="A656" s="745">
        <v>57</v>
      </c>
      <c r="B656" s="901" t="s">
        <v>2841</v>
      </c>
      <c r="C656" s="901" t="s">
        <v>3431</v>
      </c>
      <c r="D656" s="901" t="s">
        <v>2842</v>
      </c>
      <c r="E656" s="901" t="s">
        <v>2843</v>
      </c>
      <c r="F656" s="901" t="s">
        <v>2844</v>
      </c>
      <c r="G656" s="904">
        <v>31</v>
      </c>
      <c r="H656" s="354"/>
      <c r="I656" s="354"/>
      <c r="J656" s="354"/>
      <c r="K656" s="354"/>
      <c r="L656" s="354"/>
      <c r="M656" s="354"/>
      <c r="N656" s="354"/>
      <c r="AA656" s="744"/>
      <c r="AB656" s="744"/>
    </row>
    <row r="657" spans="1:45" s="694" customFormat="1" ht="14.25" customHeight="1" thickBot="1" x14ac:dyDescent="0.2">
      <c r="A657" s="745">
        <v>58</v>
      </c>
      <c r="B657" s="901" t="s">
        <v>2845</v>
      </c>
      <c r="C657" s="901" t="s">
        <v>3432</v>
      </c>
      <c r="D657" s="901" t="s">
        <v>2846</v>
      </c>
      <c r="E657" s="901" t="s">
        <v>2847</v>
      </c>
      <c r="F657" s="901" t="s">
        <v>2848</v>
      </c>
      <c r="G657" s="904">
        <v>32</v>
      </c>
      <c r="H657" s="354"/>
      <c r="I657" s="354"/>
      <c r="J657" s="354"/>
      <c r="K657" s="354"/>
      <c r="L657" s="354"/>
      <c r="M657" s="354"/>
      <c r="N657" s="354"/>
      <c r="AA657" s="744"/>
      <c r="AB657" s="744"/>
    </row>
    <row r="658" spans="1:45" s="694" customFormat="1" ht="14.25" customHeight="1" thickBot="1" x14ac:dyDescent="0.2">
      <c r="A658" s="745">
        <v>59</v>
      </c>
      <c r="B658" s="901" t="s">
        <v>2849</v>
      </c>
      <c r="C658" s="901" t="s">
        <v>3433</v>
      </c>
      <c r="D658" s="901" t="s">
        <v>2850</v>
      </c>
      <c r="E658" s="901" t="s">
        <v>2851</v>
      </c>
      <c r="F658" s="901" t="s">
        <v>2852</v>
      </c>
      <c r="G658" s="904">
        <v>33</v>
      </c>
      <c r="H658" s="354"/>
      <c r="I658" s="354"/>
      <c r="J658" s="354"/>
      <c r="K658" s="354"/>
      <c r="L658" s="354"/>
      <c r="M658" s="354"/>
      <c r="N658" s="354"/>
      <c r="AA658" s="744"/>
      <c r="AB658" s="744"/>
    </row>
    <row r="659" spans="1:45" ht="22.5" thickBot="1" x14ac:dyDescent="0.2">
      <c r="A659" s="745">
        <v>60</v>
      </c>
      <c r="B659" s="901" t="s">
        <v>2853</v>
      </c>
      <c r="C659" s="901" t="s">
        <v>3434</v>
      </c>
      <c r="D659" s="901" t="s">
        <v>2854</v>
      </c>
      <c r="E659" s="901" t="s">
        <v>2855</v>
      </c>
      <c r="F659" s="901" t="s">
        <v>2856</v>
      </c>
      <c r="G659" s="904">
        <v>34</v>
      </c>
      <c r="H659" s="354"/>
      <c r="I659" s="354"/>
      <c r="J659" s="354"/>
      <c r="K659" s="354"/>
      <c r="L659" s="354"/>
      <c r="M659" s="354"/>
      <c r="N659" s="354"/>
      <c r="O659" s="694"/>
      <c r="P659" s="694"/>
      <c r="Q659" s="694"/>
      <c r="R659" s="694"/>
      <c r="S659" s="694"/>
      <c r="T659" s="694"/>
      <c r="U659" s="694"/>
      <c r="V659" s="694"/>
      <c r="W659" s="694"/>
      <c r="X659" s="694"/>
      <c r="Y659" s="694"/>
      <c r="Z659" s="694"/>
      <c r="AA659" s="744"/>
      <c r="AB659" s="744"/>
      <c r="AC659" s="694"/>
      <c r="AD659" s="694"/>
      <c r="AE659" s="694"/>
      <c r="AF659" s="694"/>
      <c r="AG659" s="694"/>
      <c r="AH659" s="694"/>
      <c r="AI659" s="694"/>
      <c r="AJ659" s="694"/>
      <c r="AK659" s="694"/>
      <c r="AL659" s="694"/>
      <c r="AM659" s="694"/>
      <c r="AN659" s="694"/>
      <c r="AO659" s="694"/>
      <c r="AP659" s="694"/>
      <c r="AQ659" s="694"/>
      <c r="AR659" s="694"/>
      <c r="AS659" s="694"/>
    </row>
    <row r="661" spans="1:45" x14ac:dyDescent="0.15">
      <c r="A661" s="331" t="s">
        <v>3906</v>
      </c>
      <c r="B661" s="331" t="s">
        <v>1582</v>
      </c>
      <c r="C661" s="331" t="s">
        <v>3226</v>
      </c>
      <c r="D661" s="331" t="s">
        <v>3907</v>
      </c>
      <c r="E661" s="332" t="s">
        <v>3227</v>
      </c>
      <c r="F661" s="331" t="s">
        <v>3908</v>
      </c>
    </row>
    <row r="662" spans="1:45" x14ac:dyDescent="0.15">
      <c r="A662" s="331">
        <v>1</v>
      </c>
      <c r="B662" s="331" t="s">
        <v>1511</v>
      </c>
      <c r="C662" s="331" t="s">
        <v>1514</v>
      </c>
      <c r="D662" s="331">
        <v>4</v>
      </c>
      <c r="E662" s="332" t="s">
        <v>1518</v>
      </c>
      <c r="F662" s="331">
        <v>7</v>
      </c>
    </row>
    <row r="663" spans="1:45" x14ac:dyDescent="0.15">
      <c r="A663" s="331">
        <v>2</v>
      </c>
      <c r="B663" s="331" t="s">
        <v>1512</v>
      </c>
      <c r="C663" s="331" t="s">
        <v>1517</v>
      </c>
      <c r="D663" s="331">
        <v>5</v>
      </c>
      <c r="E663" s="332" t="s">
        <v>1516</v>
      </c>
      <c r="F663" s="331">
        <v>8</v>
      </c>
    </row>
    <row r="664" spans="1:45" x14ac:dyDescent="0.15">
      <c r="A664" s="331">
        <v>3</v>
      </c>
      <c r="B664" s="331" t="s">
        <v>1515</v>
      </c>
      <c r="C664" s="331" t="s">
        <v>1519</v>
      </c>
      <c r="D664" s="331">
        <v>6</v>
      </c>
      <c r="E664" s="332" t="s">
        <v>1513</v>
      </c>
      <c r="F664" s="331">
        <v>9</v>
      </c>
    </row>
    <row r="665" spans="1:45" x14ac:dyDescent="0.15">
      <c r="A665" s="331">
        <v>4</v>
      </c>
      <c r="B665" s="331" t="s">
        <v>1514</v>
      </c>
      <c r="C665" s="331" t="s">
        <v>1518</v>
      </c>
      <c r="D665" s="331">
        <v>7</v>
      </c>
      <c r="E665" s="332" t="s">
        <v>1511</v>
      </c>
      <c r="F665" s="331">
        <v>1</v>
      </c>
    </row>
    <row r="666" spans="1:45" x14ac:dyDescent="0.15">
      <c r="A666" s="331">
        <v>5</v>
      </c>
      <c r="B666" s="331" t="s">
        <v>1517</v>
      </c>
      <c r="C666" s="331" t="s">
        <v>1516</v>
      </c>
      <c r="D666" s="331">
        <v>8</v>
      </c>
      <c r="E666" s="332" t="s">
        <v>1512</v>
      </c>
      <c r="F666" s="331">
        <v>2</v>
      </c>
    </row>
    <row r="667" spans="1:45" x14ac:dyDescent="0.15">
      <c r="A667" s="331">
        <v>6</v>
      </c>
      <c r="B667" s="331" t="s">
        <v>1519</v>
      </c>
      <c r="C667" s="331" t="s">
        <v>1513</v>
      </c>
      <c r="D667" s="331">
        <v>9</v>
      </c>
      <c r="E667" s="332" t="s">
        <v>1515</v>
      </c>
      <c r="F667" s="331">
        <v>3</v>
      </c>
    </row>
    <row r="668" spans="1:45" x14ac:dyDescent="0.15">
      <c r="A668" s="331">
        <v>7</v>
      </c>
      <c r="B668" s="331" t="s">
        <v>1518</v>
      </c>
      <c r="C668" s="331" t="s">
        <v>1511</v>
      </c>
      <c r="D668" s="331">
        <v>1</v>
      </c>
      <c r="E668" s="332" t="s">
        <v>1514</v>
      </c>
      <c r="F668" s="331">
        <v>4</v>
      </c>
    </row>
    <row r="669" spans="1:45" x14ac:dyDescent="0.15">
      <c r="A669" s="331">
        <v>8</v>
      </c>
      <c r="B669" s="331" t="s">
        <v>1516</v>
      </c>
      <c r="C669" s="331" t="s">
        <v>1512</v>
      </c>
      <c r="D669" s="331">
        <v>2</v>
      </c>
      <c r="E669" s="332" t="s">
        <v>1517</v>
      </c>
      <c r="F669" s="331">
        <v>5</v>
      </c>
    </row>
    <row r="670" spans="1:45" x14ac:dyDescent="0.15">
      <c r="A670" s="331">
        <v>9</v>
      </c>
      <c r="B670" s="331" t="s">
        <v>1513</v>
      </c>
      <c r="C670" s="331" t="s">
        <v>1515</v>
      </c>
      <c r="D670" s="331">
        <v>3</v>
      </c>
      <c r="E670" s="332" t="s">
        <v>1519</v>
      </c>
      <c r="F670" s="331">
        <v>6</v>
      </c>
    </row>
    <row r="671" spans="1:45" s="860" customFormat="1" x14ac:dyDescent="0.2">
      <c r="A671" s="331"/>
      <c r="B671" s="331"/>
      <c r="C671" s="331"/>
      <c r="D671" s="331"/>
      <c r="E671" s="332"/>
      <c r="F671" s="331"/>
      <c r="G671" s="331"/>
      <c r="H671" s="331"/>
      <c r="I671" s="331"/>
      <c r="J671" s="331"/>
      <c r="K671" s="331"/>
      <c r="L671" s="331"/>
      <c r="M671" s="331"/>
      <c r="N671" s="333"/>
      <c r="O671" s="333"/>
      <c r="P671" s="333"/>
      <c r="Q671" s="333"/>
      <c r="R671" s="333"/>
      <c r="S671" s="333"/>
      <c r="T671" s="333"/>
      <c r="U671" s="333"/>
      <c r="V671" s="333"/>
      <c r="W671" s="333"/>
      <c r="X671" s="333"/>
      <c r="Y671" s="333"/>
      <c r="Z671" s="631"/>
      <c r="AA671" s="631"/>
      <c r="AB671" s="333"/>
      <c r="AC671" s="333"/>
      <c r="AD671" s="333"/>
      <c r="AE671" s="333"/>
      <c r="AF671" s="333"/>
      <c r="AG671" s="333"/>
      <c r="AH671" s="333"/>
      <c r="AI671" s="333"/>
      <c r="AJ671" s="333"/>
      <c r="AK671" s="333"/>
      <c r="AL671" s="333"/>
      <c r="AM671" s="333"/>
      <c r="AN671" s="333"/>
      <c r="AO671" s="333"/>
      <c r="AP671" s="333"/>
      <c r="AQ671" s="333"/>
      <c r="AR671" s="333"/>
      <c r="AS671" s="333"/>
    </row>
    <row r="672" spans="1:45" s="860" customFormat="1" ht="14.25" x14ac:dyDescent="0.2">
      <c r="A672" s="890" t="s">
        <v>3271</v>
      </c>
      <c r="B672" s="861"/>
      <c r="C672" s="861"/>
      <c r="D672" s="861"/>
      <c r="E672" s="861"/>
      <c r="F672" s="861"/>
      <c r="G672" s="861"/>
      <c r="H672" s="861"/>
      <c r="I672" s="861"/>
      <c r="J672" s="861"/>
      <c r="K672" s="859"/>
      <c r="L672" s="859"/>
      <c r="M672" s="859"/>
    </row>
    <row r="673" spans="1:45" s="860" customFormat="1" ht="14.25" thickBot="1" x14ac:dyDescent="0.25">
      <c r="A673" s="870" t="s">
        <v>3272</v>
      </c>
      <c r="B673" s="870" t="s">
        <v>3273</v>
      </c>
      <c r="C673" s="870" t="s">
        <v>3274</v>
      </c>
      <c r="D673" s="871" t="s">
        <v>3275</v>
      </c>
      <c r="E673" s="870" t="s">
        <v>3276</v>
      </c>
      <c r="F673" s="870" t="s">
        <v>3277</v>
      </c>
      <c r="G673" s="870" t="s">
        <v>3278</v>
      </c>
      <c r="H673" s="871" t="s">
        <v>3279</v>
      </c>
      <c r="I673" s="870" t="s">
        <v>3280</v>
      </c>
      <c r="J673" s="872" t="s">
        <v>3281</v>
      </c>
    </row>
    <row r="674" spans="1:45" s="860" customFormat="1" ht="15.75" thickTop="1" x14ac:dyDescent="0.2">
      <c r="A674" s="873" t="s">
        <v>3282</v>
      </c>
      <c r="B674" s="873" t="s">
        <v>3338</v>
      </c>
      <c r="C674" s="874" t="s">
        <v>3283</v>
      </c>
      <c r="D674" s="874" t="s">
        <v>3284</v>
      </c>
      <c r="E674" s="874" t="s">
        <v>3285</v>
      </c>
      <c r="F674" s="874" t="s">
        <v>3286</v>
      </c>
      <c r="G674" s="874" t="s">
        <v>3287</v>
      </c>
      <c r="H674" s="874" t="s">
        <v>3288</v>
      </c>
      <c r="I674" s="875" t="s">
        <v>3289</v>
      </c>
      <c r="J674" s="876" t="s">
        <v>3297</v>
      </c>
    </row>
    <row r="675" spans="1:45" s="860" customFormat="1" ht="13.5" x14ac:dyDescent="0.2">
      <c r="A675" s="873" t="s">
        <v>3296</v>
      </c>
      <c r="B675" s="873" t="s">
        <v>3336</v>
      </c>
      <c r="C675" s="877" t="s">
        <v>3287</v>
      </c>
      <c r="D675" s="877" t="s">
        <v>3288</v>
      </c>
      <c r="E675" s="878" t="s">
        <v>3289</v>
      </c>
      <c r="F675" s="879" t="s">
        <v>3297</v>
      </c>
      <c r="G675" s="877" t="s">
        <v>3283</v>
      </c>
      <c r="H675" s="877" t="s">
        <v>3284</v>
      </c>
      <c r="I675" s="877" t="s">
        <v>3285</v>
      </c>
      <c r="J675" s="880" t="s">
        <v>3286</v>
      </c>
    </row>
    <row r="676" spans="1:45" s="860" customFormat="1" ht="15" x14ac:dyDescent="0.2">
      <c r="A676" s="873" t="s">
        <v>3290</v>
      </c>
      <c r="B676" s="873" t="s">
        <v>3338</v>
      </c>
      <c r="C676" s="874" t="s">
        <v>3284</v>
      </c>
      <c r="D676" s="881" t="s">
        <v>3297</v>
      </c>
      <c r="E676" s="874" t="s">
        <v>3285</v>
      </c>
      <c r="F676" s="874" t="s">
        <v>3286</v>
      </c>
      <c r="G676" s="874" t="s">
        <v>3287</v>
      </c>
      <c r="H676" s="874" t="s">
        <v>3288</v>
      </c>
      <c r="I676" s="875" t="s">
        <v>3289</v>
      </c>
      <c r="J676" s="882" t="s">
        <v>3283</v>
      </c>
    </row>
    <row r="677" spans="1:45" s="860" customFormat="1" ht="15" x14ac:dyDescent="0.15">
      <c r="A677" s="873" t="s">
        <v>3296</v>
      </c>
      <c r="B677" s="873" t="s">
        <v>3336</v>
      </c>
      <c r="C677" s="877" t="s">
        <v>3288</v>
      </c>
      <c r="D677" s="878" t="s">
        <v>3289</v>
      </c>
      <c r="E677" s="877" t="s">
        <v>3283</v>
      </c>
      <c r="F677" s="877" t="s">
        <v>3284</v>
      </c>
      <c r="G677" s="879" t="s">
        <v>3297</v>
      </c>
      <c r="H677" s="877" t="s">
        <v>3285</v>
      </c>
      <c r="I677" s="877" t="s">
        <v>3286</v>
      </c>
      <c r="J677" s="883" t="s">
        <v>3287</v>
      </c>
    </row>
    <row r="678" spans="1:45" s="860" customFormat="1" ht="15" x14ac:dyDescent="0.2">
      <c r="A678" s="873" t="s">
        <v>3291</v>
      </c>
      <c r="B678" s="873" t="s">
        <v>3338</v>
      </c>
      <c r="C678" s="874" t="s">
        <v>3285</v>
      </c>
      <c r="D678" s="874" t="s">
        <v>3286</v>
      </c>
      <c r="E678" s="874" t="s">
        <v>3287</v>
      </c>
      <c r="F678" s="874" t="s">
        <v>3288</v>
      </c>
      <c r="G678" s="875" t="s">
        <v>3289</v>
      </c>
      <c r="H678" s="874" t="s">
        <v>3283</v>
      </c>
      <c r="I678" s="881" t="s">
        <v>3297</v>
      </c>
      <c r="J678" s="882" t="s">
        <v>3284</v>
      </c>
    </row>
    <row r="679" spans="1:45" s="860" customFormat="1" ht="13.5" x14ac:dyDescent="0.2">
      <c r="A679" s="873" t="s">
        <v>3296</v>
      </c>
      <c r="B679" s="873" t="s">
        <v>3336</v>
      </c>
      <c r="C679" s="878" t="s">
        <v>3289</v>
      </c>
      <c r="D679" s="877" t="s">
        <v>3283</v>
      </c>
      <c r="E679" s="879" t="s">
        <v>3297</v>
      </c>
      <c r="F679" s="877" t="s">
        <v>3284</v>
      </c>
      <c r="G679" s="877" t="s">
        <v>3285</v>
      </c>
      <c r="H679" s="877" t="s">
        <v>3286</v>
      </c>
      <c r="I679" s="877" t="s">
        <v>3287</v>
      </c>
      <c r="J679" s="880" t="s">
        <v>3288</v>
      </c>
    </row>
    <row r="680" spans="1:45" s="860" customFormat="1" ht="15" x14ac:dyDescent="0.2">
      <c r="A680" s="873" t="s">
        <v>3292</v>
      </c>
      <c r="B680" s="873" t="s">
        <v>3338</v>
      </c>
      <c r="C680" s="874" t="s">
        <v>3286</v>
      </c>
      <c r="D680" s="874" t="s">
        <v>3287</v>
      </c>
      <c r="E680" s="874" t="s">
        <v>3288</v>
      </c>
      <c r="F680" s="875" t="s">
        <v>3289</v>
      </c>
      <c r="G680" s="881" t="s">
        <v>3297</v>
      </c>
      <c r="H680" s="874" t="s">
        <v>3283</v>
      </c>
      <c r="I680" s="874" t="s">
        <v>3284</v>
      </c>
      <c r="J680" s="882" t="s">
        <v>3285</v>
      </c>
    </row>
    <row r="681" spans="1:45" s="860" customFormat="1" ht="13.5" x14ac:dyDescent="0.2">
      <c r="A681" s="873" t="s">
        <v>3296</v>
      </c>
      <c r="B681" s="873" t="s">
        <v>3336</v>
      </c>
      <c r="C681" s="877" t="s">
        <v>3283</v>
      </c>
      <c r="D681" s="877" t="s">
        <v>3284</v>
      </c>
      <c r="E681" s="877" t="s">
        <v>3285</v>
      </c>
      <c r="F681" s="877" t="s">
        <v>3286</v>
      </c>
      <c r="G681" s="877" t="s">
        <v>3287</v>
      </c>
      <c r="H681" s="877" t="s">
        <v>3288</v>
      </c>
      <c r="I681" s="878" t="s">
        <v>3289</v>
      </c>
      <c r="J681" s="884" t="s">
        <v>3297</v>
      </c>
    </row>
    <row r="682" spans="1:45" s="860" customFormat="1" ht="15" x14ac:dyDescent="0.2">
      <c r="A682" s="873" t="s">
        <v>3293</v>
      </c>
      <c r="B682" s="873" t="s">
        <v>3338</v>
      </c>
      <c r="C682" s="874" t="s">
        <v>3287</v>
      </c>
      <c r="D682" s="874" t="s">
        <v>3288</v>
      </c>
      <c r="E682" s="875" t="s">
        <v>3289</v>
      </c>
      <c r="F682" s="874" t="s">
        <v>3283</v>
      </c>
      <c r="G682" s="874" t="s">
        <v>3284</v>
      </c>
      <c r="H682" s="881" t="s">
        <v>3297</v>
      </c>
      <c r="I682" s="874" t="s">
        <v>3285</v>
      </c>
      <c r="J682" s="882" t="s">
        <v>3286</v>
      </c>
    </row>
    <row r="683" spans="1:45" s="860" customFormat="1" ht="13.5" x14ac:dyDescent="0.2">
      <c r="A683" s="873" t="s">
        <v>3296</v>
      </c>
      <c r="B683" s="873" t="s">
        <v>3336</v>
      </c>
      <c r="C683" s="877" t="s">
        <v>3284</v>
      </c>
      <c r="D683" s="879" t="s">
        <v>3297</v>
      </c>
      <c r="E683" s="877" t="s">
        <v>3285</v>
      </c>
      <c r="F683" s="877" t="s">
        <v>3286</v>
      </c>
      <c r="G683" s="877" t="s">
        <v>3287</v>
      </c>
      <c r="H683" s="877" t="s">
        <v>3288</v>
      </c>
      <c r="I683" s="878" t="s">
        <v>3289</v>
      </c>
      <c r="J683" s="880" t="s">
        <v>3283</v>
      </c>
    </row>
    <row r="684" spans="1:45" s="860" customFormat="1" ht="15" x14ac:dyDescent="0.2">
      <c r="A684" s="873" t="s">
        <v>3294</v>
      </c>
      <c r="B684" s="873" t="s">
        <v>3338</v>
      </c>
      <c r="C684" s="874" t="s">
        <v>3288</v>
      </c>
      <c r="D684" s="875" t="s">
        <v>3289</v>
      </c>
      <c r="E684" s="874" t="s">
        <v>3283</v>
      </c>
      <c r="F684" s="881" t="s">
        <v>3297</v>
      </c>
      <c r="G684" s="874" t="s">
        <v>3284</v>
      </c>
      <c r="H684" s="874" t="s">
        <v>3285</v>
      </c>
      <c r="I684" s="874" t="s">
        <v>3286</v>
      </c>
      <c r="J684" s="882" t="s">
        <v>3287</v>
      </c>
    </row>
    <row r="685" spans="1:45" s="860" customFormat="1" ht="13.5" x14ac:dyDescent="0.2">
      <c r="A685" s="873" t="s">
        <v>3296</v>
      </c>
      <c r="B685" s="873" t="s">
        <v>3336</v>
      </c>
      <c r="C685" s="877" t="s">
        <v>3285</v>
      </c>
      <c r="D685" s="877" t="s">
        <v>3286</v>
      </c>
      <c r="E685" s="877" t="s">
        <v>3287</v>
      </c>
      <c r="F685" s="877" t="s">
        <v>3288</v>
      </c>
      <c r="G685" s="878" t="s">
        <v>3289</v>
      </c>
      <c r="H685" s="877" t="s">
        <v>3283</v>
      </c>
      <c r="I685" s="879" t="s">
        <v>3297</v>
      </c>
      <c r="J685" s="880" t="s">
        <v>3284</v>
      </c>
    </row>
    <row r="686" spans="1:45" s="860" customFormat="1" ht="15" x14ac:dyDescent="0.2">
      <c r="A686" s="873" t="s">
        <v>3295</v>
      </c>
      <c r="B686" s="873" t="s">
        <v>3338</v>
      </c>
      <c r="C686" s="875" t="s">
        <v>3289</v>
      </c>
      <c r="D686" s="874" t="s">
        <v>3283</v>
      </c>
      <c r="E686" s="881" t="s">
        <v>3297</v>
      </c>
      <c r="F686" s="874" t="s">
        <v>3284</v>
      </c>
      <c r="G686" s="874" t="s">
        <v>3285</v>
      </c>
      <c r="H686" s="874" t="s">
        <v>3286</v>
      </c>
      <c r="I686" s="874" t="s">
        <v>3287</v>
      </c>
      <c r="J686" s="882" t="s">
        <v>3288</v>
      </c>
    </row>
    <row r="687" spans="1:45" ht="13.5" x14ac:dyDescent="0.2">
      <c r="A687" s="885" t="s">
        <v>3296</v>
      </c>
      <c r="B687" s="873" t="s">
        <v>3336</v>
      </c>
      <c r="C687" s="886" t="s">
        <v>3286</v>
      </c>
      <c r="D687" s="886" t="s">
        <v>3287</v>
      </c>
      <c r="E687" s="886" t="s">
        <v>3288</v>
      </c>
      <c r="F687" s="887" t="s">
        <v>3289</v>
      </c>
      <c r="G687" s="888" t="s">
        <v>3297</v>
      </c>
      <c r="H687" s="886" t="s">
        <v>3283</v>
      </c>
      <c r="I687" s="886" t="s">
        <v>3284</v>
      </c>
      <c r="J687" s="889" t="s">
        <v>3285</v>
      </c>
      <c r="K687" s="860"/>
      <c r="L687" s="860"/>
      <c r="M687" s="860"/>
      <c r="N687" s="860"/>
      <c r="O687" s="860"/>
      <c r="P687" s="860"/>
      <c r="Q687" s="860"/>
      <c r="R687" s="860"/>
      <c r="S687" s="860"/>
      <c r="T687" s="860"/>
      <c r="U687" s="860"/>
      <c r="V687" s="860"/>
      <c r="W687" s="860"/>
      <c r="X687" s="860"/>
      <c r="Y687" s="860"/>
      <c r="Z687" s="860"/>
      <c r="AA687" s="860"/>
      <c r="AB687" s="860"/>
      <c r="AC687" s="860"/>
      <c r="AD687" s="860"/>
      <c r="AE687" s="860"/>
      <c r="AF687" s="860"/>
      <c r="AG687" s="860"/>
      <c r="AH687" s="860"/>
      <c r="AI687" s="860"/>
      <c r="AJ687" s="860"/>
      <c r="AK687" s="860"/>
      <c r="AL687" s="860"/>
      <c r="AM687" s="860"/>
      <c r="AN687" s="860"/>
      <c r="AO687" s="860"/>
      <c r="AP687" s="860"/>
      <c r="AQ687" s="860"/>
      <c r="AR687" s="860"/>
      <c r="AS687" s="860"/>
    </row>
    <row r="689" spans="1:10" ht="27" x14ac:dyDescent="0.15">
      <c r="A689" s="1562" t="s">
        <v>3346</v>
      </c>
      <c r="B689" s="864" t="s">
        <v>1511</v>
      </c>
      <c r="C689" s="865" t="s">
        <v>3340</v>
      </c>
      <c r="D689" s="865" t="s">
        <v>3339</v>
      </c>
      <c r="E689" s="865" t="s">
        <v>3341</v>
      </c>
      <c r="F689" s="865" t="s">
        <v>3342</v>
      </c>
      <c r="G689" s="865" t="s">
        <v>3343</v>
      </c>
      <c r="H689" s="865" t="s">
        <v>3344</v>
      </c>
      <c r="I689" s="865" t="s">
        <v>3345</v>
      </c>
      <c r="J689" s="865" t="s">
        <v>3340</v>
      </c>
    </row>
    <row r="690" spans="1:10" ht="27" x14ac:dyDescent="0.15">
      <c r="A690" s="1563"/>
      <c r="B690" s="864" t="s">
        <v>1634</v>
      </c>
      <c r="C690" s="866" t="s">
        <v>3342</v>
      </c>
      <c r="D690" s="866" t="s">
        <v>3343</v>
      </c>
      <c r="E690" s="866" t="s">
        <v>3344</v>
      </c>
      <c r="F690" s="866" t="s">
        <v>3345</v>
      </c>
      <c r="G690" s="866" t="s">
        <v>3340</v>
      </c>
      <c r="H690" s="866" t="s">
        <v>3339</v>
      </c>
      <c r="I690" s="866" t="s">
        <v>3341</v>
      </c>
      <c r="J690" s="866" t="s">
        <v>3342</v>
      </c>
    </row>
    <row r="691" spans="1:10" ht="27" x14ac:dyDescent="0.15">
      <c r="A691" s="1563"/>
      <c r="B691" s="864" t="s">
        <v>1636</v>
      </c>
      <c r="C691" s="865" t="s">
        <v>3345</v>
      </c>
      <c r="D691" s="865" t="s">
        <v>3340</v>
      </c>
      <c r="E691" s="865" t="s">
        <v>3339</v>
      </c>
      <c r="F691" s="865" t="s">
        <v>3341</v>
      </c>
      <c r="G691" s="865" t="s">
        <v>3342</v>
      </c>
      <c r="H691" s="865" t="s">
        <v>3343</v>
      </c>
      <c r="I691" s="865" t="s">
        <v>3344</v>
      </c>
      <c r="J691" s="865" t="s">
        <v>3345</v>
      </c>
    </row>
    <row r="692" spans="1:10" ht="27" x14ac:dyDescent="0.15">
      <c r="A692" s="1563"/>
      <c r="B692" s="864" t="s">
        <v>1637</v>
      </c>
      <c r="C692" s="866" t="s">
        <v>3341</v>
      </c>
      <c r="D692" s="866" t="s">
        <v>3342</v>
      </c>
      <c r="E692" s="866" t="s">
        <v>3343</v>
      </c>
      <c r="F692" s="866" t="s">
        <v>3344</v>
      </c>
      <c r="G692" s="866" t="s">
        <v>3345</v>
      </c>
      <c r="H692" s="866" t="s">
        <v>3340</v>
      </c>
      <c r="I692" s="866" t="s">
        <v>3339</v>
      </c>
      <c r="J692" s="866" t="s">
        <v>3341</v>
      </c>
    </row>
    <row r="693" spans="1:10" ht="27" x14ac:dyDescent="0.15">
      <c r="A693" s="1563"/>
      <c r="B693" s="864" t="s">
        <v>3337</v>
      </c>
      <c r="C693" s="865" t="s">
        <v>3344</v>
      </c>
      <c r="D693" s="865" t="s">
        <v>3345</v>
      </c>
      <c r="E693" s="865" t="s">
        <v>3340</v>
      </c>
      <c r="F693" s="865" t="s">
        <v>3339</v>
      </c>
      <c r="G693" s="865" t="s">
        <v>3341</v>
      </c>
      <c r="H693" s="865" t="s">
        <v>3342</v>
      </c>
      <c r="I693" s="865" t="s">
        <v>3343</v>
      </c>
      <c r="J693" s="865" t="s">
        <v>3344</v>
      </c>
    </row>
    <row r="694" spans="1:10" ht="27" x14ac:dyDescent="0.15">
      <c r="A694" s="1563"/>
      <c r="B694" s="864" t="s">
        <v>1640</v>
      </c>
      <c r="C694" s="866" t="s">
        <v>3339</v>
      </c>
      <c r="D694" s="866" t="s">
        <v>3341</v>
      </c>
      <c r="E694" s="866" t="s">
        <v>3342</v>
      </c>
      <c r="F694" s="866" t="s">
        <v>3343</v>
      </c>
      <c r="G694" s="866" t="s">
        <v>3344</v>
      </c>
      <c r="H694" s="866" t="s">
        <v>3345</v>
      </c>
      <c r="I694" s="866" t="s">
        <v>3340</v>
      </c>
      <c r="J694" s="866" t="s">
        <v>3339</v>
      </c>
    </row>
    <row r="695" spans="1:10" ht="27" x14ac:dyDescent="0.15">
      <c r="A695" s="1564"/>
      <c r="B695" s="864" t="s">
        <v>1641</v>
      </c>
      <c r="C695" s="865" t="s">
        <v>3343</v>
      </c>
      <c r="D695" s="865" t="s">
        <v>3344</v>
      </c>
      <c r="E695" s="865" t="s">
        <v>3345</v>
      </c>
      <c r="F695" s="865" t="s">
        <v>3340</v>
      </c>
      <c r="G695" s="865" t="s">
        <v>3339</v>
      </c>
      <c r="H695" s="865" t="s">
        <v>3341</v>
      </c>
      <c r="I695" s="865" t="s">
        <v>3342</v>
      </c>
      <c r="J695" s="865" t="s">
        <v>3343</v>
      </c>
    </row>
    <row r="696" spans="1:10" x14ac:dyDescent="0.2">
      <c r="A696" s="1559" t="s">
        <v>3347</v>
      </c>
      <c r="B696" s="867" t="s">
        <v>1511</v>
      </c>
      <c r="C696" s="868" t="s">
        <v>3344</v>
      </c>
      <c r="D696" s="868" t="s">
        <v>3345</v>
      </c>
      <c r="E696" s="868" t="s">
        <v>3340</v>
      </c>
      <c r="F696" s="868" t="s">
        <v>3339</v>
      </c>
      <c r="G696" s="868" t="s">
        <v>3341</v>
      </c>
      <c r="H696" s="868" t="s">
        <v>3342</v>
      </c>
      <c r="I696" s="868" t="s">
        <v>3343</v>
      </c>
      <c r="J696" s="868" t="s">
        <v>3344</v>
      </c>
    </row>
    <row r="697" spans="1:10" x14ac:dyDescent="0.2">
      <c r="A697" s="1560"/>
      <c r="B697" s="867" t="s">
        <v>1634</v>
      </c>
      <c r="C697" s="869" t="s">
        <v>3339</v>
      </c>
      <c r="D697" s="869" t="s">
        <v>3341</v>
      </c>
      <c r="E697" s="869" t="s">
        <v>3342</v>
      </c>
      <c r="F697" s="869" t="s">
        <v>3343</v>
      </c>
      <c r="G697" s="869" t="s">
        <v>3344</v>
      </c>
      <c r="H697" s="869" t="s">
        <v>3345</v>
      </c>
      <c r="I697" s="869" t="s">
        <v>3340</v>
      </c>
      <c r="J697" s="869" t="s">
        <v>3339</v>
      </c>
    </row>
    <row r="698" spans="1:10" x14ac:dyDescent="0.2">
      <c r="A698" s="1560"/>
      <c r="B698" s="867" t="s">
        <v>1636</v>
      </c>
      <c r="C698" s="868" t="s">
        <v>3343</v>
      </c>
      <c r="D698" s="868" t="s">
        <v>3344</v>
      </c>
      <c r="E698" s="868" t="s">
        <v>3345</v>
      </c>
      <c r="F698" s="868" t="s">
        <v>3340</v>
      </c>
      <c r="G698" s="868" t="s">
        <v>3339</v>
      </c>
      <c r="H698" s="868" t="s">
        <v>3341</v>
      </c>
      <c r="I698" s="868" t="s">
        <v>3342</v>
      </c>
      <c r="J698" s="868" t="s">
        <v>3343</v>
      </c>
    </row>
    <row r="699" spans="1:10" x14ac:dyDescent="0.2">
      <c r="A699" s="1560"/>
      <c r="B699" s="867" t="s">
        <v>1637</v>
      </c>
      <c r="C699" s="869" t="s">
        <v>3340</v>
      </c>
      <c r="D699" s="869" t="s">
        <v>3339</v>
      </c>
      <c r="E699" s="869" t="s">
        <v>3341</v>
      </c>
      <c r="F699" s="869" t="s">
        <v>3342</v>
      </c>
      <c r="G699" s="869" t="s">
        <v>3343</v>
      </c>
      <c r="H699" s="869" t="s">
        <v>3344</v>
      </c>
      <c r="I699" s="869" t="s">
        <v>3345</v>
      </c>
      <c r="J699" s="869" t="s">
        <v>3340</v>
      </c>
    </row>
    <row r="700" spans="1:10" x14ac:dyDescent="0.2">
      <c r="A700" s="1560"/>
      <c r="B700" s="867" t="s">
        <v>3337</v>
      </c>
      <c r="C700" s="868" t="s">
        <v>3342</v>
      </c>
      <c r="D700" s="868" t="s">
        <v>3343</v>
      </c>
      <c r="E700" s="868" t="s">
        <v>3344</v>
      </c>
      <c r="F700" s="868" t="s">
        <v>3345</v>
      </c>
      <c r="G700" s="868" t="s">
        <v>3340</v>
      </c>
      <c r="H700" s="868" t="s">
        <v>3339</v>
      </c>
      <c r="I700" s="868" t="s">
        <v>3341</v>
      </c>
      <c r="J700" s="868" t="s">
        <v>3342</v>
      </c>
    </row>
    <row r="701" spans="1:10" x14ac:dyDescent="0.2">
      <c r="A701" s="1560"/>
      <c r="B701" s="867" t="s">
        <v>1640</v>
      </c>
      <c r="C701" s="869" t="s">
        <v>3345</v>
      </c>
      <c r="D701" s="869" t="s">
        <v>3340</v>
      </c>
      <c r="E701" s="869" t="s">
        <v>3339</v>
      </c>
      <c r="F701" s="869" t="s">
        <v>3341</v>
      </c>
      <c r="G701" s="869" t="s">
        <v>3342</v>
      </c>
      <c r="H701" s="869" t="s">
        <v>3343</v>
      </c>
      <c r="I701" s="869" t="s">
        <v>3344</v>
      </c>
      <c r="J701" s="869" t="s">
        <v>3345</v>
      </c>
    </row>
    <row r="702" spans="1:10" x14ac:dyDescent="0.2">
      <c r="A702" s="1561"/>
      <c r="B702" s="867" t="s">
        <v>1641</v>
      </c>
      <c r="C702" s="868" t="s">
        <v>3341</v>
      </c>
      <c r="D702" s="868" t="s">
        <v>3342</v>
      </c>
      <c r="E702" s="868" t="s">
        <v>3343</v>
      </c>
      <c r="F702" s="868" t="s">
        <v>3344</v>
      </c>
      <c r="G702" s="868" t="s">
        <v>3345</v>
      </c>
      <c r="H702" s="868" t="s">
        <v>3340</v>
      </c>
      <c r="I702" s="868" t="s">
        <v>3339</v>
      </c>
      <c r="J702" s="868" t="s">
        <v>3341</v>
      </c>
    </row>
    <row r="705" spans="1:6" ht="14.25" x14ac:dyDescent="0.2">
      <c r="A705" s="862" t="s">
        <v>3335</v>
      </c>
      <c r="B705" s="862"/>
      <c r="C705" s="862"/>
      <c r="D705" s="862"/>
      <c r="E705" s="862"/>
      <c r="F705" s="862"/>
    </row>
    <row r="706" spans="1:6" ht="14.25" x14ac:dyDescent="0.2">
      <c r="A706" s="862" t="s">
        <v>4290</v>
      </c>
      <c r="B706" s="862" t="s">
        <v>1513</v>
      </c>
      <c r="C706" s="862" t="s">
        <v>1519</v>
      </c>
      <c r="D706" s="862" t="s">
        <v>1517</v>
      </c>
      <c r="E706" s="862" t="s">
        <v>3303</v>
      </c>
      <c r="F706" s="862" t="s">
        <v>1516</v>
      </c>
    </row>
    <row r="707" spans="1:6" ht="14.25" x14ac:dyDescent="0.2">
      <c r="A707" s="862" t="s">
        <v>1513</v>
      </c>
      <c r="B707" s="863" t="s">
        <v>3300</v>
      </c>
      <c r="C707" s="863" t="s">
        <v>3301</v>
      </c>
      <c r="D707" s="862" t="s">
        <v>3302</v>
      </c>
      <c r="E707" s="862" t="s">
        <v>3304</v>
      </c>
      <c r="F707" s="862" t="s">
        <v>3305</v>
      </c>
    </row>
    <row r="708" spans="1:6" ht="14.25" x14ac:dyDescent="0.2">
      <c r="A708" s="862" t="s">
        <v>1519</v>
      </c>
      <c r="B708" s="863" t="s">
        <v>3300</v>
      </c>
      <c r="C708" s="862" t="s">
        <v>3311</v>
      </c>
      <c r="D708" s="862" t="s">
        <v>3312</v>
      </c>
      <c r="E708" s="862" t="s">
        <v>3313</v>
      </c>
      <c r="F708" s="863" t="s">
        <v>3334</v>
      </c>
    </row>
    <row r="709" spans="1:6" ht="14.25" x14ac:dyDescent="0.2">
      <c r="A709" s="862" t="s">
        <v>1517</v>
      </c>
      <c r="B709" s="863" t="s">
        <v>3306</v>
      </c>
      <c r="C709" s="863" t="s">
        <v>3307</v>
      </c>
      <c r="D709" s="862" t="s">
        <v>3308</v>
      </c>
      <c r="E709" s="862" t="s">
        <v>3310</v>
      </c>
      <c r="F709" s="863" t="s">
        <v>3309</v>
      </c>
    </row>
    <row r="710" spans="1:6" ht="14.25" x14ac:dyDescent="0.2">
      <c r="A710" s="862" t="s">
        <v>1998</v>
      </c>
      <c r="B710" s="862" t="s">
        <v>3314</v>
      </c>
      <c r="C710" s="863" t="s">
        <v>3315</v>
      </c>
      <c r="D710" s="862" t="s">
        <v>3316</v>
      </c>
      <c r="E710" s="862" t="s">
        <v>3317</v>
      </c>
      <c r="F710" s="863" t="s">
        <v>3318</v>
      </c>
    </row>
    <row r="711" spans="1:6" ht="14.25" x14ac:dyDescent="0.2">
      <c r="A711" s="862" t="s">
        <v>2002</v>
      </c>
      <c r="B711" s="862" t="s">
        <v>3319</v>
      </c>
      <c r="C711" s="862" t="s">
        <v>3320</v>
      </c>
      <c r="D711" s="863" t="s">
        <v>3321</v>
      </c>
      <c r="E711" s="862" t="s">
        <v>3322</v>
      </c>
      <c r="F711" s="863" t="s">
        <v>3323</v>
      </c>
    </row>
    <row r="712" spans="1:6" ht="14.25" x14ac:dyDescent="0.2">
      <c r="A712" s="862" t="s">
        <v>1515</v>
      </c>
      <c r="B712" s="862" t="s">
        <v>3324</v>
      </c>
      <c r="C712" s="862" t="s">
        <v>3325</v>
      </c>
      <c r="D712" s="862" t="s">
        <v>3326</v>
      </c>
      <c r="E712" s="862" t="s">
        <v>3327</v>
      </c>
      <c r="F712" s="862" t="s">
        <v>3328</v>
      </c>
    </row>
    <row r="713" spans="1:6" ht="14.25" x14ac:dyDescent="0.2">
      <c r="A713" s="862" t="s">
        <v>1516</v>
      </c>
      <c r="B713" s="862" t="s">
        <v>3329</v>
      </c>
      <c r="C713" s="862" t="s">
        <v>3330</v>
      </c>
      <c r="D713" s="863" t="s">
        <v>3333</v>
      </c>
      <c r="E713" s="862" t="s">
        <v>3332</v>
      </c>
      <c r="F713" s="863" t="s">
        <v>3331</v>
      </c>
    </row>
    <row r="715" spans="1:6" ht="22.5" thickBot="1" x14ac:dyDescent="0.2">
      <c r="A715" s="1144" t="s">
        <v>1722</v>
      </c>
      <c r="B715" s="1144" t="s">
        <v>4098</v>
      </c>
      <c r="C715" s="1144" t="s">
        <v>4099</v>
      </c>
      <c r="D715" s="1144" t="s">
        <v>4051</v>
      </c>
      <c r="E715" s="1145" t="s">
        <v>4100</v>
      </c>
      <c r="F715" s="1149" t="s">
        <v>1719</v>
      </c>
    </row>
    <row r="716" spans="1:6" ht="28.5" thickBot="1" x14ac:dyDescent="0.2">
      <c r="A716" s="1142" t="s">
        <v>4052</v>
      </c>
      <c r="B716" s="1142" t="s">
        <v>4053</v>
      </c>
      <c r="C716" s="1142" t="s">
        <v>4054</v>
      </c>
      <c r="D716" s="1142" t="s">
        <v>4055</v>
      </c>
      <c r="E716" s="1143" t="s">
        <v>4056</v>
      </c>
      <c r="F716" s="1148"/>
    </row>
    <row r="717" spans="1:6" ht="94.5" thickBot="1" x14ac:dyDescent="0.2">
      <c r="A717" s="1142" t="s">
        <v>1989</v>
      </c>
      <c r="B717" s="1142" t="s">
        <v>4103</v>
      </c>
      <c r="C717" s="1142" t="s">
        <v>4057</v>
      </c>
      <c r="D717" s="1142" t="s">
        <v>4058</v>
      </c>
      <c r="E717" s="1143" t="s">
        <v>4059</v>
      </c>
      <c r="F717" s="1150" t="s">
        <v>4095</v>
      </c>
    </row>
    <row r="718" spans="1:6" ht="63.75" thickBot="1" x14ac:dyDescent="0.2">
      <c r="A718" s="1142" t="s">
        <v>1993</v>
      </c>
      <c r="B718" s="1142" t="s">
        <v>4060</v>
      </c>
      <c r="C718" s="1142" t="s">
        <v>1519</v>
      </c>
      <c r="D718" s="1142" t="s">
        <v>4061</v>
      </c>
      <c r="E718" s="1143" t="s">
        <v>4056</v>
      </c>
      <c r="F718" s="1150" t="s">
        <v>4102</v>
      </c>
    </row>
    <row r="719" spans="1:6" ht="28.5" thickBot="1" x14ac:dyDescent="0.2">
      <c r="A719" s="1142" t="s">
        <v>1998</v>
      </c>
      <c r="B719" s="1142" t="s">
        <v>4062</v>
      </c>
      <c r="C719" s="1142" t="s">
        <v>4107</v>
      </c>
      <c r="D719" s="1142" t="s">
        <v>4064</v>
      </c>
      <c r="E719" s="1143" t="s">
        <v>4065</v>
      </c>
      <c r="F719" s="1148"/>
    </row>
    <row r="720" spans="1:6" ht="28.5" thickBot="1" x14ac:dyDescent="0.2">
      <c r="A720" s="1142" t="s">
        <v>2002</v>
      </c>
      <c r="B720" s="1142" t="s">
        <v>4066</v>
      </c>
      <c r="C720" s="1142" t="s">
        <v>4106</v>
      </c>
      <c r="D720" s="1142" t="s">
        <v>4067</v>
      </c>
      <c r="E720" s="1143" t="s">
        <v>4068</v>
      </c>
      <c r="F720" s="1148"/>
    </row>
    <row r="721" spans="1:16" ht="105" thickBot="1" x14ac:dyDescent="0.2">
      <c r="A721" s="1142" t="s">
        <v>2003</v>
      </c>
      <c r="B721" s="1142" t="s">
        <v>4063</v>
      </c>
      <c r="C721" s="1142" t="s">
        <v>4110</v>
      </c>
      <c r="D721" s="1142" t="s">
        <v>4069</v>
      </c>
      <c r="E721" s="1143" t="s">
        <v>4070</v>
      </c>
      <c r="F721" s="1150" t="s">
        <v>4097</v>
      </c>
    </row>
    <row r="722" spans="1:16" ht="74.25" thickBot="1" x14ac:dyDescent="0.2">
      <c r="A722" s="1142" t="s">
        <v>2004</v>
      </c>
      <c r="B722" s="1142" t="s">
        <v>4071</v>
      </c>
      <c r="C722" s="1142" t="s">
        <v>4108</v>
      </c>
      <c r="D722" s="1142" t="s">
        <v>4072</v>
      </c>
      <c r="E722" s="1143" t="s">
        <v>4073</v>
      </c>
      <c r="F722" s="1150" t="s">
        <v>4096</v>
      </c>
    </row>
    <row r="723" spans="1:16" ht="42.75" thickBot="1" x14ac:dyDescent="0.2">
      <c r="A723" s="1142" t="s">
        <v>2006</v>
      </c>
      <c r="B723" s="1142" t="s">
        <v>4074</v>
      </c>
      <c r="C723" s="1142" t="s">
        <v>4075</v>
      </c>
      <c r="D723" s="1142" t="s">
        <v>4076</v>
      </c>
      <c r="E723" s="1143" t="s">
        <v>4077</v>
      </c>
      <c r="F723" s="1150" t="s">
        <v>4091</v>
      </c>
    </row>
    <row r="724" spans="1:16" ht="42.75" thickBot="1" x14ac:dyDescent="0.2">
      <c r="A724" s="1142" t="s">
        <v>3690</v>
      </c>
      <c r="B724" s="1142" t="s">
        <v>4105</v>
      </c>
      <c r="C724" s="1142" t="s">
        <v>4078</v>
      </c>
      <c r="D724" s="1142" t="s">
        <v>4079</v>
      </c>
      <c r="E724" s="1143" t="s">
        <v>4080</v>
      </c>
      <c r="F724" s="1150" t="s">
        <v>4092</v>
      </c>
    </row>
    <row r="725" spans="1:16" ht="42.75" thickBot="1" x14ac:dyDescent="0.2">
      <c r="A725" s="1142" t="s">
        <v>2011</v>
      </c>
      <c r="B725" s="1142" t="s">
        <v>4081</v>
      </c>
      <c r="C725" s="1142" t="s">
        <v>4109</v>
      </c>
      <c r="D725" s="1142" t="s">
        <v>4082</v>
      </c>
      <c r="E725" s="1143" t="s">
        <v>4083</v>
      </c>
      <c r="F725" s="1150" t="s">
        <v>4094</v>
      </c>
    </row>
    <row r="726" spans="1:16" ht="42.75" thickBot="1" x14ac:dyDescent="0.2">
      <c r="A726" s="1142" t="s">
        <v>2013</v>
      </c>
      <c r="B726" s="1142" t="s">
        <v>4084</v>
      </c>
      <c r="C726" s="1142" t="s">
        <v>4085</v>
      </c>
      <c r="D726" s="1142" t="s">
        <v>4086</v>
      </c>
      <c r="E726" s="1143" t="s">
        <v>4087</v>
      </c>
      <c r="F726" s="1150" t="s">
        <v>4093</v>
      </c>
    </row>
    <row r="727" spans="1:16" ht="50.25" x14ac:dyDescent="0.15">
      <c r="A727" s="1146" t="s">
        <v>1866</v>
      </c>
      <c r="B727" s="1146" t="s">
        <v>4104</v>
      </c>
      <c r="C727" s="1146" t="s">
        <v>4088</v>
      </c>
      <c r="D727" s="1146" t="s">
        <v>4089</v>
      </c>
      <c r="E727" s="1147" t="s">
        <v>4090</v>
      </c>
      <c r="F727" s="1150" t="s">
        <v>4092</v>
      </c>
    </row>
    <row r="728" spans="1:16" x14ac:dyDescent="0.2">
      <c r="A728" s="1153"/>
      <c r="B728" s="1153"/>
      <c r="C728" s="1153"/>
      <c r="D728" s="1153"/>
      <c r="E728" s="1154"/>
      <c r="F728" s="1153"/>
    </row>
    <row r="731" spans="1:16" x14ac:dyDescent="0.2">
      <c r="A731" s="331" t="s">
        <v>1656</v>
      </c>
      <c r="B731" s="331" t="s">
        <v>1431</v>
      </c>
      <c r="C731" s="331" t="s">
        <v>1671</v>
      </c>
      <c r="D731" s="331" t="s">
        <v>4223</v>
      </c>
      <c r="E731" s="331" t="s">
        <v>4224</v>
      </c>
    </row>
    <row r="732" spans="1:16" x14ac:dyDescent="0.2">
      <c r="A732" s="331">
        <v>1</v>
      </c>
      <c r="B732" s="331" t="s">
        <v>4052</v>
      </c>
      <c r="C732" s="331">
        <v>1</v>
      </c>
      <c r="D732" s="331" t="s">
        <v>4214</v>
      </c>
      <c r="E732" s="331" t="s">
        <v>4220</v>
      </c>
    </row>
    <row r="733" spans="1:16" ht="15" x14ac:dyDescent="0.2">
      <c r="A733" s="331">
        <v>2</v>
      </c>
      <c r="B733" s="331" t="s">
        <v>4052</v>
      </c>
      <c r="C733" s="331">
        <v>2</v>
      </c>
      <c r="D733" s="331" t="s">
        <v>4215</v>
      </c>
      <c r="E733" s="331" t="s">
        <v>4221</v>
      </c>
      <c r="L733" s="1199" t="s">
        <v>4219</v>
      </c>
      <c r="M733" s="313"/>
    </row>
    <row r="734" spans="1:16" ht="15" x14ac:dyDescent="0.2">
      <c r="A734" s="331">
        <v>3</v>
      </c>
      <c r="B734" s="331" t="s">
        <v>4052</v>
      </c>
      <c r="C734" s="331">
        <v>3</v>
      </c>
      <c r="D734" s="331" t="s">
        <v>4216</v>
      </c>
      <c r="E734" s="1204" t="s">
        <v>4225</v>
      </c>
      <c r="L734" s="1199" t="s">
        <v>4213</v>
      </c>
      <c r="M734" s="313" t="s">
        <v>1600</v>
      </c>
    </row>
    <row r="735" spans="1:16" ht="15" x14ac:dyDescent="0.2">
      <c r="A735" s="331">
        <v>4</v>
      </c>
      <c r="B735" s="331" t="s">
        <v>4206</v>
      </c>
      <c r="C735" s="331">
        <f>C732</f>
        <v>1</v>
      </c>
      <c r="D735" s="331" t="s">
        <v>4216</v>
      </c>
      <c r="E735" s="331" t="s">
        <v>4222</v>
      </c>
      <c r="L735" s="1198" t="s">
        <v>4215</v>
      </c>
      <c r="M735" s="1201">
        <v>11</v>
      </c>
    </row>
    <row r="736" spans="1:16" ht="15" x14ac:dyDescent="0.2">
      <c r="A736" s="331">
        <v>5</v>
      </c>
      <c r="B736" s="331" t="s">
        <v>4206</v>
      </c>
      <c r="C736" s="331">
        <v>2</v>
      </c>
      <c r="D736" s="331" t="s">
        <v>4215</v>
      </c>
      <c r="E736" s="331" t="s">
        <v>4226</v>
      </c>
      <c r="L736" s="1151" t="s">
        <v>4214</v>
      </c>
      <c r="M736" s="1202">
        <v>11</v>
      </c>
      <c r="N736"/>
      <c r="O736"/>
      <c r="P736"/>
    </row>
    <row r="737" spans="1:16" ht="15" x14ac:dyDescent="0.2">
      <c r="A737" s="331">
        <v>6</v>
      </c>
      <c r="B737" s="331" t="s">
        <v>4206</v>
      </c>
      <c r="C737" s="331">
        <f t="shared" ref="C737:C767" si="15">C734</f>
        <v>3</v>
      </c>
      <c r="D737" s="331" t="s">
        <v>4217</v>
      </c>
      <c r="E737" s="331" t="s">
        <v>4227</v>
      </c>
      <c r="L737" s="1151" t="s">
        <v>4216</v>
      </c>
      <c r="M737" s="1202">
        <v>8</v>
      </c>
      <c r="N737"/>
      <c r="O737"/>
      <c r="P737"/>
    </row>
    <row r="738" spans="1:16" ht="15" x14ac:dyDescent="0.2">
      <c r="A738" s="331">
        <v>7</v>
      </c>
      <c r="B738" s="331" t="s">
        <v>4207</v>
      </c>
      <c r="C738" s="331">
        <f t="shared" si="15"/>
        <v>1</v>
      </c>
      <c r="D738" s="331" t="s">
        <v>4215</v>
      </c>
      <c r="E738" s="331" t="s">
        <v>4228</v>
      </c>
      <c r="L738" s="1151" t="s">
        <v>4217</v>
      </c>
      <c r="M738" s="1202">
        <v>6</v>
      </c>
      <c r="N738"/>
      <c r="O738"/>
      <c r="P738"/>
    </row>
    <row r="739" spans="1:16" ht="15" x14ac:dyDescent="0.2">
      <c r="A739" s="331">
        <v>8</v>
      </c>
      <c r="B739" s="331" t="s">
        <v>4207</v>
      </c>
      <c r="C739" s="331">
        <f t="shared" si="15"/>
        <v>2</v>
      </c>
      <c r="D739" s="331" t="s">
        <v>4216</v>
      </c>
      <c r="E739" s="331" t="s">
        <v>4229</v>
      </c>
      <c r="L739" s="1200" t="s">
        <v>4218</v>
      </c>
      <c r="M739" s="1203">
        <v>36</v>
      </c>
      <c r="N739"/>
      <c r="O739"/>
      <c r="P739"/>
    </row>
    <row r="740" spans="1:16" ht="15" x14ac:dyDescent="0.2">
      <c r="A740" s="331">
        <v>9</v>
      </c>
      <c r="B740" s="331" t="s">
        <v>4207</v>
      </c>
      <c r="C740" s="331">
        <f t="shared" si="15"/>
        <v>3</v>
      </c>
      <c r="D740" s="331" t="s">
        <v>4217</v>
      </c>
      <c r="E740" s="331" t="s">
        <v>4230</v>
      </c>
      <c r="L740"/>
      <c r="M740"/>
      <c r="N740"/>
      <c r="O740"/>
      <c r="P740"/>
    </row>
    <row r="741" spans="1:16" ht="15" x14ac:dyDescent="0.2">
      <c r="A741" s="331">
        <v>10</v>
      </c>
      <c r="B741" s="331" t="s">
        <v>4208</v>
      </c>
      <c r="C741" s="331">
        <f t="shared" si="15"/>
        <v>1</v>
      </c>
      <c r="D741" s="331" t="s">
        <v>4217</v>
      </c>
      <c r="E741" s="331" t="s">
        <v>4231</v>
      </c>
      <c r="L741"/>
      <c r="M741"/>
      <c r="N741"/>
      <c r="O741"/>
      <c r="P741"/>
    </row>
    <row r="742" spans="1:16" ht="15" x14ac:dyDescent="0.2">
      <c r="A742" s="331">
        <v>11</v>
      </c>
      <c r="B742" s="331" t="s">
        <v>4208</v>
      </c>
      <c r="C742" s="331">
        <f t="shared" si="15"/>
        <v>2</v>
      </c>
      <c r="D742" s="331" t="s">
        <v>4214</v>
      </c>
      <c r="E742" s="331" t="s">
        <v>4232</v>
      </c>
      <c r="L742"/>
      <c r="M742"/>
      <c r="N742"/>
      <c r="O742"/>
      <c r="P742"/>
    </row>
    <row r="743" spans="1:16" ht="15" x14ac:dyDescent="0.2">
      <c r="A743" s="331">
        <v>12</v>
      </c>
      <c r="B743" s="331" t="s">
        <v>4208</v>
      </c>
      <c r="C743" s="331">
        <f t="shared" si="15"/>
        <v>3</v>
      </c>
      <c r="D743" s="331" t="s">
        <v>4216</v>
      </c>
      <c r="E743" s="331" t="s">
        <v>4233</v>
      </c>
      <c r="J743"/>
      <c r="K743"/>
      <c r="L743"/>
      <c r="M743"/>
      <c r="N743"/>
      <c r="O743"/>
      <c r="P743"/>
    </row>
    <row r="744" spans="1:16" ht="15" x14ac:dyDescent="0.2">
      <c r="A744" s="331">
        <v>13</v>
      </c>
      <c r="B744" s="331" t="s">
        <v>1862</v>
      </c>
      <c r="C744" s="331">
        <f t="shared" si="15"/>
        <v>1</v>
      </c>
      <c r="D744" s="331" t="s">
        <v>4214</v>
      </c>
      <c r="E744" s="331" t="s">
        <v>4234</v>
      </c>
      <c r="J744"/>
      <c r="K744"/>
      <c r="L744"/>
      <c r="M744"/>
      <c r="N744"/>
      <c r="O744"/>
      <c r="P744"/>
    </row>
    <row r="745" spans="1:16" ht="15" x14ac:dyDescent="0.2">
      <c r="A745" s="331">
        <v>14</v>
      </c>
      <c r="B745" s="331" t="s">
        <v>1862</v>
      </c>
      <c r="C745" s="331">
        <f t="shared" si="15"/>
        <v>2</v>
      </c>
      <c r="D745" s="331" t="s">
        <v>4216</v>
      </c>
      <c r="E745" s="331" t="s">
        <v>4235</v>
      </c>
      <c r="J745"/>
      <c r="K745"/>
      <c r="L745"/>
      <c r="M745"/>
      <c r="N745"/>
      <c r="O745"/>
      <c r="P745"/>
    </row>
    <row r="746" spans="1:16" ht="15" x14ac:dyDescent="0.2">
      <c r="A746" s="331">
        <v>15</v>
      </c>
      <c r="B746" s="331" t="s">
        <v>1862</v>
      </c>
      <c r="C746" s="331">
        <f t="shared" si="15"/>
        <v>3</v>
      </c>
      <c r="D746" s="331" t="s">
        <v>4214</v>
      </c>
      <c r="E746" s="331" t="s">
        <v>4236</v>
      </c>
      <c r="J746"/>
      <c r="K746"/>
      <c r="L746"/>
      <c r="M746"/>
      <c r="N746"/>
      <c r="O746"/>
      <c r="P746"/>
    </row>
    <row r="747" spans="1:16" ht="15" x14ac:dyDescent="0.2">
      <c r="A747" s="331">
        <v>16</v>
      </c>
      <c r="B747" s="331" t="s">
        <v>1870</v>
      </c>
      <c r="C747" s="331">
        <f t="shared" si="15"/>
        <v>1</v>
      </c>
      <c r="D747" s="331" t="s">
        <v>4215</v>
      </c>
      <c r="E747" s="331"/>
      <c r="J747"/>
      <c r="K747"/>
      <c r="L747"/>
      <c r="M747"/>
      <c r="N747"/>
      <c r="O747"/>
      <c r="P747"/>
    </row>
    <row r="748" spans="1:16" ht="15" x14ac:dyDescent="0.2">
      <c r="A748" s="331">
        <v>17</v>
      </c>
      <c r="B748" s="331" t="s">
        <v>1870</v>
      </c>
      <c r="C748" s="331">
        <f t="shared" si="15"/>
        <v>2</v>
      </c>
      <c r="D748" s="331" t="s">
        <v>4217</v>
      </c>
      <c r="E748" s="331"/>
      <c r="J748"/>
      <c r="K748"/>
      <c r="L748"/>
      <c r="M748"/>
      <c r="N748"/>
      <c r="O748"/>
      <c r="P748"/>
    </row>
    <row r="749" spans="1:16" ht="15" x14ac:dyDescent="0.2">
      <c r="A749" s="331">
        <v>18</v>
      </c>
      <c r="B749" s="331" t="s">
        <v>1870</v>
      </c>
      <c r="C749" s="331">
        <f t="shared" si="15"/>
        <v>3</v>
      </c>
      <c r="D749" s="331" t="s">
        <v>4215</v>
      </c>
      <c r="E749" s="331"/>
      <c r="J749"/>
      <c r="K749"/>
      <c r="L749"/>
      <c r="M749"/>
      <c r="N749"/>
      <c r="O749"/>
      <c r="P749"/>
    </row>
    <row r="750" spans="1:16" x14ac:dyDescent="0.2">
      <c r="A750" s="331">
        <v>19</v>
      </c>
      <c r="B750" s="331" t="s">
        <v>1877</v>
      </c>
      <c r="C750" s="331">
        <f t="shared" si="15"/>
        <v>1</v>
      </c>
      <c r="D750" s="331" t="s">
        <v>4215</v>
      </c>
      <c r="E750" s="331"/>
    </row>
    <row r="751" spans="1:16" x14ac:dyDescent="0.2">
      <c r="A751" s="331">
        <v>20</v>
      </c>
      <c r="B751" s="331" t="s">
        <v>1877</v>
      </c>
      <c r="C751" s="331">
        <f t="shared" si="15"/>
        <v>2</v>
      </c>
      <c r="D751" s="331" t="s">
        <v>4216</v>
      </c>
      <c r="E751" s="331"/>
    </row>
    <row r="752" spans="1:16" x14ac:dyDescent="0.2">
      <c r="A752" s="331">
        <v>21</v>
      </c>
      <c r="B752" s="331" t="s">
        <v>1877</v>
      </c>
      <c r="C752" s="331">
        <f t="shared" si="15"/>
        <v>3</v>
      </c>
      <c r="D752" s="331" t="s">
        <v>4214</v>
      </c>
      <c r="E752" s="331"/>
    </row>
    <row r="753" spans="1:5" x14ac:dyDescent="0.2">
      <c r="A753" s="331">
        <v>22</v>
      </c>
      <c r="B753" s="331" t="s">
        <v>4209</v>
      </c>
      <c r="C753" s="331">
        <f t="shared" si="15"/>
        <v>1</v>
      </c>
      <c r="D753" s="331" t="s">
        <v>4214</v>
      </c>
      <c r="E753" s="331"/>
    </row>
    <row r="754" spans="1:5" x14ac:dyDescent="0.2">
      <c r="A754" s="331">
        <v>23</v>
      </c>
      <c r="B754" s="331" t="s">
        <v>4209</v>
      </c>
      <c r="C754" s="331">
        <f t="shared" si="15"/>
        <v>2</v>
      </c>
      <c r="D754" s="331" t="s">
        <v>4214</v>
      </c>
      <c r="E754" s="331"/>
    </row>
    <row r="755" spans="1:5" x14ac:dyDescent="0.2">
      <c r="A755" s="331">
        <v>24</v>
      </c>
      <c r="B755" s="331" t="s">
        <v>4209</v>
      </c>
      <c r="C755" s="331">
        <f t="shared" si="15"/>
        <v>3</v>
      </c>
      <c r="D755" s="331" t="s">
        <v>4214</v>
      </c>
      <c r="E755" s="331"/>
    </row>
    <row r="756" spans="1:5" x14ac:dyDescent="0.2">
      <c r="A756" s="331">
        <v>25</v>
      </c>
      <c r="B756" s="331" t="s">
        <v>4210</v>
      </c>
      <c r="C756" s="331">
        <f t="shared" si="15"/>
        <v>1</v>
      </c>
      <c r="D756" s="331" t="s">
        <v>4216</v>
      </c>
      <c r="E756" s="331"/>
    </row>
    <row r="757" spans="1:5" x14ac:dyDescent="0.2">
      <c r="A757" s="331">
        <v>26</v>
      </c>
      <c r="B757" s="331" t="s">
        <v>4210</v>
      </c>
      <c r="C757" s="331">
        <f t="shared" si="15"/>
        <v>2</v>
      </c>
      <c r="D757" s="331" t="s">
        <v>4215</v>
      </c>
      <c r="E757" s="331"/>
    </row>
    <row r="758" spans="1:5" x14ac:dyDescent="0.2">
      <c r="A758" s="331">
        <v>27</v>
      </c>
      <c r="B758" s="331" t="s">
        <v>4210</v>
      </c>
      <c r="C758" s="331">
        <f t="shared" si="15"/>
        <v>3</v>
      </c>
      <c r="D758" s="331" t="s">
        <v>4215</v>
      </c>
      <c r="E758" s="331"/>
    </row>
    <row r="759" spans="1:5" x14ac:dyDescent="0.2">
      <c r="A759" s="331">
        <v>28</v>
      </c>
      <c r="B759" s="331" t="s">
        <v>4211</v>
      </c>
      <c r="C759" s="331">
        <f t="shared" si="15"/>
        <v>1</v>
      </c>
      <c r="D759" s="331" t="s">
        <v>4214</v>
      </c>
      <c r="E759" s="331"/>
    </row>
    <row r="760" spans="1:5" x14ac:dyDescent="0.2">
      <c r="A760" s="331">
        <v>29</v>
      </c>
      <c r="B760" s="331" t="s">
        <v>4211</v>
      </c>
      <c r="C760" s="331">
        <f t="shared" si="15"/>
        <v>2</v>
      </c>
      <c r="D760" s="331" t="s">
        <v>4215</v>
      </c>
      <c r="E760" s="331"/>
    </row>
    <row r="761" spans="1:5" x14ac:dyDescent="0.2">
      <c r="A761" s="331">
        <v>30</v>
      </c>
      <c r="B761" s="331" t="s">
        <v>4211</v>
      </c>
      <c r="C761" s="331">
        <f t="shared" si="15"/>
        <v>3</v>
      </c>
      <c r="D761" s="331" t="s">
        <v>4216</v>
      </c>
      <c r="E761" s="331"/>
    </row>
    <row r="762" spans="1:5" x14ac:dyDescent="0.2">
      <c r="A762" s="331">
        <v>31</v>
      </c>
      <c r="B762" s="331" t="s">
        <v>4212</v>
      </c>
      <c r="C762" s="331">
        <f t="shared" si="15"/>
        <v>1</v>
      </c>
      <c r="D762" s="331" t="s">
        <v>4214</v>
      </c>
      <c r="E762" s="331"/>
    </row>
    <row r="763" spans="1:5" x14ac:dyDescent="0.2">
      <c r="A763" s="331">
        <v>32</v>
      </c>
      <c r="B763" s="331" t="s">
        <v>4212</v>
      </c>
      <c r="C763" s="331">
        <f t="shared" si="15"/>
        <v>2</v>
      </c>
      <c r="D763" s="331" t="s">
        <v>4215</v>
      </c>
      <c r="E763" s="331"/>
    </row>
    <row r="764" spans="1:5" x14ac:dyDescent="0.2">
      <c r="A764" s="331">
        <v>33</v>
      </c>
      <c r="B764" s="331" t="s">
        <v>4212</v>
      </c>
      <c r="C764" s="331">
        <f t="shared" si="15"/>
        <v>3</v>
      </c>
      <c r="D764" s="331" t="s">
        <v>4215</v>
      </c>
      <c r="E764" s="331"/>
    </row>
    <row r="765" spans="1:5" x14ac:dyDescent="0.2">
      <c r="A765" s="331">
        <v>34</v>
      </c>
      <c r="B765" s="331" t="s">
        <v>1866</v>
      </c>
      <c r="C765" s="331">
        <f t="shared" si="15"/>
        <v>1</v>
      </c>
      <c r="D765" s="331" t="s">
        <v>4217</v>
      </c>
      <c r="E765" s="331"/>
    </row>
    <row r="766" spans="1:5" x14ac:dyDescent="0.2">
      <c r="A766" s="331">
        <v>35</v>
      </c>
      <c r="B766" s="331" t="s">
        <v>1866</v>
      </c>
      <c r="C766" s="331">
        <f t="shared" si="15"/>
        <v>2</v>
      </c>
      <c r="D766" s="331" t="s">
        <v>4217</v>
      </c>
      <c r="E766" s="331"/>
    </row>
    <row r="767" spans="1:5" x14ac:dyDescent="0.2">
      <c r="A767" s="331">
        <v>36</v>
      </c>
      <c r="B767" s="331" t="s">
        <v>1866</v>
      </c>
      <c r="C767" s="331">
        <f t="shared" si="15"/>
        <v>3</v>
      </c>
      <c r="D767" s="331" t="s">
        <v>4214</v>
      </c>
      <c r="E767" s="331"/>
    </row>
    <row r="769" spans="1:8" x14ac:dyDescent="0.2">
      <c r="A769" s="368" t="s">
        <v>4340</v>
      </c>
      <c r="C769" s="368" t="s">
        <v>915</v>
      </c>
      <c r="D769" s="1260">
        <v>0.25</v>
      </c>
    </row>
    <row r="770" spans="1:8" x14ac:dyDescent="0.2">
      <c r="A770" s="341" t="s">
        <v>4339</v>
      </c>
      <c r="B770" s="341" t="s">
        <v>1645</v>
      </c>
      <c r="C770" s="341" t="s">
        <v>1648</v>
      </c>
      <c r="D770" s="341" t="s">
        <v>1644</v>
      </c>
      <c r="E770" s="341" t="s">
        <v>1647</v>
      </c>
      <c r="F770" s="341" t="s">
        <v>1643</v>
      </c>
      <c r="G770" s="341" t="s">
        <v>1646</v>
      </c>
      <c r="H770" s="341" t="s">
        <v>1642</v>
      </c>
    </row>
    <row r="771" spans="1:8" x14ac:dyDescent="0.2">
      <c r="A771" s="1255">
        <f>D769</f>
        <v>0.25</v>
      </c>
      <c r="B771" s="998" t="s">
        <v>1511</v>
      </c>
      <c r="C771" s="998" t="s">
        <v>1512</v>
      </c>
      <c r="D771" s="998" t="s">
        <v>1513</v>
      </c>
      <c r="E771" s="998" t="s">
        <v>2217</v>
      </c>
      <c r="F771" s="998" t="s">
        <v>3484</v>
      </c>
      <c r="G771" s="998" t="s">
        <v>1519</v>
      </c>
      <c r="H771" s="998" t="s">
        <v>1641</v>
      </c>
    </row>
    <row r="772" spans="1:8" x14ac:dyDescent="0.2">
      <c r="A772" s="1255">
        <f>A771+VALUE("00:30")</f>
        <v>0.27083333333333331</v>
      </c>
      <c r="B772" s="998" t="s">
        <v>1511</v>
      </c>
      <c r="C772" s="998" t="s">
        <v>1512</v>
      </c>
      <c r="D772" s="998" t="s">
        <v>1513</v>
      </c>
      <c r="E772" s="998" t="s">
        <v>2217</v>
      </c>
      <c r="F772" s="998" t="s">
        <v>3484</v>
      </c>
      <c r="G772" s="998" t="s">
        <v>1519</v>
      </c>
      <c r="H772" s="998" t="s">
        <v>1641</v>
      </c>
    </row>
    <row r="773" spans="1:8" x14ac:dyDescent="0.2">
      <c r="A773" s="1255">
        <f t="shared" ref="A773:A818" si="16">A772+VALUE("00:30")</f>
        <v>0.29166666666666663</v>
      </c>
      <c r="B773" s="998" t="s">
        <v>1519</v>
      </c>
      <c r="C773" s="998" t="s">
        <v>1641</v>
      </c>
      <c r="D773" s="998" t="s">
        <v>1511</v>
      </c>
      <c r="E773" s="998" t="s">
        <v>1512</v>
      </c>
      <c r="F773" s="998" t="s">
        <v>1513</v>
      </c>
      <c r="G773" s="998" t="s">
        <v>2217</v>
      </c>
      <c r="H773" s="998" t="s">
        <v>3484</v>
      </c>
    </row>
    <row r="774" spans="1:8" x14ac:dyDescent="0.2">
      <c r="A774" s="1255">
        <f t="shared" si="16"/>
        <v>0.31249999999999994</v>
      </c>
      <c r="B774" s="998" t="s">
        <v>1519</v>
      </c>
      <c r="C774" s="1259" t="s">
        <v>1641</v>
      </c>
      <c r="D774" s="998" t="s">
        <v>1511</v>
      </c>
      <c r="E774" s="998" t="s">
        <v>1512</v>
      </c>
      <c r="F774" s="998" t="s">
        <v>1513</v>
      </c>
      <c r="G774" s="998" t="s">
        <v>2217</v>
      </c>
      <c r="H774" s="998" t="s">
        <v>3484</v>
      </c>
    </row>
    <row r="775" spans="1:8" x14ac:dyDescent="0.2">
      <c r="A775" s="1255">
        <f t="shared" si="16"/>
        <v>0.33333333333333326</v>
      </c>
      <c r="B775" s="998" t="s">
        <v>2217</v>
      </c>
      <c r="C775" s="1259" t="s">
        <v>3484</v>
      </c>
      <c r="D775" s="998" t="s">
        <v>1519</v>
      </c>
      <c r="E775" s="998" t="s">
        <v>1641</v>
      </c>
      <c r="F775" s="998" t="s">
        <v>1511</v>
      </c>
      <c r="G775" s="998" t="s">
        <v>1512</v>
      </c>
      <c r="H775" s="998" t="s">
        <v>1513</v>
      </c>
    </row>
    <row r="776" spans="1:8" x14ac:dyDescent="0.2">
      <c r="A776" s="1255">
        <f t="shared" si="16"/>
        <v>0.35416666666666657</v>
      </c>
      <c r="B776" s="998" t="s">
        <v>2217</v>
      </c>
      <c r="C776" s="1259" t="s">
        <v>3484</v>
      </c>
      <c r="D776" s="998" t="s">
        <v>1519</v>
      </c>
      <c r="E776" s="998" t="s">
        <v>1641</v>
      </c>
      <c r="F776" s="998" t="s">
        <v>1511</v>
      </c>
      <c r="G776" s="998" t="s">
        <v>1512</v>
      </c>
      <c r="H776" s="998" t="s">
        <v>1513</v>
      </c>
    </row>
    <row r="777" spans="1:8" x14ac:dyDescent="0.2">
      <c r="A777" s="1255">
        <f t="shared" si="16"/>
        <v>0.37499999999999989</v>
      </c>
      <c r="B777" s="998" t="s">
        <v>1512</v>
      </c>
      <c r="C777" s="998" t="s">
        <v>1513</v>
      </c>
      <c r="D777" s="998" t="s">
        <v>2217</v>
      </c>
      <c r="E777" s="998" t="s">
        <v>3484</v>
      </c>
      <c r="F777" s="998" t="s">
        <v>1519</v>
      </c>
      <c r="G777" s="998" t="s">
        <v>1641</v>
      </c>
      <c r="H777" s="1259" t="s">
        <v>1511</v>
      </c>
    </row>
    <row r="778" spans="1:8" x14ac:dyDescent="0.2">
      <c r="A778" s="1255">
        <f t="shared" si="16"/>
        <v>0.3958333333333332</v>
      </c>
      <c r="B778" s="998" t="s">
        <v>1512</v>
      </c>
      <c r="C778" s="998" t="s">
        <v>1513</v>
      </c>
      <c r="D778" s="998" t="s">
        <v>2217</v>
      </c>
      <c r="E778" s="998" t="s">
        <v>3484</v>
      </c>
      <c r="F778" s="998" t="s">
        <v>1519</v>
      </c>
      <c r="G778" s="998" t="s">
        <v>1641</v>
      </c>
      <c r="H778" s="1259" t="s">
        <v>1511</v>
      </c>
    </row>
    <row r="779" spans="1:8" x14ac:dyDescent="0.2">
      <c r="A779" s="1255">
        <f t="shared" si="16"/>
        <v>0.41666666666666652</v>
      </c>
      <c r="B779" s="998" t="s">
        <v>1641</v>
      </c>
      <c r="C779" s="998" t="s">
        <v>1511</v>
      </c>
      <c r="D779" s="998" t="s">
        <v>1512</v>
      </c>
      <c r="E779" s="998" t="s">
        <v>1513</v>
      </c>
      <c r="F779" s="998" t="s">
        <v>2217</v>
      </c>
      <c r="G779" s="998" t="s">
        <v>3484</v>
      </c>
      <c r="H779" s="1259" t="s">
        <v>1519</v>
      </c>
    </row>
    <row r="780" spans="1:8" x14ac:dyDescent="0.2">
      <c r="A780" s="1255">
        <f t="shared" si="16"/>
        <v>0.43749999999999983</v>
      </c>
      <c r="B780" s="998" t="s">
        <v>1641</v>
      </c>
      <c r="C780" s="998" t="s">
        <v>1511</v>
      </c>
      <c r="D780" s="998" t="s">
        <v>1512</v>
      </c>
      <c r="E780" s="998" t="s">
        <v>1513</v>
      </c>
      <c r="F780" s="998" t="s">
        <v>2217</v>
      </c>
      <c r="G780" s="1259" t="s">
        <v>3484</v>
      </c>
      <c r="H780" s="998" t="s">
        <v>1519</v>
      </c>
    </row>
    <row r="781" spans="1:8" x14ac:dyDescent="0.2">
      <c r="A781" s="1255">
        <f t="shared" si="16"/>
        <v>0.45833333333333315</v>
      </c>
      <c r="B781" s="998" t="s">
        <v>3484</v>
      </c>
      <c r="C781" s="998" t="s">
        <v>1519</v>
      </c>
      <c r="D781" s="998" t="s">
        <v>1641</v>
      </c>
      <c r="E781" s="998" t="s">
        <v>1511</v>
      </c>
      <c r="F781" s="998" t="s">
        <v>1512</v>
      </c>
      <c r="G781" s="1259" t="s">
        <v>1513</v>
      </c>
      <c r="H781" s="998" t="s">
        <v>2217</v>
      </c>
    </row>
    <row r="782" spans="1:8" x14ac:dyDescent="0.2">
      <c r="A782" s="1255">
        <f t="shared" si="16"/>
        <v>0.47916666666666646</v>
      </c>
      <c r="B782" s="998" t="s">
        <v>3484</v>
      </c>
      <c r="C782" s="998" t="s">
        <v>1519</v>
      </c>
      <c r="D782" s="998" t="s">
        <v>1641</v>
      </c>
      <c r="E782" s="998" t="s">
        <v>1511</v>
      </c>
      <c r="F782" s="998" t="s">
        <v>1512</v>
      </c>
      <c r="G782" s="1259" t="s">
        <v>1513</v>
      </c>
      <c r="H782" s="998" t="s">
        <v>2217</v>
      </c>
    </row>
    <row r="783" spans="1:8" x14ac:dyDescent="0.2">
      <c r="A783" s="1255">
        <f t="shared" si="16"/>
        <v>0.49999999999999978</v>
      </c>
      <c r="B783" s="998" t="s">
        <v>1513</v>
      </c>
      <c r="C783" s="998" t="s">
        <v>2217</v>
      </c>
      <c r="D783" s="998" t="s">
        <v>3484</v>
      </c>
      <c r="E783" s="1259" t="s">
        <v>1519</v>
      </c>
      <c r="F783" s="998" t="s">
        <v>1641</v>
      </c>
      <c r="G783" s="998" t="s">
        <v>1511</v>
      </c>
      <c r="H783" s="998" t="s">
        <v>1512</v>
      </c>
    </row>
    <row r="784" spans="1:8" x14ac:dyDescent="0.2">
      <c r="A784" s="1255">
        <f t="shared" si="16"/>
        <v>0.52083333333333315</v>
      </c>
      <c r="B784" s="998" t="s">
        <v>1513</v>
      </c>
      <c r="C784" s="998" t="s">
        <v>2217</v>
      </c>
      <c r="D784" s="998" t="s">
        <v>3484</v>
      </c>
      <c r="E784" s="1259" t="s">
        <v>1519</v>
      </c>
      <c r="F784" s="998" t="s">
        <v>1641</v>
      </c>
      <c r="G784" s="998" t="s">
        <v>1511</v>
      </c>
      <c r="H784" s="998" t="s">
        <v>1512</v>
      </c>
    </row>
    <row r="785" spans="1:8" x14ac:dyDescent="0.2">
      <c r="A785" s="1255">
        <f t="shared" si="16"/>
        <v>0.54166666666666652</v>
      </c>
      <c r="B785" s="998" t="s">
        <v>1511</v>
      </c>
      <c r="C785" s="998" t="s">
        <v>1512</v>
      </c>
      <c r="D785" s="998" t="s">
        <v>1513</v>
      </c>
      <c r="E785" s="1259" t="s">
        <v>2217</v>
      </c>
      <c r="F785" s="998" t="s">
        <v>3484</v>
      </c>
      <c r="G785" s="998" t="s">
        <v>1519</v>
      </c>
      <c r="H785" s="998" t="s">
        <v>1641</v>
      </c>
    </row>
    <row r="786" spans="1:8" x14ac:dyDescent="0.2">
      <c r="A786" s="1255">
        <f t="shared" si="16"/>
        <v>0.56249999999999989</v>
      </c>
      <c r="B786" s="998" t="s">
        <v>1511</v>
      </c>
      <c r="C786" s="998" t="s">
        <v>1512</v>
      </c>
      <c r="D786" s="998" t="s">
        <v>1513</v>
      </c>
      <c r="E786" s="998" t="s">
        <v>2217</v>
      </c>
      <c r="F786" s="1259" t="s">
        <v>3484</v>
      </c>
      <c r="G786" s="998" t="s">
        <v>1519</v>
      </c>
      <c r="H786" s="998" t="s">
        <v>1641</v>
      </c>
    </row>
    <row r="787" spans="1:8" x14ac:dyDescent="0.2">
      <c r="A787" s="1255">
        <f t="shared" si="16"/>
        <v>0.58333333333333326</v>
      </c>
      <c r="B787" s="998" t="s">
        <v>1519</v>
      </c>
      <c r="C787" s="998" t="s">
        <v>1641</v>
      </c>
      <c r="D787" s="998" t="s">
        <v>1511</v>
      </c>
      <c r="E787" s="998" t="s">
        <v>1512</v>
      </c>
      <c r="F787" s="1259" t="s">
        <v>1513</v>
      </c>
      <c r="G787" s="998" t="s">
        <v>2217</v>
      </c>
      <c r="H787" s="998" t="s">
        <v>3484</v>
      </c>
    </row>
    <row r="788" spans="1:8" x14ac:dyDescent="0.2">
      <c r="A788" s="1255">
        <f t="shared" si="16"/>
        <v>0.60416666666666663</v>
      </c>
      <c r="B788" s="343" t="s">
        <v>1519</v>
      </c>
      <c r="C788" s="998" t="s">
        <v>1641</v>
      </c>
      <c r="D788" s="998" t="s">
        <v>1511</v>
      </c>
      <c r="E788" s="998" t="s">
        <v>1512</v>
      </c>
      <c r="F788" s="1259" t="s">
        <v>1513</v>
      </c>
      <c r="G788" s="998" t="s">
        <v>2217</v>
      </c>
      <c r="H788" s="998" t="s">
        <v>3484</v>
      </c>
    </row>
    <row r="789" spans="1:8" x14ac:dyDescent="0.2">
      <c r="A789" s="1255">
        <f t="shared" si="16"/>
        <v>0.625</v>
      </c>
      <c r="B789" s="343" t="s">
        <v>2217</v>
      </c>
      <c r="C789" s="998" t="s">
        <v>3484</v>
      </c>
      <c r="D789" s="1259" t="s">
        <v>1519</v>
      </c>
      <c r="E789" s="998" t="s">
        <v>1641</v>
      </c>
      <c r="F789" s="998" t="s">
        <v>1511</v>
      </c>
      <c r="G789" s="998" t="s">
        <v>1512</v>
      </c>
      <c r="H789" s="998" t="s">
        <v>1513</v>
      </c>
    </row>
    <row r="790" spans="1:8" x14ac:dyDescent="0.2">
      <c r="A790" s="1255">
        <f t="shared" si="16"/>
        <v>0.64583333333333337</v>
      </c>
      <c r="B790" s="343" t="s">
        <v>2217</v>
      </c>
      <c r="C790" s="998" t="s">
        <v>3484</v>
      </c>
      <c r="D790" s="1259" t="s">
        <v>1519</v>
      </c>
      <c r="E790" s="998" t="s">
        <v>1641</v>
      </c>
      <c r="F790" s="998" t="s">
        <v>1511</v>
      </c>
      <c r="G790" s="998" t="s">
        <v>1512</v>
      </c>
      <c r="H790" s="998" t="s">
        <v>1513</v>
      </c>
    </row>
    <row r="791" spans="1:8" x14ac:dyDescent="0.2">
      <c r="A791" s="1255">
        <f t="shared" si="16"/>
        <v>0.66666666666666674</v>
      </c>
      <c r="B791" s="343" t="s">
        <v>1512</v>
      </c>
      <c r="C791" s="998" t="s">
        <v>1513</v>
      </c>
      <c r="D791" s="1259" t="s">
        <v>2217</v>
      </c>
      <c r="E791" s="998" t="s">
        <v>3484</v>
      </c>
      <c r="F791" s="998" t="s">
        <v>1519</v>
      </c>
      <c r="G791" s="998" t="s">
        <v>1641</v>
      </c>
      <c r="H791" s="998" t="s">
        <v>1511</v>
      </c>
    </row>
    <row r="792" spans="1:8" x14ac:dyDescent="0.2">
      <c r="A792" s="1255">
        <f t="shared" si="16"/>
        <v>0.68750000000000011</v>
      </c>
      <c r="B792" s="1257" t="s">
        <v>1512</v>
      </c>
      <c r="C792" s="998" t="s">
        <v>1513</v>
      </c>
      <c r="D792" s="998" t="s">
        <v>2217</v>
      </c>
      <c r="E792" s="998" t="s">
        <v>3484</v>
      </c>
      <c r="F792" s="998" t="s">
        <v>1519</v>
      </c>
      <c r="G792" s="998" t="s">
        <v>1641</v>
      </c>
      <c r="H792" s="998" t="s">
        <v>1511</v>
      </c>
    </row>
    <row r="793" spans="1:8" x14ac:dyDescent="0.2">
      <c r="A793" s="1255">
        <f t="shared" si="16"/>
        <v>0.70833333333333348</v>
      </c>
      <c r="B793" s="1257" t="s">
        <v>1641</v>
      </c>
      <c r="C793" s="998" t="s">
        <v>1511</v>
      </c>
      <c r="D793" s="998" t="s">
        <v>1512</v>
      </c>
      <c r="E793" s="998" t="s">
        <v>1513</v>
      </c>
      <c r="F793" s="998" t="s">
        <v>2217</v>
      </c>
      <c r="G793" s="998" t="s">
        <v>3484</v>
      </c>
      <c r="H793" s="998" t="s">
        <v>1519</v>
      </c>
    </row>
    <row r="794" spans="1:8" ht="13.5" thickBot="1" x14ac:dyDescent="0.25">
      <c r="A794" s="1255">
        <f t="shared" si="16"/>
        <v>0.72916666666666685</v>
      </c>
      <c r="B794" s="1258" t="s">
        <v>1641</v>
      </c>
      <c r="C794" s="1178" t="s">
        <v>1511</v>
      </c>
      <c r="D794" s="1178" t="s">
        <v>1512</v>
      </c>
      <c r="E794" s="1178" t="s">
        <v>1513</v>
      </c>
      <c r="F794" s="1178" t="s">
        <v>2217</v>
      </c>
      <c r="G794" s="1178" t="s">
        <v>3484</v>
      </c>
      <c r="H794" s="1178" t="s">
        <v>1519</v>
      </c>
    </row>
    <row r="795" spans="1:8" ht="13.5" thickTop="1" x14ac:dyDescent="0.2">
      <c r="A795" s="1255">
        <f t="shared" si="16"/>
        <v>0.75000000000000022</v>
      </c>
      <c r="B795" s="1256" t="s">
        <v>3484</v>
      </c>
      <c r="C795" s="1256" t="s">
        <v>1519</v>
      </c>
      <c r="D795" s="1256" t="s">
        <v>1641</v>
      </c>
      <c r="E795" s="1261" t="s">
        <v>1511</v>
      </c>
      <c r="F795" s="1256" t="s">
        <v>1512</v>
      </c>
      <c r="G795" s="1256" t="s">
        <v>1513</v>
      </c>
      <c r="H795" s="1256" t="s">
        <v>2217</v>
      </c>
    </row>
    <row r="796" spans="1:8" x14ac:dyDescent="0.2">
      <c r="A796" s="1255">
        <f t="shared" si="16"/>
        <v>0.77083333333333359</v>
      </c>
      <c r="B796" s="998" t="s">
        <v>3484</v>
      </c>
      <c r="C796" s="998" t="s">
        <v>1519</v>
      </c>
      <c r="D796" s="998" t="s">
        <v>1641</v>
      </c>
      <c r="E796" s="1259" t="s">
        <v>1511</v>
      </c>
      <c r="F796" s="998" t="s">
        <v>1512</v>
      </c>
      <c r="G796" s="998" t="s">
        <v>1513</v>
      </c>
      <c r="H796" s="998" t="s">
        <v>2217</v>
      </c>
    </row>
    <row r="797" spans="1:8" x14ac:dyDescent="0.2">
      <c r="A797" s="1255">
        <f t="shared" si="16"/>
        <v>0.79166666666666696</v>
      </c>
      <c r="B797" s="998" t="s">
        <v>1513</v>
      </c>
      <c r="C797" s="998" t="s">
        <v>2217</v>
      </c>
      <c r="D797" s="998" t="s">
        <v>3484</v>
      </c>
      <c r="E797" s="1259" t="s">
        <v>1519</v>
      </c>
      <c r="F797" s="998" t="s">
        <v>1641</v>
      </c>
      <c r="G797" s="998" t="s">
        <v>1511</v>
      </c>
      <c r="H797" s="998" t="s">
        <v>1512</v>
      </c>
    </row>
    <row r="798" spans="1:8" x14ac:dyDescent="0.2">
      <c r="A798" s="1255">
        <f t="shared" si="16"/>
        <v>0.81250000000000033</v>
      </c>
      <c r="B798" s="998" t="s">
        <v>1513</v>
      </c>
      <c r="C798" s="998" t="s">
        <v>2217</v>
      </c>
      <c r="D798" s="998" t="s">
        <v>3484</v>
      </c>
      <c r="E798" s="998" t="s">
        <v>1519</v>
      </c>
      <c r="F798" s="1259" t="s">
        <v>1641</v>
      </c>
      <c r="G798" s="998" t="s">
        <v>1511</v>
      </c>
      <c r="H798" s="998" t="s">
        <v>1512</v>
      </c>
    </row>
    <row r="799" spans="1:8" x14ac:dyDescent="0.2">
      <c r="A799" s="1255">
        <f t="shared" si="16"/>
        <v>0.8333333333333337</v>
      </c>
      <c r="B799" s="998" t="s">
        <v>1511</v>
      </c>
      <c r="C799" s="998" t="s">
        <v>1512</v>
      </c>
      <c r="D799" s="998" t="s">
        <v>1513</v>
      </c>
      <c r="E799" s="998" t="s">
        <v>2217</v>
      </c>
      <c r="F799" s="1259" t="s">
        <v>3484</v>
      </c>
      <c r="G799" s="998" t="s">
        <v>1519</v>
      </c>
      <c r="H799" s="998" t="s">
        <v>1641</v>
      </c>
    </row>
    <row r="800" spans="1:8" x14ac:dyDescent="0.2">
      <c r="A800" s="1255">
        <f t="shared" si="16"/>
        <v>0.85416666666666707</v>
      </c>
      <c r="B800" s="998" t="s">
        <v>1511</v>
      </c>
      <c r="C800" s="998" t="s">
        <v>1512</v>
      </c>
      <c r="D800" s="998" t="s">
        <v>1513</v>
      </c>
      <c r="E800" s="998" t="s">
        <v>2217</v>
      </c>
      <c r="F800" s="1259" t="s">
        <v>3484</v>
      </c>
      <c r="G800" s="998" t="s">
        <v>1519</v>
      </c>
      <c r="H800" s="998" t="s">
        <v>1641</v>
      </c>
    </row>
    <row r="801" spans="1:8" x14ac:dyDescent="0.2">
      <c r="A801" s="1255">
        <f t="shared" si="16"/>
        <v>0.87500000000000044</v>
      </c>
      <c r="B801" s="998" t="s">
        <v>1519</v>
      </c>
      <c r="C801" s="998" t="s">
        <v>1641</v>
      </c>
      <c r="D801" s="1259" t="s">
        <v>1511</v>
      </c>
      <c r="E801" s="998" t="s">
        <v>1512</v>
      </c>
      <c r="F801" s="998" t="s">
        <v>1513</v>
      </c>
      <c r="G801" s="998" t="s">
        <v>2217</v>
      </c>
      <c r="H801" s="998" t="s">
        <v>3484</v>
      </c>
    </row>
    <row r="802" spans="1:8" x14ac:dyDescent="0.2">
      <c r="A802" s="1255">
        <f t="shared" si="16"/>
        <v>0.89583333333333381</v>
      </c>
      <c r="B802" s="998" t="s">
        <v>1519</v>
      </c>
      <c r="C802" s="998" t="s">
        <v>1641</v>
      </c>
      <c r="D802" s="1259" t="s">
        <v>1511</v>
      </c>
      <c r="E802" s="998" t="s">
        <v>1512</v>
      </c>
      <c r="F802" s="998" t="s">
        <v>1513</v>
      </c>
      <c r="G802" s="998" t="s">
        <v>2217</v>
      </c>
      <c r="H802" s="998" t="s">
        <v>3484</v>
      </c>
    </row>
    <row r="803" spans="1:8" x14ac:dyDescent="0.2">
      <c r="A803" s="1255">
        <f t="shared" si="16"/>
        <v>0.91666666666666718</v>
      </c>
      <c r="B803" s="998" t="s">
        <v>2217</v>
      </c>
      <c r="C803" s="998" t="s">
        <v>3484</v>
      </c>
      <c r="D803" s="1259" t="s">
        <v>1519</v>
      </c>
      <c r="E803" s="998" t="s">
        <v>1641</v>
      </c>
      <c r="F803" s="998" t="s">
        <v>1511</v>
      </c>
      <c r="G803" s="998" t="s">
        <v>1512</v>
      </c>
      <c r="H803" s="998" t="s">
        <v>1513</v>
      </c>
    </row>
    <row r="804" spans="1:8" x14ac:dyDescent="0.2">
      <c r="A804" s="1255">
        <f t="shared" si="16"/>
        <v>0.93750000000000056</v>
      </c>
      <c r="B804" s="1259" t="s">
        <v>2217</v>
      </c>
      <c r="C804" s="998" t="s">
        <v>3484</v>
      </c>
      <c r="D804" s="998" t="s">
        <v>1519</v>
      </c>
      <c r="E804" s="998" t="s">
        <v>1641</v>
      </c>
      <c r="F804" s="998" t="s">
        <v>1511</v>
      </c>
      <c r="G804" s="998" t="s">
        <v>1512</v>
      </c>
      <c r="H804" s="998" t="s">
        <v>1513</v>
      </c>
    </row>
    <row r="805" spans="1:8" x14ac:dyDescent="0.2">
      <c r="A805" s="1255">
        <f t="shared" si="16"/>
        <v>0.95833333333333393</v>
      </c>
      <c r="B805" s="1259" t="s">
        <v>1512</v>
      </c>
      <c r="C805" s="998" t="s">
        <v>1513</v>
      </c>
      <c r="D805" s="998" t="s">
        <v>2217</v>
      </c>
      <c r="E805" s="998" t="s">
        <v>3484</v>
      </c>
      <c r="F805" s="998" t="s">
        <v>1519</v>
      </c>
      <c r="G805" s="998" t="s">
        <v>1641</v>
      </c>
      <c r="H805" s="998" t="s">
        <v>1511</v>
      </c>
    </row>
    <row r="806" spans="1:8" x14ac:dyDescent="0.2">
      <c r="A806" s="1255">
        <f t="shared" si="16"/>
        <v>0.9791666666666673</v>
      </c>
      <c r="B806" s="1259" t="s">
        <v>1512</v>
      </c>
      <c r="C806" s="998" t="s">
        <v>1513</v>
      </c>
      <c r="D806" s="998" t="s">
        <v>2217</v>
      </c>
      <c r="E806" s="998" t="s">
        <v>3484</v>
      </c>
      <c r="F806" s="998" t="s">
        <v>1519</v>
      </c>
      <c r="G806" s="998" t="s">
        <v>1641</v>
      </c>
      <c r="H806" s="998" t="s">
        <v>1511</v>
      </c>
    </row>
    <row r="807" spans="1:8" x14ac:dyDescent="0.2">
      <c r="A807" s="1255">
        <f t="shared" si="16"/>
        <v>1.0000000000000007</v>
      </c>
      <c r="B807" s="998" t="s">
        <v>1641</v>
      </c>
      <c r="C807" s="998" t="s">
        <v>1511</v>
      </c>
      <c r="D807" s="998" t="s">
        <v>1512</v>
      </c>
      <c r="E807" s="998" t="s">
        <v>1513</v>
      </c>
      <c r="F807" s="998" t="s">
        <v>2217</v>
      </c>
      <c r="G807" s="998" t="s">
        <v>3484</v>
      </c>
      <c r="H807" s="998" t="s">
        <v>1519</v>
      </c>
    </row>
    <row r="808" spans="1:8" x14ac:dyDescent="0.2">
      <c r="A808" s="1255">
        <f t="shared" si="16"/>
        <v>1.0208333333333339</v>
      </c>
      <c r="B808" s="998" t="s">
        <v>1641</v>
      </c>
      <c r="C808" s="998" t="s">
        <v>1511</v>
      </c>
      <c r="D808" s="998" t="s">
        <v>1512</v>
      </c>
      <c r="E808" s="998" t="s">
        <v>1513</v>
      </c>
      <c r="F808" s="998" t="s">
        <v>2217</v>
      </c>
      <c r="G808" s="998" t="s">
        <v>3484</v>
      </c>
      <c r="H808" s="998" t="s">
        <v>1519</v>
      </c>
    </row>
    <row r="809" spans="1:8" x14ac:dyDescent="0.2">
      <c r="A809" s="1255">
        <f t="shared" si="16"/>
        <v>1.0416666666666672</v>
      </c>
      <c r="B809" s="998" t="s">
        <v>3484</v>
      </c>
      <c r="C809" s="998" t="s">
        <v>1519</v>
      </c>
      <c r="D809" s="998" t="s">
        <v>1641</v>
      </c>
      <c r="E809" s="998" t="s">
        <v>1511</v>
      </c>
      <c r="F809" s="998" t="s">
        <v>1512</v>
      </c>
      <c r="G809" s="998" t="s">
        <v>1513</v>
      </c>
      <c r="H809" s="998" t="s">
        <v>2217</v>
      </c>
    </row>
    <row r="810" spans="1:8" x14ac:dyDescent="0.2">
      <c r="A810" s="1255">
        <f t="shared" si="16"/>
        <v>1.0625000000000004</v>
      </c>
      <c r="B810" s="998" t="s">
        <v>3484</v>
      </c>
      <c r="C810" s="1259" t="s">
        <v>1519</v>
      </c>
      <c r="D810" s="998" t="s">
        <v>1641</v>
      </c>
      <c r="E810" s="998" t="s">
        <v>1511</v>
      </c>
      <c r="F810" s="998" t="s">
        <v>1512</v>
      </c>
      <c r="G810" s="998" t="s">
        <v>1513</v>
      </c>
      <c r="H810" s="998" t="s">
        <v>2217</v>
      </c>
    </row>
    <row r="811" spans="1:8" x14ac:dyDescent="0.2">
      <c r="A811" s="1255">
        <f t="shared" si="16"/>
        <v>1.0833333333333337</v>
      </c>
      <c r="B811" s="998" t="s">
        <v>1513</v>
      </c>
      <c r="C811" s="1259" t="s">
        <v>2217</v>
      </c>
      <c r="D811" s="998" t="s">
        <v>3484</v>
      </c>
      <c r="E811" s="998" t="s">
        <v>1519</v>
      </c>
      <c r="F811" s="998" t="s">
        <v>1641</v>
      </c>
      <c r="G811" s="998" t="s">
        <v>1511</v>
      </c>
      <c r="H811" s="998" t="s">
        <v>1512</v>
      </c>
    </row>
    <row r="812" spans="1:8" x14ac:dyDescent="0.2">
      <c r="A812" s="1255">
        <f t="shared" si="16"/>
        <v>1.104166666666667</v>
      </c>
      <c r="B812" s="998" t="s">
        <v>1513</v>
      </c>
      <c r="C812" s="1259" t="s">
        <v>2217</v>
      </c>
      <c r="D812" s="998" t="s">
        <v>3484</v>
      </c>
      <c r="E812" s="998" t="s">
        <v>1519</v>
      </c>
      <c r="F812" s="998" t="s">
        <v>1641</v>
      </c>
      <c r="G812" s="998" t="s">
        <v>1511</v>
      </c>
      <c r="H812" s="998" t="s">
        <v>1512</v>
      </c>
    </row>
    <row r="813" spans="1:8" x14ac:dyDescent="0.2">
      <c r="A813" s="1255">
        <f t="shared" si="16"/>
        <v>1.1250000000000002</v>
      </c>
      <c r="B813" s="998" t="s">
        <v>1511</v>
      </c>
      <c r="C813" s="998" t="s">
        <v>1512</v>
      </c>
      <c r="D813" s="998" t="s">
        <v>1513</v>
      </c>
      <c r="E813" s="998" t="s">
        <v>2217</v>
      </c>
      <c r="F813" s="998" t="s">
        <v>3484</v>
      </c>
      <c r="G813" s="998" t="s">
        <v>1519</v>
      </c>
      <c r="H813" s="1259" t="s">
        <v>1641</v>
      </c>
    </row>
    <row r="814" spans="1:8" x14ac:dyDescent="0.2">
      <c r="A814" s="1255">
        <f t="shared" si="16"/>
        <v>1.1458333333333335</v>
      </c>
      <c r="B814" s="998" t="s">
        <v>1511</v>
      </c>
      <c r="C814" s="998" t="s">
        <v>1512</v>
      </c>
      <c r="D814" s="998" t="s">
        <v>1513</v>
      </c>
      <c r="E814" s="998" t="s">
        <v>2217</v>
      </c>
      <c r="F814" s="998" t="s">
        <v>3484</v>
      </c>
      <c r="G814" s="998" t="s">
        <v>1519</v>
      </c>
      <c r="H814" s="1259" t="s">
        <v>1641</v>
      </c>
    </row>
    <row r="815" spans="1:8" x14ac:dyDescent="0.2">
      <c r="A815" s="1255">
        <f t="shared" si="16"/>
        <v>1.1666666666666667</v>
      </c>
      <c r="B815" s="998" t="s">
        <v>1519</v>
      </c>
      <c r="C815" s="998" t="s">
        <v>1641</v>
      </c>
      <c r="D815" s="998" t="s">
        <v>1511</v>
      </c>
      <c r="E815" s="998" t="s">
        <v>1512</v>
      </c>
      <c r="F815" s="998" t="s">
        <v>1513</v>
      </c>
      <c r="G815" s="998" t="s">
        <v>2217</v>
      </c>
      <c r="H815" s="1259" t="s">
        <v>3484</v>
      </c>
    </row>
    <row r="816" spans="1:8" x14ac:dyDescent="0.2">
      <c r="A816" s="1255">
        <f t="shared" si="16"/>
        <v>1.1875</v>
      </c>
      <c r="B816" s="998" t="s">
        <v>1519</v>
      </c>
      <c r="C816" s="998" t="s">
        <v>1641</v>
      </c>
      <c r="D816" s="998" t="s">
        <v>1511</v>
      </c>
      <c r="E816" s="998" t="s">
        <v>1512</v>
      </c>
      <c r="F816" s="998" t="s">
        <v>1513</v>
      </c>
      <c r="G816" s="1259" t="s">
        <v>2217</v>
      </c>
      <c r="H816" s="998" t="s">
        <v>3484</v>
      </c>
    </row>
    <row r="817" spans="1:8" x14ac:dyDescent="0.2">
      <c r="A817" s="1255">
        <f t="shared" si="16"/>
        <v>1.2083333333333333</v>
      </c>
      <c r="B817" s="998" t="s">
        <v>2217</v>
      </c>
      <c r="C817" s="998" t="s">
        <v>3484</v>
      </c>
      <c r="D817" s="998" t="s">
        <v>1519</v>
      </c>
      <c r="E817" s="998" t="s">
        <v>1641</v>
      </c>
      <c r="F817" s="998" t="s">
        <v>1511</v>
      </c>
      <c r="G817" s="1259" t="s">
        <v>1512</v>
      </c>
      <c r="H817" s="998" t="s">
        <v>1513</v>
      </c>
    </row>
    <row r="818" spans="1:8" ht="13.5" thickBot="1" x14ac:dyDescent="0.25">
      <c r="A818" s="1255">
        <f t="shared" si="16"/>
        <v>1.2291666666666665</v>
      </c>
      <c r="B818" s="1178" t="s">
        <v>2217</v>
      </c>
      <c r="C818" s="1178" t="s">
        <v>3484</v>
      </c>
      <c r="D818" s="1178" t="s">
        <v>1519</v>
      </c>
      <c r="E818" s="1178" t="s">
        <v>1641</v>
      </c>
      <c r="F818" s="1178" t="s">
        <v>1511</v>
      </c>
      <c r="G818" s="1262" t="s">
        <v>1512</v>
      </c>
      <c r="H818" s="1178" t="s">
        <v>1513</v>
      </c>
    </row>
    <row r="819" spans="1:8" ht="13.5" thickTop="1" x14ac:dyDescent="0.2">
      <c r="A819" s="1254" t="s">
        <v>4341</v>
      </c>
      <c r="E819" s="331"/>
    </row>
    <row r="820" spans="1:8" x14ac:dyDescent="0.2">
      <c r="E820" s="331"/>
    </row>
    <row r="821" spans="1:8" x14ac:dyDescent="0.2">
      <c r="A821" s="331" t="s">
        <v>4490</v>
      </c>
      <c r="B821" s="331" t="s">
        <v>4491</v>
      </c>
      <c r="E821" s="331"/>
    </row>
    <row r="822" spans="1:8" x14ac:dyDescent="0.2">
      <c r="A822" s="1330">
        <v>0</v>
      </c>
      <c r="B822" s="1330" t="s">
        <v>4492</v>
      </c>
      <c r="C822" s="338"/>
      <c r="E822" s="331"/>
    </row>
    <row r="823" spans="1:8" x14ac:dyDescent="0.2">
      <c r="A823" s="1329">
        <v>13.33</v>
      </c>
      <c r="B823" s="1329" t="s">
        <v>1583</v>
      </c>
      <c r="E823" s="331"/>
    </row>
    <row r="824" spans="1:8" x14ac:dyDescent="0.2">
      <c r="A824" s="1330">
        <v>26.67</v>
      </c>
      <c r="B824" s="1330" t="s">
        <v>2122</v>
      </c>
      <c r="E824" s="331"/>
    </row>
    <row r="825" spans="1:8" x14ac:dyDescent="0.2">
      <c r="A825" s="1330">
        <v>30</v>
      </c>
      <c r="B825" s="1330" t="s">
        <v>4493</v>
      </c>
      <c r="E825" s="331"/>
    </row>
    <row r="826" spans="1:8" x14ac:dyDescent="0.2">
      <c r="A826" s="1329">
        <v>40</v>
      </c>
      <c r="B826" s="1329" t="s">
        <v>1584</v>
      </c>
      <c r="E826" s="331"/>
    </row>
    <row r="827" spans="1:8" x14ac:dyDescent="0.2">
      <c r="A827" s="1330">
        <v>53.33</v>
      </c>
      <c r="B827" s="1330" t="s">
        <v>2180</v>
      </c>
      <c r="E827" s="331"/>
    </row>
    <row r="828" spans="1:8" x14ac:dyDescent="0.2">
      <c r="A828" s="1330">
        <v>60</v>
      </c>
      <c r="B828" s="1330" t="s">
        <v>802</v>
      </c>
      <c r="E828" s="331"/>
    </row>
    <row r="829" spans="1:8" x14ac:dyDescent="0.2">
      <c r="A829" s="1329">
        <v>66.67</v>
      </c>
      <c r="B829" s="1329" t="s">
        <v>1528</v>
      </c>
      <c r="E829" s="331"/>
    </row>
    <row r="830" spans="1:8" x14ac:dyDescent="0.2">
      <c r="A830" s="1330">
        <v>80</v>
      </c>
      <c r="B830" s="1330" t="s">
        <v>1586</v>
      </c>
      <c r="E830" s="331"/>
    </row>
    <row r="831" spans="1:8" x14ac:dyDescent="0.2">
      <c r="A831" s="1330">
        <v>90</v>
      </c>
      <c r="B831" s="1330" t="s">
        <v>803</v>
      </c>
      <c r="E831" s="331"/>
    </row>
    <row r="832" spans="1:8" x14ac:dyDescent="0.2">
      <c r="A832" s="1329">
        <v>93.33</v>
      </c>
      <c r="B832" s="1329" t="s">
        <v>1523</v>
      </c>
      <c r="E832" s="331"/>
    </row>
    <row r="833" spans="1:5" x14ac:dyDescent="0.2">
      <c r="A833" s="1330">
        <v>106.67</v>
      </c>
      <c r="B833" s="1330" t="s">
        <v>1587</v>
      </c>
      <c r="E833" s="331"/>
    </row>
    <row r="834" spans="1:5" x14ac:dyDescent="0.2">
      <c r="A834" s="1329">
        <v>120</v>
      </c>
      <c r="B834" s="1329" t="s">
        <v>4494</v>
      </c>
      <c r="E834" s="331"/>
    </row>
    <row r="835" spans="1:5" x14ac:dyDescent="0.2">
      <c r="A835" s="1330">
        <v>133.33000000000001</v>
      </c>
      <c r="B835" s="1330" t="s">
        <v>2228</v>
      </c>
      <c r="E835" s="331"/>
    </row>
    <row r="836" spans="1:5" x14ac:dyDescent="0.2">
      <c r="A836" s="1329">
        <v>146.66999999999999</v>
      </c>
      <c r="B836" s="1329" t="s">
        <v>2233</v>
      </c>
      <c r="E836" s="331"/>
    </row>
    <row r="837" spans="1:5" x14ac:dyDescent="0.2">
      <c r="A837" s="1329">
        <v>150</v>
      </c>
      <c r="B837" s="1329" t="s">
        <v>805</v>
      </c>
      <c r="E837" s="331"/>
    </row>
    <row r="838" spans="1:5" x14ac:dyDescent="0.2">
      <c r="A838" s="1330">
        <v>160</v>
      </c>
      <c r="B838" s="1330" t="s">
        <v>1591</v>
      </c>
      <c r="E838" s="331"/>
    </row>
    <row r="839" spans="1:5" x14ac:dyDescent="0.2">
      <c r="A839" s="1329">
        <v>173.33</v>
      </c>
      <c r="B839" s="1329" t="s">
        <v>1592</v>
      </c>
      <c r="E839" s="331"/>
    </row>
    <row r="840" spans="1:5" x14ac:dyDescent="0.2">
      <c r="A840" s="1329">
        <v>180</v>
      </c>
      <c r="B840" s="1329" t="s">
        <v>806</v>
      </c>
      <c r="E840" s="331"/>
    </row>
    <row r="841" spans="1:5" x14ac:dyDescent="0.2">
      <c r="A841" s="1330">
        <v>186.67</v>
      </c>
      <c r="B841" s="1330" t="s">
        <v>1535</v>
      </c>
      <c r="E841" s="331"/>
    </row>
    <row r="842" spans="1:5" x14ac:dyDescent="0.2">
      <c r="A842" s="1329">
        <v>200</v>
      </c>
      <c r="B842" s="1329" t="s">
        <v>2260</v>
      </c>
    </row>
    <row r="843" spans="1:5" x14ac:dyDescent="0.2">
      <c r="A843" s="1329">
        <v>210</v>
      </c>
      <c r="B843" s="1329" t="s">
        <v>4495</v>
      </c>
    </row>
    <row r="844" spans="1:5" x14ac:dyDescent="0.2">
      <c r="A844" s="1330">
        <v>213.33</v>
      </c>
      <c r="B844" s="1330" t="s">
        <v>1526</v>
      </c>
    </row>
    <row r="845" spans="1:5" x14ac:dyDescent="0.2">
      <c r="A845" s="1329">
        <v>226.67</v>
      </c>
      <c r="B845" s="1329" t="s">
        <v>2274</v>
      </c>
    </row>
    <row r="846" spans="1:5" x14ac:dyDescent="0.2">
      <c r="A846" s="1330">
        <v>240</v>
      </c>
      <c r="B846" s="1330" t="s">
        <v>4496</v>
      </c>
    </row>
    <row r="847" spans="1:5" x14ac:dyDescent="0.2">
      <c r="A847" s="1329">
        <v>253.33</v>
      </c>
      <c r="B847" s="1329" t="s">
        <v>2286</v>
      </c>
    </row>
    <row r="848" spans="1:5" x14ac:dyDescent="0.2">
      <c r="A848" s="1330">
        <v>266.67</v>
      </c>
      <c r="B848" s="1330" t="s">
        <v>2293</v>
      </c>
    </row>
    <row r="849" spans="1:14" x14ac:dyDescent="0.2">
      <c r="A849" s="1332">
        <v>270</v>
      </c>
      <c r="B849" s="1332" t="s">
        <v>809</v>
      </c>
    </row>
    <row r="850" spans="1:14" ht="15" x14ac:dyDescent="0.2">
      <c r="A850" s="1331">
        <v>276.67</v>
      </c>
      <c r="B850" s="1331" t="s">
        <v>1897</v>
      </c>
    </row>
    <row r="851" spans="1:14" x14ac:dyDescent="0.2">
      <c r="A851" s="1330">
        <v>280</v>
      </c>
      <c r="B851" s="1330" t="s">
        <v>2301</v>
      </c>
    </row>
    <row r="852" spans="1:14" x14ac:dyDescent="0.2">
      <c r="A852" s="1329">
        <v>293.33</v>
      </c>
      <c r="B852" s="1329" t="s">
        <v>2307</v>
      </c>
    </row>
    <row r="853" spans="1:14" x14ac:dyDescent="0.2">
      <c r="A853" s="1329">
        <v>300</v>
      </c>
      <c r="B853" s="1329" t="s">
        <v>810</v>
      </c>
    </row>
    <row r="854" spans="1:14" x14ac:dyDescent="0.2">
      <c r="A854" s="1330">
        <v>306.67</v>
      </c>
      <c r="B854" s="1330" t="s">
        <v>2314</v>
      </c>
    </row>
    <row r="855" spans="1:14" x14ac:dyDescent="0.2">
      <c r="A855" s="1329">
        <v>320</v>
      </c>
      <c r="B855" s="1329" t="s">
        <v>2320</v>
      </c>
    </row>
    <row r="856" spans="1:14" x14ac:dyDescent="0.2">
      <c r="A856" s="1329">
        <v>330</v>
      </c>
      <c r="B856" s="1329" t="s">
        <v>811</v>
      </c>
    </row>
    <row r="857" spans="1:14" x14ac:dyDescent="0.2">
      <c r="A857" s="1330">
        <v>333.33</v>
      </c>
      <c r="B857" s="1330" t="s">
        <v>2325</v>
      </c>
    </row>
    <row r="858" spans="1:14" x14ac:dyDescent="0.2">
      <c r="A858" s="1329">
        <v>346.67</v>
      </c>
      <c r="B858" s="1329" t="s">
        <v>1532</v>
      </c>
    </row>
    <row r="860" spans="1:14" ht="15.75" thickBot="1" x14ac:dyDescent="0.25">
      <c r="A860" s="1409"/>
      <c r="B860"/>
      <c r="C860"/>
      <c r="D860"/>
      <c r="E860"/>
      <c r="F860"/>
      <c r="G860"/>
      <c r="H860"/>
      <c r="I860"/>
      <c r="J860"/>
      <c r="K860"/>
      <c r="L860"/>
      <c r="M860"/>
      <c r="N860"/>
    </row>
    <row r="861" spans="1:14" ht="15" thickBot="1" x14ac:dyDescent="0.25">
      <c r="A861" s="1410" t="s">
        <v>4688</v>
      </c>
      <c r="B861" s="1411" t="s">
        <v>4689</v>
      </c>
      <c r="C861" s="1411" t="s">
        <v>4690</v>
      </c>
      <c r="D861" s="1411" t="s">
        <v>4691</v>
      </c>
      <c r="E861" s="1411" t="s">
        <v>2132</v>
      </c>
      <c r="F861" s="1411" t="s">
        <v>4692</v>
      </c>
      <c r="G861" s="1411" t="s">
        <v>4693</v>
      </c>
      <c r="H861" s="1411" t="s">
        <v>4694</v>
      </c>
      <c r="I861" s="1411" t="s">
        <v>4695</v>
      </c>
      <c r="J861" s="1411" t="s">
        <v>2125</v>
      </c>
      <c r="K861" s="1411" t="s">
        <v>4696</v>
      </c>
      <c r="L861" s="1411" t="s">
        <v>4697</v>
      </c>
      <c r="M861" s="1411" t="s">
        <v>4698</v>
      </c>
      <c r="N861" s="1412" t="s">
        <v>1600</v>
      </c>
    </row>
    <row r="862" spans="1:14" ht="15" thickBot="1" x14ac:dyDescent="0.25">
      <c r="A862" s="1410" t="s">
        <v>4699</v>
      </c>
      <c r="B862" s="1413">
        <v>0.75</v>
      </c>
      <c r="C862" s="1414">
        <v>1</v>
      </c>
      <c r="D862" s="1414">
        <v>1</v>
      </c>
      <c r="E862" s="1414">
        <v>1</v>
      </c>
      <c r="F862" s="1415">
        <v>0.5</v>
      </c>
      <c r="G862" s="1415">
        <v>0.25</v>
      </c>
      <c r="H862" s="1415">
        <v>0.25</v>
      </c>
      <c r="I862" s="1415">
        <v>0.25</v>
      </c>
      <c r="J862" s="1414">
        <v>1</v>
      </c>
      <c r="K862" s="1414">
        <v>1</v>
      </c>
      <c r="L862" s="1414">
        <v>1</v>
      </c>
      <c r="M862" s="1416">
        <v>0</v>
      </c>
      <c r="N862" s="1412">
        <v>8</v>
      </c>
    </row>
    <row r="863" spans="1:14" ht="15" thickBot="1" x14ac:dyDescent="0.25">
      <c r="A863" s="1410" t="s">
        <v>3244</v>
      </c>
      <c r="B863" s="1417">
        <v>0.5</v>
      </c>
      <c r="C863" s="1410">
        <v>1</v>
      </c>
      <c r="D863" s="1418">
        <v>0.5</v>
      </c>
      <c r="E863" s="1410">
        <v>1</v>
      </c>
      <c r="F863" s="1410">
        <v>1</v>
      </c>
      <c r="G863" s="1418">
        <v>0.5</v>
      </c>
      <c r="H863" s="1418">
        <v>0.25</v>
      </c>
      <c r="I863" s="1418">
        <v>0.5</v>
      </c>
      <c r="J863" s="1410">
        <v>1</v>
      </c>
      <c r="K863" s="1418">
        <v>0.75</v>
      </c>
      <c r="L863" s="1410">
        <v>1</v>
      </c>
      <c r="M863" s="1419">
        <v>0</v>
      </c>
      <c r="N863" s="1412">
        <v>8</v>
      </c>
    </row>
    <row r="864" spans="1:14" ht="15" thickBot="1" x14ac:dyDescent="0.25">
      <c r="A864" s="1410" t="s">
        <v>3245</v>
      </c>
      <c r="B864" s="1420">
        <v>1</v>
      </c>
      <c r="C864" s="1418">
        <v>0</v>
      </c>
      <c r="D864" s="1410">
        <v>1</v>
      </c>
      <c r="E864" s="1418">
        <v>0.75</v>
      </c>
      <c r="F864" s="1418">
        <v>0.75</v>
      </c>
      <c r="G864" s="1418">
        <v>0.25</v>
      </c>
      <c r="H864" s="1418">
        <v>0.75</v>
      </c>
      <c r="I864" s="1418">
        <v>0</v>
      </c>
      <c r="J864" s="1418">
        <v>0.75</v>
      </c>
      <c r="K864" s="1418">
        <v>0.75</v>
      </c>
      <c r="L864" s="1418">
        <v>0.75</v>
      </c>
      <c r="M864" s="1419">
        <v>0.25</v>
      </c>
      <c r="N864" s="1412">
        <v>7</v>
      </c>
    </row>
    <row r="865" spans="1:14" ht="15" thickBot="1" x14ac:dyDescent="0.25">
      <c r="A865" s="1410" t="s">
        <v>3246</v>
      </c>
      <c r="B865" s="1420">
        <v>1</v>
      </c>
      <c r="C865" s="1418">
        <v>0.75</v>
      </c>
      <c r="D865" s="1410">
        <v>1</v>
      </c>
      <c r="E865" s="1410">
        <v>1</v>
      </c>
      <c r="F865" s="1410">
        <v>1</v>
      </c>
      <c r="G865" s="1418">
        <v>0</v>
      </c>
      <c r="H865" s="1418">
        <v>0.75</v>
      </c>
      <c r="I865" s="1418">
        <v>0</v>
      </c>
      <c r="J865" s="1410">
        <v>1</v>
      </c>
      <c r="K865" s="1410">
        <v>1</v>
      </c>
      <c r="L865" s="1418">
        <v>0.75</v>
      </c>
      <c r="M865" s="1419">
        <v>0</v>
      </c>
      <c r="N865" s="1412">
        <v>8.25</v>
      </c>
    </row>
    <row r="866" spans="1:14" ht="15" thickBot="1" x14ac:dyDescent="0.25">
      <c r="A866" s="1410" t="s">
        <v>3247</v>
      </c>
      <c r="B866" s="1417">
        <v>0.75</v>
      </c>
      <c r="C866" s="1410">
        <v>1</v>
      </c>
      <c r="D866" s="1418">
        <v>0.75</v>
      </c>
      <c r="E866" s="1410">
        <v>1</v>
      </c>
      <c r="F866" s="1418">
        <v>0.75</v>
      </c>
      <c r="G866" s="1418">
        <v>0</v>
      </c>
      <c r="H866" s="1410">
        <v>1</v>
      </c>
      <c r="I866" s="1418">
        <v>0</v>
      </c>
      <c r="J866" s="1410">
        <v>1</v>
      </c>
      <c r="K866" s="1410">
        <v>1</v>
      </c>
      <c r="L866" s="1410">
        <v>1</v>
      </c>
      <c r="M866" s="1419">
        <v>0</v>
      </c>
      <c r="N866" s="1412">
        <v>8.25</v>
      </c>
    </row>
    <row r="867" spans="1:14" ht="15" thickBot="1" x14ac:dyDescent="0.25">
      <c r="A867" s="1410" t="s">
        <v>3248</v>
      </c>
      <c r="B867" s="1417">
        <v>0.5</v>
      </c>
      <c r="C867" s="1418">
        <v>0.75</v>
      </c>
      <c r="D867" s="1418">
        <v>0</v>
      </c>
      <c r="E867" s="1418">
        <v>0.5</v>
      </c>
      <c r="F867" s="1410">
        <v>1</v>
      </c>
      <c r="G867" s="1418">
        <v>0.25</v>
      </c>
      <c r="H867" s="1418">
        <v>0.25</v>
      </c>
      <c r="I867" s="1418">
        <v>0</v>
      </c>
      <c r="J867" s="1418">
        <v>0.25</v>
      </c>
      <c r="K867" s="1418">
        <v>0.25</v>
      </c>
      <c r="L867" s="1418">
        <v>0.75</v>
      </c>
      <c r="M867" s="1419">
        <v>0</v>
      </c>
      <c r="N867" s="1412">
        <v>4.5</v>
      </c>
    </row>
    <row r="868" spans="1:14" ht="15" thickBot="1" x14ac:dyDescent="0.25">
      <c r="A868" s="1410" t="s">
        <v>3249</v>
      </c>
      <c r="B868" s="1417">
        <v>0</v>
      </c>
      <c r="C868" s="1418">
        <v>0.25</v>
      </c>
      <c r="D868" s="1418">
        <v>0.25</v>
      </c>
      <c r="E868" s="1418">
        <v>0.75</v>
      </c>
      <c r="F868" s="1410">
        <v>1</v>
      </c>
      <c r="G868" s="1418">
        <v>0</v>
      </c>
      <c r="H868" s="1410">
        <v>1</v>
      </c>
      <c r="I868" s="1418">
        <v>0</v>
      </c>
      <c r="J868" s="1410">
        <v>1</v>
      </c>
      <c r="K868" s="1418">
        <v>0.75</v>
      </c>
      <c r="L868" s="1418">
        <v>0.75</v>
      </c>
      <c r="M868" s="1419">
        <v>0</v>
      </c>
      <c r="N868" s="1412">
        <v>5.75</v>
      </c>
    </row>
    <row r="869" spans="1:14" ht="15" thickBot="1" x14ac:dyDescent="0.25">
      <c r="A869" s="1410" t="s">
        <v>3250</v>
      </c>
      <c r="B869" s="1417">
        <v>0</v>
      </c>
      <c r="C869" s="1418">
        <v>0</v>
      </c>
      <c r="D869" s="1418">
        <v>0</v>
      </c>
      <c r="E869" s="1418">
        <v>0</v>
      </c>
      <c r="F869" s="1418">
        <v>0.5</v>
      </c>
      <c r="G869" s="1418">
        <v>0.5</v>
      </c>
      <c r="H869" s="1418">
        <v>0.25</v>
      </c>
      <c r="I869" s="1418">
        <v>0.75</v>
      </c>
      <c r="J869" s="1418">
        <v>0</v>
      </c>
      <c r="K869" s="1418">
        <v>0.5</v>
      </c>
      <c r="L869" s="1418">
        <v>0.5</v>
      </c>
      <c r="M869" s="1419">
        <v>0.25</v>
      </c>
      <c r="N869" s="1412">
        <v>3.25</v>
      </c>
    </row>
    <row r="870" spans="1:14" ht="15" thickBot="1" x14ac:dyDescent="0.25">
      <c r="A870" s="1410" t="s">
        <v>3251</v>
      </c>
      <c r="B870" s="1420">
        <v>1</v>
      </c>
      <c r="C870" s="1410">
        <v>1</v>
      </c>
      <c r="D870" s="1410">
        <v>1</v>
      </c>
      <c r="E870" s="1410">
        <v>1</v>
      </c>
      <c r="F870" s="1410">
        <v>1</v>
      </c>
      <c r="G870" s="1418">
        <v>0</v>
      </c>
      <c r="H870" s="1410">
        <v>1</v>
      </c>
      <c r="I870" s="1418">
        <v>0</v>
      </c>
      <c r="J870" s="1410">
        <v>1</v>
      </c>
      <c r="K870" s="1410">
        <v>1</v>
      </c>
      <c r="L870" s="1410">
        <v>1</v>
      </c>
      <c r="M870" s="1419">
        <v>0.5</v>
      </c>
      <c r="N870" s="1412">
        <v>9.5</v>
      </c>
    </row>
    <row r="871" spans="1:14" ht="15" thickBot="1" x14ac:dyDescent="0.25">
      <c r="A871" s="1410" t="s">
        <v>3252</v>
      </c>
      <c r="B871" s="1420">
        <v>1</v>
      </c>
      <c r="C871" s="1410">
        <v>1</v>
      </c>
      <c r="D871" s="1410">
        <v>1</v>
      </c>
      <c r="E871" s="1410">
        <v>1</v>
      </c>
      <c r="F871" s="1410">
        <v>1</v>
      </c>
      <c r="G871" s="1418">
        <v>0.25</v>
      </c>
      <c r="H871" s="1410">
        <v>1</v>
      </c>
      <c r="I871" s="1418">
        <v>0.25</v>
      </c>
      <c r="J871" s="1410">
        <v>1</v>
      </c>
      <c r="K871" s="1410">
        <v>1</v>
      </c>
      <c r="L871" s="1410">
        <v>1</v>
      </c>
      <c r="M871" s="1419">
        <v>0.5</v>
      </c>
      <c r="N871" s="1412">
        <v>10</v>
      </c>
    </row>
    <row r="872" spans="1:14" ht="15" thickBot="1" x14ac:dyDescent="0.25">
      <c r="A872" s="1410" t="s">
        <v>3253</v>
      </c>
      <c r="B872" s="1420">
        <v>1</v>
      </c>
      <c r="C872" s="1410">
        <v>1</v>
      </c>
      <c r="D872" s="1418">
        <v>0.75</v>
      </c>
      <c r="E872" s="1410">
        <v>1</v>
      </c>
      <c r="F872" s="1410">
        <v>1</v>
      </c>
      <c r="G872" s="1418">
        <v>0</v>
      </c>
      <c r="H872" s="1418">
        <v>0.75</v>
      </c>
      <c r="I872" s="1418">
        <v>0.5</v>
      </c>
      <c r="J872" s="1410">
        <v>1</v>
      </c>
      <c r="K872" s="1410">
        <v>1</v>
      </c>
      <c r="L872" s="1410">
        <v>1</v>
      </c>
      <c r="M872" s="1419">
        <v>0.75</v>
      </c>
      <c r="N872" s="1412">
        <v>9.75</v>
      </c>
    </row>
    <row r="873" spans="1:14" ht="15" thickBot="1" x14ac:dyDescent="0.25">
      <c r="A873" s="1410" t="s">
        <v>3254</v>
      </c>
      <c r="B873" s="1421">
        <v>0</v>
      </c>
      <c r="C873" s="1422">
        <v>1</v>
      </c>
      <c r="D873" s="1423">
        <v>0</v>
      </c>
      <c r="E873" s="1423">
        <v>0</v>
      </c>
      <c r="F873" s="1423">
        <v>0.25</v>
      </c>
      <c r="G873" s="1423">
        <v>0</v>
      </c>
      <c r="H873" s="1423">
        <v>0</v>
      </c>
      <c r="I873" s="1423">
        <v>0.5</v>
      </c>
      <c r="J873" s="1423">
        <v>0</v>
      </c>
      <c r="K873" s="1423">
        <v>0</v>
      </c>
      <c r="L873" s="1423">
        <v>0.25</v>
      </c>
      <c r="M873" s="1424">
        <v>0</v>
      </c>
      <c r="N873" s="1412">
        <v>2</v>
      </c>
    </row>
    <row r="874" spans="1:14" ht="15.75" thickTop="1" thickBot="1" x14ac:dyDescent="0.25">
      <c r="A874" s="1425" t="s">
        <v>1600</v>
      </c>
      <c r="B874" s="1426">
        <v>7.5</v>
      </c>
      <c r="C874" s="1426">
        <v>8.75</v>
      </c>
      <c r="D874" s="1426">
        <v>7.25</v>
      </c>
      <c r="E874" s="1426">
        <v>9</v>
      </c>
      <c r="F874" s="1426">
        <v>9.75</v>
      </c>
      <c r="G874" s="1426">
        <v>2</v>
      </c>
      <c r="H874" s="1426">
        <v>7.25</v>
      </c>
      <c r="I874" s="1426">
        <v>2.75</v>
      </c>
      <c r="J874" s="1426">
        <v>9</v>
      </c>
      <c r="K874" s="1426">
        <v>9</v>
      </c>
      <c r="L874" s="1426">
        <v>9.75</v>
      </c>
      <c r="M874" s="1426">
        <v>2.25</v>
      </c>
      <c r="N874" s="1427">
        <v>84.3</v>
      </c>
    </row>
    <row r="878" spans="1:14" x14ac:dyDescent="0.2">
      <c r="A878" s="331" t="s">
        <v>2097</v>
      </c>
      <c r="B878" s="331" t="s">
        <v>1146</v>
      </c>
      <c r="C878" s="331" t="s">
        <v>1761</v>
      </c>
    </row>
    <row r="879" spans="1:14" x14ac:dyDescent="0.2">
      <c r="A879" s="331" t="s">
        <v>4700</v>
      </c>
      <c r="B879" s="331" t="s">
        <v>4052</v>
      </c>
      <c r="C879" s="331" t="s">
        <v>4701</v>
      </c>
    </row>
    <row r="880" spans="1:14" x14ac:dyDescent="0.2">
      <c r="A880" s="331" t="s">
        <v>4702</v>
      </c>
      <c r="B880" s="331" t="s">
        <v>4211</v>
      </c>
      <c r="C880" s="331" t="s">
        <v>4207</v>
      </c>
    </row>
  </sheetData>
  <sheetProtection selectLockedCells="1" selectUnlockedCells="1"/>
  <dataConsolidate/>
  <mergeCells count="22">
    <mergeCell ref="B452:D452"/>
    <mergeCell ref="A696:A702"/>
    <mergeCell ref="B479:D479"/>
    <mergeCell ref="B553:C553"/>
    <mergeCell ref="A689:A695"/>
    <mergeCell ref="B464:D464"/>
    <mergeCell ref="F553:G553"/>
    <mergeCell ref="AH46:AI46"/>
    <mergeCell ref="H553:I553"/>
    <mergeCell ref="B532:E532"/>
    <mergeCell ref="A507:C507"/>
    <mergeCell ref="A519:E519"/>
    <mergeCell ref="B458:D458"/>
    <mergeCell ref="B475:D475"/>
    <mergeCell ref="B440:D440"/>
    <mergeCell ref="B421:D421"/>
    <mergeCell ref="B432:C432"/>
    <mergeCell ref="B446:D446"/>
    <mergeCell ref="D553:E553"/>
    <mergeCell ref="B470:D470"/>
    <mergeCell ref="A213:B213"/>
    <mergeCell ref="B437:C437"/>
  </mergeCells>
  <phoneticPr fontId="107" type="noConversion"/>
  <conditionalFormatting sqref="B771:H819">
    <cfRule type="cellIs" dxfId="482" priority="3" operator="equal">
      <formula>$B$769</formula>
    </cfRule>
  </conditionalFormatting>
  <conditionalFormatting sqref="B874:M874 N862:N873">
    <cfRule type="cellIs" dxfId="481" priority="1" operator="greaterThan">
      <formula>8</formula>
    </cfRule>
    <cfRule type="cellIs" dxfId="480" priority="2" operator="lessThan">
      <formula>7</formula>
    </cfRule>
  </conditionalFormatting>
  <hyperlinks>
    <hyperlink ref="B599" r:id="rId2" tooltip="International Alphabet of Sanskrit Transliteration" display="http://en.wikipedia.org/wiki/International_Alphabet_of_Sanskrit_Transliteration" xr:uid="{00000000-0004-0000-0A00-000000000000}"/>
  </hyperlinks>
  <pageMargins left="0.74791666666666667" right="0.74791666666666667" top="0.98402777777777772" bottom="0.98402777777777772" header="0.51180555555555551" footer="0.51180555555555551"/>
  <pageSetup paperSize="9" firstPageNumber="0" orientation="portrait" horizontalDpi="300" verticalDpi="300" r:id="rId3"/>
  <headerFooter alignWithMargins="0"/>
  <legacyDrawing r:id="rId4"/>
  <tableParts count="25">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1:AG76"/>
  <sheetViews>
    <sheetView zoomScale="80" zoomScaleNormal="80" zoomScaleSheetLayoutView="75" workbookViewId="0" xr3:uid="{FF0BDA26-1AD6-5648-BD9A-E01AA4DDCA7C}">
      <selection activeCell="B11" sqref="B11:D26"/>
    </sheetView>
  </sheetViews>
  <sheetFormatPr defaultColWidth="9.14453125" defaultRowHeight="15" x14ac:dyDescent="0.2"/>
  <cols>
    <col min="1" max="1" width="5.24609375" style="217" customWidth="1"/>
    <col min="2" max="2" width="4.4375" style="217" bestFit="1" customWidth="1"/>
    <col min="3" max="3" width="6.1875" style="217" customWidth="1"/>
    <col min="4" max="4" width="6.72265625" style="217" customWidth="1"/>
    <col min="5" max="5" width="4.3046875" style="217" customWidth="1"/>
    <col min="6" max="6" width="7.93359375" style="217" customWidth="1"/>
    <col min="7" max="7" width="7.53125" style="217" customWidth="1"/>
    <col min="8" max="8" width="9.01171875" style="217" customWidth="1"/>
    <col min="9" max="9" width="7.12890625" style="217" customWidth="1"/>
    <col min="10" max="10" width="5.109375" style="217" bestFit="1" customWidth="1"/>
    <col min="11" max="11" width="7.12890625" style="217" customWidth="1"/>
    <col min="12" max="12" width="6.45703125" style="217" customWidth="1"/>
    <col min="13" max="13" width="7.12890625" style="217" customWidth="1"/>
    <col min="14" max="14" width="4.83984375" style="217" customWidth="1"/>
    <col min="15" max="15" width="7.12890625" style="217" customWidth="1"/>
    <col min="16" max="16" width="4.83984375" style="217" customWidth="1"/>
    <col min="17" max="17" width="7.12890625" style="217" customWidth="1"/>
    <col min="18" max="18" width="6.72265625" style="217" customWidth="1"/>
    <col min="19" max="19" width="6.1875" style="217" customWidth="1"/>
    <col min="20" max="21" width="9.14453125" style="217"/>
    <col min="22" max="22" width="9.14453125" style="218"/>
    <col min="23" max="16384" width="9.14453125" style="217"/>
  </cols>
  <sheetData>
    <row r="1" spans="1:33" ht="15.75" customHeight="1" x14ac:dyDescent="0.2">
      <c r="A1" s="1570" t="s">
        <v>1615</v>
      </c>
      <c r="B1" s="1570"/>
      <c r="C1" s="1570"/>
      <c r="D1">
        <f>DinaMaana</f>
        <v>31.708333333444898</v>
      </c>
      <c r="G1" s="1569" t="s">
        <v>1616</v>
      </c>
      <c r="H1" s="1569"/>
      <c r="I1" s="217">
        <f>CHOOSE(MOD(D6+6,7)+1,1,7,2,4,3,5,6)</f>
        <v>6</v>
      </c>
      <c r="J1"/>
      <c r="K1" s="219" t="s">
        <v>1617</v>
      </c>
      <c r="L1" s="1572" t="s">
        <v>1618</v>
      </c>
      <c r="M1" s="1572"/>
      <c r="N1" s="1572"/>
      <c r="O1" s="1572" t="s">
        <v>1619</v>
      </c>
      <c r="P1" s="1572"/>
      <c r="Q1" s="1572"/>
      <c r="R1" s="1569" t="s">
        <v>1620</v>
      </c>
      <c r="S1" s="1569"/>
      <c r="T1" t="s">
        <v>1116</v>
      </c>
      <c r="U1"/>
      <c r="V1"/>
      <c r="W1"/>
      <c r="X1"/>
      <c r="Y1"/>
    </row>
    <row r="2" spans="1:33" x14ac:dyDescent="0.2">
      <c r="A2" s="1570" t="s">
        <v>1621</v>
      </c>
      <c r="B2" s="1570"/>
      <c r="C2" s="1570"/>
      <c r="D2">
        <f>RatriMaana</f>
        <v>28.291666666555102</v>
      </c>
      <c r="G2" s="1569" t="s">
        <v>1622</v>
      </c>
      <c r="H2" s="1569"/>
      <c r="I2" s="217">
        <f>CHOOSE(MOD(D6+6,7)+1,4,2,4,1,11,2,7)</f>
        <v>7</v>
      </c>
      <c r="J2"/>
      <c r="K2" s="220" t="s">
        <v>1115</v>
      </c>
      <c r="L2" s="221" t="s">
        <v>1623</v>
      </c>
      <c r="M2" s="222" t="s">
        <v>1624</v>
      </c>
      <c r="N2" s="223" t="s">
        <v>1625</v>
      </c>
      <c r="O2" s="221" t="s">
        <v>1626</v>
      </c>
      <c r="P2" s="222" t="s">
        <v>1624</v>
      </c>
      <c r="Q2" s="223" t="s">
        <v>1625</v>
      </c>
      <c r="R2" s="224" t="s">
        <v>1627</v>
      </c>
      <c r="S2" s="225" t="s">
        <v>1628</v>
      </c>
      <c r="T2" t="s">
        <v>1629</v>
      </c>
      <c r="U2"/>
      <c r="V2"/>
      <c r="W2"/>
      <c r="X2"/>
      <c r="Y2"/>
      <c r="AB2" s="217" t="s">
        <v>2986</v>
      </c>
    </row>
    <row r="3" spans="1:33" x14ac:dyDescent="0.2">
      <c r="A3" s="1570" t="s">
        <v>1630</v>
      </c>
      <c r="B3" s="1570"/>
      <c r="C3" s="1570"/>
      <c r="D3">
        <f>JanmaGhatika</f>
        <v>7.9118055555591127</v>
      </c>
      <c r="G3" s="1569" t="s">
        <v>1631</v>
      </c>
      <c r="H3" s="1569"/>
      <c r="I3" s="217">
        <f>30/8</f>
        <v>3.75</v>
      </c>
      <c r="J3"/>
      <c r="K3" s="220" t="s">
        <v>1511</v>
      </c>
      <c r="L3" s="226">
        <v>26</v>
      </c>
      <c r="M3" s="227">
        <f t="shared" ref="M3:M9" si="0">INT(L3/3.75)+1</f>
        <v>7</v>
      </c>
      <c r="N3" s="228">
        <f t="shared" ref="N3:N9" si="1">MOD(L3/0.25,15)</f>
        <v>14</v>
      </c>
      <c r="O3" s="226">
        <v>10</v>
      </c>
      <c r="P3" s="227">
        <f t="shared" ref="P3:P9" si="2">INT(O3/3.75)+1</f>
        <v>3</v>
      </c>
      <c r="Q3" s="228">
        <f t="shared" ref="Q3:Q9" si="3">MOD(O3/0.25,15)</f>
        <v>10</v>
      </c>
      <c r="R3" s="229">
        <f t="shared" ref="R3:R8" si="4">S4</f>
        <v>22.5</v>
      </c>
      <c r="S3" s="230">
        <f>30-$I$3</f>
        <v>26.25</v>
      </c>
      <c r="T3">
        <f t="shared" ref="T3:T9" si="5">MOD(L3,3.75)</f>
        <v>3.5</v>
      </c>
      <c r="U3">
        <f t="shared" ref="U3:U9" si="6">MOD(O3,3.75)</f>
        <v>2.5</v>
      </c>
      <c r="V3"/>
      <c r="W3"/>
      <c r="X3"/>
      <c r="Y3"/>
    </row>
    <row r="4" spans="1:33" x14ac:dyDescent="0.2">
      <c r="A4" s="1570" t="s">
        <v>1632</v>
      </c>
      <c r="B4" s="1570"/>
      <c r="C4" s="1570"/>
      <c r="D4" s="217">
        <f>IF(DayBirth,D3/D1*8,(D3-D1)/D2*8)</f>
        <v>1.9961454226833177</v>
      </c>
      <c r="G4" s="1569" t="s">
        <v>1633</v>
      </c>
      <c r="H4" s="1569"/>
      <c r="I4" s="217">
        <f>I3/15</f>
        <v>0.25</v>
      </c>
      <c r="J4" s="407"/>
      <c r="K4" s="220" t="s">
        <v>1634</v>
      </c>
      <c r="L4" s="226">
        <v>22</v>
      </c>
      <c r="M4" s="227">
        <f t="shared" si="0"/>
        <v>6</v>
      </c>
      <c r="N4" s="228">
        <f t="shared" si="1"/>
        <v>13</v>
      </c>
      <c r="O4" s="226">
        <v>6</v>
      </c>
      <c r="P4" s="227">
        <f t="shared" si="2"/>
        <v>2</v>
      </c>
      <c r="Q4" s="228">
        <f t="shared" si="3"/>
        <v>9</v>
      </c>
      <c r="R4" s="229">
        <f t="shared" si="4"/>
        <v>18.75</v>
      </c>
      <c r="S4" s="230">
        <f t="shared" ref="S4:S9" si="7">S3-$I$3</f>
        <v>22.5</v>
      </c>
      <c r="T4">
        <f t="shared" si="5"/>
        <v>3.25</v>
      </c>
      <c r="U4">
        <f t="shared" si="6"/>
        <v>2.25</v>
      </c>
      <c r="V4"/>
      <c r="W4"/>
      <c r="X4"/>
      <c r="Y4"/>
      <c r="AB4" s="217" t="s">
        <v>2987</v>
      </c>
    </row>
    <row r="5" spans="1:33" x14ac:dyDescent="0.2">
      <c r="A5" s="1570" t="s">
        <v>1635</v>
      </c>
      <c r="B5" s="1570"/>
      <c r="C5" s="1570"/>
      <c r="D5" s="217">
        <f>D4*15</f>
        <v>29.942181340249768</v>
      </c>
      <c r="E5" s="1571"/>
      <c r="F5" s="1571"/>
      <c r="G5"/>
      <c r="H5" t="s">
        <v>1623</v>
      </c>
      <c r="I5">
        <f>D1/120*24</f>
        <v>6.3416666666889796</v>
      </c>
      <c r="J5" s="613" t="s">
        <v>2605</v>
      </c>
      <c r="K5" s="220" t="s">
        <v>1636</v>
      </c>
      <c r="L5" s="226">
        <v>18</v>
      </c>
      <c r="M5" s="227">
        <f t="shared" si="0"/>
        <v>5</v>
      </c>
      <c r="N5" s="228">
        <f t="shared" si="1"/>
        <v>12</v>
      </c>
      <c r="O5" s="226">
        <v>2</v>
      </c>
      <c r="P5" s="227">
        <f t="shared" si="2"/>
        <v>1</v>
      </c>
      <c r="Q5" s="228">
        <f t="shared" si="3"/>
        <v>8</v>
      </c>
      <c r="R5" s="229">
        <f t="shared" si="4"/>
        <v>15</v>
      </c>
      <c r="S5" s="230">
        <f t="shared" si="7"/>
        <v>18.75</v>
      </c>
      <c r="T5">
        <f t="shared" si="5"/>
        <v>3</v>
      </c>
      <c r="U5">
        <f t="shared" si="6"/>
        <v>2</v>
      </c>
      <c r="V5"/>
      <c r="W5"/>
      <c r="X5"/>
      <c r="Y5"/>
    </row>
    <row r="6" spans="1:33" x14ac:dyDescent="0.2">
      <c r="A6" s="1569" t="s">
        <v>1623</v>
      </c>
      <c r="B6" s="1569"/>
      <c r="C6" s="1569"/>
      <c r="D6" s="231">
        <f>PanchangaVaara</f>
        <v>7.1318634259259852</v>
      </c>
      <c r="E6"/>
      <c r="F6" s="232"/>
      <c r="G6"/>
      <c r="H6" t="s">
        <v>2604</v>
      </c>
      <c r="I6">
        <f>D2/120*24</f>
        <v>5.6583333333110204</v>
      </c>
      <c r="J6" s="613" t="s">
        <v>2605</v>
      </c>
      <c r="K6" s="220" t="s">
        <v>1637</v>
      </c>
      <c r="L6" s="226">
        <v>14</v>
      </c>
      <c r="M6" s="227">
        <f t="shared" si="0"/>
        <v>4</v>
      </c>
      <c r="N6" s="228">
        <f t="shared" si="1"/>
        <v>11</v>
      </c>
      <c r="O6" s="226">
        <v>26</v>
      </c>
      <c r="P6" s="227">
        <f t="shared" si="2"/>
        <v>7</v>
      </c>
      <c r="Q6" s="228">
        <f t="shared" si="3"/>
        <v>14</v>
      </c>
      <c r="R6" s="229">
        <f t="shared" si="4"/>
        <v>11.25</v>
      </c>
      <c r="S6" s="230">
        <f t="shared" si="7"/>
        <v>15</v>
      </c>
      <c r="T6">
        <f t="shared" si="5"/>
        <v>2.75</v>
      </c>
      <c r="U6">
        <f t="shared" si="6"/>
        <v>3.5</v>
      </c>
      <c r="V6"/>
      <c r="W6"/>
      <c r="X6"/>
      <c r="Y6"/>
      <c r="AB6" s="217" t="s">
        <v>2988</v>
      </c>
    </row>
    <row r="7" spans="1:33" x14ac:dyDescent="0.2">
      <c r="A7" s="1569" t="s">
        <v>1638</v>
      </c>
      <c r="B7" s="1569"/>
      <c r="C7" s="1569"/>
      <c r="D7" s="233">
        <f>DayBirth</f>
        <v>1</v>
      </c>
      <c r="E7"/>
      <c r="F7"/>
      <c r="G7"/>
      <c r="H7"/>
      <c r="I7"/>
      <c r="J7"/>
      <c r="K7" s="220" t="s">
        <v>1639</v>
      </c>
      <c r="L7" s="226">
        <v>10</v>
      </c>
      <c r="M7" s="227">
        <f t="shared" si="0"/>
        <v>3</v>
      </c>
      <c r="N7" s="228">
        <f t="shared" si="1"/>
        <v>10</v>
      </c>
      <c r="O7" s="226">
        <v>22</v>
      </c>
      <c r="P7" s="227">
        <f t="shared" si="2"/>
        <v>6</v>
      </c>
      <c r="Q7" s="228">
        <f t="shared" si="3"/>
        <v>13</v>
      </c>
      <c r="R7" s="229">
        <f t="shared" si="4"/>
        <v>7.5</v>
      </c>
      <c r="S7" s="230">
        <f t="shared" si="7"/>
        <v>11.25</v>
      </c>
      <c r="T7">
        <f t="shared" si="5"/>
        <v>2.5</v>
      </c>
      <c r="U7">
        <f t="shared" si="6"/>
        <v>3.25</v>
      </c>
      <c r="V7"/>
      <c r="W7"/>
      <c r="X7"/>
      <c r="Y7"/>
    </row>
    <row r="8" spans="1:33" x14ac:dyDescent="0.2">
      <c r="A8"/>
      <c r="B8"/>
      <c r="C8"/>
      <c r="D8"/>
      <c r="E8"/>
      <c r="F8"/>
      <c r="G8"/>
      <c r="H8"/>
      <c r="I8"/>
      <c r="J8"/>
      <c r="K8" s="220" t="s">
        <v>1640</v>
      </c>
      <c r="L8" s="226">
        <v>6</v>
      </c>
      <c r="M8" s="227">
        <f t="shared" si="0"/>
        <v>2</v>
      </c>
      <c r="N8" s="228">
        <f t="shared" si="1"/>
        <v>9</v>
      </c>
      <c r="O8" s="226">
        <v>18</v>
      </c>
      <c r="P8" s="227">
        <f t="shared" si="2"/>
        <v>5</v>
      </c>
      <c r="Q8" s="228">
        <f t="shared" si="3"/>
        <v>12</v>
      </c>
      <c r="R8" s="229">
        <f t="shared" si="4"/>
        <v>3.75</v>
      </c>
      <c r="S8" s="230">
        <f t="shared" si="7"/>
        <v>7.5</v>
      </c>
      <c r="T8">
        <f t="shared" si="5"/>
        <v>2.25</v>
      </c>
      <c r="U8">
        <f t="shared" si="6"/>
        <v>3</v>
      </c>
      <c r="V8"/>
      <c r="W8"/>
      <c r="X8"/>
      <c r="Y8"/>
      <c r="AB8" s="217" t="s">
        <v>2989</v>
      </c>
    </row>
    <row r="9" spans="1:33" x14ac:dyDescent="0.2">
      <c r="A9"/>
      <c r="B9"/>
      <c r="C9"/>
      <c r="D9"/>
      <c r="E9"/>
      <c r="F9"/>
      <c r="G9"/>
      <c r="H9"/>
      <c r="I9"/>
      <c r="J9"/>
      <c r="K9" s="220" t="s">
        <v>1641</v>
      </c>
      <c r="L9" s="234">
        <v>2</v>
      </c>
      <c r="M9" s="235">
        <f t="shared" si="0"/>
        <v>1</v>
      </c>
      <c r="N9" s="236">
        <f t="shared" si="1"/>
        <v>8</v>
      </c>
      <c r="O9" s="234">
        <v>14</v>
      </c>
      <c r="P9" s="235">
        <f t="shared" si="2"/>
        <v>4</v>
      </c>
      <c r="Q9" s="236">
        <f t="shared" si="3"/>
        <v>11</v>
      </c>
      <c r="R9" s="237">
        <v>0</v>
      </c>
      <c r="S9" s="238">
        <f t="shared" si="7"/>
        <v>3.75</v>
      </c>
      <c r="T9">
        <f t="shared" si="5"/>
        <v>2</v>
      </c>
      <c r="U9">
        <f t="shared" si="6"/>
        <v>2.75</v>
      </c>
      <c r="V9"/>
      <c r="W9"/>
      <c r="X9"/>
      <c r="Y9"/>
    </row>
    <row r="10" spans="1:33" x14ac:dyDescent="0.2">
      <c r="A10"/>
      <c r="B10" s="1567" t="s">
        <v>1623</v>
      </c>
      <c r="C10" s="1567"/>
      <c r="D10" s="1567"/>
      <c r="E10" s="1567"/>
      <c r="F10" s="1567"/>
      <c r="G10" s="1567"/>
      <c r="H10" s="1567"/>
      <c r="I10" s="1567"/>
      <c r="J10" s="1567"/>
      <c r="K10" s="1567"/>
      <c r="L10" s="1567"/>
      <c r="M10" s="1567"/>
      <c r="N10"/>
      <c r="O10"/>
      <c r="P10"/>
      <c r="Q10"/>
      <c r="R10"/>
      <c r="S10"/>
      <c r="T10"/>
      <c r="U10"/>
      <c r="V10"/>
      <c r="W10"/>
      <c r="X10"/>
      <c r="Y10"/>
      <c r="AB10" s="217" t="s">
        <v>2990</v>
      </c>
    </row>
    <row r="11" spans="1:33" x14ac:dyDescent="0.2">
      <c r="A11"/>
      <c r="B11" s="1568" t="str">
        <f>"Yama:"&amp;CHOOSE(MOD(B12/240*8/6+$I$1+7,8)+1,"Sun","Mars","Jupiter","Mercury","Venus","Saturn","Moon","Rahu")</f>
        <v>Yama:Saturn</v>
      </c>
      <c r="C11" s="1568"/>
      <c r="D11" s="1568"/>
      <c r="E11" s="1568" t="str">
        <f>"Yama:"&amp;CHOOSE(MOD(E12/240*8/6+$I$1+7,8)+1,"Sun","Mars","Jupiter","Mercury","Venus","Saturn","Moon","Rahu")</f>
        <v>Yama:Moon</v>
      </c>
      <c r="F11" s="1568"/>
      <c r="G11" s="1568"/>
      <c r="H11" s="1568" t="str">
        <f>"Yama:"&amp;CHOOSE(MOD(H12/240*8/6+$I$1+7,8)+1,"Sun","Mars","Jupiter","Mercury","Venus","Saturn","Moon","Rahu")</f>
        <v>Yama:Rahu</v>
      </c>
      <c r="I11" s="1568"/>
      <c r="J11" s="1568"/>
      <c r="K11" s="1568" t="str">
        <f>"Yama:"&amp;CHOOSE(MOD(K12/240*8/6+$I$1+7,8)+1,"Sun","Mars","Jupiter","Mercury","Venus","Saturn","Moon","Rahu")</f>
        <v>Yama:Sun</v>
      </c>
      <c r="L11" s="1568"/>
      <c r="M11" s="1568"/>
      <c r="N11"/>
      <c r="O11"/>
      <c r="P11"/>
      <c r="Q11"/>
      <c r="R11"/>
      <c r="S11"/>
      <c r="T11">
        <f>0.25*60</f>
        <v>15</v>
      </c>
      <c r="U11"/>
      <c r="V11"/>
      <c r="W11"/>
      <c r="X11"/>
      <c r="Y11"/>
    </row>
    <row r="12" spans="1:33" x14ac:dyDescent="0.2">
      <c r="A12"/>
      <c r="B12" s="239">
        <v>0</v>
      </c>
      <c r="C12" s="1565" t="str">
        <f>"Kala: "&amp;CHOOSE(MOD(B12/120*8/6+$I$1+7,8)+1,"Sun","Mars","Jupiter","Mercury","Venus","Saturn","Moon","Rahu")&amp; " Upgraha: " &amp; CHOOSE(MOD(B12/6/120*8+PanchangaVaara+7,8)+1,"Kaala","-","Mrityu","Ardhaprahara","YamaGhanta","--","Gulika","--")</f>
        <v>Kala: Saturn Upgraha: Gulika</v>
      </c>
      <c r="D12" s="240" t="e">
        <f>#N/A</f>
        <v>#N/A</v>
      </c>
      <c r="E12" s="240">
        <f>B41+6</f>
        <v>180</v>
      </c>
      <c r="F12" s="1565" t="str">
        <f>"Kala: "&amp;CHOOSE(MOD(E12/120*8/6+$I$1+7,8)+1,"Sun","Mars","Jupiter","Mercury","Venus","Saturn","Moon","Rahu")&amp; " Upgraha: " &amp; CHOOSE(MOD(E12/6/120*8+PanchangaVaara+7,8)+1,"Kaala","-","Mrityu","Ardhaprahara","YamaGhanta","--","Gulika","--")</f>
        <v>Kala: Rahu Upgraha: Kaala</v>
      </c>
      <c r="G12" s="240" t="e">
        <f>#N/A</f>
        <v>#N/A</v>
      </c>
      <c r="H12" s="240">
        <f>E41+6</f>
        <v>360</v>
      </c>
      <c r="I12" s="1565" t="str">
        <f>"Kala: "&amp;CHOOSE(MOD(H12/120*8/6+$I$1+7,8)+1,"Sun","Mars","Jupiter","Mercury","Venus","Saturn","Moon","Rahu")&amp; " Upgraha: " &amp; CHOOSE(MOD(H12/6/120*8+PanchangaVaara+7,8)+1,"Kaala","-","Mrityu","Ardhaprahara","YamaGhanta","--","Gulika","--")</f>
        <v>Kala: Mars Upgraha: Mrityu</v>
      </c>
      <c r="J12" s="240" t="e">
        <f>#N/A</f>
        <v>#N/A</v>
      </c>
      <c r="K12" s="240">
        <f>H41+6</f>
        <v>540</v>
      </c>
      <c r="L12" s="1565" t="str">
        <f>"Kala: "&amp;CHOOSE(MOD(K12/120*8/6+$I$1+7,8)+1,"Sun","Mars","Jupiter","Mercury","Venus","Saturn","Moon","Rahu")&amp; " Upgraha: " &amp; CHOOSE(MOD(K12/6/120*8+PanchangaVaara+7,8)+1,"Kaala","-","Mrityu","Ardhaprahara","YamaGhanta","--","Gulika","--")</f>
        <v>Kala: Mercury Upgraha: YamaGhanta</v>
      </c>
      <c r="M12" s="241" t="e">
        <f>#N/A</f>
        <v>#N/A</v>
      </c>
      <c r="N12"/>
      <c r="O12"/>
      <c r="P12"/>
      <c r="Q12"/>
      <c r="R12"/>
      <c r="S12"/>
      <c r="T12"/>
      <c r="U12"/>
      <c r="V12"/>
      <c r="W12"/>
      <c r="X12"/>
      <c r="Y12"/>
      <c r="Z12" s="242">
        <v>1</v>
      </c>
      <c r="AA12"/>
      <c r="AB12" t="s">
        <v>2991</v>
      </c>
      <c r="AC12"/>
      <c r="AD12"/>
      <c r="AE12"/>
      <c r="AF12"/>
      <c r="AG12"/>
    </row>
    <row r="13" spans="1:33" x14ac:dyDescent="0.2">
      <c r="B13" s="239">
        <f t="shared" ref="B13:B41" si="8">B12+6</f>
        <v>6</v>
      </c>
      <c r="C13" s="1565"/>
      <c r="D13" s="240" t="e">
        <f>#N/A</f>
        <v>#N/A</v>
      </c>
      <c r="E13" s="243">
        <f t="shared" ref="E13:E41" si="9">E12+6</f>
        <v>186</v>
      </c>
      <c r="F13" s="1565"/>
      <c r="G13" s="240" t="e">
        <f>#N/A</f>
        <v>#N/A</v>
      </c>
      <c r="H13" s="243">
        <f t="shared" ref="H13:H41" si="10">H12+6</f>
        <v>366</v>
      </c>
      <c r="I13" s="1565"/>
      <c r="J13" s="240" t="e">
        <f>#N/A</f>
        <v>#N/A</v>
      </c>
      <c r="K13" s="243">
        <f t="shared" ref="K13:K41" si="11">K12+6</f>
        <v>546</v>
      </c>
      <c r="L13" s="1565"/>
      <c r="M13" s="241" t="e">
        <f>#N/A</f>
        <v>#N/A</v>
      </c>
      <c r="N13"/>
      <c r="O13"/>
      <c r="P13"/>
      <c r="Q13"/>
      <c r="R13"/>
      <c r="S13"/>
      <c r="T13"/>
      <c r="U13"/>
      <c r="V13"/>
      <c r="W13"/>
      <c r="X13"/>
      <c r="Y13"/>
      <c r="Z13" s="244">
        <v>2</v>
      </c>
      <c r="AA13"/>
      <c r="AB13"/>
      <c r="AC13"/>
      <c r="AD13"/>
      <c r="AE13"/>
      <c r="AF13"/>
      <c r="AG13"/>
    </row>
    <row r="14" spans="1:33" x14ac:dyDescent="0.2">
      <c r="A14"/>
      <c r="B14" s="239">
        <f t="shared" si="8"/>
        <v>12</v>
      </c>
      <c r="C14" s="1565"/>
      <c r="D14" s="240" t="e">
        <f>#N/A</f>
        <v>#N/A</v>
      </c>
      <c r="E14" s="243">
        <f t="shared" si="9"/>
        <v>192</v>
      </c>
      <c r="F14" s="1565"/>
      <c r="G14" s="240" t="e">
        <f>#N/A</f>
        <v>#N/A</v>
      </c>
      <c r="H14" s="243">
        <f t="shared" si="10"/>
        <v>372</v>
      </c>
      <c r="I14" s="1565"/>
      <c r="J14" s="240" t="e">
        <f>#N/A</f>
        <v>#N/A</v>
      </c>
      <c r="K14" s="243">
        <f t="shared" si="11"/>
        <v>552</v>
      </c>
      <c r="L14" s="1565"/>
      <c r="M14" s="241" t="e">
        <f>#N/A</f>
        <v>#N/A</v>
      </c>
      <c r="N14"/>
      <c r="O14"/>
      <c r="P14"/>
      <c r="Q14"/>
      <c r="R14"/>
      <c r="S14"/>
      <c r="T14"/>
      <c r="U14"/>
      <c r="V14"/>
      <c r="W14"/>
      <c r="X14"/>
      <c r="Y14"/>
      <c r="Z14" s="244">
        <v>3</v>
      </c>
      <c r="AA14"/>
      <c r="AB14" t="s">
        <v>2992</v>
      </c>
      <c r="AC14"/>
      <c r="AD14"/>
      <c r="AE14"/>
      <c r="AF14"/>
      <c r="AG14"/>
    </row>
    <row r="15" spans="1:33" x14ac:dyDescent="0.2">
      <c r="B15" s="239">
        <f t="shared" si="8"/>
        <v>18</v>
      </c>
      <c r="C15" s="1565"/>
      <c r="D15" s="240" t="e">
        <f>#N/A</f>
        <v>#N/A</v>
      </c>
      <c r="E15" s="243">
        <f t="shared" si="9"/>
        <v>198</v>
      </c>
      <c r="F15" s="1565"/>
      <c r="G15" s="240" t="e">
        <f>#N/A</f>
        <v>#N/A</v>
      </c>
      <c r="H15" s="243">
        <f t="shared" si="10"/>
        <v>378</v>
      </c>
      <c r="I15" s="1565"/>
      <c r="J15" s="240" t="e">
        <f>#N/A</f>
        <v>#N/A</v>
      </c>
      <c r="K15" s="243">
        <f t="shared" si="11"/>
        <v>558</v>
      </c>
      <c r="L15" s="1565"/>
      <c r="M15" s="241" t="e">
        <f>#N/A</f>
        <v>#N/A</v>
      </c>
      <c r="N15"/>
      <c r="O15"/>
      <c r="P15"/>
      <c r="Q15"/>
      <c r="R15"/>
      <c r="S15"/>
      <c r="T15"/>
      <c r="U15"/>
      <c r="V15"/>
      <c r="W15"/>
      <c r="X15"/>
      <c r="Y15"/>
      <c r="Z15" s="244">
        <v>4</v>
      </c>
      <c r="AA15"/>
      <c r="AB15"/>
      <c r="AC15"/>
      <c r="AD15"/>
      <c r="AE15"/>
      <c r="AF15"/>
      <c r="AG15"/>
    </row>
    <row r="16" spans="1:33" x14ac:dyDescent="0.2">
      <c r="B16" s="239">
        <f t="shared" si="8"/>
        <v>24</v>
      </c>
      <c r="C16" s="1565"/>
      <c r="D16" s="240" t="e">
        <f>#N/A</f>
        <v>#N/A</v>
      </c>
      <c r="E16" s="243">
        <f t="shared" si="9"/>
        <v>204</v>
      </c>
      <c r="F16" s="1565"/>
      <c r="G16" s="240" t="e">
        <f>#N/A</f>
        <v>#N/A</v>
      </c>
      <c r="H16" s="243">
        <f t="shared" si="10"/>
        <v>384</v>
      </c>
      <c r="I16" s="1565"/>
      <c r="J16" s="240" t="e">
        <f>#N/A</f>
        <v>#N/A</v>
      </c>
      <c r="K16" s="243">
        <f t="shared" si="11"/>
        <v>564</v>
      </c>
      <c r="L16" s="1565"/>
      <c r="M16" s="241" t="e">
        <f>#N/A</f>
        <v>#N/A</v>
      </c>
      <c r="N16"/>
      <c r="O16"/>
      <c r="P16"/>
      <c r="Q16"/>
      <c r="R16"/>
      <c r="S16"/>
      <c r="T16"/>
      <c r="U16"/>
      <c r="V16"/>
      <c r="W16"/>
      <c r="X16"/>
      <c r="Y16"/>
      <c r="Z16" s="244">
        <v>5</v>
      </c>
      <c r="AA16"/>
      <c r="AB16" t="s">
        <v>2993</v>
      </c>
      <c r="AC16"/>
      <c r="AD16"/>
      <c r="AE16"/>
      <c r="AF16"/>
      <c r="AG16"/>
    </row>
    <row r="17" spans="1:33" x14ac:dyDescent="0.2">
      <c r="B17" s="239">
        <f t="shared" si="8"/>
        <v>30</v>
      </c>
      <c r="C17" s="1565"/>
      <c r="D17" s="240" t="e">
        <f>#N/A</f>
        <v>#N/A</v>
      </c>
      <c r="E17" s="243">
        <f t="shared" si="9"/>
        <v>210</v>
      </c>
      <c r="F17" s="1565"/>
      <c r="G17" s="240" t="e">
        <f>#N/A</f>
        <v>#N/A</v>
      </c>
      <c r="H17" s="243">
        <f t="shared" si="10"/>
        <v>390</v>
      </c>
      <c r="I17" s="1565"/>
      <c r="J17" s="240" t="e">
        <f>#N/A</f>
        <v>#N/A</v>
      </c>
      <c r="K17" s="243">
        <f t="shared" si="11"/>
        <v>570</v>
      </c>
      <c r="L17" s="1565"/>
      <c r="M17" s="241" t="e">
        <f>#N/A</f>
        <v>#N/A</v>
      </c>
      <c r="N17"/>
      <c r="O17"/>
      <c r="P17"/>
      <c r="Q17"/>
      <c r="R17"/>
      <c r="S17"/>
      <c r="T17"/>
      <c r="U17"/>
      <c r="V17"/>
      <c r="W17"/>
      <c r="X17"/>
      <c r="Y17"/>
      <c r="Z17" s="244">
        <v>6</v>
      </c>
      <c r="AA17"/>
      <c r="AB17"/>
      <c r="AC17"/>
      <c r="AD17"/>
      <c r="AE17"/>
      <c r="AF17"/>
      <c r="AG17"/>
    </row>
    <row r="18" spans="1:33" x14ac:dyDescent="0.2">
      <c r="B18" s="239">
        <f t="shared" si="8"/>
        <v>36</v>
      </c>
      <c r="C18" s="1565"/>
      <c r="D18" s="240" t="e">
        <f>#N/A</f>
        <v>#N/A</v>
      </c>
      <c r="E18" s="243">
        <f t="shared" si="9"/>
        <v>216</v>
      </c>
      <c r="F18" s="1565"/>
      <c r="G18" s="240" t="e">
        <f>#N/A</f>
        <v>#N/A</v>
      </c>
      <c r="H18" s="243">
        <f t="shared" si="10"/>
        <v>396</v>
      </c>
      <c r="I18" s="1565"/>
      <c r="J18" s="240" t="e">
        <f>#N/A</f>
        <v>#N/A</v>
      </c>
      <c r="K18" s="243">
        <f t="shared" si="11"/>
        <v>576</v>
      </c>
      <c r="L18" s="1565"/>
      <c r="M18" s="241" t="e">
        <f>#N/A</f>
        <v>#N/A</v>
      </c>
      <c r="N18"/>
      <c r="O18"/>
      <c r="P18"/>
      <c r="Q18"/>
      <c r="R18"/>
      <c r="S18"/>
      <c r="T18"/>
      <c r="U18"/>
      <c r="V18"/>
      <c r="W18"/>
      <c r="X18"/>
      <c r="Y18"/>
      <c r="Z18" s="244">
        <v>7</v>
      </c>
      <c r="AA18"/>
      <c r="AB18" t="s">
        <v>2994</v>
      </c>
      <c r="AC18"/>
      <c r="AD18"/>
      <c r="AE18"/>
      <c r="AF18"/>
      <c r="AG18"/>
    </row>
    <row r="19" spans="1:33" x14ac:dyDescent="0.2">
      <c r="A19" s="245">
        <f>A35+1</f>
        <v>14</v>
      </c>
      <c r="B19" s="239">
        <f t="shared" si="8"/>
        <v>42</v>
      </c>
      <c r="C19" s="1565"/>
      <c r="D19" s="240" t="e">
        <f>#N/A</f>
        <v>#N/A</v>
      </c>
      <c r="E19" s="243">
        <f t="shared" si="9"/>
        <v>222</v>
      </c>
      <c r="F19" s="1565"/>
      <c r="G19" s="240" t="e">
        <f>#N/A</f>
        <v>#N/A</v>
      </c>
      <c r="H19" s="243">
        <f t="shared" si="10"/>
        <v>402</v>
      </c>
      <c r="I19" s="1565"/>
      <c r="J19" s="240" t="e">
        <f>#N/A</f>
        <v>#N/A</v>
      </c>
      <c r="K19" s="243">
        <f t="shared" si="11"/>
        <v>582</v>
      </c>
      <c r="L19" s="1565"/>
      <c r="M19" s="241" t="e">
        <f>#N/A</f>
        <v>#N/A</v>
      </c>
      <c r="N19"/>
      <c r="O19"/>
      <c r="P19"/>
      <c r="Q19"/>
      <c r="R19"/>
      <c r="S19"/>
      <c r="T19"/>
      <c r="U19"/>
      <c r="V19"/>
      <c r="W19"/>
      <c r="X19"/>
      <c r="Y19"/>
      <c r="Z19" s="244">
        <v>8</v>
      </c>
      <c r="AA19"/>
      <c r="AB19"/>
      <c r="AC19"/>
      <c r="AD19"/>
      <c r="AE19"/>
      <c r="AF19"/>
      <c r="AG19"/>
    </row>
    <row r="20" spans="1:33" x14ac:dyDescent="0.2">
      <c r="B20" s="239">
        <f t="shared" si="8"/>
        <v>48</v>
      </c>
      <c r="C20" s="1565"/>
      <c r="D20" s="240" t="e">
        <f>#N/A</f>
        <v>#N/A</v>
      </c>
      <c r="E20" s="243">
        <f t="shared" si="9"/>
        <v>228</v>
      </c>
      <c r="F20" s="1565"/>
      <c r="G20" s="240" t="e">
        <f>#N/A</f>
        <v>#N/A</v>
      </c>
      <c r="H20" s="243">
        <f t="shared" si="10"/>
        <v>408</v>
      </c>
      <c r="I20" s="1565"/>
      <c r="J20" s="240" t="e">
        <f>#N/A</f>
        <v>#N/A</v>
      </c>
      <c r="K20" s="243">
        <f t="shared" si="11"/>
        <v>588</v>
      </c>
      <c r="L20" s="1565"/>
      <c r="M20" s="241" t="e">
        <f>#N/A</f>
        <v>#N/A</v>
      </c>
      <c r="N20"/>
      <c r="O20"/>
      <c r="P20"/>
      <c r="Q20"/>
      <c r="R20"/>
      <c r="S20"/>
      <c r="T20"/>
      <c r="U20"/>
      <c r="V20"/>
      <c r="W20"/>
      <c r="X20"/>
      <c r="Y20"/>
      <c r="Z20" s="244">
        <v>9</v>
      </c>
      <c r="AA20"/>
      <c r="AB20" t="s">
        <v>2995</v>
      </c>
      <c r="AC20"/>
      <c r="AD20"/>
      <c r="AE20"/>
      <c r="AF20"/>
      <c r="AG20"/>
    </row>
    <row r="21" spans="1:33" x14ac:dyDescent="0.2">
      <c r="A21" s="245">
        <f>A37+1</f>
        <v>12</v>
      </c>
      <c r="B21" s="239">
        <f t="shared" si="8"/>
        <v>54</v>
      </c>
      <c r="C21" s="1565"/>
      <c r="D21" s="240" t="e">
        <f>#N/A</f>
        <v>#N/A</v>
      </c>
      <c r="E21" s="243">
        <f t="shared" si="9"/>
        <v>234</v>
      </c>
      <c r="F21" s="1565"/>
      <c r="G21" s="240" t="e">
        <f>#N/A</f>
        <v>#N/A</v>
      </c>
      <c r="H21" s="243">
        <f t="shared" si="10"/>
        <v>414</v>
      </c>
      <c r="I21" s="1565"/>
      <c r="J21" s="240" t="e">
        <f>#N/A</f>
        <v>#N/A</v>
      </c>
      <c r="K21" s="243">
        <f t="shared" si="11"/>
        <v>594</v>
      </c>
      <c r="L21" s="1565"/>
      <c r="M21" s="241" t="e">
        <f>#N/A</f>
        <v>#N/A</v>
      </c>
      <c r="N21"/>
      <c r="O21"/>
      <c r="P21"/>
      <c r="Q21"/>
      <c r="R21"/>
      <c r="S21"/>
      <c r="T21"/>
      <c r="U21"/>
      <c r="V21"/>
      <c r="W21"/>
      <c r="X21"/>
      <c r="Y21"/>
      <c r="Z21" s="244">
        <v>10</v>
      </c>
      <c r="AA21"/>
      <c r="AB21"/>
      <c r="AC21"/>
      <c r="AD21"/>
      <c r="AE21"/>
      <c r="AF21"/>
      <c r="AG21"/>
    </row>
    <row r="22" spans="1:33" x14ac:dyDescent="0.2">
      <c r="B22" s="239">
        <f t="shared" si="8"/>
        <v>60</v>
      </c>
      <c r="C22" s="1565"/>
      <c r="D22" s="240" t="e">
        <f>#N/A</f>
        <v>#N/A</v>
      </c>
      <c r="E22" s="243">
        <f t="shared" si="9"/>
        <v>240</v>
      </c>
      <c r="F22" s="1565"/>
      <c r="G22" s="240" t="e">
        <f>#N/A</f>
        <v>#N/A</v>
      </c>
      <c r="H22" s="243">
        <f t="shared" si="10"/>
        <v>420</v>
      </c>
      <c r="I22" s="1565"/>
      <c r="J22" s="240" t="e">
        <f>#N/A</f>
        <v>#N/A</v>
      </c>
      <c r="K22" s="243">
        <f t="shared" si="11"/>
        <v>600</v>
      </c>
      <c r="L22" s="1565"/>
      <c r="M22" s="241" t="e">
        <f>#N/A</f>
        <v>#N/A</v>
      </c>
      <c r="N22"/>
      <c r="O22"/>
      <c r="P22"/>
      <c r="Q22"/>
      <c r="R22"/>
      <c r="S22"/>
      <c r="T22"/>
      <c r="U22"/>
      <c r="V22"/>
      <c r="W22"/>
      <c r="X22"/>
      <c r="Y22"/>
      <c r="Z22" s="244">
        <v>11</v>
      </c>
      <c r="AA22"/>
      <c r="AB22" t="s">
        <v>2996</v>
      </c>
      <c r="AC22"/>
      <c r="AD22"/>
      <c r="AE22"/>
      <c r="AF22"/>
      <c r="AG22"/>
    </row>
    <row r="23" spans="1:33" x14ac:dyDescent="0.2">
      <c r="A23" s="245">
        <f>A39+1</f>
        <v>10</v>
      </c>
      <c r="B23" s="239">
        <f t="shared" si="8"/>
        <v>66</v>
      </c>
      <c r="C23" s="1565"/>
      <c r="D23" s="240" t="e">
        <f>#N/A</f>
        <v>#N/A</v>
      </c>
      <c r="E23" s="243">
        <f t="shared" si="9"/>
        <v>246</v>
      </c>
      <c r="F23" s="1565"/>
      <c r="G23" s="240" t="e">
        <f>#N/A</f>
        <v>#N/A</v>
      </c>
      <c r="H23" s="243">
        <f t="shared" si="10"/>
        <v>426</v>
      </c>
      <c r="I23" s="1565"/>
      <c r="J23" s="240" t="e">
        <f>#N/A</f>
        <v>#N/A</v>
      </c>
      <c r="K23" s="243">
        <f t="shared" si="11"/>
        <v>606</v>
      </c>
      <c r="L23" s="1565"/>
      <c r="M23" s="241" t="e">
        <f>#N/A</f>
        <v>#N/A</v>
      </c>
      <c r="N23"/>
      <c r="O23"/>
      <c r="P23"/>
      <c r="Q23"/>
      <c r="R23"/>
      <c r="S23"/>
      <c r="T23"/>
      <c r="U23"/>
      <c r="V23"/>
      <c r="W23"/>
      <c r="X23"/>
      <c r="Y23"/>
      <c r="Z23" s="244">
        <v>12</v>
      </c>
      <c r="AA23"/>
      <c r="AB23"/>
      <c r="AC23"/>
      <c r="AD23"/>
      <c r="AE23"/>
      <c r="AF23"/>
      <c r="AG23"/>
    </row>
    <row r="24" spans="1:33" x14ac:dyDescent="0.2">
      <c r="B24" s="239">
        <f t="shared" si="8"/>
        <v>72</v>
      </c>
      <c r="C24" s="1565"/>
      <c r="D24" s="240" t="e">
        <f>#N/A</f>
        <v>#N/A</v>
      </c>
      <c r="E24" s="243">
        <f t="shared" si="9"/>
        <v>252</v>
      </c>
      <c r="F24" s="1565"/>
      <c r="G24" s="240" t="e">
        <f>#N/A</f>
        <v>#N/A</v>
      </c>
      <c r="H24" s="243">
        <f t="shared" si="10"/>
        <v>432</v>
      </c>
      <c r="I24" s="1565"/>
      <c r="J24" s="240" t="e">
        <f>#N/A</f>
        <v>#N/A</v>
      </c>
      <c r="K24" s="243">
        <f t="shared" si="11"/>
        <v>612</v>
      </c>
      <c r="L24" s="1565"/>
      <c r="M24" s="241" t="e">
        <f>#N/A</f>
        <v>#N/A</v>
      </c>
      <c r="N24"/>
      <c r="O24"/>
      <c r="P24"/>
      <c r="Q24"/>
      <c r="R24"/>
      <c r="S24"/>
      <c r="T24"/>
      <c r="U24"/>
      <c r="V24"/>
      <c r="W24"/>
      <c r="X24"/>
      <c r="Y24"/>
      <c r="Z24" s="244">
        <v>13</v>
      </c>
      <c r="AA24"/>
      <c r="AB24" t="s">
        <v>2988</v>
      </c>
      <c r="AC24"/>
      <c r="AD24"/>
      <c r="AE24"/>
      <c r="AF24"/>
      <c r="AG24"/>
    </row>
    <row r="25" spans="1:33" x14ac:dyDescent="0.2">
      <c r="A25" s="245">
        <v>8</v>
      </c>
      <c r="B25" s="239">
        <f t="shared" si="8"/>
        <v>78</v>
      </c>
      <c r="C25" s="1565"/>
      <c r="D25" s="240" t="e">
        <f>#N/A</f>
        <v>#N/A</v>
      </c>
      <c r="E25" s="243">
        <f t="shared" si="9"/>
        <v>258</v>
      </c>
      <c r="F25" s="1565"/>
      <c r="G25" s="240" t="e">
        <f>#N/A</f>
        <v>#N/A</v>
      </c>
      <c r="H25" s="243">
        <f t="shared" si="10"/>
        <v>438</v>
      </c>
      <c r="I25" s="1565"/>
      <c r="J25" s="240" t="e">
        <f>#N/A</f>
        <v>#N/A</v>
      </c>
      <c r="K25" s="243">
        <f t="shared" si="11"/>
        <v>618</v>
      </c>
      <c r="L25" s="1565"/>
      <c r="M25" s="241" t="e">
        <f>#N/A</f>
        <v>#N/A</v>
      </c>
      <c r="N25"/>
      <c r="O25"/>
      <c r="P25"/>
      <c r="Q25"/>
      <c r="R25"/>
      <c r="S25"/>
      <c r="T25"/>
      <c r="U25"/>
      <c r="V25"/>
      <c r="W25"/>
      <c r="X25"/>
      <c r="Y25"/>
      <c r="Z25" s="244">
        <v>14</v>
      </c>
      <c r="AA25"/>
      <c r="AB25"/>
      <c r="AC25"/>
      <c r="AD25"/>
      <c r="AE25"/>
      <c r="AF25"/>
      <c r="AG25"/>
    </row>
    <row r="26" spans="1:33" x14ac:dyDescent="0.2">
      <c r="B26" s="246">
        <f t="shared" si="8"/>
        <v>84</v>
      </c>
      <c r="C26" s="1565"/>
      <c r="D26" s="247" t="e">
        <f>#N/A</f>
        <v>#N/A</v>
      </c>
      <c r="E26" s="248">
        <f t="shared" si="9"/>
        <v>264</v>
      </c>
      <c r="F26" s="1565"/>
      <c r="G26" s="247" t="e">
        <f>#N/A</f>
        <v>#N/A</v>
      </c>
      <c r="H26" s="248">
        <f t="shared" si="10"/>
        <v>444</v>
      </c>
      <c r="I26" s="1565"/>
      <c r="J26" s="247" t="e">
        <f>#N/A</f>
        <v>#N/A</v>
      </c>
      <c r="K26" s="248">
        <f t="shared" si="11"/>
        <v>624</v>
      </c>
      <c r="L26" s="1565"/>
      <c r="M26" s="249" t="e">
        <f>#N/A</f>
        <v>#N/A</v>
      </c>
      <c r="N26"/>
      <c r="O26"/>
      <c r="P26"/>
      <c r="Q26"/>
      <c r="R26"/>
      <c r="S26"/>
      <c r="T26"/>
      <c r="U26"/>
      <c r="V26"/>
      <c r="W26"/>
      <c r="X26"/>
      <c r="Y26"/>
      <c r="Z26" s="250">
        <v>15</v>
      </c>
      <c r="AA26"/>
      <c r="AB26"/>
      <c r="AC26"/>
      <c r="AD26"/>
      <c r="AE26"/>
      <c r="AF26"/>
      <c r="AG26"/>
    </row>
    <row r="27" spans="1:33" x14ac:dyDescent="0.2">
      <c r="B27" s="251">
        <f t="shared" si="8"/>
        <v>90</v>
      </c>
      <c r="C27" s="1565" t="str">
        <f>"Kala: "&amp;CHOOSE(MOD(B27/120*8/6+$I$1+7,8)+1,"Sun","Mars","Jupiter","Mercury","Venus","Saturn","Moon","Rahu")&amp; " Upgraha: " &amp; CHOOSE(MOD(B27/6/120*8+PanchangaVaara+7,8)+1,"Kaala","-","Mrityu","Ardhaprahara","YamaGhanta","--","Gulika","--")</f>
        <v>Kala: Moon Upgraha: --</v>
      </c>
      <c r="D27" s="252" t="e">
        <f>#N/A</f>
        <v>#N/A</v>
      </c>
      <c r="E27" s="253">
        <f t="shared" si="9"/>
        <v>270</v>
      </c>
      <c r="F27" s="1565" t="str">
        <f>"Kala: "&amp;CHOOSE(MOD(E27/120*8/6+$I$1+7,8)+1,"Sun","Mars","Jupiter","Mercury","Venus","Saturn","Moon","Rahu")&amp; " Upgraha: " &amp; CHOOSE(MOD(E27/6/120*8+PanchangaVaara+7,8)+1,"Kaala","-","Mrityu","Ardhaprahara","YamaGhanta","--","Gulika","--")</f>
        <v>Kala: Sun Upgraha: -</v>
      </c>
      <c r="G27" s="252" t="e">
        <f>#N/A</f>
        <v>#N/A</v>
      </c>
      <c r="H27" s="253">
        <f t="shared" si="10"/>
        <v>450</v>
      </c>
      <c r="I27" s="1565" t="str">
        <f>"Kala: "&amp;CHOOSE(MOD(H27/120*8/6+$I$1+7,8)+1,"Sun","Mars","Jupiter","Mercury","Venus","Saturn","Moon","Rahu")&amp; " Upgraha: " &amp; CHOOSE(MOD(H27/6/120*8+PanchangaVaara+7,8)+1,"Kaala","-","Mrityu","Ardhaprahara","YamaGhanta","--","Gulika","--")</f>
        <v>Kala: Jupiter Upgraha: Ardhaprahara</v>
      </c>
      <c r="J27" s="252" t="e">
        <f>#N/A</f>
        <v>#N/A</v>
      </c>
      <c r="K27" s="253">
        <f t="shared" si="11"/>
        <v>630</v>
      </c>
      <c r="L27" s="1565" t="str">
        <f>"Kala: "&amp;CHOOSE(MOD(K27/120*8/6+$I$1+7,8)+1,"Sun","Mars","Jupiter","Mercury","Venus","Saturn","Moon","Rahu")&amp; " Upgraha: " &amp; CHOOSE(MOD(K27/6/120*8+PanchangaVaara+7,8)+1,"Kaala","-","Mrityu","Ardhaprahara","YamaGhanta","--","Gulika","--")</f>
        <v>Kala: Venus Upgraha: --</v>
      </c>
      <c r="M27" s="254" t="e">
        <f>#N/A</f>
        <v>#N/A</v>
      </c>
      <c r="N27"/>
      <c r="O27"/>
      <c r="P27"/>
      <c r="Q27"/>
      <c r="R27"/>
      <c r="S27"/>
      <c r="T27"/>
      <c r="U27"/>
      <c r="V27"/>
      <c r="W27"/>
      <c r="X27"/>
      <c r="Y27"/>
      <c r="Z27" s="217">
        <v>1</v>
      </c>
      <c r="AA27"/>
      <c r="AB27"/>
      <c r="AC27"/>
      <c r="AD27"/>
      <c r="AE27"/>
      <c r="AF27"/>
      <c r="AG27"/>
    </row>
    <row r="28" spans="1:33" x14ac:dyDescent="0.2">
      <c r="B28" s="239">
        <f t="shared" si="8"/>
        <v>96</v>
      </c>
      <c r="C28" s="1565"/>
      <c r="D28" s="240" t="e">
        <f>#N/A</f>
        <v>#N/A</v>
      </c>
      <c r="E28" s="243">
        <f t="shared" si="9"/>
        <v>276</v>
      </c>
      <c r="F28" s="1565"/>
      <c r="G28" s="240" t="e">
        <f>#N/A</f>
        <v>#N/A</v>
      </c>
      <c r="H28" s="243">
        <f t="shared" si="10"/>
        <v>456</v>
      </c>
      <c r="I28" s="1565"/>
      <c r="J28" s="240" t="e">
        <f>#N/A</f>
        <v>#N/A</v>
      </c>
      <c r="K28" s="243">
        <f t="shared" si="11"/>
        <v>636</v>
      </c>
      <c r="L28" s="1565"/>
      <c r="M28" s="241" t="e">
        <f>#N/A</f>
        <v>#N/A</v>
      </c>
      <c r="N28"/>
      <c r="O28"/>
      <c r="P28"/>
      <c r="Q28"/>
      <c r="R28"/>
      <c r="S28"/>
      <c r="T28"/>
      <c r="U28"/>
      <c r="V28"/>
      <c r="W28"/>
      <c r="X28"/>
      <c r="Y28"/>
      <c r="Z28" s="217">
        <v>2</v>
      </c>
      <c r="AA28"/>
      <c r="AB28"/>
      <c r="AC28"/>
      <c r="AD28"/>
      <c r="AE28"/>
      <c r="AF28"/>
      <c r="AG28"/>
    </row>
    <row r="29" spans="1:33" x14ac:dyDescent="0.2">
      <c r="B29" s="239">
        <f t="shared" si="8"/>
        <v>102</v>
      </c>
      <c r="C29" s="1565"/>
      <c r="D29" s="240" t="e">
        <f>#N/A</f>
        <v>#N/A</v>
      </c>
      <c r="E29" s="243">
        <f t="shared" si="9"/>
        <v>282</v>
      </c>
      <c r="F29" s="1565"/>
      <c r="G29" s="240" t="e">
        <f>#N/A</f>
        <v>#N/A</v>
      </c>
      <c r="H29" s="243">
        <f t="shared" si="10"/>
        <v>462</v>
      </c>
      <c r="I29" s="1565"/>
      <c r="J29" s="240" t="e">
        <f>#N/A</f>
        <v>#N/A</v>
      </c>
      <c r="K29" s="243">
        <f t="shared" si="11"/>
        <v>642</v>
      </c>
      <c r="L29" s="1565"/>
      <c r="M29" s="241" t="e">
        <f>#N/A</f>
        <v>#N/A</v>
      </c>
      <c r="N29"/>
      <c r="O29"/>
      <c r="P29"/>
      <c r="Q29"/>
      <c r="R29"/>
      <c r="S29"/>
      <c r="T29"/>
      <c r="U29"/>
      <c r="V29"/>
      <c r="W29"/>
      <c r="X29"/>
      <c r="Y29"/>
      <c r="Z29" s="217">
        <v>3</v>
      </c>
      <c r="AA29"/>
      <c r="AB29"/>
      <c r="AC29"/>
      <c r="AD29"/>
      <c r="AE29"/>
      <c r="AF29"/>
      <c r="AG29"/>
    </row>
    <row r="30" spans="1:33" x14ac:dyDescent="0.2">
      <c r="B30" s="239">
        <f t="shared" si="8"/>
        <v>108</v>
      </c>
      <c r="C30" s="1565"/>
      <c r="D30" s="240" t="e">
        <f>#N/A</f>
        <v>#N/A</v>
      </c>
      <c r="E30" s="243">
        <f t="shared" si="9"/>
        <v>288</v>
      </c>
      <c r="F30" s="1565"/>
      <c r="G30" s="240" t="e">
        <f>#N/A</f>
        <v>#N/A</v>
      </c>
      <c r="H30" s="243">
        <f t="shared" si="10"/>
        <v>468</v>
      </c>
      <c r="I30" s="1565"/>
      <c r="J30" s="240" t="e">
        <f>#N/A</f>
        <v>#N/A</v>
      </c>
      <c r="K30" s="243">
        <f t="shared" si="11"/>
        <v>648</v>
      </c>
      <c r="L30" s="1565"/>
      <c r="M30" s="241" t="e">
        <f>#N/A</f>
        <v>#N/A</v>
      </c>
      <c r="N30"/>
      <c r="O30"/>
      <c r="P30"/>
      <c r="Q30"/>
      <c r="R30"/>
      <c r="S30"/>
      <c r="T30"/>
      <c r="U30"/>
      <c r="V30"/>
      <c r="W30"/>
      <c r="X30"/>
      <c r="Y30"/>
      <c r="Z30" s="217">
        <v>4</v>
      </c>
      <c r="AA30"/>
      <c r="AB30"/>
      <c r="AC30"/>
      <c r="AD30"/>
      <c r="AE30"/>
      <c r="AF30"/>
      <c r="AG30"/>
    </row>
    <row r="31" spans="1:33" x14ac:dyDescent="0.2">
      <c r="B31" s="239">
        <f t="shared" si="8"/>
        <v>114</v>
      </c>
      <c r="C31" s="1565"/>
      <c r="D31" s="240" t="e">
        <f>#N/A</f>
        <v>#N/A</v>
      </c>
      <c r="E31" s="243">
        <f t="shared" si="9"/>
        <v>294</v>
      </c>
      <c r="F31" s="1565"/>
      <c r="G31" s="240" t="e">
        <f>#N/A</f>
        <v>#N/A</v>
      </c>
      <c r="H31" s="243">
        <f t="shared" si="10"/>
        <v>474</v>
      </c>
      <c r="I31" s="1565"/>
      <c r="J31" s="240" t="e">
        <f>#N/A</f>
        <v>#N/A</v>
      </c>
      <c r="K31" s="243">
        <f t="shared" si="11"/>
        <v>654</v>
      </c>
      <c r="L31" s="1565"/>
      <c r="M31" s="241" t="e">
        <f>#N/A</f>
        <v>#N/A</v>
      </c>
      <c r="N31"/>
      <c r="O31"/>
      <c r="P31"/>
      <c r="Q31"/>
      <c r="R31"/>
      <c r="S31"/>
      <c r="T31"/>
      <c r="U31"/>
      <c r="V31"/>
      <c r="W31"/>
      <c r="X31"/>
      <c r="Y31"/>
      <c r="Z31" s="217">
        <v>5</v>
      </c>
      <c r="AA31"/>
      <c r="AB31"/>
      <c r="AC31"/>
      <c r="AD31"/>
      <c r="AE31"/>
      <c r="AF31"/>
      <c r="AG31"/>
    </row>
    <row r="32" spans="1:33" x14ac:dyDescent="0.2">
      <c r="B32" s="239">
        <f t="shared" si="8"/>
        <v>120</v>
      </c>
      <c r="C32" s="1565"/>
      <c r="D32" s="240" t="e">
        <f>#N/A</f>
        <v>#N/A</v>
      </c>
      <c r="E32" s="243">
        <f t="shared" si="9"/>
        <v>300</v>
      </c>
      <c r="F32" s="1565"/>
      <c r="G32" s="240" t="e">
        <f>#N/A</f>
        <v>#N/A</v>
      </c>
      <c r="H32" s="243">
        <f t="shared" si="10"/>
        <v>480</v>
      </c>
      <c r="I32" s="1565"/>
      <c r="J32" s="240" t="e">
        <f>#N/A</f>
        <v>#N/A</v>
      </c>
      <c r="K32" s="243">
        <f t="shared" si="11"/>
        <v>660</v>
      </c>
      <c r="L32" s="1565"/>
      <c r="M32" s="241" t="e">
        <f>#N/A</f>
        <v>#N/A</v>
      </c>
      <c r="N32"/>
      <c r="O32"/>
      <c r="P32"/>
      <c r="Q32"/>
      <c r="R32"/>
      <c r="S32"/>
      <c r="T32"/>
      <c r="U32"/>
      <c r="V32"/>
      <c r="W32"/>
      <c r="X32"/>
      <c r="Y32"/>
      <c r="Z32" s="217">
        <v>6</v>
      </c>
      <c r="AA32"/>
      <c r="AB32"/>
      <c r="AC32"/>
      <c r="AD32"/>
      <c r="AE32"/>
      <c r="AF32"/>
      <c r="AG32"/>
    </row>
    <row r="33" spans="1:33" x14ac:dyDescent="0.2">
      <c r="B33" s="239">
        <f t="shared" si="8"/>
        <v>126</v>
      </c>
      <c r="C33" s="1565"/>
      <c r="D33" s="240" t="e">
        <f>#N/A</f>
        <v>#N/A</v>
      </c>
      <c r="E33" s="243">
        <f t="shared" si="9"/>
        <v>306</v>
      </c>
      <c r="F33" s="1565"/>
      <c r="G33" s="240" t="e">
        <f>#N/A</f>
        <v>#N/A</v>
      </c>
      <c r="H33" s="243">
        <f t="shared" si="10"/>
        <v>486</v>
      </c>
      <c r="I33" s="1565"/>
      <c r="J33" s="240" t="e">
        <f>#N/A</f>
        <v>#N/A</v>
      </c>
      <c r="K33" s="243">
        <f t="shared" si="11"/>
        <v>666</v>
      </c>
      <c r="L33" s="1565"/>
      <c r="M33" s="241" t="e">
        <f>#N/A</f>
        <v>#N/A</v>
      </c>
      <c r="N33"/>
      <c r="O33"/>
      <c r="P33"/>
      <c r="Q33"/>
      <c r="R33"/>
      <c r="S33"/>
      <c r="T33"/>
      <c r="U33"/>
      <c r="V33"/>
      <c r="W33"/>
      <c r="X33"/>
      <c r="Y33"/>
      <c r="Z33" s="217">
        <v>7</v>
      </c>
      <c r="AA33"/>
      <c r="AB33"/>
      <c r="AC33"/>
      <c r="AD33"/>
      <c r="AE33"/>
      <c r="AF33"/>
      <c r="AG33"/>
    </row>
    <row r="34" spans="1:33" x14ac:dyDescent="0.2">
      <c r="A34" s="245"/>
      <c r="B34" s="239">
        <f t="shared" si="8"/>
        <v>132</v>
      </c>
      <c r="C34" s="1565"/>
      <c r="D34" s="240" t="e">
        <f>#N/A</f>
        <v>#N/A</v>
      </c>
      <c r="E34" s="243">
        <f t="shared" si="9"/>
        <v>312</v>
      </c>
      <c r="F34" s="1565"/>
      <c r="G34" s="240" t="e">
        <f>#N/A</f>
        <v>#N/A</v>
      </c>
      <c r="H34" s="243">
        <f t="shared" si="10"/>
        <v>492</v>
      </c>
      <c r="I34" s="1565"/>
      <c r="J34" s="240" t="e">
        <f>#N/A</f>
        <v>#N/A</v>
      </c>
      <c r="K34" s="243">
        <f t="shared" si="11"/>
        <v>672</v>
      </c>
      <c r="L34" s="1565"/>
      <c r="M34" s="241" t="e">
        <f>#N/A</f>
        <v>#N/A</v>
      </c>
      <c r="N34"/>
      <c r="O34"/>
      <c r="P34"/>
      <c r="Q34"/>
      <c r="R34"/>
      <c r="S34"/>
      <c r="T34"/>
      <c r="U34"/>
      <c r="V34"/>
      <c r="W34"/>
      <c r="X34"/>
      <c r="Y34"/>
      <c r="Z34" s="217">
        <v>8</v>
      </c>
      <c r="AA34"/>
      <c r="AB34"/>
      <c r="AC34"/>
      <c r="AD34"/>
      <c r="AE34"/>
      <c r="AF34"/>
      <c r="AG34"/>
    </row>
    <row r="35" spans="1:33" x14ac:dyDescent="0.2">
      <c r="A35" s="245">
        <f>A21+1</f>
        <v>13</v>
      </c>
      <c r="B35" s="239">
        <f t="shared" si="8"/>
        <v>138</v>
      </c>
      <c r="C35" s="1565"/>
      <c r="D35" s="240" t="e">
        <f>#N/A</f>
        <v>#N/A</v>
      </c>
      <c r="E35" s="243">
        <f t="shared" si="9"/>
        <v>318</v>
      </c>
      <c r="F35" s="1565"/>
      <c r="G35" s="240" t="e">
        <f>#N/A</f>
        <v>#N/A</v>
      </c>
      <c r="H35" s="243">
        <f t="shared" si="10"/>
        <v>498</v>
      </c>
      <c r="I35" s="1565"/>
      <c r="J35" s="240" t="e">
        <f>#N/A</f>
        <v>#N/A</v>
      </c>
      <c r="K35" s="243">
        <f t="shared" si="11"/>
        <v>678</v>
      </c>
      <c r="L35" s="1565"/>
      <c r="M35" s="241" t="e">
        <f>#N/A</f>
        <v>#N/A</v>
      </c>
      <c r="N35"/>
      <c r="O35"/>
      <c r="P35"/>
      <c r="Q35"/>
      <c r="R35"/>
      <c r="S35"/>
      <c r="T35"/>
      <c r="U35"/>
      <c r="V35"/>
      <c r="W35"/>
      <c r="X35"/>
      <c r="Y35"/>
      <c r="Z35" s="217">
        <v>9</v>
      </c>
      <c r="AA35"/>
      <c r="AB35"/>
      <c r="AC35"/>
      <c r="AD35"/>
      <c r="AE35"/>
      <c r="AF35"/>
      <c r="AG35"/>
    </row>
    <row r="36" spans="1:33" x14ac:dyDescent="0.2">
      <c r="A36" s="245"/>
      <c r="B36" s="239">
        <f t="shared" si="8"/>
        <v>144</v>
      </c>
      <c r="C36" s="1565"/>
      <c r="D36" s="240" t="e">
        <f>#N/A</f>
        <v>#N/A</v>
      </c>
      <c r="E36" s="243">
        <f t="shared" si="9"/>
        <v>324</v>
      </c>
      <c r="F36" s="1565"/>
      <c r="G36" s="240" t="e">
        <f>#N/A</f>
        <v>#N/A</v>
      </c>
      <c r="H36" s="243">
        <f t="shared" si="10"/>
        <v>504</v>
      </c>
      <c r="I36" s="1565"/>
      <c r="J36" s="240" t="e">
        <f>#N/A</f>
        <v>#N/A</v>
      </c>
      <c r="K36" s="243">
        <f t="shared" si="11"/>
        <v>684</v>
      </c>
      <c r="L36" s="1565"/>
      <c r="M36" s="241" t="e">
        <f>#N/A</f>
        <v>#N/A</v>
      </c>
      <c r="N36"/>
      <c r="O36"/>
      <c r="P36"/>
      <c r="Q36"/>
      <c r="R36"/>
      <c r="S36"/>
      <c r="T36"/>
      <c r="U36"/>
      <c r="V36"/>
      <c r="W36"/>
      <c r="X36"/>
      <c r="Y36"/>
      <c r="Z36" s="217">
        <v>10</v>
      </c>
      <c r="AA36"/>
      <c r="AB36"/>
      <c r="AC36"/>
      <c r="AD36"/>
      <c r="AE36"/>
      <c r="AF36"/>
      <c r="AG36"/>
    </row>
    <row r="37" spans="1:33" x14ac:dyDescent="0.2">
      <c r="A37" s="245">
        <f>A23+1</f>
        <v>11</v>
      </c>
      <c r="B37" s="239">
        <f t="shared" si="8"/>
        <v>150</v>
      </c>
      <c r="C37" s="1565"/>
      <c r="D37" s="240" t="e">
        <f>#N/A</f>
        <v>#N/A</v>
      </c>
      <c r="E37" s="243">
        <f t="shared" si="9"/>
        <v>330</v>
      </c>
      <c r="F37" s="1565"/>
      <c r="G37" s="240" t="e">
        <f>#N/A</f>
        <v>#N/A</v>
      </c>
      <c r="H37" s="243">
        <f t="shared" si="10"/>
        <v>510</v>
      </c>
      <c r="I37" s="1565"/>
      <c r="J37" s="240" t="e">
        <f>#N/A</f>
        <v>#N/A</v>
      </c>
      <c r="K37" s="243">
        <f t="shared" si="11"/>
        <v>690</v>
      </c>
      <c r="L37" s="1565"/>
      <c r="M37" s="241" t="e">
        <f>#N/A</f>
        <v>#N/A</v>
      </c>
      <c r="N37"/>
      <c r="O37"/>
      <c r="P37"/>
      <c r="Q37"/>
      <c r="R37"/>
      <c r="S37"/>
      <c r="T37"/>
      <c r="U37"/>
      <c r="V37"/>
      <c r="W37"/>
      <c r="X37"/>
      <c r="Y37"/>
      <c r="Z37" s="217">
        <v>11</v>
      </c>
      <c r="AA37"/>
      <c r="AB37"/>
      <c r="AC37"/>
      <c r="AD37"/>
      <c r="AE37"/>
      <c r="AF37"/>
      <c r="AG37"/>
    </row>
    <row r="38" spans="1:33" x14ac:dyDescent="0.2">
      <c r="A38" s="245"/>
      <c r="B38" s="239">
        <f t="shared" si="8"/>
        <v>156</v>
      </c>
      <c r="C38" s="1565"/>
      <c r="D38" s="240" t="e">
        <f>#N/A</f>
        <v>#N/A</v>
      </c>
      <c r="E38" s="243">
        <f t="shared" si="9"/>
        <v>336</v>
      </c>
      <c r="F38" s="1565"/>
      <c r="G38" s="240" t="e">
        <f>#N/A</f>
        <v>#N/A</v>
      </c>
      <c r="H38" s="243">
        <f t="shared" si="10"/>
        <v>516</v>
      </c>
      <c r="I38" s="1565"/>
      <c r="J38" s="240" t="e">
        <f>#N/A</f>
        <v>#N/A</v>
      </c>
      <c r="K38" s="243">
        <f t="shared" si="11"/>
        <v>696</v>
      </c>
      <c r="L38" s="1565"/>
      <c r="M38" s="241" t="e">
        <f>#N/A</f>
        <v>#N/A</v>
      </c>
      <c r="N38"/>
      <c r="O38"/>
      <c r="P38"/>
      <c r="Q38"/>
      <c r="R38"/>
      <c r="S38"/>
      <c r="T38"/>
      <c r="U38"/>
      <c r="V38"/>
      <c r="W38"/>
      <c r="X38"/>
      <c r="Y38"/>
      <c r="Z38" s="217">
        <v>12</v>
      </c>
      <c r="AD38" s="218"/>
    </row>
    <row r="39" spans="1:33" x14ac:dyDescent="0.2">
      <c r="A39" s="245">
        <f>A25+1</f>
        <v>9</v>
      </c>
      <c r="B39" s="239">
        <f t="shared" si="8"/>
        <v>162</v>
      </c>
      <c r="C39" s="1565"/>
      <c r="D39" s="240" t="e">
        <f>#N/A</f>
        <v>#N/A</v>
      </c>
      <c r="E39" s="243">
        <f t="shared" si="9"/>
        <v>342</v>
      </c>
      <c r="F39" s="1565"/>
      <c r="G39" s="240" t="e">
        <f>#N/A</f>
        <v>#N/A</v>
      </c>
      <c r="H39" s="243">
        <f t="shared" si="10"/>
        <v>522</v>
      </c>
      <c r="I39" s="1565"/>
      <c r="J39" s="240" t="e">
        <f>#N/A</f>
        <v>#N/A</v>
      </c>
      <c r="K39" s="243">
        <f t="shared" si="11"/>
        <v>702</v>
      </c>
      <c r="L39" s="1565"/>
      <c r="M39" s="241" t="e">
        <f>#N/A</f>
        <v>#N/A</v>
      </c>
      <c r="N39"/>
      <c r="O39"/>
      <c r="P39"/>
      <c r="Q39"/>
      <c r="R39"/>
      <c r="S39"/>
      <c r="T39"/>
      <c r="U39"/>
      <c r="V39"/>
      <c r="W39"/>
      <c r="X39"/>
      <c r="Y39"/>
      <c r="Z39" s="217">
        <v>13</v>
      </c>
      <c r="AD39" s="218"/>
    </row>
    <row r="40" spans="1:33" x14ac:dyDescent="0.2">
      <c r="A40" s="245"/>
      <c r="B40" s="239">
        <f t="shared" si="8"/>
        <v>168</v>
      </c>
      <c r="C40" s="1565"/>
      <c r="D40" s="240" t="e">
        <f>#N/A</f>
        <v>#N/A</v>
      </c>
      <c r="E40" s="243">
        <f t="shared" si="9"/>
        <v>348</v>
      </c>
      <c r="F40" s="1565"/>
      <c r="G40" s="240" t="e">
        <f>#N/A</f>
        <v>#N/A</v>
      </c>
      <c r="H40" s="243">
        <f t="shared" si="10"/>
        <v>528</v>
      </c>
      <c r="I40" s="1565"/>
      <c r="J40" s="240" t="e">
        <f>#N/A</f>
        <v>#N/A</v>
      </c>
      <c r="K40" s="243">
        <f t="shared" si="11"/>
        <v>708</v>
      </c>
      <c r="L40" s="1565"/>
      <c r="M40" s="241" t="e">
        <f>#N/A</f>
        <v>#N/A</v>
      </c>
      <c r="N40"/>
      <c r="O40"/>
      <c r="P40"/>
      <c r="Q40"/>
      <c r="R40"/>
      <c r="S40"/>
      <c r="T40"/>
      <c r="U40"/>
      <c r="V40"/>
      <c r="W40"/>
      <c r="X40"/>
      <c r="Y40"/>
      <c r="Z40" s="217">
        <v>14</v>
      </c>
      <c r="AD40" s="218"/>
    </row>
    <row r="41" spans="1:33" x14ac:dyDescent="0.2">
      <c r="B41" s="255">
        <f t="shared" si="8"/>
        <v>174</v>
      </c>
      <c r="C41" s="1565"/>
      <c r="D41" s="256" t="e">
        <f>#N/A</f>
        <v>#N/A</v>
      </c>
      <c r="E41" s="257">
        <f t="shared" si="9"/>
        <v>354</v>
      </c>
      <c r="F41" s="1565"/>
      <c r="G41" s="256" t="e">
        <f>#N/A</f>
        <v>#N/A</v>
      </c>
      <c r="H41" s="257">
        <f t="shared" si="10"/>
        <v>534</v>
      </c>
      <c r="I41" s="1565"/>
      <c r="J41" s="256" t="e">
        <f>#N/A</f>
        <v>#N/A</v>
      </c>
      <c r="K41" s="257">
        <f t="shared" si="11"/>
        <v>714</v>
      </c>
      <c r="L41" s="1565"/>
      <c r="M41" s="258" t="e">
        <f>#N/A</f>
        <v>#N/A</v>
      </c>
      <c r="N41"/>
      <c r="O41"/>
      <c r="P41"/>
      <c r="Q41"/>
      <c r="R41"/>
      <c r="S41"/>
      <c r="T41"/>
      <c r="U41"/>
      <c r="V41"/>
      <c r="W41"/>
      <c r="X41"/>
      <c r="Y41"/>
      <c r="Z41" s="217">
        <v>15</v>
      </c>
      <c r="AD41" s="218"/>
    </row>
    <row r="42" spans="1:33" x14ac:dyDescent="0.2">
      <c r="B42" s="1566" t="s">
        <v>1642</v>
      </c>
      <c r="C42" s="1566"/>
      <c r="D42" s="1566" t="s">
        <v>1643</v>
      </c>
      <c r="E42" s="1566"/>
      <c r="F42" s="1566" t="s">
        <v>1644</v>
      </c>
      <c r="G42" s="1566"/>
      <c r="H42" s="1566" t="s">
        <v>1645</v>
      </c>
      <c r="I42" s="1566"/>
      <c r="J42" s="1566"/>
      <c r="K42" s="1566"/>
      <c r="L42" s="1566"/>
      <c r="M42" s="1566"/>
      <c r="N42" s="1566"/>
      <c r="O42" s="1566"/>
      <c r="P42" s="1566"/>
      <c r="Q42" s="1566"/>
    </row>
    <row r="43" spans="1:33" x14ac:dyDescent="0.2">
      <c r="B43" s="1566" t="s">
        <v>1646</v>
      </c>
      <c r="C43" s="1566"/>
      <c r="D43" s="1566" t="s">
        <v>1647</v>
      </c>
      <c r="E43" s="1566"/>
      <c r="F43" s="1566" t="s">
        <v>1648</v>
      </c>
      <c r="G43" s="1566"/>
      <c r="H43" s="1566" t="s">
        <v>1059</v>
      </c>
      <c r="I43" s="1566"/>
      <c r="O43" s="218"/>
    </row>
    <row r="44" spans="1:33" x14ac:dyDescent="0.2">
      <c r="A44"/>
      <c r="B44"/>
      <c r="C44"/>
      <c r="D44"/>
      <c r="E44"/>
      <c r="F44"/>
      <c r="G44"/>
    </row>
    <row r="45" spans="1:33" x14ac:dyDescent="0.2">
      <c r="B45" s="1567" t="s">
        <v>1649</v>
      </c>
      <c r="C45" s="1567"/>
      <c r="D45" s="1567"/>
      <c r="E45" s="1567"/>
      <c r="F45" s="1567"/>
      <c r="G45" s="1567"/>
      <c r="H45" s="1567"/>
      <c r="I45" s="1567"/>
      <c r="J45" s="1567"/>
      <c r="K45" s="1567"/>
      <c r="L45" s="1567"/>
      <c r="M45" s="1567"/>
    </row>
    <row r="46" spans="1:33" x14ac:dyDescent="0.2">
      <c r="B46" s="1568" t="str">
        <f>"Yama:"&amp;CHOOSE(MOD(B47/240*8/6+$I$1+7,8)+1,"Sun","Mars","Jupiter","Mercury","Venus","Saturn","Moon","Rahu")</f>
        <v>Yama:Mars</v>
      </c>
      <c r="C46" s="1568"/>
      <c r="D46" s="1568"/>
      <c r="E46" s="1568" t="str">
        <f>"Yama:"&amp;CHOOSE(MOD(E47/240*8/6+$I$1+7,8)+1,"Sun","Mars","Jupiter","Mercury","Venus","Saturn","Moon","Rahu")</f>
        <v>Yama:Jupiter</v>
      </c>
      <c r="F46" s="1568"/>
      <c r="G46" s="1568"/>
      <c r="H46" s="1568" t="str">
        <f>"Yama:"&amp;CHOOSE(MOD(H47/240*8/6+$I$1+7,8)+1,"Sun","Mars","Jupiter","Mercury","Venus","Saturn","Moon","Rahu")</f>
        <v>Yama:Mercury</v>
      </c>
      <c r="I46" s="1568"/>
      <c r="J46" s="1568"/>
      <c r="K46" s="1568" t="str">
        <f>"Yama:"&amp;CHOOSE(MOD(K47/240*8/6+$I$1+7,8)+1,"Sun","Mars","Jupiter","Mercury","Venus","Saturn","Moon","Rahu")</f>
        <v>Yama:Venus</v>
      </c>
      <c r="L46" s="1568"/>
      <c r="M46" s="1568"/>
    </row>
    <row r="47" spans="1:33" x14ac:dyDescent="0.2">
      <c r="B47" s="259">
        <f>K41+6</f>
        <v>720</v>
      </c>
      <c r="C47" s="1565" t="str">
        <f>"Kala: "&amp;CHOOSE(MOD(B47/120*8/6+$I$1+7+4,8)+1,"Sun","Mars","Jupiter","Mercury","Venus","Saturn","Moon","Rahu")&amp; " Upgraha: " &amp; CHOOSE(MOD(B47/6/120*8+PanchangaVaara+7+4,8)+1,"Kaala","-","Mrityu","Ardhaprahara","YamaGhanta","--","Gulika","--")</f>
        <v>Kala: Mars Upgraha: Mrityu</v>
      </c>
      <c r="D47" s="240" t="e">
        <f>#N/A</f>
        <v>#N/A</v>
      </c>
      <c r="E47" s="240">
        <f>B76+6</f>
        <v>900</v>
      </c>
      <c r="F47" s="1565" t="str">
        <f>"Kala: "&amp;CHOOSE(MOD(E47/120*8/6+$I$1+7+4,8)+1,"Sun","Mars","Jupiter","Mercury","Venus","Saturn","Moon","Rahu")&amp; " Upgraha: " &amp; CHOOSE(MOD(E47/6/120*8+PanchangaVaara+7+4,8)+1,"Kaala","-","Mrityu","Ardhaprahara","YamaGhanta","--","Gulika","--")</f>
        <v>Kala: Mercury Upgraha: YamaGhanta</v>
      </c>
      <c r="G47" s="240" t="e">
        <f>#N/A</f>
        <v>#N/A</v>
      </c>
      <c r="H47" s="240">
        <f>E76+6</f>
        <v>1080</v>
      </c>
      <c r="I47" s="1565" t="str">
        <f>"Kala: "&amp;CHOOSE(MOD(H47/120*8/6+$I$1+7+4,8)+1,"Sun","Mars","Jupiter","Mercury","Venus","Saturn","Moon","Rahu")&amp; " Upgraha: " &amp; CHOOSE(MOD(H47/6/120*8+PanchangaVaara+7+4,8)+1,"Kaala","-","Mrityu","Ardhaprahara","YamaGhanta","--","Gulika","--")</f>
        <v>Kala: Saturn Upgraha: Gulika</v>
      </c>
      <c r="J47" s="240" t="e">
        <f>#N/A</f>
        <v>#N/A</v>
      </c>
      <c r="K47" s="240">
        <f>H76+6</f>
        <v>1260</v>
      </c>
      <c r="L47" s="1565" t="str">
        <f>"Kala: "&amp;CHOOSE(MOD(K47/120*8/6+$I$1+7+4,8)+1,"Sun","Mars","Jupiter","Mercury","Venus","Saturn","Moon","Rahu")&amp; " Upgraha: " &amp; CHOOSE(MOD(K47/6/120*8+PanchangaVaara+7+4,8)+1,"Kaala","-","Mrityu","Ardhaprahara","YamaGhanta","--","Gulika","--")</f>
        <v>Kala: Rahu Upgraha: Kaala</v>
      </c>
      <c r="M47" s="241" t="e">
        <f>#N/A</f>
        <v>#N/A</v>
      </c>
    </row>
    <row r="48" spans="1:33" x14ac:dyDescent="0.2">
      <c r="B48" s="260">
        <f t="shared" ref="B48:B76" si="12">B47+6</f>
        <v>726</v>
      </c>
      <c r="C48" s="1565"/>
      <c r="D48" s="240" t="e">
        <f>#N/A</f>
        <v>#N/A</v>
      </c>
      <c r="E48" s="261">
        <f t="shared" ref="E48:E76" si="13">E47+6</f>
        <v>906</v>
      </c>
      <c r="F48" s="1565"/>
      <c r="G48" s="240" t="e">
        <f>#N/A</f>
        <v>#N/A</v>
      </c>
      <c r="H48" s="261">
        <f t="shared" ref="H48:H76" si="14">H47+6</f>
        <v>1086</v>
      </c>
      <c r="I48" s="1565"/>
      <c r="J48" s="240" t="e">
        <f>#N/A</f>
        <v>#N/A</v>
      </c>
      <c r="K48" s="261">
        <f t="shared" ref="K48:K76" si="15">K47+6</f>
        <v>1266</v>
      </c>
      <c r="L48" s="1565"/>
      <c r="M48" s="241" t="e">
        <f>#N/A</f>
        <v>#N/A</v>
      </c>
    </row>
    <row r="49" spans="2:13" x14ac:dyDescent="0.2">
      <c r="B49" s="260">
        <f t="shared" si="12"/>
        <v>732</v>
      </c>
      <c r="C49" s="1565"/>
      <c r="D49" s="240" t="e">
        <f>#N/A</f>
        <v>#N/A</v>
      </c>
      <c r="E49" s="261">
        <f t="shared" si="13"/>
        <v>912</v>
      </c>
      <c r="F49" s="1565"/>
      <c r="G49" s="240" t="e">
        <f>#N/A</f>
        <v>#N/A</v>
      </c>
      <c r="H49" s="261">
        <f t="shared" si="14"/>
        <v>1092</v>
      </c>
      <c r="I49" s="1565"/>
      <c r="J49" s="240" t="e">
        <f>#N/A</f>
        <v>#N/A</v>
      </c>
      <c r="K49" s="261">
        <f t="shared" si="15"/>
        <v>1272</v>
      </c>
      <c r="L49" s="1565"/>
      <c r="M49" s="241" t="e">
        <f>#N/A</f>
        <v>#N/A</v>
      </c>
    </row>
    <row r="50" spans="2:13" x14ac:dyDescent="0.2">
      <c r="B50" s="260">
        <f t="shared" si="12"/>
        <v>738</v>
      </c>
      <c r="C50" s="1565"/>
      <c r="D50" s="240" t="e">
        <f>#N/A</f>
        <v>#N/A</v>
      </c>
      <c r="E50" s="261">
        <f t="shared" si="13"/>
        <v>918</v>
      </c>
      <c r="F50" s="1565"/>
      <c r="G50" s="240" t="e">
        <f>#N/A</f>
        <v>#N/A</v>
      </c>
      <c r="H50" s="261">
        <f t="shared" si="14"/>
        <v>1098</v>
      </c>
      <c r="I50" s="1565"/>
      <c r="J50" s="240" t="e">
        <f>#N/A</f>
        <v>#N/A</v>
      </c>
      <c r="K50" s="261">
        <f t="shared" si="15"/>
        <v>1278</v>
      </c>
      <c r="L50" s="1565"/>
      <c r="M50" s="241" t="e">
        <f>#N/A</f>
        <v>#N/A</v>
      </c>
    </row>
    <row r="51" spans="2:13" x14ac:dyDescent="0.2">
      <c r="B51" s="260">
        <f t="shared" si="12"/>
        <v>744</v>
      </c>
      <c r="C51" s="1565"/>
      <c r="D51" s="240" t="e">
        <f>#N/A</f>
        <v>#N/A</v>
      </c>
      <c r="E51" s="261">
        <f t="shared" si="13"/>
        <v>924</v>
      </c>
      <c r="F51" s="1565"/>
      <c r="G51" s="240" t="e">
        <f>#N/A</f>
        <v>#N/A</v>
      </c>
      <c r="H51" s="261">
        <f t="shared" si="14"/>
        <v>1104</v>
      </c>
      <c r="I51" s="1565"/>
      <c r="J51" s="240" t="e">
        <f>#N/A</f>
        <v>#N/A</v>
      </c>
      <c r="K51" s="261">
        <f t="shared" si="15"/>
        <v>1284</v>
      </c>
      <c r="L51" s="1565"/>
      <c r="M51" s="241" t="e">
        <f>#N/A</f>
        <v>#N/A</v>
      </c>
    </row>
    <row r="52" spans="2:13" x14ac:dyDescent="0.2">
      <c r="B52" s="260">
        <f t="shared" si="12"/>
        <v>750</v>
      </c>
      <c r="C52" s="1565"/>
      <c r="D52" s="240" t="e">
        <f>#N/A</f>
        <v>#N/A</v>
      </c>
      <c r="E52" s="261">
        <f t="shared" si="13"/>
        <v>930</v>
      </c>
      <c r="F52" s="1565"/>
      <c r="G52" s="240" t="e">
        <f>#N/A</f>
        <v>#N/A</v>
      </c>
      <c r="H52" s="261">
        <f t="shared" si="14"/>
        <v>1110</v>
      </c>
      <c r="I52" s="1565"/>
      <c r="J52" s="240" t="e">
        <f>#N/A</f>
        <v>#N/A</v>
      </c>
      <c r="K52" s="261">
        <f t="shared" si="15"/>
        <v>1290</v>
      </c>
      <c r="L52" s="1565"/>
      <c r="M52" s="241" t="e">
        <f>#N/A</f>
        <v>#N/A</v>
      </c>
    </row>
    <row r="53" spans="2:13" x14ac:dyDescent="0.2">
      <c r="B53" s="260">
        <f t="shared" si="12"/>
        <v>756</v>
      </c>
      <c r="C53" s="1565"/>
      <c r="D53" s="240" t="e">
        <f>#N/A</f>
        <v>#N/A</v>
      </c>
      <c r="E53" s="261">
        <f t="shared" si="13"/>
        <v>936</v>
      </c>
      <c r="F53" s="1565"/>
      <c r="G53" s="240" t="e">
        <f>#N/A</f>
        <v>#N/A</v>
      </c>
      <c r="H53" s="261">
        <f t="shared" si="14"/>
        <v>1116</v>
      </c>
      <c r="I53" s="1565"/>
      <c r="J53" s="240" t="e">
        <f>#N/A</f>
        <v>#N/A</v>
      </c>
      <c r="K53" s="261">
        <f t="shared" si="15"/>
        <v>1296</v>
      </c>
      <c r="L53" s="1565"/>
      <c r="M53" s="241" t="e">
        <f>#N/A</f>
        <v>#N/A</v>
      </c>
    </row>
    <row r="54" spans="2:13" x14ac:dyDescent="0.2">
      <c r="B54" s="260">
        <f t="shared" si="12"/>
        <v>762</v>
      </c>
      <c r="C54" s="1565"/>
      <c r="D54" s="240" t="e">
        <f>#N/A</f>
        <v>#N/A</v>
      </c>
      <c r="E54" s="261">
        <f t="shared" si="13"/>
        <v>942</v>
      </c>
      <c r="F54" s="1565"/>
      <c r="G54" s="240" t="e">
        <f>#N/A</f>
        <v>#N/A</v>
      </c>
      <c r="H54" s="261">
        <f t="shared" si="14"/>
        <v>1122</v>
      </c>
      <c r="I54" s="1565"/>
      <c r="J54" s="240" t="e">
        <f>#N/A</f>
        <v>#N/A</v>
      </c>
      <c r="K54" s="261">
        <f t="shared" si="15"/>
        <v>1302</v>
      </c>
      <c r="L54" s="1565"/>
      <c r="M54" s="241" t="e">
        <f>#N/A</f>
        <v>#N/A</v>
      </c>
    </row>
    <row r="55" spans="2:13" x14ac:dyDescent="0.2">
      <c r="B55" s="260">
        <f t="shared" si="12"/>
        <v>768</v>
      </c>
      <c r="C55" s="1565"/>
      <c r="D55" s="240" t="e">
        <f>#N/A</f>
        <v>#N/A</v>
      </c>
      <c r="E55" s="261">
        <f t="shared" si="13"/>
        <v>948</v>
      </c>
      <c r="F55" s="1565"/>
      <c r="G55" s="240" t="e">
        <f>#N/A</f>
        <v>#N/A</v>
      </c>
      <c r="H55" s="261">
        <f t="shared" si="14"/>
        <v>1128</v>
      </c>
      <c r="I55" s="1565"/>
      <c r="J55" s="240" t="e">
        <f>#N/A</f>
        <v>#N/A</v>
      </c>
      <c r="K55" s="261">
        <f t="shared" si="15"/>
        <v>1308</v>
      </c>
      <c r="L55" s="1565"/>
      <c r="M55" s="241" t="e">
        <f>#N/A</f>
        <v>#N/A</v>
      </c>
    </row>
    <row r="56" spans="2:13" x14ac:dyDescent="0.2">
      <c r="B56" s="260">
        <f t="shared" si="12"/>
        <v>774</v>
      </c>
      <c r="C56" s="1565"/>
      <c r="D56" s="240" t="e">
        <f>#N/A</f>
        <v>#N/A</v>
      </c>
      <c r="E56" s="261">
        <f t="shared" si="13"/>
        <v>954</v>
      </c>
      <c r="F56" s="1565"/>
      <c r="G56" s="240" t="e">
        <f>#N/A</f>
        <v>#N/A</v>
      </c>
      <c r="H56" s="261">
        <f t="shared" si="14"/>
        <v>1134</v>
      </c>
      <c r="I56" s="1565"/>
      <c r="J56" s="240" t="e">
        <f>#N/A</f>
        <v>#N/A</v>
      </c>
      <c r="K56" s="261">
        <f t="shared" si="15"/>
        <v>1314</v>
      </c>
      <c r="L56" s="1565"/>
      <c r="M56" s="241" t="e">
        <f>#N/A</f>
        <v>#N/A</v>
      </c>
    </row>
    <row r="57" spans="2:13" x14ac:dyDescent="0.2">
      <c r="B57" s="260">
        <f t="shared" si="12"/>
        <v>780</v>
      </c>
      <c r="C57" s="1565"/>
      <c r="D57" s="240" t="e">
        <f>#N/A</f>
        <v>#N/A</v>
      </c>
      <c r="E57" s="261">
        <f t="shared" si="13"/>
        <v>960</v>
      </c>
      <c r="F57" s="1565"/>
      <c r="G57" s="240" t="e">
        <f>#N/A</f>
        <v>#N/A</v>
      </c>
      <c r="H57" s="261">
        <f t="shared" si="14"/>
        <v>1140</v>
      </c>
      <c r="I57" s="1565"/>
      <c r="J57" s="240" t="e">
        <f>#N/A</f>
        <v>#N/A</v>
      </c>
      <c r="K57" s="261">
        <f t="shared" si="15"/>
        <v>1320</v>
      </c>
      <c r="L57" s="1565"/>
      <c r="M57" s="241" t="e">
        <f>#N/A</f>
        <v>#N/A</v>
      </c>
    </row>
    <row r="58" spans="2:13" x14ac:dyDescent="0.2">
      <c r="B58" s="260">
        <f t="shared" si="12"/>
        <v>786</v>
      </c>
      <c r="C58" s="1565"/>
      <c r="D58" s="240" t="e">
        <f>#N/A</f>
        <v>#N/A</v>
      </c>
      <c r="E58" s="261">
        <f t="shared" si="13"/>
        <v>966</v>
      </c>
      <c r="F58" s="1565"/>
      <c r="G58" s="240" t="e">
        <f>#N/A</f>
        <v>#N/A</v>
      </c>
      <c r="H58" s="261">
        <f t="shared" si="14"/>
        <v>1146</v>
      </c>
      <c r="I58" s="1565"/>
      <c r="J58" s="240" t="e">
        <f>#N/A</f>
        <v>#N/A</v>
      </c>
      <c r="K58" s="261">
        <f t="shared" si="15"/>
        <v>1326</v>
      </c>
      <c r="L58" s="1565"/>
      <c r="M58" s="241" t="e">
        <f>#N/A</f>
        <v>#N/A</v>
      </c>
    </row>
    <row r="59" spans="2:13" x14ac:dyDescent="0.2">
      <c r="B59" s="260">
        <f t="shared" si="12"/>
        <v>792</v>
      </c>
      <c r="C59" s="1565"/>
      <c r="D59" s="240" t="e">
        <f>#N/A</f>
        <v>#N/A</v>
      </c>
      <c r="E59" s="261">
        <f t="shared" si="13"/>
        <v>972</v>
      </c>
      <c r="F59" s="1565"/>
      <c r="G59" s="240" t="e">
        <f>#N/A</f>
        <v>#N/A</v>
      </c>
      <c r="H59" s="261">
        <f t="shared" si="14"/>
        <v>1152</v>
      </c>
      <c r="I59" s="1565"/>
      <c r="J59" s="240" t="e">
        <f>#N/A</f>
        <v>#N/A</v>
      </c>
      <c r="K59" s="261">
        <f t="shared" si="15"/>
        <v>1332</v>
      </c>
      <c r="L59" s="1565"/>
      <c r="M59" s="241" t="e">
        <f>#N/A</f>
        <v>#N/A</v>
      </c>
    </row>
    <row r="60" spans="2:13" x14ac:dyDescent="0.2">
      <c r="B60" s="260">
        <f t="shared" si="12"/>
        <v>798</v>
      </c>
      <c r="C60" s="1565"/>
      <c r="D60" s="240" t="e">
        <f>#N/A</f>
        <v>#N/A</v>
      </c>
      <c r="E60" s="261">
        <f t="shared" si="13"/>
        <v>978</v>
      </c>
      <c r="F60" s="1565"/>
      <c r="G60" s="240" t="e">
        <f>#N/A</f>
        <v>#N/A</v>
      </c>
      <c r="H60" s="261">
        <f t="shared" si="14"/>
        <v>1158</v>
      </c>
      <c r="I60" s="1565"/>
      <c r="J60" s="240" t="e">
        <f>#N/A</f>
        <v>#N/A</v>
      </c>
      <c r="K60" s="261">
        <f t="shared" si="15"/>
        <v>1338</v>
      </c>
      <c r="L60" s="1565"/>
      <c r="M60" s="241" t="e">
        <f>#N/A</f>
        <v>#N/A</v>
      </c>
    </row>
    <row r="61" spans="2:13" x14ac:dyDescent="0.2">
      <c r="B61" s="260">
        <f t="shared" si="12"/>
        <v>804</v>
      </c>
      <c r="C61" s="1565"/>
      <c r="D61" s="247" t="e">
        <f>#N/A</f>
        <v>#N/A</v>
      </c>
      <c r="E61" s="261">
        <f t="shared" si="13"/>
        <v>984</v>
      </c>
      <c r="F61" s="1565"/>
      <c r="G61" s="247" t="e">
        <f>#N/A</f>
        <v>#N/A</v>
      </c>
      <c r="H61" s="261">
        <f t="shared" si="14"/>
        <v>1164</v>
      </c>
      <c r="I61" s="1565"/>
      <c r="J61" s="247" t="e">
        <f>#N/A</f>
        <v>#N/A</v>
      </c>
      <c r="K61" s="261">
        <f t="shared" si="15"/>
        <v>1344</v>
      </c>
      <c r="L61" s="1565"/>
      <c r="M61" s="249" t="e">
        <f>#N/A</f>
        <v>#N/A</v>
      </c>
    </row>
    <row r="62" spans="2:13" x14ac:dyDescent="0.2">
      <c r="B62" s="262">
        <f t="shared" si="12"/>
        <v>810</v>
      </c>
      <c r="C62" s="1565" t="str">
        <f>"Kala: "&amp;CHOOSE(MOD(B62/120*8/6+$I$1+7+4,8)+1,"Sun","Mars","Jupiter","Mercury","Venus","Saturn","Moon","Rahu")&amp; " Upgraha: " &amp; CHOOSE(MOD(B62/6/120*8+PanchangaVaara+7+4,8)+1,"Kaala","-","Mrityu","Ardhaprahara","YamaGhanta","--","Gulika","--")</f>
        <v>Kala: Jupiter Upgraha: Ardhaprahara</v>
      </c>
      <c r="D62" s="252" t="e">
        <f>#N/A</f>
        <v>#N/A</v>
      </c>
      <c r="E62" s="263">
        <f t="shared" si="13"/>
        <v>990</v>
      </c>
      <c r="F62" s="1565" t="str">
        <f>"Kala: "&amp;CHOOSE(MOD(E62/120*8/6+$I$1+7+4,8)+1,"Sun","Mars","Jupiter","Mercury","Venus","Saturn","Moon","Rahu")&amp; " Upgraha: " &amp; CHOOSE(MOD(E62/6/120*8+PanchangaVaara+7+4,8)+1,"Kaala","-","Mrityu","Ardhaprahara","YamaGhanta","--","Gulika","--")</f>
        <v>Kala: Venus Upgraha: --</v>
      </c>
      <c r="G62" s="252" t="e">
        <f>#N/A</f>
        <v>#N/A</v>
      </c>
      <c r="H62" s="263">
        <f t="shared" si="14"/>
        <v>1170</v>
      </c>
      <c r="I62" s="1565" t="str">
        <f>"Kala: "&amp;CHOOSE(MOD(H62/120*8/6+$I$1+7+4,8)+1,"Sun","Mars","Jupiter","Mercury","Venus","Saturn","Moon","Rahu")&amp; " Upgraha: " &amp; CHOOSE(MOD(H62/6/120*8+PanchangaVaara+7+4,8)+1,"Kaala","-","Mrityu","Ardhaprahara","YamaGhanta","--","Gulika","--")</f>
        <v>Kala: Moon Upgraha: --</v>
      </c>
      <c r="J62" s="252" t="e">
        <f>#N/A</f>
        <v>#N/A</v>
      </c>
      <c r="K62" s="263">
        <f t="shared" si="15"/>
        <v>1350</v>
      </c>
      <c r="L62" s="1565" t="str">
        <f>"Kala: "&amp;CHOOSE(MOD(K62/120*8/6+$I$1+7+4,8)+1,"Sun","Mars","Jupiter","Mercury","Venus","Saturn","Moon","Rahu")&amp; " Upgraha: " &amp; CHOOSE(MOD(K62/6/120*8+PanchangaVaara+7+4,8)+1,"Kaala","-","Mrityu","Ardhaprahara","YamaGhanta","--","Gulika","--")</f>
        <v>Kala: Sun Upgraha: -</v>
      </c>
      <c r="M62" s="254" t="e">
        <f>#N/A</f>
        <v>#N/A</v>
      </c>
    </row>
    <row r="63" spans="2:13" x14ac:dyDescent="0.2">
      <c r="B63" s="260">
        <f t="shared" si="12"/>
        <v>816</v>
      </c>
      <c r="C63" s="1565"/>
      <c r="D63" s="240" t="e">
        <f>#N/A</f>
        <v>#N/A</v>
      </c>
      <c r="E63" s="261">
        <f t="shared" si="13"/>
        <v>996</v>
      </c>
      <c r="F63" s="1565"/>
      <c r="G63" s="240" t="e">
        <f>#N/A</f>
        <v>#N/A</v>
      </c>
      <c r="H63" s="261">
        <f t="shared" si="14"/>
        <v>1176</v>
      </c>
      <c r="I63" s="1565"/>
      <c r="J63" s="240" t="e">
        <f>#N/A</f>
        <v>#N/A</v>
      </c>
      <c r="K63" s="261">
        <f t="shared" si="15"/>
        <v>1356</v>
      </c>
      <c r="L63" s="1565"/>
      <c r="M63" s="241" t="e">
        <f>#N/A</f>
        <v>#N/A</v>
      </c>
    </row>
    <row r="64" spans="2:13" x14ac:dyDescent="0.2">
      <c r="B64" s="260">
        <f t="shared" si="12"/>
        <v>822</v>
      </c>
      <c r="C64" s="1565"/>
      <c r="D64" s="240" t="e">
        <f>#N/A</f>
        <v>#N/A</v>
      </c>
      <c r="E64" s="261">
        <f t="shared" si="13"/>
        <v>1002</v>
      </c>
      <c r="F64" s="1565"/>
      <c r="G64" s="240" t="e">
        <f>#N/A</f>
        <v>#N/A</v>
      </c>
      <c r="H64" s="261">
        <f t="shared" si="14"/>
        <v>1182</v>
      </c>
      <c r="I64" s="1565"/>
      <c r="J64" s="240" t="e">
        <f>#N/A</f>
        <v>#N/A</v>
      </c>
      <c r="K64" s="261">
        <f t="shared" si="15"/>
        <v>1362</v>
      </c>
      <c r="L64" s="1565"/>
      <c r="M64" s="241" t="e">
        <f>#N/A</f>
        <v>#N/A</v>
      </c>
    </row>
    <row r="65" spans="2:13" x14ac:dyDescent="0.2">
      <c r="B65" s="260">
        <f t="shared" si="12"/>
        <v>828</v>
      </c>
      <c r="C65" s="1565"/>
      <c r="D65" s="240" t="e">
        <f>#N/A</f>
        <v>#N/A</v>
      </c>
      <c r="E65" s="261">
        <f t="shared" si="13"/>
        <v>1008</v>
      </c>
      <c r="F65" s="1565"/>
      <c r="G65" s="240" t="e">
        <f>#N/A</f>
        <v>#N/A</v>
      </c>
      <c r="H65" s="261">
        <f t="shared" si="14"/>
        <v>1188</v>
      </c>
      <c r="I65" s="1565"/>
      <c r="J65" s="240" t="e">
        <f>#N/A</f>
        <v>#N/A</v>
      </c>
      <c r="K65" s="261">
        <f t="shared" si="15"/>
        <v>1368</v>
      </c>
      <c r="L65" s="1565"/>
      <c r="M65" s="241" t="e">
        <f>#N/A</f>
        <v>#N/A</v>
      </c>
    </row>
    <row r="66" spans="2:13" x14ac:dyDescent="0.2">
      <c r="B66" s="260">
        <f t="shared" si="12"/>
        <v>834</v>
      </c>
      <c r="C66" s="1565"/>
      <c r="D66" s="240" t="e">
        <f>#N/A</f>
        <v>#N/A</v>
      </c>
      <c r="E66" s="261">
        <f t="shared" si="13"/>
        <v>1014</v>
      </c>
      <c r="F66" s="1565"/>
      <c r="G66" s="240" t="e">
        <f>#N/A</f>
        <v>#N/A</v>
      </c>
      <c r="H66" s="261">
        <f t="shared" si="14"/>
        <v>1194</v>
      </c>
      <c r="I66" s="1565"/>
      <c r="J66" s="240" t="e">
        <f>#N/A</f>
        <v>#N/A</v>
      </c>
      <c r="K66" s="261">
        <f t="shared" si="15"/>
        <v>1374</v>
      </c>
      <c r="L66" s="1565"/>
      <c r="M66" s="241" t="e">
        <f>#N/A</f>
        <v>#N/A</v>
      </c>
    </row>
    <row r="67" spans="2:13" x14ac:dyDescent="0.2">
      <c r="B67" s="260">
        <f t="shared" si="12"/>
        <v>840</v>
      </c>
      <c r="C67" s="1565"/>
      <c r="D67" s="240" t="e">
        <f>#N/A</f>
        <v>#N/A</v>
      </c>
      <c r="E67" s="261">
        <f t="shared" si="13"/>
        <v>1020</v>
      </c>
      <c r="F67" s="1565"/>
      <c r="G67" s="240" t="e">
        <f>#N/A</f>
        <v>#N/A</v>
      </c>
      <c r="H67" s="261">
        <f t="shared" si="14"/>
        <v>1200</v>
      </c>
      <c r="I67" s="1565"/>
      <c r="J67" s="240" t="e">
        <f>#N/A</f>
        <v>#N/A</v>
      </c>
      <c r="K67" s="261">
        <f t="shared" si="15"/>
        <v>1380</v>
      </c>
      <c r="L67" s="1565"/>
      <c r="M67" s="241" t="e">
        <f>#N/A</f>
        <v>#N/A</v>
      </c>
    </row>
    <row r="68" spans="2:13" x14ac:dyDescent="0.2">
      <c r="B68" s="260">
        <f t="shared" si="12"/>
        <v>846</v>
      </c>
      <c r="C68" s="1565"/>
      <c r="D68" s="240" t="e">
        <f>#N/A</f>
        <v>#N/A</v>
      </c>
      <c r="E68" s="261">
        <f t="shared" si="13"/>
        <v>1026</v>
      </c>
      <c r="F68" s="1565"/>
      <c r="G68" s="240" t="e">
        <f>#N/A</f>
        <v>#N/A</v>
      </c>
      <c r="H68" s="261">
        <f t="shared" si="14"/>
        <v>1206</v>
      </c>
      <c r="I68" s="1565"/>
      <c r="J68" s="240" t="e">
        <f>#N/A</f>
        <v>#N/A</v>
      </c>
      <c r="K68" s="261">
        <f t="shared" si="15"/>
        <v>1386</v>
      </c>
      <c r="L68" s="1565"/>
      <c r="M68" s="241" t="e">
        <f>#N/A</f>
        <v>#N/A</v>
      </c>
    </row>
    <row r="69" spans="2:13" x14ac:dyDescent="0.2">
      <c r="B69" s="260">
        <f t="shared" si="12"/>
        <v>852</v>
      </c>
      <c r="C69" s="1565"/>
      <c r="D69" s="240" t="e">
        <f>#N/A</f>
        <v>#N/A</v>
      </c>
      <c r="E69" s="261">
        <f t="shared" si="13"/>
        <v>1032</v>
      </c>
      <c r="F69" s="1565"/>
      <c r="G69" s="240" t="e">
        <f>#N/A</f>
        <v>#N/A</v>
      </c>
      <c r="H69" s="261">
        <f t="shared" si="14"/>
        <v>1212</v>
      </c>
      <c r="I69" s="1565"/>
      <c r="J69" s="240" t="e">
        <f>#N/A</f>
        <v>#N/A</v>
      </c>
      <c r="K69" s="261">
        <f t="shared" si="15"/>
        <v>1392</v>
      </c>
      <c r="L69" s="1565"/>
      <c r="M69" s="241" t="e">
        <f>#N/A</f>
        <v>#N/A</v>
      </c>
    </row>
    <row r="70" spans="2:13" x14ac:dyDescent="0.2">
      <c r="B70" s="260">
        <f t="shared" si="12"/>
        <v>858</v>
      </c>
      <c r="C70" s="1565"/>
      <c r="D70" s="240" t="e">
        <f>#N/A</f>
        <v>#N/A</v>
      </c>
      <c r="E70" s="261">
        <f t="shared" si="13"/>
        <v>1038</v>
      </c>
      <c r="F70" s="1565"/>
      <c r="G70" s="240" t="e">
        <f>#N/A</f>
        <v>#N/A</v>
      </c>
      <c r="H70" s="261">
        <f t="shared" si="14"/>
        <v>1218</v>
      </c>
      <c r="I70" s="1565"/>
      <c r="J70" s="240" t="e">
        <f>#N/A</f>
        <v>#N/A</v>
      </c>
      <c r="K70" s="261">
        <f t="shared" si="15"/>
        <v>1398</v>
      </c>
      <c r="L70" s="1565"/>
      <c r="M70" s="241" t="e">
        <f>#N/A</f>
        <v>#N/A</v>
      </c>
    </row>
    <row r="71" spans="2:13" x14ac:dyDescent="0.2">
      <c r="B71" s="260">
        <f t="shared" si="12"/>
        <v>864</v>
      </c>
      <c r="C71" s="1565"/>
      <c r="D71" s="240" t="e">
        <f>#N/A</f>
        <v>#N/A</v>
      </c>
      <c r="E71" s="261">
        <f t="shared" si="13"/>
        <v>1044</v>
      </c>
      <c r="F71" s="1565"/>
      <c r="G71" s="240" t="e">
        <f>#N/A</f>
        <v>#N/A</v>
      </c>
      <c r="H71" s="261">
        <f t="shared" si="14"/>
        <v>1224</v>
      </c>
      <c r="I71" s="1565"/>
      <c r="J71" s="240" t="e">
        <f>#N/A</f>
        <v>#N/A</v>
      </c>
      <c r="K71" s="261">
        <f t="shared" si="15"/>
        <v>1404</v>
      </c>
      <c r="L71" s="1565"/>
      <c r="M71" s="241" t="e">
        <f>#N/A</f>
        <v>#N/A</v>
      </c>
    </row>
    <row r="72" spans="2:13" x14ac:dyDescent="0.2">
      <c r="B72" s="260">
        <f t="shared" si="12"/>
        <v>870</v>
      </c>
      <c r="C72" s="1565"/>
      <c r="D72" s="240" t="e">
        <f>#N/A</f>
        <v>#N/A</v>
      </c>
      <c r="E72" s="261">
        <f t="shared" si="13"/>
        <v>1050</v>
      </c>
      <c r="F72" s="1565"/>
      <c r="G72" s="240" t="e">
        <f>#N/A</f>
        <v>#N/A</v>
      </c>
      <c r="H72" s="261">
        <f t="shared" si="14"/>
        <v>1230</v>
      </c>
      <c r="I72" s="1565"/>
      <c r="J72" s="240" t="e">
        <f>#N/A</f>
        <v>#N/A</v>
      </c>
      <c r="K72" s="261">
        <f t="shared" si="15"/>
        <v>1410</v>
      </c>
      <c r="L72" s="1565"/>
      <c r="M72" s="241" t="e">
        <f>#N/A</f>
        <v>#N/A</v>
      </c>
    </row>
    <row r="73" spans="2:13" x14ac:dyDescent="0.2">
      <c r="B73" s="260">
        <f t="shared" si="12"/>
        <v>876</v>
      </c>
      <c r="C73" s="1565"/>
      <c r="D73" s="240" t="e">
        <f>#N/A</f>
        <v>#N/A</v>
      </c>
      <c r="E73" s="261">
        <f t="shared" si="13"/>
        <v>1056</v>
      </c>
      <c r="F73" s="1565"/>
      <c r="G73" s="240" t="e">
        <f>#N/A</f>
        <v>#N/A</v>
      </c>
      <c r="H73" s="261">
        <f t="shared" si="14"/>
        <v>1236</v>
      </c>
      <c r="I73" s="1565"/>
      <c r="J73" s="240" t="e">
        <f>#N/A</f>
        <v>#N/A</v>
      </c>
      <c r="K73" s="261">
        <f t="shared" si="15"/>
        <v>1416</v>
      </c>
      <c r="L73" s="1565"/>
      <c r="M73" s="241" t="e">
        <f>#N/A</f>
        <v>#N/A</v>
      </c>
    </row>
    <row r="74" spans="2:13" x14ac:dyDescent="0.2">
      <c r="B74" s="260">
        <f t="shared" si="12"/>
        <v>882</v>
      </c>
      <c r="C74" s="1565"/>
      <c r="D74" s="240" t="e">
        <f>#N/A</f>
        <v>#N/A</v>
      </c>
      <c r="E74" s="261">
        <f t="shared" si="13"/>
        <v>1062</v>
      </c>
      <c r="F74" s="1565"/>
      <c r="G74" s="240" t="e">
        <f>#N/A</f>
        <v>#N/A</v>
      </c>
      <c r="H74" s="261">
        <f t="shared" si="14"/>
        <v>1242</v>
      </c>
      <c r="I74" s="1565"/>
      <c r="J74" s="240" t="e">
        <f>#N/A</f>
        <v>#N/A</v>
      </c>
      <c r="K74" s="261">
        <f t="shared" si="15"/>
        <v>1422</v>
      </c>
      <c r="L74" s="1565"/>
      <c r="M74" s="241" t="e">
        <f>#N/A</f>
        <v>#N/A</v>
      </c>
    </row>
    <row r="75" spans="2:13" x14ac:dyDescent="0.2">
      <c r="B75" s="260">
        <f t="shared" si="12"/>
        <v>888</v>
      </c>
      <c r="C75" s="1565"/>
      <c r="D75" s="240" t="e">
        <f>#N/A</f>
        <v>#N/A</v>
      </c>
      <c r="E75" s="261">
        <f t="shared" si="13"/>
        <v>1068</v>
      </c>
      <c r="F75" s="1565"/>
      <c r="G75" s="240" t="e">
        <f>#N/A</f>
        <v>#N/A</v>
      </c>
      <c r="H75" s="261">
        <f t="shared" si="14"/>
        <v>1248</v>
      </c>
      <c r="I75" s="1565"/>
      <c r="J75" s="240" t="e">
        <f>#N/A</f>
        <v>#N/A</v>
      </c>
      <c r="K75" s="261">
        <f t="shared" si="15"/>
        <v>1428</v>
      </c>
      <c r="L75" s="1565"/>
      <c r="M75" s="241" t="e">
        <f>#N/A</f>
        <v>#N/A</v>
      </c>
    </row>
    <row r="76" spans="2:13" x14ac:dyDescent="0.2">
      <c r="B76" s="264">
        <f t="shared" si="12"/>
        <v>894</v>
      </c>
      <c r="C76" s="1565"/>
      <c r="D76" s="256" t="e">
        <f>#N/A</f>
        <v>#N/A</v>
      </c>
      <c r="E76" s="265">
        <f t="shared" si="13"/>
        <v>1074</v>
      </c>
      <c r="F76" s="1565"/>
      <c r="G76" s="256" t="e">
        <f>#N/A</f>
        <v>#N/A</v>
      </c>
      <c r="H76" s="265">
        <f t="shared" si="14"/>
        <v>1254</v>
      </c>
      <c r="I76" s="1565"/>
      <c r="J76" s="256" t="e">
        <f>#N/A</f>
        <v>#N/A</v>
      </c>
      <c r="K76" s="265">
        <f t="shared" si="15"/>
        <v>1434</v>
      </c>
      <c r="L76" s="1565"/>
      <c r="M76" s="258" t="e">
        <f>#N/A</f>
        <v>#N/A</v>
      </c>
    </row>
  </sheetData>
  <sheetProtection selectLockedCells="1" selectUnlockedCells="1"/>
  <mergeCells count="53">
    <mergeCell ref="R1:S1"/>
    <mergeCell ref="A2:C2"/>
    <mergeCell ref="G2:H2"/>
    <mergeCell ref="A3:C3"/>
    <mergeCell ref="G3:H3"/>
    <mergeCell ref="A1:C1"/>
    <mergeCell ref="G1:H1"/>
    <mergeCell ref="L1:N1"/>
    <mergeCell ref="O1:Q1"/>
    <mergeCell ref="A6:C6"/>
    <mergeCell ref="A7:C7"/>
    <mergeCell ref="B10:M10"/>
    <mergeCell ref="A4:C4"/>
    <mergeCell ref="G4:H4"/>
    <mergeCell ref="A5:C5"/>
    <mergeCell ref="E5:F5"/>
    <mergeCell ref="P42:Q42"/>
    <mergeCell ref="B11:D11"/>
    <mergeCell ref="E11:G11"/>
    <mergeCell ref="H11:J11"/>
    <mergeCell ref="K11:M11"/>
    <mergeCell ref="C27:C41"/>
    <mergeCell ref="F27:F41"/>
    <mergeCell ref="I27:I41"/>
    <mergeCell ref="L27:L41"/>
    <mergeCell ref="C12:C26"/>
    <mergeCell ref="N42:O42"/>
    <mergeCell ref="L47:L61"/>
    <mergeCell ref="D43:E43"/>
    <mergeCell ref="B43:C43"/>
    <mergeCell ref="I12:I26"/>
    <mergeCell ref="L12:L26"/>
    <mergeCell ref="J42:K42"/>
    <mergeCell ref="L42:M42"/>
    <mergeCell ref="F12:F26"/>
    <mergeCell ref="F43:G43"/>
    <mergeCell ref="H43:I43"/>
    <mergeCell ref="C62:C76"/>
    <mergeCell ref="F62:F76"/>
    <mergeCell ref="I62:I76"/>
    <mergeCell ref="B42:C42"/>
    <mergeCell ref="D42:E42"/>
    <mergeCell ref="F42:G42"/>
    <mergeCell ref="H42:I42"/>
    <mergeCell ref="B45:M45"/>
    <mergeCell ref="B46:D46"/>
    <mergeCell ref="E46:G46"/>
    <mergeCell ref="H46:J46"/>
    <mergeCell ref="K46:M46"/>
    <mergeCell ref="L62:L76"/>
    <mergeCell ref="C47:C61"/>
    <mergeCell ref="F47:F61"/>
    <mergeCell ref="I47:I61"/>
  </mergeCells>
  <phoneticPr fontId="107" type="noConversion"/>
  <conditionalFormatting sqref="B12:E41 B47:M76 F12 F27:F41 G12:M41">
    <cfRule type="cellIs" dxfId="96" priority="1" stopIfTrue="1" operator="equal">
      <formula>0</formula>
    </cfRule>
    <cfRule type="cellIs" dxfId="95" priority="2" stopIfTrue="1" operator="equal">
      <formula>0</formula>
    </cfRule>
    <cfRule type="cellIs" dxfId="94" priority="3" stopIfTrue="1" operator="equal">
      <formula>0</formula>
    </cfRule>
    <cfRule type="cellIs" dxfId="93" priority="4" stopIfTrue="1" operator="equal">
      <formula>0</formula>
    </cfRule>
    <cfRule type="cellIs" dxfId="92" priority="5" stopIfTrue="1" operator="equal">
      <formula>0</formula>
    </cfRule>
  </conditionalFormatting>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dimension ref="A2:S367"/>
  <sheetViews>
    <sheetView topLeftCell="A16" zoomScale="80" zoomScaleNormal="80" zoomScaleSheetLayoutView="75" workbookViewId="0" xr3:uid="{C67EF94B-0B3B-5838-830C-E3A509766221}">
      <pane ySplit="4380"/>
      <selection activeCell="C14" sqref="B14:D14"/>
      <selection pane="bottomLeft" activeCell="C14" sqref="B14:D14"/>
    </sheetView>
  </sheetViews>
  <sheetFormatPr defaultColWidth="7.12890625" defaultRowHeight="15" x14ac:dyDescent="0.2"/>
  <cols>
    <col min="1" max="1" width="9.14453125" customWidth="1"/>
    <col min="2" max="2" width="8.203125" customWidth="1"/>
    <col min="3" max="3" width="12.9140625" bestFit="1" customWidth="1"/>
    <col min="4" max="4" width="10.0859375" customWidth="1"/>
    <col min="5" max="5" width="11.703125" customWidth="1"/>
    <col min="6" max="7" width="21.38671875" bestFit="1" customWidth="1"/>
    <col min="8" max="8" width="18.29296875" customWidth="1"/>
    <col min="9" max="9" width="10.0859375" bestFit="1" customWidth="1"/>
    <col min="10" max="10" width="18.5625" customWidth="1"/>
    <col min="11" max="11" width="9.953125" bestFit="1" customWidth="1"/>
    <col min="12" max="12" width="15.73828125" customWidth="1"/>
    <col min="13" max="13" width="10.0859375" bestFit="1" customWidth="1"/>
    <col min="14" max="14" width="9.68359375" customWidth="1"/>
    <col min="15" max="15" width="11.1640625" customWidth="1"/>
    <col min="16" max="16" width="13.71875" customWidth="1"/>
    <col min="17" max="17" width="10.625" customWidth="1"/>
    <col min="18" max="18" width="10.0859375" customWidth="1"/>
    <col min="19" max="19" width="19.37109375" customWidth="1"/>
  </cols>
  <sheetData>
    <row r="2" spans="1:19" x14ac:dyDescent="0.2">
      <c r="B2" t="s">
        <v>1413</v>
      </c>
      <c r="C2" t="s">
        <v>1414</v>
      </c>
      <c r="D2" t="s">
        <v>1415</v>
      </c>
      <c r="E2" t="s">
        <v>1416</v>
      </c>
      <c r="F2" t="s">
        <v>1417</v>
      </c>
    </row>
    <row r="3" spans="1:19" x14ac:dyDescent="0.2">
      <c r="A3">
        <v>1</v>
      </c>
      <c r="B3" t="s">
        <v>1985</v>
      </c>
      <c r="C3" t="s">
        <v>1956</v>
      </c>
      <c r="E3" s="163">
        <v>1</v>
      </c>
      <c r="F3" s="163" t="s">
        <v>1418</v>
      </c>
      <c r="G3" s="163" t="s">
        <v>1419</v>
      </c>
      <c r="H3" t="s">
        <v>1956</v>
      </c>
      <c r="I3" t="s">
        <v>1953</v>
      </c>
      <c r="J3" t="s">
        <v>1965</v>
      </c>
      <c r="K3" t="s">
        <v>1968</v>
      </c>
      <c r="L3" t="s">
        <v>1949</v>
      </c>
      <c r="M3" t="s">
        <v>1959</v>
      </c>
      <c r="N3" t="s">
        <v>1971</v>
      </c>
      <c r="O3" t="s">
        <v>2007</v>
      </c>
      <c r="P3" t="s">
        <v>1948</v>
      </c>
      <c r="Q3" t="s">
        <v>1962</v>
      </c>
      <c r="R3" t="s">
        <v>1974</v>
      </c>
      <c r="S3" t="s">
        <v>1952</v>
      </c>
    </row>
    <row r="4" spans="1:19" x14ac:dyDescent="0.2">
      <c r="A4">
        <v>2</v>
      </c>
      <c r="B4" t="s">
        <v>1989</v>
      </c>
      <c r="C4" t="s">
        <v>1953</v>
      </c>
      <c r="E4" s="163">
        <v>1</v>
      </c>
      <c r="F4" s="163" t="s">
        <v>1420</v>
      </c>
      <c r="G4" s="163">
        <v>6</v>
      </c>
      <c r="H4" t="s">
        <v>1953</v>
      </c>
      <c r="I4" t="s">
        <v>1948</v>
      </c>
      <c r="J4" t="s">
        <v>1968</v>
      </c>
      <c r="K4" t="s">
        <v>1974</v>
      </c>
      <c r="L4" t="s">
        <v>1959</v>
      </c>
      <c r="M4" t="s">
        <v>1956</v>
      </c>
      <c r="N4" t="s">
        <v>2007</v>
      </c>
      <c r="O4" t="s">
        <v>1965</v>
      </c>
      <c r="P4" t="s">
        <v>1962</v>
      </c>
      <c r="Q4" t="s">
        <v>1949</v>
      </c>
      <c r="R4" t="s">
        <v>1952</v>
      </c>
      <c r="S4" t="s">
        <v>1971</v>
      </c>
    </row>
    <row r="5" spans="1:19" x14ac:dyDescent="0.2">
      <c r="A5">
        <v>3</v>
      </c>
      <c r="B5" t="s">
        <v>1993</v>
      </c>
      <c r="C5" t="s">
        <v>1965</v>
      </c>
      <c r="E5" s="163">
        <v>1</v>
      </c>
      <c r="F5" s="163" t="s">
        <v>1420</v>
      </c>
      <c r="G5" s="163" t="s">
        <v>1421</v>
      </c>
      <c r="H5" t="s">
        <v>1965</v>
      </c>
      <c r="I5" t="s">
        <v>1974</v>
      </c>
      <c r="J5" t="s">
        <v>1971</v>
      </c>
      <c r="K5" t="s">
        <v>1959</v>
      </c>
      <c r="L5" t="s">
        <v>1953</v>
      </c>
      <c r="M5" t="s">
        <v>1962</v>
      </c>
      <c r="N5" t="s">
        <v>1948</v>
      </c>
      <c r="O5" t="s">
        <v>1949</v>
      </c>
      <c r="P5" t="s">
        <v>1956</v>
      </c>
      <c r="Q5" t="s">
        <v>1952</v>
      </c>
      <c r="R5" t="s">
        <v>2007</v>
      </c>
      <c r="S5" t="s">
        <v>1968</v>
      </c>
    </row>
    <row r="6" spans="1:19" x14ac:dyDescent="0.2">
      <c r="A6">
        <v>4</v>
      </c>
      <c r="B6" t="s">
        <v>1998</v>
      </c>
      <c r="C6" t="s">
        <v>1968</v>
      </c>
      <c r="E6" s="163">
        <v>-1</v>
      </c>
      <c r="F6" s="163" t="s">
        <v>1420</v>
      </c>
      <c r="G6" s="163" t="s">
        <v>1419</v>
      </c>
      <c r="H6" t="s">
        <v>1968</v>
      </c>
      <c r="I6" t="s">
        <v>1965</v>
      </c>
      <c r="J6" t="s">
        <v>1953</v>
      </c>
      <c r="K6" t="s">
        <v>1956</v>
      </c>
      <c r="L6" t="s">
        <v>1952</v>
      </c>
      <c r="M6" t="s">
        <v>1974</v>
      </c>
      <c r="N6" t="s">
        <v>1962</v>
      </c>
      <c r="O6" t="s">
        <v>1948</v>
      </c>
      <c r="P6" t="s">
        <v>2007</v>
      </c>
      <c r="Q6" t="s">
        <v>1971</v>
      </c>
      <c r="R6" t="s">
        <v>1959</v>
      </c>
      <c r="S6" t="s">
        <v>1949</v>
      </c>
    </row>
    <row r="7" spans="1:19" x14ac:dyDescent="0.2">
      <c r="A7">
        <v>5</v>
      </c>
      <c r="B7" t="s">
        <v>2002</v>
      </c>
      <c r="C7" t="s">
        <v>1949</v>
      </c>
      <c r="E7" s="163">
        <v>-1</v>
      </c>
      <c r="F7" s="163" t="s">
        <v>1418</v>
      </c>
      <c r="G7" s="163">
        <v>6</v>
      </c>
      <c r="H7" t="s">
        <v>1949</v>
      </c>
      <c r="I7" t="s">
        <v>1962</v>
      </c>
      <c r="J7" t="s">
        <v>1965</v>
      </c>
      <c r="K7" t="s">
        <v>2007</v>
      </c>
      <c r="L7" t="s">
        <v>1956</v>
      </c>
      <c r="M7" t="s">
        <v>1959</v>
      </c>
      <c r="N7" t="s">
        <v>1974</v>
      </c>
      <c r="O7" t="s">
        <v>1968</v>
      </c>
      <c r="P7" t="s">
        <v>1948</v>
      </c>
      <c r="Q7" t="s">
        <v>1953</v>
      </c>
      <c r="R7" t="s">
        <v>1971</v>
      </c>
      <c r="S7" t="s">
        <v>1952</v>
      </c>
    </row>
    <row r="8" spans="1:19" x14ac:dyDescent="0.2">
      <c r="A8">
        <v>6</v>
      </c>
      <c r="B8" t="s">
        <v>2003</v>
      </c>
      <c r="C8" t="s">
        <v>1959</v>
      </c>
      <c r="E8" s="163">
        <v>-1</v>
      </c>
      <c r="F8" s="163" t="s">
        <v>1418</v>
      </c>
      <c r="G8" s="163" t="s">
        <v>1421</v>
      </c>
      <c r="H8" t="s">
        <v>1959</v>
      </c>
      <c r="I8" t="s">
        <v>1962</v>
      </c>
      <c r="J8" t="s">
        <v>1953</v>
      </c>
      <c r="K8" t="s">
        <v>1965</v>
      </c>
      <c r="L8" t="s">
        <v>1971</v>
      </c>
      <c r="M8" t="s">
        <v>1974</v>
      </c>
      <c r="N8" t="s">
        <v>1952</v>
      </c>
      <c r="O8" t="s">
        <v>1968</v>
      </c>
      <c r="P8" t="s">
        <v>2007</v>
      </c>
      <c r="Q8" t="s">
        <v>1948</v>
      </c>
      <c r="R8" t="s">
        <v>1956</v>
      </c>
      <c r="S8" t="s">
        <v>1949</v>
      </c>
    </row>
    <row r="9" spans="1:19" x14ac:dyDescent="0.2">
      <c r="A9">
        <v>7</v>
      </c>
      <c r="B9" t="s">
        <v>2004</v>
      </c>
      <c r="C9" t="s">
        <v>1971</v>
      </c>
      <c r="E9" s="163">
        <v>1</v>
      </c>
      <c r="F9" s="163" t="s">
        <v>1418</v>
      </c>
      <c r="G9" s="163" t="s">
        <v>1419</v>
      </c>
      <c r="H9" t="s">
        <v>1971</v>
      </c>
      <c r="I9" t="s">
        <v>2007</v>
      </c>
      <c r="J9" t="s">
        <v>1948</v>
      </c>
      <c r="K9" t="s">
        <v>1962</v>
      </c>
      <c r="L9" t="s">
        <v>1974</v>
      </c>
      <c r="M9" t="s">
        <v>1952</v>
      </c>
      <c r="N9" t="s">
        <v>1956</v>
      </c>
      <c r="O9" t="s">
        <v>1953</v>
      </c>
      <c r="P9" t="s">
        <v>1965</v>
      </c>
      <c r="Q9" t="s">
        <v>1968</v>
      </c>
      <c r="R9" t="s">
        <v>1949</v>
      </c>
      <c r="S9" t="s">
        <v>1959</v>
      </c>
    </row>
    <row r="10" spans="1:19" x14ac:dyDescent="0.2">
      <c r="A10">
        <v>8</v>
      </c>
      <c r="B10" t="s">
        <v>2006</v>
      </c>
      <c r="C10" t="s">
        <v>2007</v>
      </c>
      <c r="E10" s="163">
        <v>1</v>
      </c>
      <c r="F10" s="163" t="s">
        <v>1420</v>
      </c>
      <c r="G10" s="163">
        <v>6</v>
      </c>
      <c r="H10" t="s">
        <v>2007</v>
      </c>
      <c r="I10" t="s">
        <v>1965</v>
      </c>
      <c r="J10" t="s">
        <v>1962</v>
      </c>
      <c r="K10" t="s">
        <v>1949</v>
      </c>
      <c r="L10" t="s">
        <v>1952</v>
      </c>
      <c r="M10" t="s">
        <v>1971</v>
      </c>
      <c r="N10" t="s">
        <v>1953</v>
      </c>
      <c r="O10" t="s">
        <v>1948</v>
      </c>
      <c r="P10" t="s">
        <v>1968</v>
      </c>
      <c r="Q10" t="s">
        <v>1974</v>
      </c>
      <c r="R10" t="s">
        <v>1959</v>
      </c>
      <c r="S10" t="s">
        <v>1956</v>
      </c>
    </row>
    <row r="11" spans="1:19" x14ac:dyDescent="0.2">
      <c r="A11">
        <v>9</v>
      </c>
      <c r="B11" t="s">
        <v>635</v>
      </c>
      <c r="C11" t="s">
        <v>1948</v>
      </c>
      <c r="E11" s="163">
        <v>1</v>
      </c>
      <c r="F11" s="163" t="s">
        <v>1420</v>
      </c>
      <c r="G11" s="163" t="s">
        <v>1421</v>
      </c>
      <c r="H11" t="s">
        <v>1948</v>
      </c>
      <c r="I11" t="s">
        <v>1949</v>
      </c>
      <c r="J11" t="s">
        <v>1956</v>
      </c>
      <c r="K11" t="s">
        <v>1952</v>
      </c>
      <c r="L11" t="s">
        <v>2007</v>
      </c>
      <c r="M11" t="s">
        <v>1968</v>
      </c>
      <c r="N11" t="s">
        <v>1965</v>
      </c>
      <c r="O11" t="s">
        <v>1974</v>
      </c>
      <c r="P11" t="s">
        <v>1971</v>
      </c>
      <c r="Q11" t="s">
        <v>1959</v>
      </c>
      <c r="R11" t="s">
        <v>1953</v>
      </c>
      <c r="S11" t="s">
        <v>1962</v>
      </c>
    </row>
    <row r="12" spans="1:19" x14ac:dyDescent="0.2">
      <c r="A12">
        <v>10</v>
      </c>
      <c r="B12" t="s">
        <v>2011</v>
      </c>
      <c r="C12" t="s">
        <v>1962</v>
      </c>
      <c r="E12" s="163">
        <v>-1</v>
      </c>
      <c r="F12" s="163" t="s">
        <v>1420</v>
      </c>
      <c r="G12" s="163" t="s">
        <v>1419</v>
      </c>
      <c r="H12" t="s">
        <v>1962</v>
      </c>
      <c r="I12" t="s">
        <v>1948</v>
      </c>
      <c r="J12" t="s">
        <v>2007</v>
      </c>
      <c r="K12" t="s">
        <v>1971</v>
      </c>
      <c r="L12" t="s">
        <v>1959</v>
      </c>
      <c r="M12" t="s">
        <v>1949</v>
      </c>
      <c r="N12" t="s">
        <v>1968</v>
      </c>
      <c r="O12" t="s">
        <v>1965</v>
      </c>
      <c r="P12" t="s">
        <v>1953</v>
      </c>
      <c r="Q12" t="s">
        <v>1956</v>
      </c>
      <c r="R12" t="s">
        <v>1952</v>
      </c>
      <c r="S12" t="s">
        <v>1974</v>
      </c>
    </row>
    <row r="13" spans="1:19" x14ac:dyDescent="0.2">
      <c r="A13">
        <v>11</v>
      </c>
      <c r="B13" t="s">
        <v>2013</v>
      </c>
      <c r="C13" t="s">
        <v>1974</v>
      </c>
      <c r="E13" s="163">
        <v>-1</v>
      </c>
      <c r="F13" s="163" t="s">
        <v>1418</v>
      </c>
      <c r="G13" s="163">
        <v>6</v>
      </c>
      <c r="H13" t="s">
        <v>1974</v>
      </c>
      <c r="I13" t="s">
        <v>1968</v>
      </c>
      <c r="J13" t="s">
        <v>1948</v>
      </c>
      <c r="K13" t="s">
        <v>1953</v>
      </c>
      <c r="L13" t="s">
        <v>1971</v>
      </c>
      <c r="M13" t="s">
        <v>1952</v>
      </c>
      <c r="N13" t="s">
        <v>1949</v>
      </c>
      <c r="O13" t="s">
        <v>1962</v>
      </c>
      <c r="P13" t="s">
        <v>1965</v>
      </c>
      <c r="Q13" t="s">
        <v>2007</v>
      </c>
      <c r="R13" t="s">
        <v>1956</v>
      </c>
      <c r="S13" t="s">
        <v>1959</v>
      </c>
    </row>
    <row r="14" spans="1:19" x14ac:dyDescent="0.2">
      <c r="A14">
        <v>12</v>
      </c>
      <c r="B14" t="s">
        <v>2015</v>
      </c>
      <c r="C14" t="s">
        <v>1952</v>
      </c>
      <c r="E14" s="163">
        <v>-1</v>
      </c>
      <c r="F14" s="163" t="s">
        <v>1418</v>
      </c>
      <c r="G14" s="163" t="s">
        <v>1421</v>
      </c>
      <c r="H14" t="s">
        <v>1952</v>
      </c>
      <c r="I14" t="s">
        <v>1968</v>
      </c>
      <c r="J14" t="s">
        <v>2007</v>
      </c>
      <c r="K14" t="s">
        <v>1948</v>
      </c>
      <c r="L14" t="s">
        <v>1956</v>
      </c>
      <c r="M14" t="s">
        <v>1949</v>
      </c>
      <c r="N14" t="s">
        <v>1959</v>
      </c>
      <c r="O14" t="s">
        <v>1962</v>
      </c>
      <c r="P14" t="s">
        <v>1953</v>
      </c>
      <c r="Q14" t="s">
        <v>1965</v>
      </c>
      <c r="R14" t="s">
        <v>1971</v>
      </c>
      <c r="S14" t="s">
        <v>1974</v>
      </c>
    </row>
    <row r="16" spans="1:19" ht="14.25" customHeight="1" x14ac:dyDescent="0.2">
      <c r="B16" t="s">
        <v>1422</v>
      </c>
      <c r="C16" s="490">
        <f>DoB</f>
        <v>26133.384143518517</v>
      </c>
      <c r="D16" s="281">
        <f>DaysInYear</f>
        <v>365.25487268518202</v>
      </c>
      <c r="L16" s="491"/>
    </row>
    <row r="17" spans="1:17" x14ac:dyDescent="0.2">
      <c r="A17" s="492"/>
      <c r="L17" s="491"/>
    </row>
    <row r="18" spans="1:17" x14ac:dyDescent="0.2">
      <c r="A18" s="493" t="s">
        <v>1423</v>
      </c>
      <c r="B18" s="494">
        <v>1</v>
      </c>
      <c r="C18" s="494">
        <v>3</v>
      </c>
      <c r="D18" s="494">
        <v>4</v>
      </c>
      <c r="E18" s="494">
        <v>7</v>
      </c>
      <c r="F18" s="494">
        <v>9</v>
      </c>
      <c r="G18" s="494">
        <v>10</v>
      </c>
      <c r="H18" s="494">
        <v>12</v>
      </c>
      <c r="I18" s="494">
        <v>16</v>
      </c>
      <c r="J18" s="494">
        <v>20</v>
      </c>
      <c r="K18" s="494">
        <v>24</v>
      </c>
      <c r="L18" s="494">
        <v>27</v>
      </c>
      <c r="M18" s="494">
        <v>30</v>
      </c>
      <c r="N18" s="494">
        <v>40</v>
      </c>
      <c r="O18" s="494">
        <v>45</v>
      </c>
      <c r="P18" s="494">
        <v>60</v>
      </c>
      <c r="Q18" s="495" t="s">
        <v>1424</v>
      </c>
    </row>
    <row r="19" spans="1:17" x14ac:dyDescent="0.2">
      <c r="A19" s="496" t="s">
        <v>1667</v>
      </c>
      <c r="B19" s="497" t="str">
        <f>Basics!C7</f>
        <v>Le</v>
      </c>
      <c r="C19" s="498" t="str">
        <f>Basics!H58</f>
        <v>Sg</v>
      </c>
      <c r="D19" s="498" t="str">
        <f>Basics!J58</f>
        <v>Aq</v>
      </c>
      <c r="E19" s="498" t="str">
        <f>Basics!L58</f>
        <v>Sc</v>
      </c>
      <c r="F19" s="498" t="str">
        <f>Basics!N58</f>
        <v>Vi</v>
      </c>
      <c r="G19" s="498" t="str">
        <f>Basics!P58</f>
        <v>Ta</v>
      </c>
      <c r="H19" s="498" t="str">
        <f>Basics!R58</f>
        <v>Aq</v>
      </c>
      <c r="I19" s="499" t="s">
        <v>1952</v>
      </c>
      <c r="J19" s="499" t="s">
        <v>1959</v>
      </c>
      <c r="K19" s="499" t="s">
        <v>1949</v>
      </c>
      <c r="L19" s="499"/>
      <c r="M19" s="499"/>
      <c r="N19" s="499"/>
      <c r="O19" s="499"/>
      <c r="P19" s="499"/>
      <c r="Q19" s="500" t="s">
        <v>1949</v>
      </c>
    </row>
    <row r="20" spans="1:17" x14ac:dyDescent="0.2">
      <c r="A20" s="496" t="s">
        <v>1511</v>
      </c>
      <c r="B20" s="497" t="str">
        <f>Basics!C8</f>
        <v>Cn</v>
      </c>
      <c r="C20" s="498" t="str">
        <f>Basics!H59</f>
        <v>Cn</v>
      </c>
      <c r="D20" s="498" t="str">
        <f>Basics!J59</f>
        <v>Cn</v>
      </c>
      <c r="E20" s="498" t="str">
        <f>Basics!L59</f>
        <v>Cp</v>
      </c>
      <c r="F20" s="498" t="str">
        <f>Basics!N59</f>
        <v>Cn</v>
      </c>
      <c r="G20" s="498" t="str">
        <f>Basics!P59</f>
        <v>Li</v>
      </c>
      <c r="H20" s="498" t="str">
        <f>Basics!R59</f>
        <v>Cn</v>
      </c>
      <c r="I20" s="499" t="s">
        <v>1971</v>
      </c>
      <c r="J20" s="499" t="s">
        <v>1953</v>
      </c>
      <c r="K20" s="499" t="s">
        <v>1974</v>
      </c>
      <c r="L20" s="499"/>
      <c r="M20" s="499"/>
      <c r="N20" s="499"/>
      <c r="O20" s="499"/>
      <c r="P20" s="499"/>
      <c r="Q20" s="500" t="s">
        <v>1968</v>
      </c>
    </row>
    <row r="21" spans="1:17" x14ac:dyDescent="0.2">
      <c r="A21" s="496" t="s">
        <v>1512</v>
      </c>
      <c r="B21" s="497" t="str">
        <f>Basics!C9</f>
        <v>Ta</v>
      </c>
      <c r="C21" s="498" t="str">
        <f>Basics!H60</f>
        <v>Cp</v>
      </c>
      <c r="D21" s="498" t="str">
        <f>Basics!J60</f>
        <v>Aq</v>
      </c>
      <c r="E21" s="498" t="str">
        <f>Basics!L60</f>
        <v>Ar</v>
      </c>
      <c r="F21" s="498" t="str">
        <f>Basics!N60</f>
        <v>Cn</v>
      </c>
      <c r="G21" s="498" t="str">
        <f>Basics!P60</f>
        <v>Cn</v>
      </c>
      <c r="H21" s="498" t="str">
        <f>Basics!R60</f>
        <v>Aq</v>
      </c>
      <c r="I21" s="499" t="s">
        <v>1949</v>
      </c>
      <c r="J21" s="499" t="s">
        <v>1952</v>
      </c>
      <c r="K21" s="499" t="s">
        <v>2007</v>
      </c>
      <c r="L21" s="499"/>
      <c r="M21" s="499"/>
      <c r="N21" s="499"/>
      <c r="O21" s="499"/>
      <c r="P21" s="499"/>
      <c r="Q21" s="500" t="s">
        <v>1971</v>
      </c>
    </row>
    <row r="22" spans="1:17" x14ac:dyDescent="0.2">
      <c r="A22" s="496" t="s">
        <v>1513</v>
      </c>
      <c r="B22" s="497" t="str">
        <f>Basics!C10</f>
        <v>Cp</v>
      </c>
      <c r="C22" s="498" t="str">
        <f>Basics!H61</f>
        <v>Vi</v>
      </c>
      <c r="D22" s="498" t="str">
        <f>Basics!J61</f>
        <v>Li</v>
      </c>
      <c r="E22" s="498" t="str">
        <f>Basics!L61</f>
        <v>Cp</v>
      </c>
      <c r="F22" s="498" t="str">
        <f>Basics!N61</f>
        <v>Vi</v>
      </c>
      <c r="G22" s="498" t="str">
        <f>Basics!P61</f>
        <v>Cp</v>
      </c>
      <c r="H22" s="498" t="str">
        <f>Basics!R61</f>
        <v>Sg</v>
      </c>
      <c r="I22" s="499" t="s">
        <v>1965</v>
      </c>
      <c r="J22" s="499" t="s">
        <v>1971</v>
      </c>
      <c r="K22" s="499" t="s">
        <v>1968</v>
      </c>
      <c r="L22" s="499"/>
      <c r="M22" s="499"/>
      <c r="N22" s="499"/>
      <c r="O22" s="499"/>
      <c r="P22" s="499"/>
      <c r="Q22" s="500" t="s">
        <v>1974</v>
      </c>
    </row>
    <row r="23" spans="1:17" x14ac:dyDescent="0.2">
      <c r="A23" s="496" t="s">
        <v>1517</v>
      </c>
      <c r="B23" s="497" t="str">
        <f>Basics!C11</f>
        <v>Cn</v>
      </c>
      <c r="C23" s="498" t="str">
        <f>Basics!H62</f>
        <v>Pi</v>
      </c>
      <c r="D23" s="498" t="str">
        <f>Basics!J62</f>
        <v>Ar</v>
      </c>
      <c r="E23" s="498" t="str">
        <f>Basics!L62</f>
        <v>Cn</v>
      </c>
      <c r="F23" s="498" t="str">
        <f>Basics!N62</f>
        <v>Pi</v>
      </c>
      <c r="G23" s="498" t="str">
        <f>Basics!P62</f>
        <v>Cn</v>
      </c>
      <c r="H23" s="498" t="str">
        <f>Basics!R62</f>
        <v>Ta</v>
      </c>
      <c r="I23" s="499" t="s">
        <v>1965</v>
      </c>
      <c r="J23" s="499" t="s">
        <v>1971</v>
      </c>
      <c r="K23" s="499" t="s">
        <v>1974</v>
      </c>
      <c r="L23" s="499"/>
      <c r="M23" s="499"/>
      <c r="N23" s="499"/>
      <c r="O23" s="499"/>
      <c r="P23" s="499"/>
      <c r="Q23" s="500" t="s">
        <v>1949</v>
      </c>
    </row>
    <row r="24" spans="1:17" x14ac:dyDescent="0.2">
      <c r="A24" s="496" t="s">
        <v>1515</v>
      </c>
      <c r="B24" s="497" t="str">
        <f>Basics!C12</f>
        <v>Sc</v>
      </c>
      <c r="C24" s="498" t="str">
        <f>Basics!H63</f>
        <v>Sc</v>
      </c>
      <c r="D24" s="498" t="str">
        <f>Basics!J63</f>
        <v>Sc</v>
      </c>
      <c r="E24" s="498" t="str">
        <f>Basics!L63</f>
        <v>Ta</v>
      </c>
      <c r="F24" s="498" t="str">
        <f>Basics!N63</f>
        <v>Cn</v>
      </c>
      <c r="G24" s="498" t="str">
        <f>Basics!P63</f>
        <v>Cn</v>
      </c>
      <c r="H24" s="498" t="str">
        <f>Basics!R63</f>
        <v>Sg</v>
      </c>
      <c r="I24" s="499" t="s">
        <v>1959</v>
      </c>
      <c r="J24" s="499" t="s">
        <v>1974</v>
      </c>
      <c r="K24" s="499" t="s">
        <v>1965</v>
      </c>
      <c r="L24" s="499"/>
      <c r="M24" s="499"/>
      <c r="N24" s="499"/>
      <c r="O24" s="499"/>
      <c r="P24" s="499"/>
      <c r="Q24" s="500" t="s">
        <v>1956</v>
      </c>
    </row>
    <row r="25" spans="1:17" x14ac:dyDescent="0.2">
      <c r="A25" s="496" t="s">
        <v>1519</v>
      </c>
      <c r="B25" s="497" t="str">
        <f>Basics!C13</f>
        <v>Ge</v>
      </c>
      <c r="C25" s="498" t="str">
        <f>Basics!H64</f>
        <v>Aq</v>
      </c>
      <c r="D25" s="498" t="str">
        <f>Basics!J64</f>
        <v>Sg</v>
      </c>
      <c r="E25" s="498" t="str">
        <f>Basics!L64</f>
        <v>Sc</v>
      </c>
      <c r="F25" s="498" t="str">
        <f>Basics!N64</f>
        <v>Ar</v>
      </c>
      <c r="G25" s="498" t="str">
        <f>Basics!P64</f>
        <v>Vi</v>
      </c>
      <c r="H25" s="498" t="str">
        <f>Basics!R64</f>
        <v>Aq</v>
      </c>
      <c r="I25" s="499" t="s">
        <v>2007</v>
      </c>
      <c r="J25" s="499" t="s">
        <v>1971</v>
      </c>
      <c r="K25" s="499" t="s">
        <v>1962</v>
      </c>
      <c r="L25" s="499"/>
      <c r="M25" s="499"/>
      <c r="N25" s="499"/>
      <c r="O25" s="499"/>
      <c r="P25" s="499"/>
      <c r="Q25" s="500" t="s">
        <v>1965</v>
      </c>
    </row>
    <row r="26" spans="1:17" x14ac:dyDescent="0.2">
      <c r="A26" s="496" t="s">
        <v>1516</v>
      </c>
      <c r="B26" s="497" t="str">
        <f>Basics!C14</f>
        <v>Ta</v>
      </c>
      <c r="C26" s="498" t="str">
        <f>Basics!H65</f>
        <v>Ta</v>
      </c>
      <c r="D26" s="498" t="str">
        <f>Basics!J65</f>
        <v>Le</v>
      </c>
      <c r="E26" s="498" t="str">
        <f>Basics!L65</f>
        <v>Cp</v>
      </c>
      <c r="F26" s="498" t="str">
        <f>Basics!N65</f>
        <v>Pi</v>
      </c>
      <c r="G26" s="498" t="str">
        <f>Basics!P65</f>
        <v>Pi</v>
      </c>
      <c r="H26" s="498" t="str">
        <f>Basics!R65</f>
        <v>Le</v>
      </c>
      <c r="I26" s="499" t="s">
        <v>1962</v>
      </c>
      <c r="J26" s="499" t="s">
        <v>1965</v>
      </c>
      <c r="K26" s="499" t="s">
        <v>1948</v>
      </c>
      <c r="L26" s="499"/>
      <c r="M26" s="499"/>
      <c r="N26" s="499"/>
      <c r="O26" s="499"/>
      <c r="P26" s="499"/>
      <c r="Q26" s="500" t="s">
        <v>1953</v>
      </c>
    </row>
    <row r="27" spans="1:17" x14ac:dyDescent="0.2">
      <c r="A27" s="496" t="s">
        <v>1514</v>
      </c>
      <c r="B27" s="497" t="str">
        <f>Basics!C15</f>
        <v>Cp</v>
      </c>
      <c r="C27" s="498" t="str">
        <f>Basics!H66</f>
        <v>Vi</v>
      </c>
      <c r="D27" s="498" t="str">
        <f>Basics!J66</f>
        <v>Cn</v>
      </c>
      <c r="E27" s="498" t="str">
        <f>Basics!L66</f>
        <v>Sg</v>
      </c>
      <c r="F27" s="498" t="str">
        <f>Basics!N66</f>
        <v>Cn</v>
      </c>
      <c r="G27" s="498" t="str">
        <f>Basics!P66</f>
        <v>Sc</v>
      </c>
      <c r="H27" s="498" t="str">
        <f>Basics!R66</f>
        <v>Vi</v>
      </c>
      <c r="I27" s="499" t="s">
        <v>1952</v>
      </c>
      <c r="J27" s="499" t="s">
        <v>1965</v>
      </c>
      <c r="K27" s="499" t="s">
        <v>1952</v>
      </c>
      <c r="L27" s="499"/>
      <c r="M27" s="499"/>
      <c r="N27" s="499"/>
      <c r="O27" s="499"/>
      <c r="P27" s="499"/>
      <c r="Q27" s="500" t="s">
        <v>1974</v>
      </c>
    </row>
    <row r="28" spans="1:17" x14ac:dyDescent="0.2">
      <c r="A28" s="496" t="s">
        <v>1518</v>
      </c>
      <c r="B28" s="497" t="str">
        <f>Basics!C16</f>
        <v>Cn</v>
      </c>
      <c r="C28" s="498" t="str">
        <f>Basics!H67</f>
        <v>Pi</v>
      </c>
      <c r="D28" s="498" t="str">
        <f>Basics!J67</f>
        <v>Cp</v>
      </c>
      <c r="E28" s="498" t="str">
        <f>Basics!L67</f>
        <v>Ge</v>
      </c>
      <c r="F28" s="498" t="str">
        <f>Basics!N67</f>
        <v>Cp</v>
      </c>
      <c r="G28" s="498" t="str">
        <f>Basics!P67</f>
        <v>Ta</v>
      </c>
      <c r="H28" s="498" t="str">
        <f>Basics!R67</f>
        <v>Pi</v>
      </c>
      <c r="I28" s="499" t="s">
        <v>1952</v>
      </c>
      <c r="J28" s="499" t="s">
        <v>1965</v>
      </c>
      <c r="K28" s="499" t="s">
        <v>1959</v>
      </c>
      <c r="L28" s="499"/>
      <c r="M28" s="499"/>
      <c r="N28" s="499"/>
      <c r="O28" s="499"/>
      <c r="P28" s="499"/>
      <c r="Q28" s="500" t="s">
        <v>1949</v>
      </c>
    </row>
    <row r="29" spans="1:17" x14ac:dyDescent="0.2">
      <c r="A29" s="496" t="s">
        <v>1425</v>
      </c>
      <c r="B29" s="499" t="s">
        <v>1514</v>
      </c>
      <c r="C29" s="499" t="s">
        <v>1516</v>
      </c>
      <c r="D29" s="499" t="s">
        <v>1516</v>
      </c>
      <c r="E29" s="499" t="s">
        <v>1516</v>
      </c>
      <c r="F29" s="499" t="s">
        <v>1514</v>
      </c>
      <c r="G29" s="499" t="s">
        <v>1514</v>
      </c>
      <c r="H29" s="499" t="s">
        <v>1516</v>
      </c>
      <c r="I29" s="499" t="s">
        <v>1516</v>
      </c>
      <c r="J29" s="499" t="s">
        <v>1514</v>
      </c>
      <c r="K29" s="499" t="s">
        <v>1516</v>
      </c>
      <c r="L29" s="499" t="s">
        <v>1516</v>
      </c>
      <c r="M29" s="499" t="s">
        <v>1516</v>
      </c>
      <c r="N29" s="499" t="s">
        <v>1516</v>
      </c>
      <c r="O29" s="499" t="s">
        <v>1516</v>
      </c>
      <c r="P29" s="499" t="s">
        <v>1516</v>
      </c>
      <c r="Q29" s="500" t="s">
        <v>1516</v>
      </c>
    </row>
    <row r="30" spans="1:17" x14ac:dyDescent="0.2">
      <c r="A30" s="501" t="s">
        <v>1426</v>
      </c>
      <c r="B30" s="502" t="s">
        <v>1518</v>
      </c>
      <c r="C30" s="502" t="s">
        <v>1513</v>
      </c>
      <c r="D30" s="502" t="s">
        <v>1513</v>
      </c>
      <c r="E30" s="502" t="s">
        <v>1513</v>
      </c>
      <c r="F30" s="502" t="s">
        <v>1513</v>
      </c>
      <c r="G30" s="502" t="s">
        <v>1513</v>
      </c>
      <c r="H30" s="502" t="s">
        <v>1513</v>
      </c>
      <c r="I30" s="502" t="s">
        <v>1513</v>
      </c>
      <c r="J30" s="502" t="s">
        <v>1513</v>
      </c>
      <c r="K30" s="502" t="s">
        <v>1513</v>
      </c>
      <c r="L30" s="502" t="s">
        <v>1513</v>
      </c>
      <c r="M30" s="502" t="s">
        <v>1513</v>
      </c>
      <c r="N30" s="502" t="s">
        <v>1513</v>
      </c>
      <c r="O30" s="502" t="s">
        <v>1513</v>
      </c>
      <c r="P30" s="502" t="s">
        <v>1513</v>
      </c>
      <c r="Q30" s="503" t="s">
        <v>1513</v>
      </c>
    </row>
    <row r="31" spans="1:17" x14ac:dyDescent="0.2">
      <c r="L31" s="491"/>
    </row>
    <row r="32" spans="1:17" ht="12.2" customHeight="1" x14ac:dyDescent="0.2">
      <c r="A32" s="1573" t="s">
        <v>1427</v>
      </c>
      <c r="B32" s="1573"/>
      <c r="C32" s="1573"/>
      <c r="D32" s="1573"/>
      <c r="E32" s="1573"/>
      <c r="F32" s="1573"/>
      <c r="G32" s="1573"/>
      <c r="H32" s="1573"/>
      <c r="L32" s="491"/>
    </row>
    <row r="33" spans="1:19" x14ac:dyDescent="0.2">
      <c r="L33" s="491"/>
    </row>
    <row r="34" spans="1:19" x14ac:dyDescent="0.2">
      <c r="A34" s="504" t="s">
        <v>1428</v>
      </c>
      <c r="B34" s="505"/>
      <c r="C34" s="505"/>
      <c r="D34" s="505"/>
      <c r="E34" s="505"/>
      <c r="F34" s="505"/>
      <c r="G34" s="505"/>
      <c r="H34" s="505"/>
      <c r="I34" s="505"/>
      <c r="J34" s="505"/>
      <c r="K34" s="505"/>
      <c r="L34" s="506"/>
      <c r="M34" s="505"/>
      <c r="N34" s="505"/>
      <c r="O34" s="505"/>
      <c r="P34" s="505"/>
      <c r="Q34" s="505"/>
      <c r="R34" s="505"/>
      <c r="S34" s="505"/>
    </row>
    <row r="35" spans="1:19" s="107" customFormat="1" x14ac:dyDescent="0.2">
      <c r="A35" s="1574" t="s">
        <v>1429</v>
      </c>
      <c r="B35" s="1574"/>
      <c r="C35" s="507">
        <v>9</v>
      </c>
      <c r="D35" s="508">
        <f>MATCH(C35,$18:$18,1)</f>
        <v>6</v>
      </c>
      <c r="H35" s="107" t="s">
        <v>1558</v>
      </c>
      <c r="I35" s="509" t="s">
        <v>1580</v>
      </c>
      <c r="N35" s="509"/>
    </row>
    <row r="36" spans="1:19" s="107" customFormat="1" x14ac:dyDescent="0.2">
      <c r="A36" s="1574" t="s">
        <v>1430</v>
      </c>
      <c r="B36" s="1574"/>
      <c r="C36" s="510" t="s">
        <v>2015</v>
      </c>
      <c r="D36" s="511"/>
      <c r="E36" s="512" t="s">
        <v>2102</v>
      </c>
      <c r="F36" s="624" t="b">
        <v>0</v>
      </c>
      <c r="G36" s="163"/>
      <c r="H36" s="625" t="b">
        <v>1</v>
      </c>
      <c r="I36" s="626">
        <f>IF(F36,1-Basics!H8/30,Basics!H8/30)</f>
        <v>7.9973425925925934E-2</v>
      </c>
      <c r="J36" s="513"/>
      <c r="O36" s="514"/>
      <c r="P36" s="515"/>
      <c r="Q36" s="514"/>
    </row>
    <row r="37" spans="1:19" s="514" customFormat="1" x14ac:dyDescent="0.2">
      <c r="B37" s="516"/>
      <c r="C37" s="515"/>
      <c r="D37" s="516"/>
      <c r="E37" s="515"/>
      <c r="F37" s="516"/>
      <c r="G37" s="516"/>
      <c r="H37" s="515"/>
      <c r="I37" s="513"/>
      <c r="J37" s="513"/>
      <c r="K37" s="107"/>
      <c r="L37" s="107"/>
      <c r="M37" s="107"/>
      <c r="N37" s="107"/>
    </row>
    <row r="38" spans="1:19" s="107" customFormat="1" ht="42" thickBot="1" x14ac:dyDescent="0.25">
      <c r="A38" s="627" t="s">
        <v>1431</v>
      </c>
      <c r="B38" s="627" t="s">
        <v>1937</v>
      </c>
      <c r="C38" s="627" t="s">
        <v>1432</v>
      </c>
      <c r="D38" s="627" t="s">
        <v>1433</v>
      </c>
      <c r="E38" s="628" t="s">
        <v>2101</v>
      </c>
      <c r="F38" s="627" t="s">
        <v>2029</v>
      </c>
      <c r="G38" s="627" t="s">
        <v>2030</v>
      </c>
      <c r="H38" s="627" t="s">
        <v>1434</v>
      </c>
      <c r="I38" s="513"/>
      <c r="J38" s="513"/>
    </row>
    <row r="39" spans="1:19" s="107" customFormat="1" x14ac:dyDescent="0.2">
      <c r="A39" s="107" t="str">
        <f>VLOOKUP(C36,NDasaSeq,7,FALSE)</f>
        <v>Pi</v>
      </c>
      <c r="B39" s="107">
        <f>VLOOKUP(A39,NDasaC,3,FALSE)</f>
        <v>-1</v>
      </c>
      <c r="C39" s="518" t="e">
        <f>IF(MATCH(VLOOKUP(IF((A39="Aq"),VLOOKUP("AqLord",DivCharts,D35,FALSE),IF((A39="Sc"),VLOOKUP("ScLord",DivCharts,D35,FALSE),VLOOKUP(A39,RsInfo,9,FALSE))),DivCharts,D35,FALSE),RsTbl,0)=MATCH(VLOOKUP(IF((A39="Aq"),VLOOKUP("AqLord",DivCharts,D35,FALSE),IF((A39="Sc"),VLOOKUP("ScLord",DivCharts,D35,FALSE),VLOOKUP(A39,RsInfo,9,FALSE))),PlanetData,8,FALSE),RsTbl,0),1,IF(MATCH(VLOOKUP(IF((A39="Aq"),VLOOKUP("AqLord",DivCharts,D35,FALSE),IF((A39="Sc"),VLOOKUP("ScLord",DivCharts,D35,FALSE),VLOOKUP(A39,RsInfo,9,FALSE))),DivCharts,D35,FALSE),RsTbl,0)=MOD(MATCH(VLOOKUP(IF((A39="Aq"),VLOOKUP("AqLord",DivCharts,D35,FALSE),IF((A39="Sc"),VLOOKUP("ScLord",DivCharts,D35,FALSE),VLOOKUP(A39,RsInfo,9,FALSE))),PlanetData,8,FALSE),RsTbl,0)+6,12),-1,0))</f>
        <v>#N/A</v>
      </c>
      <c r="D39" s="518">
        <f>MOD((MATCH(VLOOKUP(IF((A39="Aq"),VLOOKUP("AqLord",DivCharts,D35,FALSE),IF((A39="Sc"),VLOOKUP("ScLord",DivCharts,D35,FALSE),VLOOKUP(A39,RsInfo,9,FALSE))),DivCharts,D35,FALSE),RsTbl,0)*B39)-(B39*MATCH(A39,RsTbl,0))+12,12)</f>
        <v>8</v>
      </c>
      <c r="E39" s="107" t="e">
        <f>ABS(IF(ISNA(MATCH((D39+C39),,0)),(D39+C39),12)+IF(F36,0,-12))*IF(H36,I36,1)</f>
        <v>#N/A</v>
      </c>
      <c r="F39" s="603">
        <f>NDDoB</f>
        <v>26133.384143518517</v>
      </c>
      <c r="G39" s="603" t="e">
        <f>F39+E39*NDDaysInYEar</f>
        <v>#N/A</v>
      </c>
      <c r="H39" s="595" t="str">
        <f>A39</f>
        <v>Pi</v>
      </c>
      <c r="I39" s="596" t="str">
        <f>INDEX(SignSym,MOD(B39+MATCH(H39,SignSym,FALSE)-1,12)+1)</f>
        <v>Aq</v>
      </c>
      <c r="J39" s="596" t="str">
        <f>INDEX(SignSym,MOD(B39+MATCH(I39,SignSym,FALSE)-1,12)+1)</f>
        <v>Cp</v>
      </c>
      <c r="K39" s="597" t="str">
        <f>INDEX(SignSym,MOD(B39+MATCH(J39,SignSym,FALSE)-1,12)+1)</f>
        <v>Sg</v>
      </c>
      <c r="L39" s="601" t="str">
        <f>INDEX(SignSym,MOD(B39+MATCH(K39,SignSym,FALSE)-1,12)+1)</f>
        <v>Sc</v>
      </c>
      <c r="M39" s="596" t="str">
        <f>INDEX(SignSym,MOD(B39+MATCH(L39,SignSym,FALSE)-1,12)+1)</f>
        <v>Li</v>
      </c>
      <c r="N39" s="596" t="str">
        <f>INDEX(SignSym,MOD(B39+MATCH(M39,SignSym,FALSE)-1,12)+1)</f>
        <v>Vi</v>
      </c>
      <c r="O39" s="597" t="str">
        <f>INDEX(SignSym,MOD(B39+MATCH(N39,SignSym,FALSE)-1,12)+1)</f>
        <v>Le</v>
      </c>
      <c r="P39" s="601" t="str">
        <f>INDEX(SignSym,MOD(B39+MATCH(O39,SignSym,FALSE)-1,12)+1)</f>
        <v>Cn</v>
      </c>
      <c r="Q39" s="596" t="str">
        <f>INDEX(SignSym,MOD(B39+MATCH(P39,SignSym,FALSE)-1,12)+1)</f>
        <v>Ge</v>
      </c>
      <c r="R39" s="596" t="str">
        <f>INDEX(SignSym,MOD(B39+MATCH(Q39,SignSym,FALSE)-1,12)+1)</f>
        <v>Ta</v>
      </c>
      <c r="S39" s="597" t="str">
        <f>INDEX(SignSym,MOD(B39+MATCH(R39,SignSym,FALSE)-1,12)+1)</f>
        <v>Ar</v>
      </c>
    </row>
    <row r="40" spans="1:19" s="107" customFormat="1" ht="15.75" thickBot="1" x14ac:dyDescent="0.25">
      <c r="C40" s="518"/>
      <c r="D40" s="518"/>
      <c r="F40" s="603"/>
      <c r="G40" s="603"/>
      <c r="H40" s="598">
        <f>F39</f>
        <v>26133.384143518517</v>
      </c>
      <c r="I40" s="599" t="e">
        <f>H40+(E39*NDDaysInYEar/12)</f>
        <v>#N/A</v>
      </c>
      <c r="J40" s="599" t="e">
        <f>I40+(E39*NDDaysInYEar/12)</f>
        <v>#N/A</v>
      </c>
      <c r="K40" s="600" t="e">
        <f>J40+(E39*NDDaysInYEar/12)</f>
        <v>#N/A</v>
      </c>
      <c r="L40" s="598" t="e">
        <f>K40+(E39*NDDaysInYEar/12)</f>
        <v>#N/A</v>
      </c>
      <c r="M40" s="599" t="e">
        <f>L40+(E39*NDDaysInYEar/12)</f>
        <v>#N/A</v>
      </c>
      <c r="N40" s="599" t="e">
        <f>M40+(E39*NDDaysInYEar/12)</f>
        <v>#N/A</v>
      </c>
      <c r="O40" s="600" t="e">
        <f>N40+(E39*NDDaysInYEar/12)</f>
        <v>#N/A</v>
      </c>
      <c r="P40" s="598" t="e">
        <f>O40+(E39*NDDaysInYEar/12)</f>
        <v>#N/A</v>
      </c>
      <c r="Q40" s="599" t="e">
        <f>P40+(E39*NDDaysInYEar/12)</f>
        <v>#N/A</v>
      </c>
      <c r="R40" s="599" t="e">
        <f>Q40+(E39*NDDaysInYEar/12)</f>
        <v>#N/A</v>
      </c>
      <c r="S40" s="600" t="e">
        <f>R40+(E39*NDDaysInYEar/12)</f>
        <v>#N/A</v>
      </c>
    </row>
    <row r="41" spans="1:19" s="107" customFormat="1" x14ac:dyDescent="0.2">
      <c r="A41" s="107" t="str">
        <f>VLOOKUP(C36,NDasaSeq,8,FALSE)</f>
        <v>Cn</v>
      </c>
      <c r="B41" s="107">
        <f>VLOOKUP(A41,NDasaC,3,FALSE)</f>
        <v>-1</v>
      </c>
      <c r="C41" s="518" t="e">
        <f>IF(MATCH(VLOOKUP(IF((A41="Aq"),VLOOKUP("AqLord",DivCharts,D35,FALSE),IF((A41="Sc"),VLOOKUP("ScLord",DivCharts,D35,FALSE),VLOOKUP(A41,RsInfo,9,FALSE))),DivCharts,D35,FALSE),RsTbl,0)=MATCH(VLOOKUP(IF((A41="Aq"),VLOOKUP("AqLord",DivCharts,D35,FALSE),IF((A41="Sc"),VLOOKUP("ScLord",DivCharts,D35,FALSE),VLOOKUP(A41,RsInfo,9,FALSE))),PlanetData,8,FALSE),RsTbl,0),1,IF(MATCH(VLOOKUP(IF((A41="Aq"),VLOOKUP("AqLord",DivCharts,D35,FALSE),IF((A41="Sc"),VLOOKUP("ScLord",DivCharts,D35,FALSE),VLOOKUP(A41,RsInfo,9,FALSE))),DivCharts,D35,FALSE),RsTbl,0)=MOD(MATCH(VLOOKUP(IF((A41="Aq"),VLOOKUP("AqLord",DivCharts,D35,FALSE),IF((A41="Sc"),VLOOKUP("ScLord",DivCharts,D35,FALSE),VLOOKUP(A41,RsInfo,9,FALSE))),PlanetData,8,FALSE),RsTbl,0)+6,12),-1,0))</f>
        <v>#N/A</v>
      </c>
      <c r="D41" s="518">
        <f>MOD((MATCH(VLOOKUP(IF((A41="Aq"),VLOOKUP("AqLord",DivCharts,D35,FALSE),IF((A41="Sc"),VLOOKUP("ScLord",DivCharts,D35,FALSE),VLOOKUP(A41,RsInfo,9,FALSE))),DivCharts,D35,FALSE),RsTbl,0)*B41)-(B41*MATCH(A41,RsTbl,0))+12,12)</f>
        <v>0</v>
      </c>
      <c r="E41" s="107" t="e">
        <f>ABS(IF(ISNA(MATCH((D41+C41),,0)),(D41+C41),12)+IF(F36,0,-12))</f>
        <v>#N/A</v>
      </c>
      <c r="F41" s="603" t="e">
        <f>G39</f>
        <v>#N/A</v>
      </c>
      <c r="G41" s="603" t="e">
        <f>F41+E41*NDDaysInYEar</f>
        <v>#N/A</v>
      </c>
      <c r="H41" s="595" t="str">
        <f>A41</f>
        <v>Cn</v>
      </c>
      <c r="I41" s="596" t="str">
        <f>INDEX(SignSym,MOD(B41+MATCH(H41,SignSym,FALSE)-1,12)+1)</f>
        <v>Ge</v>
      </c>
      <c r="J41" s="596" t="str">
        <f>INDEX(SignSym,MOD(B41+MATCH(I41,SignSym,FALSE)-1,12)+1)</f>
        <v>Ta</v>
      </c>
      <c r="K41" s="597" t="str">
        <f>INDEX(SignSym,MOD(B41+MATCH(J41,SignSym,FALSE)-1,12)+1)</f>
        <v>Ar</v>
      </c>
      <c r="L41" s="601" t="str">
        <f>INDEX(SignSym,MOD(B41+MATCH(K41,SignSym,FALSE)-1,12)+1)</f>
        <v>Pi</v>
      </c>
      <c r="M41" s="596" t="str">
        <f>INDEX(SignSym,MOD(B41+MATCH(L41,SignSym,FALSE)-1,12)+1)</f>
        <v>Aq</v>
      </c>
      <c r="N41" s="596" t="str">
        <f>INDEX(SignSym,MOD(B41+MATCH(M41,SignSym,FALSE)-1,12)+1)</f>
        <v>Cp</v>
      </c>
      <c r="O41" s="597" t="str">
        <f>INDEX(SignSym,MOD(B41+MATCH(N41,SignSym,FALSE)-1,12)+1)</f>
        <v>Sg</v>
      </c>
      <c r="P41" s="601" t="str">
        <f>INDEX(SignSym,MOD(B41+MATCH(O41,SignSym,FALSE)-1,12)+1)</f>
        <v>Sc</v>
      </c>
      <c r="Q41" s="596" t="str">
        <f>INDEX(SignSym,MOD(B41+MATCH(P41,SignSym,FALSE)-1,12)+1)</f>
        <v>Li</v>
      </c>
      <c r="R41" s="596" t="str">
        <f>INDEX(SignSym,MOD(B41+MATCH(Q41,SignSym,FALSE)-1,12)+1)</f>
        <v>Vi</v>
      </c>
      <c r="S41" s="597" t="str">
        <f>INDEX(SignSym,MOD(B41+MATCH(R41,SignSym,FALSE)-1,12)+1)</f>
        <v>Le</v>
      </c>
    </row>
    <row r="42" spans="1:19" s="107" customFormat="1" ht="15.75" thickBot="1" x14ac:dyDescent="0.25">
      <c r="C42" s="518"/>
      <c r="D42" s="518"/>
      <c r="F42" s="603"/>
      <c r="G42" s="603"/>
      <c r="H42" s="598" t="e">
        <f>F41</f>
        <v>#N/A</v>
      </c>
      <c r="I42" s="599" t="e">
        <f>H42+(E41*NDDaysInYEar/12)</f>
        <v>#N/A</v>
      </c>
      <c r="J42" s="599" t="e">
        <f>I42+(E41*NDDaysInYEar/12)</f>
        <v>#N/A</v>
      </c>
      <c r="K42" s="600" t="e">
        <f>J42+(E41*NDDaysInYEar/12)</f>
        <v>#N/A</v>
      </c>
      <c r="L42" s="598" t="e">
        <f>K42+(E41*NDDaysInYEar/12)</f>
        <v>#N/A</v>
      </c>
      <c r="M42" s="599" t="e">
        <f>L42+(E41*NDDaysInYEar/12)</f>
        <v>#N/A</v>
      </c>
      <c r="N42" s="599" t="e">
        <f>M42+(E41*NDDaysInYEar/12)</f>
        <v>#N/A</v>
      </c>
      <c r="O42" s="600" t="e">
        <f>N42+(E41*NDDaysInYEar/12)</f>
        <v>#N/A</v>
      </c>
      <c r="P42" s="598" t="e">
        <f>O42+(E41*NDDaysInYEar/12)</f>
        <v>#N/A</v>
      </c>
      <c r="Q42" s="599" t="e">
        <f>P42+(E41*NDDaysInYEar/12)</f>
        <v>#N/A</v>
      </c>
      <c r="R42" s="599" t="e">
        <f>Q42+(E41*NDDaysInYEar/12)</f>
        <v>#N/A</v>
      </c>
      <c r="S42" s="600" t="e">
        <f>R42+(E41*NDDaysInYEar/12)</f>
        <v>#N/A</v>
      </c>
    </row>
    <row r="43" spans="1:19" s="107" customFormat="1" x14ac:dyDescent="0.2">
      <c r="A43" s="107" t="str">
        <f>VLOOKUP(C36,NDasaSeq,9,FALSE)</f>
        <v>Sc</v>
      </c>
      <c r="B43" s="107">
        <f>VLOOKUP(A43,NDasaC,3,FALSE)</f>
        <v>1</v>
      </c>
      <c r="C43" s="518" t="e">
        <f>IF(MATCH(VLOOKUP(IF((A43="Aq"),VLOOKUP("AqLord",DivCharts,D35,FALSE),IF((A43="Sc"),VLOOKUP("ScLord",DivCharts,D35,FALSE),VLOOKUP(A43,RsInfo,9,FALSE))),DivCharts,D35,FALSE),RsTbl,0)=MATCH(VLOOKUP(IF((A43="Aq"),VLOOKUP("AqLord",DivCharts,D35,FALSE),IF((A43="Sc"),VLOOKUP("ScLord",DivCharts,D35,FALSE),VLOOKUP(A43,RsInfo,9,FALSE))),PlanetData,8,FALSE),RsTbl,0),1,IF(MATCH(VLOOKUP(IF((A43="Aq"),VLOOKUP("AqLord",DivCharts,D35,FALSE),IF((A43="Sc"),VLOOKUP("ScLord",DivCharts,D35,FALSE),VLOOKUP(A43,RsInfo,9,FALSE))),DivCharts,D35,FALSE),RsTbl,0)=MOD(MATCH(VLOOKUP(IF((A43="Aq"),VLOOKUP("AqLord",DivCharts,D35,FALSE),IF((A43="Sc"),VLOOKUP("ScLord",DivCharts,D35,FALSE),VLOOKUP(A43,RsInfo,9,FALSE))),PlanetData,8,FALSE),RsTbl,0)+6,12),-1,0))</f>
        <v>#N/A</v>
      </c>
      <c r="D43" s="518">
        <f>MOD((MATCH(VLOOKUP(IF((A43="Aq"),VLOOKUP("AqLord",DivCharts,D35,FALSE),IF((A43="Sc"),VLOOKUP("ScLord",DivCharts,D35,FALSE),VLOOKUP(A43,RsInfo,9,FALSE))),DivCharts,D35,FALSE),RsTbl,0)*B43)-(B43*MATCH(A43,RsTbl,0))+12,12)</f>
        <v>10</v>
      </c>
      <c r="E43" s="107" t="e">
        <f>ABS(IF(ISNA(MATCH((D43+C43),,0)),(D43+C43),12)+IF(F36,0,-12))</f>
        <v>#N/A</v>
      </c>
      <c r="F43" s="603" t="e">
        <f>G41</f>
        <v>#N/A</v>
      </c>
      <c r="G43" s="603" t="e">
        <f>F43+E43*NDDaysInYEar</f>
        <v>#N/A</v>
      </c>
      <c r="H43" s="595" t="str">
        <f>A43</f>
        <v>Sc</v>
      </c>
      <c r="I43" s="596" t="str">
        <f>INDEX(SignSym,MOD(B43+MATCH(H43,SignSym,FALSE)-1,12)+1)</f>
        <v>Sg</v>
      </c>
      <c r="J43" s="596" t="str">
        <f>INDEX(SignSym,MOD(B43+MATCH(I43,SignSym,FALSE)-1,12)+1)</f>
        <v>Cp</v>
      </c>
      <c r="K43" s="597" t="str">
        <f>INDEX(SignSym,MOD(B43+MATCH(J43,SignSym,FALSE)-1,12)+1)</f>
        <v>Aq</v>
      </c>
      <c r="L43" s="601" t="str">
        <f>INDEX(SignSym,MOD(B43+MATCH(K43,SignSym,FALSE)-1,12)+1)</f>
        <v>Pi</v>
      </c>
      <c r="M43" s="596" t="str">
        <f>INDEX(SignSym,MOD(B43+MATCH(L43,SignSym,FALSE)-1,12)+1)</f>
        <v>Ar</v>
      </c>
      <c r="N43" s="596" t="str">
        <f>INDEX(SignSym,MOD(B43+MATCH(M43,SignSym,FALSE)-1,12)+1)</f>
        <v>Ta</v>
      </c>
      <c r="O43" s="597" t="str">
        <f>INDEX(SignSym,MOD(B43+MATCH(N43,SignSym,FALSE)-1,12)+1)</f>
        <v>Ge</v>
      </c>
      <c r="P43" s="601" t="str">
        <f>INDEX(SignSym,MOD(B43+MATCH(O43,SignSym,FALSE)-1,12)+1)</f>
        <v>Cn</v>
      </c>
      <c r="Q43" s="596" t="str">
        <f>INDEX(SignSym,MOD(B43+MATCH(P43,SignSym,FALSE)-1,12)+1)</f>
        <v>Le</v>
      </c>
      <c r="R43" s="596" t="str">
        <f>INDEX(SignSym,MOD(B43+MATCH(Q43,SignSym,FALSE)-1,12)+1)</f>
        <v>Vi</v>
      </c>
      <c r="S43" s="597" t="str">
        <f>INDEX(SignSym,MOD(B43+MATCH(R43,SignSym,FALSE)-1,12)+1)</f>
        <v>Li</v>
      </c>
    </row>
    <row r="44" spans="1:19" s="107" customFormat="1" ht="15.75" thickBot="1" x14ac:dyDescent="0.25">
      <c r="C44" s="518"/>
      <c r="D44" s="518"/>
      <c r="F44" s="603"/>
      <c r="G44" s="603"/>
      <c r="H44" s="598" t="e">
        <f>F43</f>
        <v>#N/A</v>
      </c>
      <c r="I44" s="599" t="e">
        <f>H44+(E43*NDDaysInYEar/12)</f>
        <v>#N/A</v>
      </c>
      <c r="J44" s="599" t="e">
        <f>I44+(E43*NDDaysInYEar/12)</f>
        <v>#N/A</v>
      </c>
      <c r="K44" s="600" t="e">
        <f>J44+(E43*NDDaysInYEar/12)</f>
        <v>#N/A</v>
      </c>
      <c r="L44" s="598" t="e">
        <f>K44+(E43*NDDaysInYEar/12)</f>
        <v>#N/A</v>
      </c>
      <c r="M44" s="599" t="e">
        <f>L44+(E43*NDDaysInYEar/12)</f>
        <v>#N/A</v>
      </c>
      <c r="N44" s="599" t="e">
        <f>M44+(E43*NDDaysInYEar/12)</f>
        <v>#N/A</v>
      </c>
      <c r="O44" s="600" t="e">
        <f>N44+(E43*NDDaysInYEar/12)</f>
        <v>#N/A</v>
      </c>
      <c r="P44" s="598" t="e">
        <f>O44+(E43*NDDaysInYEar/12)</f>
        <v>#N/A</v>
      </c>
      <c r="Q44" s="599" t="e">
        <f>P44+(E43*NDDaysInYEar/12)</f>
        <v>#N/A</v>
      </c>
      <c r="R44" s="599" t="e">
        <f>Q44+(E43*NDDaysInYEar/12)</f>
        <v>#N/A</v>
      </c>
      <c r="S44" s="600" t="e">
        <f>R44+(E43*NDDaysInYEar/12)</f>
        <v>#N/A</v>
      </c>
    </row>
    <row r="45" spans="1:19" s="107" customFormat="1" x14ac:dyDescent="0.2">
      <c r="A45" s="107" t="str">
        <f>VLOOKUP(C36,NDasaSeq,10,FALSE)</f>
        <v>Sg</v>
      </c>
      <c r="B45" s="107">
        <f>VLOOKUP(A45,NDasaC,3,FALSE)</f>
        <v>1</v>
      </c>
      <c r="C45" s="518" t="e">
        <f>IF(MATCH(VLOOKUP(IF((A45="Aq"),VLOOKUP("AqLord",DivCharts,D35,FALSE),IF((A45="Sc"),VLOOKUP("ScLord",DivCharts,D35,FALSE),VLOOKUP(A45,RsInfo,9,FALSE))),DivCharts,D35,FALSE),RsTbl,0)=MATCH(VLOOKUP(IF((A45="Aq"),VLOOKUP("AqLord",DivCharts,D35,FALSE),IF((A45="Sc"),VLOOKUP("ScLord",DivCharts,D35,FALSE),VLOOKUP(A45,RsInfo,9,FALSE))),PlanetData,8,FALSE),RsTbl,0),1,IF(MATCH(VLOOKUP(IF((A45="Aq"),VLOOKUP("AqLord",DivCharts,D35,FALSE),IF((A45="Sc"),VLOOKUP("ScLord",DivCharts,D35,FALSE),VLOOKUP(A45,RsInfo,9,FALSE))),DivCharts,D35,FALSE),RsTbl,0)=MOD(MATCH(VLOOKUP(IF((A45="Aq"),VLOOKUP("AqLord",DivCharts,D35,FALSE),IF((A45="Sc"),VLOOKUP("ScLord",DivCharts,D35,FALSE),VLOOKUP(A45,RsInfo,9,FALSE))),PlanetData,8,FALSE),RsTbl,0)+6,12),-1,0))</f>
        <v>#N/A</v>
      </c>
      <c r="D45" s="518">
        <f>MOD((MATCH(VLOOKUP(IF((A45="Aq"),VLOOKUP("AqLord",DivCharts,D35,FALSE),IF((A45="Sc"),VLOOKUP("ScLord",DivCharts,D35,FALSE),VLOOKUP(A45,RsInfo,9,FALSE))),DivCharts,D35,FALSE),RsTbl,0)*B45)-(B45*MATCH(A45,RsTbl,0))+12,12)</f>
        <v>7</v>
      </c>
      <c r="E45" s="107" t="e">
        <f>ABS(IF(ISNA(MATCH((D45+C45),,0)),(D45+C45),12)+IF(F36,0,-12))</f>
        <v>#N/A</v>
      </c>
      <c r="F45" s="603" t="e">
        <f>G43</f>
        <v>#N/A</v>
      </c>
      <c r="G45" s="603" t="e">
        <f>F45+E45*NDDaysInYEar</f>
        <v>#N/A</v>
      </c>
      <c r="H45" s="595" t="str">
        <f>A45</f>
        <v>Sg</v>
      </c>
      <c r="I45" s="596" t="str">
        <f>INDEX(SignSym,MOD(B45+MATCH(H45,SignSym,FALSE)-1,12)+1)</f>
        <v>Cp</v>
      </c>
      <c r="J45" s="596" t="str">
        <f>INDEX(SignSym,MOD(B45+MATCH(I45,SignSym,FALSE)-1,12)+1)</f>
        <v>Aq</v>
      </c>
      <c r="K45" s="597" t="str">
        <f>INDEX(SignSym,MOD(B45+MATCH(J45,SignSym,FALSE)-1,12)+1)</f>
        <v>Pi</v>
      </c>
      <c r="L45" s="601" t="str">
        <f>INDEX(SignSym,MOD(B45+MATCH(K45,SignSym,FALSE)-1,12)+1)</f>
        <v>Ar</v>
      </c>
      <c r="M45" s="596" t="str">
        <f>INDEX(SignSym,MOD(B45+MATCH(L45,SignSym,FALSE)-1,12)+1)</f>
        <v>Ta</v>
      </c>
      <c r="N45" s="596" t="str">
        <f>INDEX(SignSym,MOD(B45+MATCH(M45,SignSym,FALSE)-1,12)+1)</f>
        <v>Ge</v>
      </c>
      <c r="O45" s="597" t="str">
        <f>INDEX(SignSym,MOD(B45+MATCH(N45,SignSym,FALSE)-1,12)+1)</f>
        <v>Cn</v>
      </c>
      <c r="P45" s="601" t="str">
        <f>INDEX(SignSym,MOD(B45+MATCH(O45,SignSym,FALSE)-1,12)+1)</f>
        <v>Le</v>
      </c>
      <c r="Q45" s="596" t="str">
        <f>INDEX(SignSym,MOD(B45+MATCH(P45,SignSym,FALSE)-1,12)+1)</f>
        <v>Vi</v>
      </c>
      <c r="R45" s="596" t="str">
        <f>INDEX(SignSym,MOD(B45+MATCH(Q45,SignSym,FALSE)-1,12)+1)</f>
        <v>Li</v>
      </c>
      <c r="S45" s="597" t="str">
        <f>INDEX(SignSym,MOD(B45+MATCH(R45,SignSym,FALSE)-1,12)+1)</f>
        <v>Sc</v>
      </c>
    </row>
    <row r="46" spans="1:19" s="107" customFormat="1" ht="15.75" thickBot="1" x14ac:dyDescent="0.25">
      <c r="C46" s="518"/>
      <c r="D46" s="518"/>
      <c r="F46" s="603"/>
      <c r="G46" s="603"/>
      <c r="H46" s="598" t="e">
        <f>F45</f>
        <v>#N/A</v>
      </c>
      <c r="I46" s="599" t="e">
        <f>H46+(E45*NDDaysInYEar/12)</f>
        <v>#N/A</v>
      </c>
      <c r="J46" s="599" t="e">
        <f>I46+(E45*NDDaysInYEar/12)</f>
        <v>#N/A</v>
      </c>
      <c r="K46" s="600" t="e">
        <f>J46+(E45*NDDaysInYEar/12)</f>
        <v>#N/A</v>
      </c>
      <c r="L46" s="598" t="e">
        <f>K46+(E45*NDDaysInYEar/12)</f>
        <v>#N/A</v>
      </c>
      <c r="M46" s="599" t="e">
        <f>L46+(E45*NDDaysInYEar/12)</f>
        <v>#N/A</v>
      </c>
      <c r="N46" s="599" t="e">
        <f>M46+(E45*NDDaysInYEar/12)</f>
        <v>#N/A</v>
      </c>
      <c r="O46" s="600" t="e">
        <f>N46+(E45*NDDaysInYEar/12)</f>
        <v>#N/A</v>
      </c>
      <c r="P46" s="598" t="e">
        <f>O46+(E45*NDDaysInYEar/12)</f>
        <v>#N/A</v>
      </c>
      <c r="Q46" s="599" t="e">
        <f>P46+(E45*NDDaysInYEar/12)</f>
        <v>#N/A</v>
      </c>
      <c r="R46" s="599" t="e">
        <f>Q46+(E45*NDDaysInYEar/12)</f>
        <v>#N/A</v>
      </c>
      <c r="S46" s="600" t="e">
        <f>R46+(E45*NDDaysInYEar/12)</f>
        <v>#N/A</v>
      </c>
    </row>
    <row r="47" spans="1:19" s="107" customFormat="1" x14ac:dyDescent="0.2">
      <c r="A47" s="107" t="str">
        <f>VLOOKUP(C36,NDasaSeq,11,FALSE)</f>
        <v>Ar</v>
      </c>
      <c r="B47" s="107">
        <f>VLOOKUP(A47,NDasaC,3,FALSE)</f>
        <v>1</v>
      </c>
      <c r="C47" s="518" t="e">
        <f>IF(MATCH(VLOOKUP(IF((A47="Aq"),VLOOKUP("AqLord",DivCharts,D35,FALSE),IF((A47="Sc"),VLOOKUP("ScLord",DivCharts,D35,FALSE),VLOOKUP(A47,RsInfo,9,FALSE))),DivCharts,D35,FALSE),RsTbl,0)=MATCH(VLOOKUP(IF((A47="Aq"),VLOOKUP("AqLord",DivCharts,D35,FALSE),IF((A47="Sc"),VLOOKUP("ScLord",DivCharts,D35,FALSE),VLOOKUP(A47,RsInfo,9,FALSE))),PlanetData,8,FALSE),RsTbl,0),1,IF(MATCH(VLOOKUP(IF((A47="Aq"),VLOOKUP("AqLord",DivCharts,D35,FALSE),IF((A47="Sc"),VLOOKUP("ScLord",DivCharts,D35,FALSE),VLOOKUP(A47,RsInfo,9,FALSE))),DivCharts,D35,FALSE),RsTbl,0)=MOD(MATCH(VLOOKUP(IF((A47="Aq"),VLOOKUP("AqLord",DivCharts,D35,FALSE),IF((A47="Sc"),VLOOKUP("ScLord",DivCharts,D35,FALSE),VLOOKUP(A47,RsInfo,9,FALSE))),PlanetData,8,FALSE),RsTbl,0)+6,12),-1,0))</f>
        <v>#N/A</v>
      </c>
      <c r="D47" s="518">
        <f>MOD((MATCH(VLOOKUP(IF((A47="Aq"),VLOOKUP("AqLord",DivCharts,D35,FALSE),IF((A47="Sc"),VLOOKUP("ScLord",DivCharts,D35,FALSE),VLOOKUP(A47,RsInfo,9,FALSE))),DivCharts,D35,FALSE),RsTbl,0)*B47)-(B47*MATCH(A47,RsTbl,0))+12,12)</f>
        <v>5</v>
      </c>
      <c r="E47" s="107" t="e">
        <f>ABS(IF(ISNA(MATCH((D47+C47),,0)),(D47+C47),12)+IF(F36,0,-12))</f>
        <v>#N/A</v>
      </c>
      <c r="F47" s="603" t="e">
        <f>G45</f>
        <v>#N/A</v>
      </c>
      <c r="G47" s="603" t="e">
        <f>F47+E47*NDDaysInYEar</f>
        <v>#N/A</v>
      </c>
      <c r="H47" s="595" t="s">
        <v>1956</v>
      </c>
      <c r="I47" s="596" t="str">
        <f>INDEX(SignSym,MOD(B47+MATCH(H47,SignSym,FALSE)-1,12)+1)</f>
        <v>Ta</v>
      </c>
      <c r="J47" s="596" t="str">
        <f>INDEX(SignSym,MOD(B47+MATCH(I47,SignSym,FALSE)-1,12)+1)</f>
        <v>Ge</v>
      </c>
      <c r="K47" s="597" t="str">
        <f>INDEX(SignSym,MOD(B47+MATCH(J47,SignSym,FALSE)-1,12)+1)</f>
        <v>Cn</v>
      </c>
      <c r="L47" s="601" t="str">
        <f>INDEX(SignSym,MOD(B47+MATCH(K47,SignSym,FALSE)-1,12)+1)</f>
        <v>Le</v>
      </c>
      <c r="M47" s="596" t="str">
        <f>INDEX(SignSym,MOD(B47+MATCH(L47,SignSym,FALSE)-1,12)+1)</f>
        <v>Vi</v>
      </c>
      <c r="N47" s="596" t="str">
        <f>INDEX(SignSym,MOD(B47+MATCH(M47,SignSym,FALSE)-1,12)+1)</f>
        <v>Li</v>
      </c>
      <c r="O47" s="597" t="str">
        <f>INDEX(SignSym,MOD(B47+MATCH(N47,SignSym,FALSE)-1,12)+1)</f>
        <v>Sc</v>
      </c>
      <c r="P47" s="601" t="str">
        <f>INDEX(SignSym,MOD(B47+MATCH(O47,SignSym,FALSE)-1,12)+1)</f>
        <v>Sg</v>
      </c>
      <c r="Q47" s="596" t="str">
        <f>INDEX(SignSym,MOD(B47+MATCH(P47,SignSym,FALSE)-1,12)+1)</f>
        <v>Cp</v>
      </c>
      <c r="R47" s="596" t="str">
        <f>INDEX(SignSym,MOD(B47+MATCH(Q47,SignSym,FALSE)-1,12)+1)</f>
        <v>Aq</v>
      </c>
      <c r="S47" s="597" t="str">
        <f>INDEX(SignSym,MOD(B47+MATCH(R47,SignSym,FALSE)-1,12)+1)</f>
        <v>Pi</v>
      </c>
    </row>
    <row r="48" spans="1:19" s="107" customFormat="1" ht="15.75" thickBot="1" x14ac:dyDescent="0.25">
      <c r="C48" s="518"/>
      <c r="D48" s="518"/>
      <c r="F48" s="603"/>
      <c r="G48" s="603"/>
      <c r="H48" s="598" t="e">
        <f>F47</f>
        <v>#N/A</v>
      </c>
      <c r="I48" s="599" t="e">
        <f>H48+(E47*NDDaysInYEar/12)</f>
        <v>#N/A</v>
      </c>
      <c r="J48" s="599" t="e">
        <f>I48+(E47*NDDaysInYEar/12)</f>
        <v>#N/A</v>
      </c>
      <c r="K48" s="600" t="e">
        <f>J48+(E47*NDDaysInYEar/12)</f>
        <v>#N/A</v>
      </c>
      <c r="L48" s="598" t="e">
        <f>K48+(E47*NDDaysInYEar/12)</f>
        <v>#N/A</v>
      </c>
      <c r="M48" s="599" t="e">
        <f>L48+(E47*NDDaysInYEar/12)</f>
        <v>#N/A</v>
      </c>
      <c r="N48" s="599" t="e">
        <f>M48+(E47*NDDaysInYEar/12)</f>
        <v>#N/A</v>
      </c>
      <c r="O48" s="600" t="e">
        <f>N48+(E47*NDDaysInYEar/12)</f>
        <v>#N/A</v>
      </c>
      <c r="P48" s="598" t="e">
        <f>O48+(E47*NDDaysInYEar/12)</f>
        <v>#N/A</v>
      </c>
      <c r="Q48" s="599" t="e">
        <f>P48+(E47*NDDaysInYEar/12)</f>
        <v>#N/A</v>
      </c>
      <c r="R48" s="599" t="e">
        <f>Q48+(E47*NDDaysInYEar/12)</f>
        <v>#N/A</v>
      </c>
      <c r="S48" s="600" t="e">
        <f>R48+(E47*NDDaysInYEar/12)</f>
        <v>#N/A</v>
      </c>
    </row>
    <row r="49" spans="1:19" s="107" customFormat="1" x14ac:dyDescent="0.2">
      <c r="A49" s="107" t="str">
        <f>VLOOKUP(C36,NDasaSeq,12,FALSE)</f>
        <v>Le</v>
      </c>
      <c r="B49" s="107">
        <f>VLOOKUP(A49,NDasaC,3,FALSE)</f>
        <v>-1</v>
      </c>
      <c r="C49" s="518" t="e">
        <f>IF(MATCH(VLOOKUP(IF((A49="Aq"),VLOOKUP("AqLord",DivCharts,D35,FALSE),IF((A49="Sc"),VLOOKUP("ScLord",DivCharts,D35,FALSE),VLOOKUP(A49,RsInfo,9,FALSE))),DivCharts,D35,FALSE),RsTbl,0)=MATCH(VLOOKUP(IF((A49="Aq"),VLOOKUP("AqLord",DivCharts,D35,FALSE),IF((A49="Sc"),VLOOKUP("ScLord",DivCharts,D35,FALSE),VLOOKUP(A49,RsInfo,9,FALSE))),PlanetData,8,FALSE),RsTbl,0),1,IF(MATCH(VLOOKUP(IF((A49="Aq"),VLOOKUP("AqLord",DivCharts,D35,FALSE),IF((A49="Sc"),VLOOKUP("ScLord",DivCharts,D35,FALSE),VLOOKUP(A49,RsInfo,9,FALSE))),DivCharts,D35,FALSE),RsTbl,0)=MOD(MATCH(VLOOKUP(IF((A49="Aq"),VLOOKUP("AqLord",DivCharts,D35,FALSE),IF((A49="Sc"),VLOOKUP("ScLord",DivCharts,D35,FALSE),VLOOKUP(A49,RsInfo,9,FALSE))),PlanetData,8,FALSE),RsTbl,0)+6,12),-1,0))</f>
        <v>#N/A</v>
      </c>
      <c r="D49" s="518">
        <f>MOD((MATCH(VLOOKUP(IF((A49="Aq"),VLOOKUP("AqLord",DivCharts,D35,FALSE),IF((A49="Sc"),VLOOKUP("ScLord",DivCharts,D35,FALSE),VLOOKUP(A49,RsInfo,9,FALSE))),DivCharts,D35,FALSE),RsTbl,0)*B49)-(B49*MATCH(A49,RsTbl,0))+12,12)</f>
        <v>1</v>
      </c>
      <c r="E49" s="107" t="e">
        <f>ABS(IF(ISNA(MATCH((D49+C49),,0)),(D49+C49),12)+IF(F36,0,-12))</f>
        <v>#N/A</v>
      </c>
      <c r="F49" s="603" t="e">
        <f>G47</f>
        <v>#N/A</v>
      </c>
      <c r="G49" s="603" t="e">
        <f>F49+E49*NDDaysInYEar</f>
        <v>#N/A</v>
      </c>
      <c r="H49" s="595" t="s">
        <v>1968</v>
      </c>
      <c r="I49" s="596" t="str">
        <f>INDEX(SignSym,MOD(B49+MATCH(H49,SignSym,FALSE)-1,12)+1)</f>
        <v>Ge</v>
      </c>
      <c r="J49" s="596" t="str">
        <f>INDEX(SignSym,MOD(B49+MATCH(I49,SignSym,FALSE)-1,12)+1)</f>
        <v>Ta</v>
      </c>
      <c r="K49" s="597" t="str">
        <f>INDEX(SignSym,MOD(B49+MATCH(J49,SignSym,FALSE)-1,12)+1)</f>
        <v>Ar</v>
      </c>
      <c r="L49" s="601" t="str">
        <f>INDEX(SignSym,MOD(B49+MATCH(K49,SignSym,FALSE)-1,12)+1)</f>
        <v>Pi</v>
      </c>
      <c r="M49" s="596" t="str">
        <f>INDEX(SignSym,MOD(B49+MATCH(L49,SignSym,FALSE)-1,12)+1)</f>
        <v>Aq</v>
      </c>
      <c r="N49" s="596" t="str">
        <f>INDEX(SignSym,MOD(B49+MATCH(M49,SignSym,FALSE)-1,12)+1)</f>
        <v>Cp</v>
      </c>
      <c r="O49" s="597" t="str">
        <f>INDEX(SignSym,MOD(B49+MATCH(N49,SignSym,FALSE)-1,12)+1)</f>
        <v>Sg</v>
      </c>
      <c r="P49" s="601" t="str">
        <f>INDEX(SignSym,MOD(B49+MATCH(O49,SignSym,FALSE)-1,12)+1)</f>
        <v>Sc</v>
      </c>
      <c r="Q49" s="596" t="str">
        <f>INDEX(SignSym,MOD(B49+MATCH(P49,SignSym,FALSE)-1,12)+1)</f>
        <v>Li</v>
      </c>
      <c r="R49" s="596" t="str">
        <f>INDEX(SignSym,MOD(B49+MATCH(Q49,SignSym,FALSE)-1,12)+1)</f>
        <v>Vi</v>
      </c>
      <c r="S49" s="597" t="str">
        <f>INDEX(SignSym,MOD(B49+MATCH(R49,SignSym,FALSE)-1,12)+1)</f>
        <v>Le</v>
      </c>
    </row>
    <row r="50" spans="1:19" s="107" customFormat="1" ht="15.75" thickBot="1" x14ac:dyDescent="0.25">
      <c r="C50" s="518"/>
      <c r="D50" s="518"/>
      <c r="F50" s="603"/>
      <c r="G50" s="603"/>
      <c r="H50" s="598" t="e">
        <f>F49</f>
        <v>#N/A</v>
      </c>
      <c r="I50" s="599" t="e">
        <f>H50+(E49*NDDaysInYEar/12)</f>
        <v>#N/A</v>
      </c>
      <c r="J50" s="599" t="e">
        <f>I50+(E49*NDDaysInYEar/12)</f>
        <v>#N/A</v>
      </c>
      <c r="K50" s="600" t="e">
        <f>J50+(E49*NDDaysInYEar/12)</f>
        <v>#N/A</v>
      </c>
      <c r="L50" s="598" t="e">
        <f>K50+(E49*NDDaysInYEar/12)</f>
        <v>#N/A</v>
      </c>
      <c r="M50" s="599" t="e">
        <f>L50+(E49*NDDaysInYEar/12)</f>
        <v>#N/A</v>
      </c>
      <c r="N50" s="599" t="e">
        <f>M50+(E49*NDDaysInYEar/12)</f>
        <v>#N/A</v>
      </c>
      <c r="O50" s="600" t="e">
        <f>N50+(E49*NDDaysInYEar/12)</f>
        <v>#N/A</v>
      </c>
      <c r="P50" s="598" t="e">
        <f>O50+(E49*NDDaysInYEar/12)</f>
        <v>#N/A</v>
      </c>
      <c r="Q50" s="599" t="e">
        <f>P50+(E49*NDDaysInYEar/12)</f>
        <v>#N/A</v>
      </c>
      <c r="R50" s="599" t="e">
        <f>Q50+(E49*NDDaysInYEar/12)</f>
        <v>#N/A</v>
      </c>
      <c r="S50" s="600" t="e">
        <f>R50+(E49*NDDaysInYEar/12)</f>
        <v>#N/A</v>
      </c>
    </row>
    <row r="51" spans="1:19" s="107" customFormat="1" x14ac:dyDescent="0.2">
      <c r="A51" s="107" t="str">
        <f>VLOOKUP(C36,NDasaSeq,13,FALSE)</f>
        <v>Vi</v>
      </c>
      <c r="B51" s="107">
        <f>VLOOKUP(A51,NDasaC,3,FALSE)</f>
        <v>-1</v>
      </c>
      <c r="C51" s="518" t="e">
        <f>IF(MATCH(VLOOKUP(IF((A51="Aq"),VLOOKUP("AqLord",DivCharts,D35,FALSE),IF((A51="Sc"),VLOOKUP("ScLord",DivCharts,D35,FALSE),VLOOKUP(A51,RsInfo,9,FALSE))),DivCharts,D35,FALSE),RsTbl,0)=MATCH(VLOOKUP(IF((A51="Aq"),VLOOKUP("AqLord",DivCharts,D35,FALSE),IF((A51="Sc"),VLOOKUP("ScLord",DivCharts,D35,FALSE),VLOOKUP(A51,RsInfo,9,FALSE))),PlanetData,8,FALSE),RsTbl,0),1,IF(MATCH(VLOOKUP(IF((A51="Aq"),VLOOKUP("AqLord",DivCharts,D35,FALSE),IF((A51="Sc"),VLOOKUP("ScLord",DivCharts,D35,FALSE),VLOOKUP(A51,RsInfo,9,FALSE))),DivCharts,D35,FALSE),RsTbl,0)=MOD(MATCH(VLOOKUP(IF((A51="Aq"),VLOOKUP("AqLord",DivCharts,D35,FALSE),IF((A51="Sc"),VLOOKUP("ScLord",DivCharts,D35,FALSE),VLOOKUP(A51,RsInfo,9,FALSE))),PlanetData,8,FALSE),RsTbl,0)+6,12),-1,0))</f>
        <v>#N/A</v>
      </c>
      <c r="D51" s="518">
        <f>MOD((MATCH(VLOOKUP(IF((A51="Aq"),VLOOKUP("AqLord",DivCharts,D35,FALSE),IF((A51="Sc"),VLOOKUP("ScLord",DivCharts,D35,FALSE),VLOOKUP(A51,RsInfo,9,FALSE))),DivCharts,D35,FALSE),RsTbl,0)*B51)-(B51*MATCH(A51,RsTbl,0))+12,12)</f>
        <v>6</v>
      </c>
      <c r="E51" s="107" t="e">
        <f>ABS(IF(ISNA(MATCH((D51+C51),,0)),(D51+C51),12)+IF(F36,0,-12))</f>
        <v>#N/A</v>
      </c>
      <c r="F51" s="603" t="e">
        <f>G49</f>
        <v>#N/A</v>
      </c>
      <c r="G51" s="603" t="e">
        <f>F51+E51*NDDaysInYEar</f>
        <v>#N/A</v>
      </c>
      <c r="H51" s="595" t="s">
        <v>1974</v>
      </c>
      <c r="I51" s="596" t="str">
        <f>INDEX(SignSym,MOD(B51+MATCH(H51,SignSym,FALSE)-1,12)+1)</f>
        <v>Cp</v>
      </c>
      <c r="J51" s="596" t="str">
        <f>INDEX(SignSym,MOD(B51+MATCH(I51,SignSym,FALSE)-1,12)+1)</f>
        <v>Sg</v>
      </c>
      <c r="K51" s="597" t="str">
        <f>INDEX(SignSym,MOD(B51+MATCH(J51,SignSym,FALSE)-1,12)+1)</f>
        <v>Sc</v>
      </c>
      <c r="L51" s="601" t="str">
        <f>INDEX(SignSym,MOD(B51+MATCH(K51,SignSym,FALSE)-1,12)+1)</f>
        <v>Li</v>
      </c>
      <c r="M51" s="596" t="str">
        <f>INDEX(SignSym,MOD(B51+MATCH(L51,SignSym,FALSE)-1,12)+1)</f>
        <v>Vi</v>
      </c>
      <c r="N51" s="596" t="str">
        <f>INDEX(SignSym,MOD(B51+MATCH(M51,SignSym,FALSE)-1,12)+1)</f>
        <v>Le</v>
      </c>
      <c r="O51" s="597" t="str">
        <f>INDEX(SignSym,MOD(B51+MATCH(N51,SignSym,FALSE)-1,12)+1)</f>
        <v>Cn</v>
      </c>
      <c r="P51" s="601" t="str">
        <f>INDEX(SignSym,MOD(B51+MATCH(O51,SignSym,FALSE)-1,12)+1)</f>
        <v>Ge</v>
      </c>
      <c r="Q51" s="596" t="str">
        <f>INDEX(SignSym,MOD(B51+MATCH(P51,SignSym,FALSE)-1,12)+1)</f>
        <v>Ta</v>
      </c>
      <c r="R51" s="596" t="str">
        <f>INDEX(SignSym,MOD(B51+MATCH(Q51,SignSym,FALSE)-1,12)+1)</f>
        <v>Ar</v>
      </c>
      <c r="S51" s="597" t="str">
        <f>INDEX(SignSym,MOD(B51+MATCH(R51,SignSym,FALSE)-1,12)+1)</f>
        <v>Pi</v>
      </c>
    </row>
    <row r="52" spans="1:19" s="107" customFormat="1" ht="15.75" thickBot="1" x14ac:dyDescent="0.25">
      <c r="C52" s="518"/>
      <c r="D52" s="518"/>
      <c r="F52" s="603"/>
      <c r="G52" s="603"/>
      <c r="H52" s="598" t="e">
        <f>F51</f>
        <v>#N/A</v>
      </c>
      <c r="I52" s="599" t="e">
        <f>H52+(E51*NDDaysInYEar/12)</f>
        <v>#N/A</v>
      </c>
      <c r="J52" s="599" t="e">
        <f>I52+(E51*NDDaysInYEar/12)</f>
        <v>#N/A</v>
      </c>
      <c r="K52" s="600" t="e">
        <f>J52+(E51*NDDaysInYEar/12)</f>
        <v>#N/A</v>
      </c>
      <c r="L52" s="598" t="e">
        <f>K52+(E51*NDDaysInYEar/12)</f>
        <v>#N/A</v>
      </c>
      <c r="M52" s="599" t="e">
        <f>L52+(E51*NDDaysInYEar/12)</f>
        <v>#N/A</v>
      </c>
      <c r="N52" s="599" t="e">
        <f>M52+(E51*NDDaysInYEar/12)</f>
        <v>#N/A</v>
      </c>
      <c r="O52" s="600" t="e">
        <f>N52+(E51*NDDaysInYEar/12)</f>
        <v>#N/A</v>
      </c>
      <c r="P52" s="598" t="e">
        <f>O52+(E51*NDDaysInYEar/12)</f>
        <v>#N/A</v>
      </c>
      <c r="Q52" s="599" t="e">
        <f>P52+(E51*NDDaysInYEar/12)</f>
        <v>#N/A</v>
      </c>
      <c r="R52" s="599" t="e">
        <f>Q52+(E51*NDDaysInYEar/12)</f>
        <v>#N/A</v>
      </c>
      <c r="S52" s="600" t="e">
        <f>R52+(E51*NDDaysInYEar/12)</f>
        <v>#N/A</v>
      </c>
    </row>
    <row r="53" spans="1:19" s="107" customFormat="1" x14ac:dyDescent="0.2">
      <c r="A53" s="107" t="str">
        <f>VLOOKUP(C36,NDasaSeq,14,FALSE)</f>
        <v>Cp</v>
      </c>
      <c r="B53" s="107">
        <f>VLOOKUP(A53,NDasaC,3,FALSE)</f>
        <v>-1</v>
      </c>
      <c r="C53" s="518" t="e">
        <f>IF(MATCH(VLOOKUP(IF((A53="Aq"),VLOOKUP("AqLord",DivCharts,D35,FALSE),IF((A53="Sc"),VLOOKUP("ScLord",DivCharts,D35,FALSE),VLOOKUP(A53,RsInfo,9,FALSE))),DivCharts,D35,FALSE),RsTbl,0)=MATCH(VLOOKUP(IF((A53="Aq"),VLOOKUP("AqLord",DivCharts,D35,FALSE),IF((A53="Sc"),VLOOKUP("ScLord",DivCharts,D35,FALSE),VLOOKUP(A53,RsInfo,9,FALSE))),PlanetData,8,FALSE),RsTbl,0),1,IF(MATCH(VLOOKUP(IF((A53="Aq"),VLOOKUP("AqLord",DivCharts,D35,FALSE),IF((A53="Sc"),VLOOKUP("ScLord",DivCharts,D35,FALSE),VLOOKUP(A53,RsInfo,9,FALSE))),DivCharts,D35,FALSE),RsTbl,0)=MOD(MATCH(VLOOKUP(IF((A53="Aq"),VLOOKUP("AqLord",DivCharts,D35,FALSE),IF((A53="Sc"),VLOOKUP("ScLord",DivCharts,D35,FALSE),VLOOKUP(A53,RsInfo,9,FALSE))),PlanetData,8,FALSE),RsTbl,0)+6,12),-1,0))</f>
        <v>#N/A</v>
      </c>
      <c r="D53" s="518">
        <f>MOD((MATCH(VLOOKUP(IF((A53="Aq"),VLOOKUP("AqLord",DivCharts,D35,FALSE),IF((A53="Sc"),VLOOKUP("ScLord",DivCharts,D35,FALSE),VLOOKUP(A53,RsInfo,9,FALSE))),DivCharts,D35,FALSE),RsTbl,0)*B53)-(B53*MATCH(A53,RsTbl,0))+12,12)</f>
        <v>10</v>
      </c>
      <c r="E53" s="107" t="e">
        <f>ABS(IF(ISNA(MATCH((D53+C53),,0)),(D53+C53),12)+IF(F36,0,-12))</f>
        <v>#N/A</v>
      </c>
      <c r="F53" s="603" t="e">
        <f>G51</f>
        <v>#N/A</v>
      </c>
      <c r="G53" s="603" t="e">
        <f>F53+E53*NDDaysInYEar</f>
        <v>#N/A</v>
      </c>
      <c r="H53" s="595" t="s">
        <v>1953</v>
      </c>
      <c r="I53" s="596" t="str">
        <f>INDEX(SignSym,MOD(B53+MATCH(H53,SignSym,FALSE)-1,12)+1)</f>
        <v>Ar</v>
      </c>
      <c r="J53" s="596" t="str">
        <f>INDEX(SignSym,MOD(B53+MATCH(I53,SignSym,FALSE)-1,12)+1)</f>
        <v>Pi</v>
      </c>
      <c r="K53" s="597" t="str">
        <f>INDEX(SignSym,MOD(B53+MATCH(J53,SignSym,FALSE)-1,12)+1)</f>
        <v>Aq</v>
      </c>
      <c r="L53" s="601" t="str">
        <f>INDEX(SignSym,MOD(B53+MATCH(K53,SignSym,FALSE)-1,12)+1)</f>
        <v>Cp</v>
      </c>
      <c r="M53" s="596" t="str">
        <f>INDEX(SignSym,MOD(B53+MATCH(L53,SignSym,FALSE)-1,12)+1)</f>
        <v>Sg</v>
      </c>
      <c r="N53" s="596" t="str">
        <f>INDEX(SignSym,MOD(B53+MATCH(M53,SignSym,FALSE)-1,12)+1)</f>
        <v>Sc</v>
      </c>
      <c r="O53" s="597" t="str">
        <f>INDEX(SignSym,MOD(B53+MATCH(N53,SignSym,FALSE)-1,12)+1)</f>
        <v>Li</v>
      </c>
      <c r="P53" s="601" t="str">
        <f>INDEX(SignSym,MOD(B53+MATCH(O53,SignSym,FALSE)-1,12)+1)</f>
        <v>Vi</v>
      </c>
      <c r="Q53" s="596" t="str">
        <f>INDEX(SignSym,MOD(B53+MATCH(P53,SignSym,FALSE)-1,12)+1)</f>
        <v>Le</v>
      </c>
      <c r="R53" s="596" t="str">
        <f>INDEX(SignSym,MOD(B53+MATCH(Q53,SignSym,FALSE)-1,12)+1)</f>
        <v>Cn</v>
      </c>
      <c r="S53" s="597" t="str">
        <f>INDEX(SignSym,MOD(B53+MATCH(R53,SignSym,FALSE)-1,12)+1)</f>
        <v>Ge</v>
      </c>
    </row>
    <row r="54" spans="1:19" s="107" customFormat="1" ht="15.75" thickBot="1" x14ac:dyDescent="0.25">
      <c r="C54" s="518"/>
      <c r="D54" s="518"/>
      <c r="F54" s="603"/>
      <c r="G54" s="603"/>
      <c r="H54" s="598" t="e">
        <f>F53</f>
        <v>#N/A</v>
      </c>
      <c r="I54" s="599" t="e">
        <f>H54+(E53*NDDaysInYEar/12)</f>
        <v>#N/A</v>
      </c>
      <c r="J54" s="599" t="e">
        <f>I54+(E53*NDDaysInYEar/12)</f>
        <v>#N/A</v>
      </c>
      <c r="K54" s="600" t="e">
        <f>J54+(E53*NDDaysInYEar/12)</f>
        <v>#N/A</v>
      </c>
      <c r="L54" s="598" t="e">
        <f>K54+(E53*NDDaysInYEar/12)</f>
        <v>#N/A</v>
      </c>
      <c r="M54" s="599" t="e">
        <f>L54+(E53*NDDaysInYEar/12)</f>
        <v>#N/A</v>
      </c>
      <c r="N54" s="599" t="e">
        <f>M54+(E53*NDDaysInYEar/12)</f>
        <v>#N/A</v>
      </c>
      <c r="O54" s="600" t="e">
        <f>N54+(E53*NDDaysInYEar/12)</f>
        <v>#N/A</v>
      </c>
      <c r="P54" s="598" t="e">
        <f>O54+(E53*NDDaysInYEar/12)</f>
        <v>#N/A</v>
      </c>
      <c r="Q54" s="599" t="e">
        <f>P54+(E53*NDDaysInYEar/12)</f>
        <v>#N/A</v>
      </c>
      <c r="R54" s="599" t="e">
        <f>Q54+(E53*NDDaysInYEar/12)</f>
        <v>#N/A</v>
      </c>
      <c r="S54" s="600" t="e">
        <f>R54+(E53*NDDaysInYEar/12)</f>
        <v>#N/A</v>
      </c>
    </row>
    <row r="55" spans="1:19" s="107" customFormat="1" x14ac:dyDescent="0.2">
      <c r="A55" s="107" t="str">
        <f>VLOOKUP(C36,NDasaSeq,15,FALSE)</f>
        <v>Ta</v>
      </c>
      <c r="B55" s="107">
        <f>VLOOKUP(A55,NDasaC,3,FALSE)</f>
        <v>1</v>
      </c>
      <c r="C55" s="518" t="e">
        <f>IF(MATCH(VLOOKUP(IF((A55="Aq"),VLOOKUP("AqLord",DivCharts,D35,FALSE),IF((A55="Sc"),VLOOKUP("ScLord",DivCharts,D35,FALSE),VLOOKUP(A55,RsInfo,9,FALSE))),DivCharts,D35,FALSE),RsTbl,0)=MATCH(VLOOKUP(IF((A55="Aq"),VLOOKUP("AqLord",DivCharts,D35,FALSE),IF((A55="Sc"),VLOOKUP("ScLord",DivCharts,D35,FALSE),VLOOKUP(A55,RsInfo,9,FALSE))),PlanetData,8,FALSE),RsTbl,0),1,IF(MATCH(VLOOKUP(IF((A55="Aq"),VLOOKUP("AqLord",DivCharts,D35,FALSE),IF((A55="Sc"),VLOOKUP("ScLord",DivCharts,D35,FALSE),VLOOKUP(A55,RsInfo,9,FALSE))),DivCharts,D35,FALSE),RsTbl,0)=MOD(MATCH(VLOOKUP(IF((A55="Aq"),VLOOKUP("AqLord",DivCharts,D35,FALSE),IF((A55="Sc"),VLOOKUP("ScLord",DivCharts,D35,FALSE),VLOOKUP(A55,RsInfo,9,FALSE))),PlanetData,8,FALSE),RsTbl,0)+6,12),-1,0))</f>
        <v>#N/A</v>
      </c>
      <c r="D55" s="518">
        <f>MOD((MATCH(VLOOKUP(IF((A55="Aq"),VLOOKUP("AqLord",DivCharts,D35,FALSE),IF((A55="Sc"),VLOOKUP("ScLord",DivCharts,D35,FALSE),VLOOKUP(A55,RsInfo,9,FALSE))),DivCharts,D35,FALSE),RsTbl,0)*B55)-(B55*MATCH(A55,RsTbl,0))+12,12)</f>
        <v>11</v>
      </c>
      <c r="E55" s="107" t="e">
        <f>ABS(IF(ISNA(MATCH((D55+C55),,0)),(D55+C55),12)+IF(F36,0,-12))</f>
        <v>#N/A</v>
      </c>
      <c r="F55" s="603" t="e">
        <f>G53</f>
        <v>#N/A</v>
      </c>
      <c r="G55" s="603" t="e">
        <f>F55+E55*NDDaysInYEar</f>
        <v>#N/A</v>
      </c>
      <c r="H55" s="595" t="str">
        <f>A55</f>
        <v>Ta</v>
      </c>
      <c r="I55" s="596" t="str">
        <f>INDEX(SignSym,MOD(B55+MATCH(H55,SignSym,FALSE)-1,12)+1)</f>
        <v>Ge</v>
      </c>
      <c r="J55" s="596" t="str">
        <f>INDEX(SignSym,MOD(B55+MATCH(I55,SignSym,FALSE)-1,12)+1)</f>
        <v>Cn</v>
      </c>
      <c r="K55" s="597" t="str">
        <f>INDEX(SignSym,MOD(B55+MATCH(J55,SignSym,FALSE)-1,12)+1)</f>
        <v>Le</v>
      </c>
      <c r="L55" s="601" t="str">
        <f>INDEX(SignSym,MOD(B55+MATCH(K55,SignSym,FALSE)-1,12)+1)</f>
        <v>Vi</v>
      </c>
      <c r="M55" s="596" t="str">
        <f>INDEX(SignSym,MOD(B55+MATCH(L55,SignSym,FALSE)-1,12)+1)</f>
        <v>Li</v>
      </c>
      <c r="N55" s="596" t="str">
        <f>INDEX(SignSym,MOD(B55+MATCH(M55,SignSym,FALSE)-1,12)+1)</f>
        <v>Sc</v>
      </c>
      <c r="O55" s="597" t="str">
        <f>INDEX(SignSym,MOD(B55+MATCH(N55,SignSym,FALSE)-1,12)+1)</f>
        <v>Sg</v>
      </c>
      <c r="P55" s="601" t="str">
        <f>INDEX(SignSym,MOD(B55+MATCH(O55,SignSym,FALSE)-1,12)+1)</f>
        <v>Cp</v>
      </c>
      <c r="Q55" s="596" t="str">
        <f>INDEX(SignSym,MOD(B55+MATCH(P55,SignSym,FALSE)-1,12)+1)</f>
        <v>Aq</v>
      </c>
      <c r="R55" s="596" t="str">
        <f>INDEX(SignSym,MOD(B55+MATCH(Q55,SignSym,FALSE)-1,12)+1)</f>
        <v>Pi</v>
      </c>
      <c r="S55" s="597" t="str">
        <f>INDEX(SignSym,MOD(B55+MATCH(R55,SignSym,FALSE)-1,12)+1)</f>
        <v>Ar</v>
      </c>
    </row>
    <row r="56" spans="1:19" s="107" customFormat="1" ht="15.75" thickBot="1" x14ac:dyDescent="0.25">
      <c r="C56" s="518"/>
      <c r="D56" s="518"/>
      <c r="F56" s="603"/>
      <c r="G56" s="603"/>
      <c r="H56" s="598" t="e">
        <f>F55</f>
        <v>#N/A</v>
      </c>
      <c r="I56" s="599" t="e">
        <f>H56+(E55*NDDaysInYEar/12)</f>
        <v>#N/A</v>
      </c>
      <c r="J56" s="599" t="e">
        <f>I56+(E55*NDDaysInYEar/12)</f>
        <v>#N/A</v>
      </c>
      <c r="K56" s="600" t="e">
        <f>J56+(E55*NDDaysInYEar/12)</f>
        <v>#N/A</v>
      </c>
      <c r="L56" s="598" t="e">
        <f>K56+(E55*NDDaysInYEar/12)</f>
        <v>#N/A</v>
      </c>
      <c r="M56" s="599" t="e">
        <f>L56+(E55*NDDaysInYEar/12)</f>
        <v>#N/A</v>
      </c>
      <c r="N56" s="599" t="e">
        <f>M56+(E55*NDDaysInYEar/12)</f>
        <v>#N/A</v>
      </c>
      <c r="O56" s="600" t="e">
        <f>N56+(E55*NDDaysInYEar/12)</f>
        <v>#N/A</v>
      </c>
      <c r="P56" s="598" t="e">
        <f>O56+(E55*NDDaysInYEar/12)</f>
        <v>#N/A</v>
      </c>
      <c r="Q56" s="599" t="e">
        <f>P56+(E55*NDDaysInYEar/12)</f>
        <v>#N/A</v>
      </c>
      <c r="R56" s="599" t="e">
        <f>Q56+(E55*NDDaysInYEar/12)</f>
        <v>#N/A</v>
      </c>
      <c r="S56" s="600" t="e">
        <f>R56+(E55*NDDaysInYEar/12)</f>
        <v>#N/A</v>
      </c>
    </row>
    <row r="57" spans="1:19" s="107" customFormat="1" x14ac:dyDescent="0.2">
      <c r="A57" s="107" t="str">
        <f>VLOOKUP(C36,NDasaSeq,16,FALSE)</f>
        <v>Ge</v>
      </c>
      <c r="B57" s="107">
        <f>VLOOKUP(A57,NDasaC,3,FALSE)</f>
        <v>1</v>
      </c>
      <c r="C57" s="518" t="e">
        <f>IF(MATCH(VLOOKUP(IF((A57="Aq"),VLOOKUP("AqLord",DivCharts,D35,FALSE),IF((A57="Sc"),VLOOKUP("ScLord",DivCharts,D35,FALSE),VLOOKUP(A57,RsInfo,9,FALSE))),DivCharts,D35,FALSE),RsTbl,0)=MATCH(VLOOKUP(IF((A57="Aq"),VLOOKUP("AqLord",DivCharts,D35,FALSE),IF((A57="Sc"),VLOOKUP("ScLord",DivCharts,D35,FALSE),VLOOKUP(A57,RsInfo,9,FALSE))),PlanetData,8,FALSE),RsTbl,0),1,IF(MATCH(VLOOKUP(IF((A57="Aq"),VLOOKUP("AqLord",DivCharts,D35,FALSE),IF((A57="Sc"),VLOOKUP("ScLord",DivCharts,D35,FALSE),VLOOKUP(A57,RsInfo,9,FALSE))),DivCharts,D35,FALSE),RsTbl,0)=MOD(MATCH(VLOOKUP(IF((A57="Aq"),VLOOKUP("AqLord",DivCharts,D35,FALSE),IF((A57="Sc"),VLOOKUP("ScLord",DivCharts,D35,FALSE),VLOOKUP(A57,RsInfo,9,FALSE))),PlanetData,8,FALSE),RsTbl,0)+6,12),-1,0))</f>
        <v>#N/A</v>
      </c>
      <c r="D57" s="518">
        <f>MOD((MATCH(VLOOKUP(IF((A57="Aq"),VLOOKUP("AqLord",DivCharts,D35,FALSE),IF((A57="Sc"),VLOOKUP("ScLord",DivCharts,D35,FALSE),VLOOKUP(A57,RsInfo,9,FALSE))),DivCharts,D35,FALSE),RsTbl,0)*B57)-(B57*MATCH(A57,RsTbl,0))+12,12)</f>
        <v>9</v>
      </c>
      <c r="E57" s="107" t="e">
        <f>ABS(IF(ISNA(MATCH((D57+C57),,0)),(D57+C57),12)+IF(F36,0,-12))</f>
        <v>#N/A</v>
      </c>
      <c r="F57" s="603" t="e">
        <f>G55</f>
        <v>#N/A</v>
      </c>
      <c r="G57" s="603" t="e">
        <f>F57+E57*NDDaysInYEar</f>
        <v>#N/A</v>
      </c>
      <c r="H57" s="595" t="str">
        <f>A57</f>
        <v>Ge</v>
      </c>
      <c r="I57" s="596" t="str">
        <f>INDEX(SignSym,MOD(B57+MATCH(H57,SignSym,FALSE)-1,12)+1)</f>
        <v>Cn</v>
      </c>
      <c r="J57" s="596" t="str">
        <f>INDEX(SignSym,MOD(B57+MATCH(I57,SignSym,FALSE)-1,12)+1)</f>
        <v>Le</v>
      </c>
      <c r="K57" s="597" t="str">
        <f>INDEX(SignSym,MOD(B57+MATCH(J57,SignSym,FALSE)-1,12)+1)</f>
        <v>Vi</v>
      </c>
      <c r="L57" s="601" t="str">
        <f>INDEX(SignSym,MOD(B57+MATCH(K57,SignSym,FALSE)-1,12)+1)</f>
        <v>Li</v>
      </c>
      <c r="M57" s="596" t="str">
        <f>INDEX(SignSym,MOD(B57+MATCH(L57,SignSym,FALSE)-1,12)+1)</f>
        <v>Sc</v>
      </c>
      <c r="N57" s="596" t="str">
        <f>INDEX(SignSym,MOD(B57+MATCH(M57,SignSym,FALSE)-1,12)+1)</f>
        <v>Sg</v>
      </c>
      <c r="O57" s="597" t="str">
        <f>INDEX(SignSym,MOD(B57+MATCH(N57,SignSym,FALSE)-1,12)+1)</f>
        <v>Cp</v>
      </c>
      <c r="P57" s="601" t="str">
        <f>INDEX(SignSym,MOD(B57+MATCH(O57,SignSym,FALSE)-1,12)+1)</f>
        <v>Aq</v>
      </c>
      <c r="Q57" s="596" t="str">
        <f>INDEX(SignSym,MOD(B57+MATCH(P57,SignSym,FALSE)-1,12)+1)</f>
        <v>Pi</v>
      </c>
      <c r="R57" s="596" t="str">
        <f>INDEX(SignSym,MOD(B57+MATCH(Q57,SignSym,FALSE)-1,12)+1)</f>
        <v>Ar</v>
      </c>
      <c r="S57" s="597" t="str">
        <f>INDEX(SignSym,MOD(B57+MATCH(R57,SignSym,FALSE)-1,12)+1)</f>
        <v>Ta</v>
      </c>
    </row>
    <row r="58" spans="1:19" s="107" customFormat="1" ht="15.75" thickBot="1" x14ac:dyDescent="0.25">
      <c r="C58" s="518"/>
      <c r="D58" s="518"/>
      <c r="F58" s="603"/>
      <c r="G58" s="603"/>
      <c r="H58" s="598" t="e">
        <f>F57</f>
        <v>#N/A</v>
      </c>
      <c r="I58" s="599" t="e">
        <f>H58+(E57*NDDaysInYEar/12)</f>
        <v>#N/A</v>
      </c>
      <c r="J58" s="599" t="e">
        <f>I58+(E57*NDDaysInYEar/12)</f>
        <v>#N/A</v>
      </c>
      <c r="K58" s="600" t="e">
        <f>J58+(E57*NDDaysInYEar/12)</f>
        <v>#N/A</v>
      </c>
      <c r="L58" s="598" t="e">
        <f>K58+(E57*NDDaysInYEar/12)</f>
        <v>#N/A</v>
      </c>
      <c r="M58" s="599" t="e">
        <f>L58+(E57*NDDaysInYEar/12)</f>
        <v>#N/A</v>
      </c>
      <c r="N58" s="599" t="e">
        <f>M58+(E57*NDDaysInYEar/12)</f>
        <v>#N/A</v>
      </c>
      <c r="O58" s="600" t="e">
        <f>N58+(E57*NDDaysInYEar/12)</f>
        <v>#N/A</v>
      </c>
      <c r="P58" s="598" t="e">
        <f>O58+(E57*NDDaysInYEar/12)</f>
        <v>#N/A</v>
      </c>
      <c r="Q58" s="599" t="e">
        <f>P58+(E57*NDDaysInYEar/12)</f>
        <v>#N/A</v>
      </c>
      <c r="R58" s="599" t="e">
        <f>Q58+(E57*NDDaysInYEar/12)</f>
        <v>#N/A</v>
      </c>
      <c r="S58" s="600" t="e">
        <f>R58+(E57*NDDaysInYEar/12)</f>
        <v>#N/A</v>
      </c>
    </row>
    <row r="59" spans="1:19" s="107" customFormat="1" x14ac:dyDescent="0.2">
      <c r="A59" s="107" t="str">
        <f>VLOOKUP(C36,NDasaSeq,17,FALSE)</f>
        <v>Li</v>
      </c>
      <c r="B59" s="107">
        <f>VLOOKUP(A59,NDasaC,3,FALSE)</f>
        <v>1</v>
      </c>
      <c r="C59" s="518" t="e">
        <f>IF(MATCH(VLOOKUP(IF((A59="Aq"),VLOOKUP("AqLord",DivCharts,D35,FALSE),IF((A59="Sc"),VLOOKUP("ScLord",DivCharts,D35,FALSE),VLOOKUP(A59,RsInfo,9,FALSE))),DivCharts,D35,FALSE),RsTbl,0)=MATCH(VLOOKUP(IF((A59="Aq"),VLOOKUP("AqLord",DivCharts,D35,FALSE),IF((A59="Sc"),VLOOKUP("ScLord",DivCharts,D35,FALSE),VLOOKUP(A59,RsInfo,9,FALSE))),PlanetData,8,FALSE),RsTbl,0),1,IF(MATCH(VLOOKUP(IF((A59="Aq"),VLOOKUP("AqLord",DivCharts,D35,FALSE),IF((A59="Sc"),VLOOKUP("ScLord",DivCharts,D35,FALSE),VLOOKUP(A59,RsInfo,9,FALSE))),DivCharts,D35,FALSE),RsTbl,0)=MOD(MATCH(VLOOKUP(IF((A59="Aq"),VLOOKUP("AqLord",DivCharts,D35,FALSE),IF((A59="Sc"),VLOOKUP("ScLord",DivCharts,D35,FALSE),VLOOKUP(A59,RsInfo,9,FALSE))),PlanetData,8,FALSE),RsTbl,0)+6,12),-1,0))</f>
        <v>#N/A</v>
      </c>
      <c r="D59" s="518">
        <f>MOD((MATCH(VLOOKUP(IF((A59="Aq"),VLOOKUP("AqLord",DivCharts,D35,FALSE),IF((A59="Sc"),VLOOKUP("ScLord",DivCharts,D35,FALSE),VLOOKUP(A59,RsInfo,9,FALSE))),DivCharts,D35,FALSE),RsTbl,0)*B59)-(B59*MATCH(A59,RsTbl,0))+12,12)</f>
        <v>6</v>
      </c>
      <c r="E59" s="107" t="e">
        <f>ABS(IF(ISNA(MATCH((D59+C59),,0)),(D59+C59),12)+IF(F36,0,-12))</f>
        <v>#N/A</v>
      </c>
      <c r="F59" s="603" t="e">
        <f>G57</f>
        <v>#N/A</v>
      </c>
      <c r="G59" s="603" t="e">
        <f>F59+E59*NDDaysInYEar</f>
        <v>#N/A</v>
      </c>
      <c r="H59" s="595" t="str">
        <f>A59</f>
        <v>Li</v>
      </c>
      <c r="I59" s="596" t="str">
        <f>INDEX(SignSym,MOD(B59+MATCH(H59,SignSym,FALSE)-1,12)+1)</f>
        <v>Sc</v>
      </c>
      <c r="J59" s="596" t="str">
        <f>INDEX(SignSym,MOD(B59+MATCH(I59,SignSym,FALSE)-1,12)+1)</f>
        <v>Sg</v>
      </c>
      <c r="K59" s="597" t="str">
        <f>INDEX(SignSym,MOD(B59+MATCH(J59,SignSym,FALSE)-1,12)+1)</f>
        <v>Cp</v>
      </c>
      <c r="L59" s="601" t="str">
        <f>INDEX(SignSym,MOD(B59+MATCH(K59,SignSym,FALSE)-1,12)+1)</f>
        <v>Aq</v>
      </c>
      <c r="M59" s="596" t="str">
        <f>INDEX(SignSym,MOD(B59+MATCH(L59,SignSym,FALSE)-1,12)+1)</f>
        <v>Pi</v>
      </c>
      <c r="N59" s="596" t="str">
        <f>INDEX(SignSym,MOD(B59+MATCH(M59,SignSym,FALSE)-1,12)+1)</f>
        <v>Ar</v>
      </c>
      <c r="O59" s="597" t="str">
        <f>INDEX(SignSym,MOD(B59+MATCH(N59,SignSym,FALSE)-1,12)+1)</f>
        <v>Ta</v>
      </c>
      <c r="P59" s="601" t="str">
        <f>INDEX(SignSym,MOD(B59+MATCH(O59,SignSym,FALSE)-1,12)+1)</f>
        <v>Ge</v>
      </c>
      <c r="Q59" s="596" t="str">
        <f>INDEX(SignSym,MOD(B59+MATCH(P59,SignSym,FALSE)-1,12)+1)</f>
        <v>Cn</v>
      </c>
      <c r="R59" s="596" t="str">
        <f>INDEX(SignSym,MOD(B59+MATCH(Q59,SignSym,FALSE)-1,12)+1)</f>
        <v>Le</v>
      </c>
      <c r="S59" s="597" t="str">
        <f>INDEX(SignSym,MOD(B59+MATCH(R59,SignSym,FALSE)-1,12)+1)</f>
        <v>Vi</v>
      </c>
    </row>
    <row r="60" spans="1:19" s="107" customFormat="1" ht="15.75" thickBot="1" x14ac:dyDescent="0.25">
      <c r="C60" s="518"/>
      <c r="D60" s="518"/>
      <c r="F60" s="603"/>
      <c r="G60" s="603"/>
      <c r="H60" s="598" t="e">
        <f>F59</f>
        <v>#N/A</v>
      </c>
      <c r="I60" s="599" t="e">
        <f>H60+(E59*NDDaysInYEar/12)</f>
        <v>#N/A</v>
      </c>
      <c r="J60" s="599" t="e">
        <f>I60+(E59*NDDaysInYEar/12)</f>
        <v>#N/A</v>
      </c>
      <c r="K60" s="600" t="e">
        <f>J60+(E59*NDDaysInYEar/12)</f>
        <v>#N/A</v>
      </c>
      <c r="L60" s="598" t="e">
        <f>K60+(E59*NDDaysInYEar/12)</f>
        <v>#N/A</v>
      </c>
      <c r="M60" s="599" t="e">
        <f>L60+(E59*NDDaysInYEar/12)</f>
        <v>#N/A</v>
      </c>
      <c r="N60" s="599" t="e">
        <f>M60+(E59*NDDaysInYEar/12)</f>
        <v>#N/A</v>
      </c>
      <c r="O60" s="600" t="e">
        <f>N60+(E59*NDDaysInYEar/12)</f>
        <v>#N/A</v>
      </c>
      <c r="P60" s="598" t="e">
        <f>O60+(E59*NDDaysInYEar/12)</f>
        <v>#N/A</v>
      </c>
      <c r="Q60" s="599" t="e">
        <f>P60+(E59*NDDaysInYEar/12)</f>
        <v>#N/A</v>
      </c>
      <c r="R60" s="599" t="e">
        <f>Q60+(E59*NDDaysInYEar/12)</f>
        <v>#N/A</v>
      </c>
      <c r="S60" s="600" t="e">
        <f>R60+(E59*NDDaysInYEar/12)</f>
        <v>#N/A</v>
      </c>
    </row>
    <row r="61" spans="1:19" s="107" customFormat="1" x14ac:dyDescent="0.2">
      <c r="A61" s="107" t="str">
        <f>VLOOKUP(C36,NDasaSeq,18,FALSE)</f>
        <v>Aq</v>
      </c>
      <c r="B61" s="107">
        <f>VLOOKUP(A61,NDasaC,3,FALSE)</f>
        <v>-1</v>
      </c>
      <c r="C61" s="518" t="e">
        <f>IF(MATCH(VLOOKUP(IF((A61="Aq"),VLOOKUP("AqLord",DivCharts,D35,FALSE),IF((A61="Sc"),VLOOKUP("ScLord",DivCharts,D35,FALSE),VLOOKUP(A61,RsInfo,9,FALSE))),DivCharts,D35,FALSE),RsTbl,0)=MATCH(VLOOKUP(IF((A61="Aq"),VLOOKUP("AqLord",DivCharts,D35,FALSE),IF((A61="Sc"),VLOOKUP("ScLord",DivCharts,D35,FALSE),VLOOKUP(A61,RsInfo,9,FALSE))),PlanetData,8,FALSE),RsTbl,0),1,IF(MATCH(VLOOKUP(IF((A61="Aq"),VLOOKUP("AqLord",DivCharts,D35,FALSE),IF((A61="Sc"),VLOOKUP("ScLord",DivCharts,D35,FALSE),VLOOKUP(A61,RsInfo,9,FALSE))),DivCharts,D35,FALSE),RsTbl,0)=MOD(MATCH(VLOOKUP(IF((A61="Aq"),VLOOKUP("AqLord",DivCharts,D35,FALSE),IF((A61="Sc"),VLOOKUP("ScLord",DivCharts,D35,FALSE),VLOOKUP(A61,RsInfo,9,FALSE))),PlanetData,8,FALSE),RsTbl,0)+6,12),-1,0))</f>
        <v>#N/A</v>
      </c>
      <c r="D61" s="518">
        <f>MOD((MATCH(VLOOKUP(IF((A61="Aq"),VLOOKUP("AqLord",DivCharts,D35,FALSE),IF((A61="Sc"),VLOOKUP("ScLord",DivCharts,D35,FALSE),VLOOKUP(A61,RsInfo,9,FALSE))),DivCharts,D35,FALSE),RsTbl,0)*B61)-(B61*MATCH(A61,RsTbl,0))+12,12)</f>
        <v>7</v>
      </c>
      <c r="E61" s="107" t="e">
        <f>ABS(IF(ISNA(MATCH((D61+C61),,0)),(D61+C61),12)+IF(F36,0,-12))</f>
        <v>#N/A</v>
      </c>
      <c r="F61" s="603" t="e">
        <f>G59</f>
        <v>#N/A</v>
      </c>
      <c r="G61" s="603" t="e">
        <f>F61+E61*NDDaysInYEar</f>
        <v>#N/A</v>
      </c>
      <c r="H61" s="595" t="str">
        <f>A61</f>
        <v>Aq</v>
      </c>
      <c r="I61" s="596" t="str">
        <f>INDEX(SignSym,MOD(B61+MATCH(H61,SignSym,FALSE)-1,12)+1)</f>
        <v>Cp</v>
      </c>
      <c r="J61" s="596" t="str">
        <f>INDEX(SignSym,MOD(B61+MATCH(I61,SignSym,FALSE)-1,12)+1)</f>
        <v>Sg</v>
      </c>
      <c r="K61" s="597" t="str">
        <f>INDEX(SignSym,MOD(B61+MATCH(J61,SignSym,FALSE)-1,12)+1)</f>
        <v>Sc</v>
      </c>
      <c r="L61" s="601" t="str">
        <f>INDEX(SignSym,MOD(B61+MATCH(K61,SignSym,FALSE)-1,12)+1)</f>
        <v>Li</v>
      </c>
      <c r="M61" s="596" t="str">
        <f>INDEX(SignSym,MOD(B61+MATCH(L61,SignSym,FALSE)-1,12)+1)</f>
        <v>Vi</v>
      </c>
      <c r="N61" s="596" t="str">
        <f>INDEX(SignSym,MOD(B61+MATCH(M61,SignSym,FALSE)-1,12)+1)</f>
        <v>Le</v>
      </c>
      <c r="O61" s="597" t="str">
        <f>INDEX(SignSym,MOD(B61+MATCH(N61,SignSym,FALSE)-1,12)+1)</f>
        <v>Cn</v>
      </c>
      <c r="P61" s="601" t="str">
        <f>INDEX(SignSym,MOD(B61+MATCH(O61,SignSym,FALSE)-1,12)+1)</f>
        <v>Ge</v>
      </c>
      <c r="Q61" s="596" t="str">
        <f>INDEX(SignSym,MOD(B61+MATCH(P61,SignSym,FALSE)-1,12)+1)</f>
        <v>Ta</v>
      </c>
      <c r="R61" s="596" t="str">
        <f>INDEX(SignSym,MOD(B61+MATCH(Q61,SignSym,FALSE)-1,12)+1)</f>
        <v>Ar</v>
      </c>
      <c r="S61" s="597" t="str">
        <f>INDEX(SignSym,MOD(B61+MATCH(R61,SignSym,FALSE)-1,12)+1)</f>
        <v>Pi</v>
      </c>
    </row>
    <row r="62" spans="1:19" s="107" customFormat="1" ht="15.75" thickBot="1" x14ac:dyDescent="0.25">
      <c r="D62" s="518"/>
      <c r="F62" s="603"/>
      <c r="G62" s="603"/>
      <c r="H62" s="598" t="e">
        <f>F61</f>
        <v>#N/A</v>
      </c>
      <c r="I62" s="599" t="e">
        <f>H62+(E61*NDDaysInYEar/12)</f>
        <v>#N/A</v>
      </c>
      <c r="J62" s="599" t="e">
        <f>I62+(E61*NDDaysInYEar/12)</f>
        <v>#N/A</v>
      </c>
      <c r="K62" s="600" t="e">
        <f>J62+(E61*NDDaysInYEar/12)</f>
        <v>#N/A</v>
      </c>
      <c r="L62" s="598" t="e">
        <f>K62+(E61*NDDaysInYEar/12)</f>
        <v>#N/A</v>
      </c>
      <c r="M62" s="599" t="e">
        <f>L62+(E61*NDDaysInYEar/12)</f>
        <v>#N/A</v>
      </c>
      <c r="N62" s="599" t="e">
        <f>M62+(E61*NDDaysInYEar/12)</f>
        <v>#N/A</v>
      </c>
      <c r="O62" s="600" t="e">
        <f>N62+(E61*NDDaysInYEar/12)</f>
        <v>#N/A</v>
      </c>
      <c r="P62" s="598" t="e">
        <f>O62+(E61*NDDaysInYEar/12)</f>
        <v>#N/A</v>
      </c>
      <c r="Q62" s="599" t="e">
        <f>P62+(E61*NDDaysInYEar/12)</f>
        <v>#N/A</v>
      </c>
      <c r="R62" s="599" t="e">
        <f>Q62+(E61*NDDaysInYEar/12)</f>
        <v>#N/A</v>
      </c>
      <c r="S62" s="600" t="e">
        <f>R62+(E61*NDDaysInYEar/12)</f>
        <v>#N/A</v>
      </c>
    </row>
    <row r="63" spans="1:19" s="107" customFormat="1" x14ac:dyDescent="0.2">
      <c r="A63" s="520"/>
      <c r="B63" s="520"/>
      <c r="C63" s="520"/>
      <c r="D63" s="520"/>
      <c r="E63" s="520"/>
      <c r="F63" s="520"/>
      <c r="G63" s="520"/>
      <c r="H63" s="520"/>
      <c r="I63" s="520"/>
      <c r="J63" s="520"/>
      <c r="K63" s="520"/>
      <c r="L63" s="520"/>
      <c r="M63" s="520"/>
      <c r="N63" s="520"/>
      <c r="O63" s="520"/>
      <c r="P63" s="520"/>
      <c r="Q63" s="520"/>
      <c r="R63" s="520"/>
      <c r="S63" s="520"/>
    </row>
    <row r="64" spans="1:19" s="107" customFormat="1" hidden="1" x14ac:dyDescent="0.2">
      <c r="H64" s="519"/>
      <c r="I64" s="519"/>
      <c r="J64" s="519"/>
      <c r="K64" s="519"/>
      <c r="L64" s="519"/>
      <c r="M64" s="519"/>
      <c r="N64" s="519"/>
      <c r="O64" s="519"/>
      <c r="P64" s="519"/>
      <c r="Q64" s="519"/>
      <c r="R64" s="519"/>
      <c r="S64" s="519"/>
    </row>
    <row r="65" spans="1:19" s="107" customFormat="1" x14ac:dyDescent="0.2"/>
    <row r="66" spans="1:19" s="522" customFormat="1" ht="12.75" x14ac:dyDescent="0.15">
      <c r="A66" s="521" t="s">
        <v>1435</v>
      </c>
    </row>
    <row r="67" spans="1:19" s="107" customFormat="1" hidden="1" x14ac:dyDescent="0.2">
      <c r="H67" s="519"/>
      <c r="I67" s="519"/>
      <c r="J67" s="519"/>
      <c r="K67" s="519"/>
      <c r="L67" s="519"/>
      <c r="M67" s="519"/>
      <c r="N67" s="519"/>
      <c r="O67" s="519"/>
      <c r="P67" s="519"/>
      <c r="Q67" s="519"/>
      <c r="R67" s="519"/>
      <c r="S67" s="519"/>
    </row>
    <row r="68" spans="1:19" x14ac:dyDescent="0.2">
      <c r="L68" s="491"/>
    </row>
    <row r="69" spans="1:19" x14ac:dyDescent="0.2">
      <c r="A69" s="504" t="s">
        <v>1428</v>
      </c>
      <c r="B69" s="505"/>
      <c r="C69" s="505"/>
      <c r="D69" s="505"/>
      <c r="E69" s="505"/>
      <c r="F69" s="505"/>
      <c r="G69" s="505"/>
      <c r="H69" s="505"/>
      <c r="I69" s="505"/>
      <c r="J69" s="505"/>
      <c r="K69" s="505"/>
      <c r="L69" s="506"/>
      <c r="M69" s="505"/>
      <c r="N69" s="505"/>
      <c r="O69" s="505"/>
      <c r="P69" s="505"/>
      <c r="Q69" s="505"/>
      <c r="R69" s="505"/>
      <c r="S69" s="505"/>
    </row>
    <row r="70" spans="1:19" s="107" customFormat="1" x14ac:dyDescent="0.2">
      <c r="A70" s="1574" t="s">
        <v>1429</v>
      </c>
      <c r="B70" s="1574"/>
      <c r="C70" s="507">
        <v>9</v>
      </c>
      <c r="D70" s="508">
        <f>MATCH(C70,$18:$18,1)</f>
        <v>6</v>
      </c>
      <c r="I70" s="509"/>
      <c r="N70" s="509"/>
    </row>
    <row r="71" spans="1:19" s="107" customFormat="1" x14ac:dyDescent="0.2">
      <c r="A71" s="1574" t="s">
        <v>1430</v>
      </c>
      <c r="B71" s="1574"/>
      <c r="C71" s="510" t="s">
        <v>2015</v>
      </c>
      <c r="D71" s="511"/>
      <c r="E71" s="512"/>
      <c r="H71" s="513"/>
      <c r="I71" s="513"/>
      <c r="J71" s="513"/>
      <c r="O71" s="514"/>
      <c r="P71" s="515"/>
      <c r="Q71" s="514"/>
    </row>
    <row r="72" spans="1:19" s="514" customFormat="1" x14ac:dyDescent="0.2">
      <c r="B72" s="516"/>
      <c r="C72" s="515"/>
      <c r="D72" s="516"/>
      <c r="E72" s="515"/>
      <c r="F72" s="516"/>
      <c r="G72" s="516"/>
      <c r="H72" s="515"/>
      <c r="I72" s="513"/>
      <c r="J72" s="513"/>
      <c r="K72" s="107"/>
      <c r="L72" s="107"/>
      <c r="M72" s="107"/>
      <c r="N72" s="107"/>
    </row>
    <row r="73" spans="1:19" s="107" customFormat="1" x14ac:dyDescent="0.2">
      <c r="A73" s="517" t="s">
        <v>1431</v>
      </c>
      <c r="B73" s="517" t="s">
        <v>1937</v>
      </c>
      <c r="C73" s="517" t="s">
        <v>1432</v>
      </c>
      <c r="D73" s="517" t="s">
        <v>1433</v>
      </c>
      <c r="E73" s="517" t="s">
        <v>1490</v>
      </c>
      <c r="F73" s="517" t="s">
        <v>2029</v>
      </c>
      <c r="G73" s="517" t="s">
        <v>2030</v>
      </c>
      <c r="H73" s="517" t="s">
        <v>1434</v>
      </c>
      <c r="I73" s="513"/>
      <c r="J73" s="513"/>
    </row>
    <row r="74" spans="1:19" s="107" customFormat="1" x14ac:dyDescent="0.2">
      <c r="A74" s="107" t="str">
        <f>VLOOKUP(C71,NDasaSeq,7,FALSE)</f>
        <v>Pi</v>
      </c>
      <c r="B74" s="107">
        <f>VLOOKUP(A74,NDasaC,3,FALSE)</f>
        <v>-1</v>
      </c>
      <c r="C74" s="518" t="e">
        <f>IF(MATCH(VLOOKUP(IF((A74="Aq"),VLOOKUP("AqLord",DivCharts,D70,FALSE),IF((A74="Sc"),VLOOKUP("ScLord",DivCharts,D70,FALSE),VLOOKUP(A74,RsInfo,9,FALSE))),DivCharts,D70,FALSE),RsTbl,0)=MATCH(VLOOKUP(IF((A74="Aq"),VLOOKUP("AqLord",DivCharts,D70,FALSE),IF((A74="Sc"),VLOOKUP("ScLord",DivCharts,D70,FALSE),VLOOKUP(A74,RsInfo,9,FALSE))),PlanetData,8,FALSE),RsTbl,0),1,IF(MATCH(VLOOKUP(IF((A74="Aq"),VLOOKUP("AqLord",DivCharts,D70,FALSE),IF((A74="Sc"),VLOOKUP("ScLord",DivCharts,D70,FALSE),VLOOKUP(A74,RsInfo,9,FALSE))),DivCharts,D70,FALSE),RsTbl,0)=MOD(MATCH(VLOOKUP(IF((A74="Aq"),VLOOKUP("AqLord",DivCharts,D70,FALSE),IF((A74="Sc"),VLOOKUP("ScLord",DivCharts,D70,FALSE),VLOOKUP(A74,RsInfo,9,FALSE))),PlanetData,8,FALSE),RsTbl,0)+6,12),-1,0))</f>
        <v>#N/A</v>
      </c>
      <c r="D74" s="518">
        <f>MOD((MATCH(VLOOKUP(IF((A74="Aq"),VLOOKUP("AqLord",DivCharts,D70,FALSE),IF((A74="Sc"),VLOOKUP("ScLord",DivCharts,D70,FALSE),VLOOKUP(A74,RsInfo,9,FALSE))),DivCharts,D70,FALSE),RsTbl,0)*B74)-(B74*MATCH(A74,RsTbl,0))+12,12)</f>
        <v>8</v>
      </c>
      <c r="E74" s="107" t="e">
        <f>IF(ISNA(MATCH((D74+C74),,0)),(D74+C74),12)</f>
        <v>#N/A</v>
      </c>
      <c r="F74" s="519">
        <f>NDDoB</f>
        <v>26133.384143518517</v>
      </c>
      <c r="G74" s="519" t="e">
        <f>F74+E74*NDDaysInYEar</f>
        <v>#N/A</v>
      </c>
      <c r="H74" s="510" t="str">
        <f>A74</f>
        <v>Pi</v>
      </c>
      <c r="I74" s="107" t="str">
        <f>INDEX(SignSym,MOD(B74+MATCH(H74,SignSym,FALSE)-1,12)+1)</f>
        <v>Aq</v>
      </c>
      <c r="J74" s="107" t="str">
        <f>INDEX(SignSym,MOD(B74+MATCH(I74,SignSym,FALSE)-1,12)+1)</f>
        <v>Cp</v>
      </c>
      <c r="K74" s="107" t="str">
        <f>INDEX(SignSym,MOD(B74+MATCH(J74,SignSym,FALSE)-1,12)+1)</f>
        <v>Sg</v>
      </c>
      <c r="L74" s="107" t="str">
        <f>INDEX(SignSym,MOD(B74+MATCH(K74,SignSym,FALSE)-1,12)+1)</f>
        <v>Sc</v>
      </c>
      <c r="M74" s="107" t="str">
        <f>INDEX(SignSym,MOD(B74+MATCH(L74,SignSym,FALSE)-1,12)+1)</f>
        <v>Li</v>
      </c>
      <c r="N74" s="107" t="str">
        <f>INDEX(SignSym,MOD(B74+MATCH(M74,SignSym,FALSE)-1,12)+1)</f>
        <v>Vi</v>
      </c>
      <c r="O74" s="107" t="str">
        <f>INDEX(SignSym,MOD(B74+MATCH(N74,SignSym,FALSE)-1,12)+1)</f>
        <v>Le</v>
      </c>
      <c r="P74" s="107" t="str">
        <f>INDEX(SignSym,MOD(B74+MATCH(O74,SignSym,FALSE)-1,12)+1)</f>
        <v>Cn</v>
      </c>
      <c r="Q74" s="107" t="str">
        <f>INDEX(SignSym,MOD(B74+MATCH(P74,SignSym,FALSE)-1,12)+1)</f>
        <v>Ge</v>
      </c>
      <c r="R74" s="107" t="str">
        <f>INDEX(SignSym,MOD(B74+MATCH(Q74,SignSym,FALSE)-1,12)+1)</f>
        <v>Ta</v>
      </c>
      <c r="S74" s="107" t="str">
        <f>INDEX(SignSym,MOD(B74+MATCH(R74,SignSym,FALSE)-1,12)+1)</f>
        <v>Ar</v>
      </c>
    </row>
    <row r="75" spans="1:19" s="107" customFormat="1" ht="12.75" hidden="1" customHeight="1" x14ac:dyDescent="0.2">
      <c r="C75" s="518"/>
      <c r="D75" s="518"/>
      <c r="F75" s="519"/>
      <c r="G75" s="519"/>
      <c r="H75" s="519">
        <f>F74</f>
        <v>26133.384143518517</v>
      </c>
      <c r="I75" s="519" t="e">
        <f>H75+(E74*NDDaysInYEar/12)</f>
        <v>#N/A</v>
      </c>
      <c r="J75" s="519" t="e">
        <f>I75+(E74*NDDaysInYEar/12)</f>
        <v>#N/A</v>
      </c>
      <c r="K75" s="519" t="e">
        <f>J75+(E74*NDDaysInYEar/12)</f>
        <v>#N/A</v>
      </c>
      <c r="L75" s="519" t="e">
        <f>K75+(E74*NDDaysInYEar/12)</f>
        <v>#N/A</v>
      </c>
      <c r="M75" s="519" t="e">
        <f>L75+(E74*NDDaysInYEar/12)</f>
        <v>#N/A</v>
      </c>
      <c r="N75" s="519" t="e">
        <f>M75+(E74*NDDaysInYEar/12)</f>
        <v>#N/A</v>
      </c>
      <c r="O75" s="519" t="e">
        <f>N75+(E74*NDDaysInYEar/12)</f>
        <v>#N/A</v>
      </c>
      <c r="P75" s="519" t="e">
        <f>O75+(E74*NDDaysInYEar/12)</f>
        <v>#N/A</v>
      </c>
      <c r="Q75" s="519" t="e">
        <f>P75+(E74*NDDaysInYEar/12)</f>
        <v>#N/A</v>
      </c>
      <c r="R75" s="519" t="e">
        <f>Q75+(E74*NDDaysInYEar/12)</f>
        <v>#N/A</v>
      </c>
      <c r="S75" s="519" t="e">
        <f>R75+(E74*NDDaysInYEar/12)</f>
        <v>#N/A</v>
      </c>
    </row>
    <row r="76" spans="1:19" s="107" customFormat="1" x14ac:dyDescent="0.2">
      <c r="A76" s="107" t="str">
        <f>VLOOKUP(C71,NDasaSeq,8,FALSE)</f>
        <v>Cn</v>
      </c>
      <c r="B76" s="107">
        <f>VLOOKUP(A76,NDasaC,3,FALSE)</f>
        <v>-1</v>
      </c>
      <c r="C76" s="518" t="e">
        <f>IF(MATCH(VLOOKUP(IF((A76="Aq"),VLOOKUP("AqLord",DivCharts,D70,FALSE),IF((A76="Sc"),VLOOKUP("ScLord",DivCharts,D70,FALSE),VLOOKUP(A76,RsInfo,9,FALSE))),DivCharts,D70,FALSE),RsTbl,0)=MATCH(VLOOKUP(IF((A76="Aq"),VLOOKUP("AqLord",DivCharts,D70,FALSE),IF((A76="Sc"),VLOOKUP("ScLord",DivCharts,D70,FALSE),VLOOKUP(A76,RsInfo,9,FALSE))),PlanetData,8,FALSE),RsTbl,0),1,IF(MATCH(VLOOKUP(IF((A76="Aq"),VLOOKUP("AqLord",DivCharts,D70,FALSE),IF((A76="Sc"),VLOOKUP("ScLord",DivCharts,D70,FALSE),VLOOKUP(A76,RsInfo,9,FALSE))),DivCharts,D70,FALSE),RsTbl,0)=MOD(MATCH(VLOOKUP(IF((A76="Aq"),VLOOKUP("AqLord",DivCharts,D70,FALSE),IF((A76="Sc"),VLOOKUP("ScLord",DivCharts,D70,FALSE),VLOOKUP(A76,RsInfo,9,FALSE))),PlanetData,8,FALSE),RsTbl,0)+6,12),-1,0))</f>
        <v>#N/A</v>
      </c>
      <c r="D76" s="518">
        <f>MOD((MATCH(VLOOKUP(IF((A76="Aq"),VLOOKUP("AqLord",DivCharts,D70,FALSE),IF((A76="Sc"),VLOOKUP("ScLord",DivCharts,D70,FALSE),VLOOKUP(A76,RsInfo,9,FALSE))),DivCharts,D70,FALSE),RsTbl,0)*B76)-(B76*MATCH(A76,RsTbl,0))+12,12)</f>
        <v>0</v>
      </c>
      <c r="E76" s="107" t="e">
        <f>IF(ISNA(MATCH((D76+C76),,0)),(D76+C76),12)</f>
        <v>#N/A</v>
      </c>
      <c r="F76" s="519" t="e">
        <f>G74</f>
        <v>#N/A</v>
      </c>
      <c r="G76" s="519" t="e">
        <f>F76+E76*NDDaysInYEar</f>
        <v>#N/A</v>
      </c>
      <c r="H76" s="510" t="str">
        <f>A76</f>
        <v>Cn</v>
      </c>
      <c r="I76" s="107" t="str">
        <f>INDEX(SignSym,MOD(B76+MATCH(H76,SignSym,FALSE)-1,12)+1)</f>
        <v>Ge</v>
      </c>
      <c r="J76" s="107" t="str">
        <f>INDEX(SignSym,MOD(B76+MATCH(I76,SignSym,FALSE)-1,12)+1)</f>
        <v>Ta</v>
      </c>
      <c r="K76" s="107" t="str">
        <f>INDEX(SignSym,MOD(B76+MATCH(J76,SignSym,FALSE)-1,12)+1)</f>
        <v>Ar</v>
      </c>
      <c r="L76" s="107" t="str">
        <f>INDEX(SignSym,MOD(B76+MATCH(K76,SignSym,FALSE)-1,12)+1)</f>
        <v>Pi</v>
      </c>
      <c r="M76" s="107" t="str">
        <f>INDEX(SignSym,MOD(B76+MATCH(L76,SignSym,FALSE)-1,12)+1)</f>
        <v>Aq</v>
      </c>
      <c r="N76" s="107" t="str">
        <f>INDEX(SignSym,MOD(B76+MATCH(M76,SignSym,FALSE)-1,12)+1)</f>
        <v>Cp</v>
      </c>
      <c r="O76" s="107" t="str">
        <f>INDEX(SignSym,MOD(B76+MATCH(N76,SignSym,FALSE)-1,12)+1)</f>
        <v>Sg</v>
      </c>
      <c r="P76" s="107" t="str">
        <f>INDEX(SignSym,MOD(B76+MATCH(O76,SignSym,FALSE)-1,12)+1)</f>
        <v>Sc</v>
      </c>
      <c r="Q76" s="107" t="str">
        <f>INDEX(SignSym,MOD(B76+MATCH(P76,SignSym,FALSE)-1,12)+1)</f>
        <v>Li</v>
      </c>
      <c r="R76" s="107" t="str">
        <f>INDEX(SignSym,MOD(B76+MATCH(Q76,SignSym,FALSE)-1,12)+1)</f>
        <v>Vi</v>
      </c>
      <c r="S76" s="107" t="str">
        <f>INDEX(SignSym,MOD(B76+MATCH(R76,SignSym,FALSE)-1,12)+1)</f>
        <v>Le</v>
      </c>
    </row>
    <row r="77" spans="1:19" s="107" customFormat="1" ht="12.75" hidden="1" customHeight="1" x14ac:dyDescent="0.2">
      <c r="C77" s="518"/>
      <c r="D77" s="518"/>
      <c r="F77" s="519"/>
      <c r="G77" s="519"/>
      <c r="H77" s="519" t="e">
        <f>F76</f>
        <v>#N/A</v>
      </c>
      <c r="I77" s="519" t="e">
        <f>H77+(E76*NDDaysInYEar/12)</f>
        <v>#N/A</v>
      </c>
      <c r="J77" s="519" t="e">
        <f>I77+(E76*NDDaysInYEar/12)</f>
        <v>#N/A</v>
      </c>
      <c r="K77" s="519" t="e">
        <f>J77+(E76*NDDaysInYEar/12)</f>
        <v>#N/A</v>
      </c>
      <c r="L77" s="519" t="e">
        <f>K77+(E76*NDDaysInYEar/12)</f>
        <v>#N/A</v>
      </c>
      <c r="M77" s="519" t="e">
        <f>L77+(E76*NDDaysInYEar/12)</f>
        <v>#N/A</v>
      </c>
      <c r="N77" s="519" t="e">
        <f>M77+(E76*NDDaysInYEar/12)</f>
        <v>#N/A</v>
      </c>
      <c r="O77" s="519" t="e">
        <f>N77+(E76*NDDaysInYEar/12)</f>
        <v>#N/A</v>
      </c>
      <c r="P77" s="519" t="e">
        <f>O77+(E76*NDDaysInYEar/12)</f>
        <v>#N/A</v>
      </c>
      <c r="Q77" s="519" t="e">
        <f>P77+(E76*NDDaysInYEar/12)</f>
        <v>#N/A</v>
      </c>
      <c r="R77" s="519" t="e">
        <f>Q77+(E76*NDDaysInYEar/12)</f>
        <v>#N/A</v>
      </c>
      <c r="S77" s="519" t="e">
        <f>R77+(E76*NDDaysInYEar/12)</f>
        <v>#N/A</v>
      </c>
    </row>
    <row r="78" spans="1:19" s="107" customFormat="1" x14ac:dyDescent="0.2">
      <c r="A78" s="107" t="str">
        <f>VLOOKUP(C71,NDasaSeq,9,FALSE)</f>
        <v>Sc</v>
      </c>
      <c r="B78" s="107">
        <v>-1</v>
      </c>
      <c r="C78" s="518" t="e">
        <f>IF(MATCH(VLOOKUP(IF((A78="Aq"),VLOOKUP("AqLord",DivCharts,D70,FALSE),IF((A78="Sc"),VLOOKUP("ScLord",DivCharts,D70,FALSE),VLOOKUP(A78,RsInfo,9,FALSE))),DivCharts,D70,FALSE),RsTbl,0)=MATCH(VLOOKUP(IF((A78="Aq"),VLOOKUP("AqLord",DivCharts,D70,FALSE),IF((A78="Sc"),VLOOKUP("ScLord",DivCharts,D70,FALSE),VLOOKUP(A78,RsInfo,9,FALSE))),PlanetData,8,FALSE),RsTbl,0),1,IF(MATCH(VLOOKUP(IF((A78="Aq"),VLOOKUP("AqLord",DivCharts,D70,FALSE),IF((A78="Sc"),VLOOKUP("ScLord",DivCharts,D70,FALSE),VLOOKUP(A78,RsInfo,9,FALSE))),DivCharts,D70,FALSE),RsTbl,0)=MOD(MATCH(VLOOKUP(IF((A78="Aq"),VLOOKUP("AqLord",DivCharts,D70,FALSE),IF((A78="Sc"),VLOOKUP("ScLord",DivCharts,D70,FALSE),VLOOKUP(A78,RsInfo,9,FALSE))),PlanetData,8,FALSE),RsTbl,0)+6,12),-1,0))</f>
        <v>#N/A</v>
      </c>
      <c r="D78" s="518">
        <f>MOD((MATCH(VLOOKUP(IF((A78="Aq"),VLOOKUP("AqLord",DivCharts,D70,FALSE),IF((A78="Sc"),VLOOKUP("ScLord",DivCharts,D70,FALSE),VLOOKUP(A78,RsInfo,9,FALSE))),DivCharts,D70,FALSE),RsTbl,0)*B78)-(B78*MATCH(A78,RsTbl,0))+12,12)</f>
        <v>2</v>
      </c>
      <c r="E78" s="107" t="e">
        <f>IF(ISNA(MATCH((D78+C78),,0)),(D78+C78),12)</f>
        <v>#N/A</v>
      </c>
      <c r="F78" s="519" t="e">
        <f>G76</f>
        <v>#N/A</v>
      </c>
      <c r="G78" s="519" t="e">
        <f>F78+E78*NDDaysInYEar</f>
        <v>#N/A</v>
      </c>
      <c r="H78" s="510" t="s">
        <v>1959</v>
      </c>
      <c r="I78" s="107" t="str">
        <f>INDEX(SignSym,MOD(B78+MATCH(H78,SignSym,FALSE)-1,12)+1)</f>
        <v>Le</v>
      </c>
      <c r="J78" s="107" t="str">
        <f>INDEX(SignSym,MOD(B78+MATCH(I78,SignSym,FALSE)-1,12)+1)</f>
        <v>Cn</v>
      </c>
      <c r="K78" s="107" t="str">
        <f>INDEX(SignSym,MOD(B78+MATCH(J78,SignSym,FALSE)-1,12)+1)</f>
        <v>Ge</v>
      </c>
      <c r="L78" s="107" t="str">
        <f>INDEX(SignSym,MOD(B78+MATCH(K78,SignSym,FALSE)-1,12)+1)</f>
        <v>Ta</v>
      </c>
      <c r="M78" s="107" t="str">
        <f>INDEX(SignSym,MOD(B78+MATCH(L78,SignSym,FALSE)-1,12)+1)</f>
        <v>Ar</v>
      </c>
      <c r="N78" s="107" t="str">
        <f>INDEX(SignSym,MOD(B78+MATCH(M78,SignSym,FALSE)-1,12)+1)</f>
        <v>Pi</v>
      </c>
      <c r="O78" s="107" t="str">
        <f>INDEX(SignSym,MOD(B78+MATCH(N78,SignSym,FALSE)-1,12)+1)</f>
        <v>Aq</v>
      </c>
      <c r="P78" s="107" t="str">
        <f>INDEX(SignSym,MOD(B78+MATCH(O78,SignSym,FALSE)-1,12)+1)</f>
        <v>Cp</v>
      </c>
      <c r="Q78" s="107" t="str">
        <f>INDEX(SignSym,MOD(B78+MATCH(P78,SignSym,FALSE)-1,12)+1)</f>
        <v>Sg</v>
      </c>
      <c r="R78" s="107" t="str">
        <f>INDEX(SignSym,MOD(B78+MATCH(Q78,SignSym,FALSE)-1,12)+1)</f>
        <v>Sc</v>
      </c>
      <c r="S78" s="107" t="str">
        <f>INDEX(SignSym,MOD(B78+MATCH(R78,SignSym,FALSE)-1,12)+1)</f>
        <v>Li</v>
      </c>
    </row>
    <row r="79" spans="1:19" s="107" customFormat="1" ht="12.75" hidden="1" customHeight="1" x14ac:dyDescent="0.2">
      <c r="C79" s="518"/>
      <c r="D79" s="518"/>
      <c r="F79" s="519"/>
      <c r="G79" s="519"/>
      <c r="H79" s="519" t="e">
        <f>F78</f>
        <v>#N/A</v>
      </c>
      <c r="I79" s="519" t="e">
        <f>H79+(E78*NDDaysInYEar/12)</f>
        <v>#N/A</v>
      </c>
      <c r="J79" s="519" t="e">
        <f>I79+(E78*NDDaysInYEar/12)</f>
        <v>#N/A</v>
      </c>
      <c r="K79" s="519" t="e">
        <f>J79+(E78*NDDaysInYEar/12)</f>
        <v>#N/A</v>
      </c>
      <c r="L79" s="519" t="e">
        <f>K79+(E78*NDDaysInYEar/12)</f>
        <v>#N/A</v>
      </c>
      <c r="M79" s="519" t="e">
        <f>L79+(E78*NDDaysInYEar/12)</f>
        <v>#N/A</v>
      </c>
      <c r="N79" s="519" t="e">
        <f>M79+(E78*NDDaysInYEar/12)</f>
        <v>#N/A</v>
      </c>
      <c r="O79" s="519" t="e">
        <f>N79+(E78*NDDaysInYEar/12)</f>
        <v>#N/A</v>
      </c>
      <c r="P79" s="519" t="e">
        <f>O79+(E78*NDDaysInYEar/12)</f>
        <v>#N/A</v>
      </c>
      <c r="Q79" s="519" t="e">
        <f>P79+(E78*NDDaysInYEar/12)</f>
        <v>#N/A</v>
      </c>
      <c r="R79" s="519" t="e">
        <f>Q79+(E78*NDDaysInYEar/12)</f>
        <v>#N/A</v>
      </c>
      <c r="S79" s="519" t="e">
        <f>R79+(E78*NDDaysInYEar/12)</f>
        <v>#N/A</v>
      </c>
    </row>
    <row r="80" spans="1:19" s="107" customFormat="1" x14ac:dyDescent="0.2">
      <c r="A80" s="107" t="str">
        <f>VLOOKUP(C71,NDasaSeq,10,FALSE)</f>
        <v>Sg</v>
      </c>
      <c r="B80" s="107">
        <v>-1</v>
      </c>
      <c r="C80" s="518" t="e">
        <f>IF(MATCH(VLOOKUP(IF((A80="Aq"),VLOOKUP("AqLord",DivCharts,D70,FALSE),IF((A80="Sc"),VLOOKUP("ScLord",DivCharts,D70,FALSE),VLOOKUP(A80,RsInfo,9,FALSE))),DivCharts,D70,FALSE),RsTbl,0)=MATCH(VLOOKUP(IF((A80="Aq"),VLOOKUP("AqLord",DivCharts,D70,FALSE),IF((A80="Sc"),VLOOKUP("ScLord",DivCharts,D70,FALSE),VLOOKUP(A80,RsInfo,9,FALSE))),PlanetData,8,FALSE),RsTbl,0),1,IF(MATCH(VLOOKUP(IF((A80="Aq"),VLOOKUP("AqLord",DivCharts,D70,FALSE),IF((A80="Sc"),VLOOKUP("ScLord",DivCharts,D70,FALSE),VLOOKUP(A80,RsInfo,9,FALSE))),DivCharts,D70,FALSE),RsTbl,0)=MOD(MATCH(VLOOKUP(IF((A80="Aq"),VLOOKUP("AqLord",DivCharts,D70,FALSE),IF((A80="Sc"),VLOOKUP("ScLord",DivCharts,D70,FALSE),VLOOKUP(A80,RsInfo,9,FALSE))),PlanetData,8,FALSE),RsTbl,0)+6,12),-1,0))</f>
        <v>#N/A</v>
      </c>
      <c r="D80" s="518">
        <f>MOD((MATCH(VLOOKUP(IF((A80="Aq"),VLOOKUP("AqLord",DivCharts,D70,FALSE),IF((A80="Sc"),VLOOKUP("ScLord",DivCharts,D70,FALSE),VLOOKUP(A80,RsInfo,9,FALSE))),DivCharts,D70,FALSE),RsTbl,0)*B80)-(B80*MATCH(A80,RsTbl,0))+12,12)</f>
        <v>5</v>
      </c>
      <c r="E80" s="107" t="e">
        <f>IF(ISNA(MATCH((D80+C80),,0)),(D80+C80),12)</f>
        <v>#N/A</v>
      </c>
      <c r="F80" s="519" t="e">
        <f>G78</f>
        <v>#N/A</v>
      </c>
      <c r="G80" s="519" t="e">
        <f>F80+E80*NDDaysInYEar</f>
        <v>#N/A</v>
      </c>
      <c r="H80" s="510" t="s">
        <v>1968</v>
      </c>
      <c r="I80" s="107" t="str">
        <f>INDEX(SignSym,MOD(B80+MATCH(H80,SignSym,FALSE)-1,12)+1)</f>
        <v>Ge</v>
      </c>
      <c r="J80" s="107" t="str">
        <f>INDEX(SignSym,MOD(B80+MATCH(I80,SignSym,FALSE)-1,12)+1)</f>
        <v>Ta</v>
      </c>
      <c r="K80" s="107" t="str">
        <f>INDEX(SignSym,MOD(B80+MATCH(J80,SignSym,FALSE)-1,12)+1)</f>
        <v>Ar</v>
      </c>
      <c r="L80" s="107" t="str">
        <f>INDEX(SignSym,MOD(B80+MATCH(K80,SignSym,FALSE)-1,12)+1)</f>
        <v>Pi</v>
      </c>
      <c r="M80" s="107" t="str">
        <f>INDEX(SignSym,MOD(B80+MATCH(L80,SignSym,FALSE)-1,12)+1)</f>
        <v>Aq</v>
      </c>
      <c r="N80" s="107" t="str">
        <f>INDEX(SignSym,MOD(B80+MATCH(M80,SignSym,FALSE)-1,12)+1)</f>
        <v>Cp</v>
      </c>
      <c r="O80" s="107" t="str">
        <f>INDEX(SignSym,MOD(B80+MATCH(N80,SignSym,FALSE)-1,12)+1)</f>
        <v>Sg</v>
      </c>
      <c r="P80" s="107" t="str">
        <f>INDEX(SignSym,MOD(B80+MATCH(O80,SignSym,FALSE)-1,12)+1)</f>
        <v>Sc</v>
      </c>
      <c r="Q80" s="107" t="str">
        <f>INDEX(SignSym,MOD(B80+MATCH(P80,SignSym,FALSE)-1,12)+1)</f>
        <v>Li</v>
      </c>
      <c r="R80" s="107" t="str">
        <f>INDEX(SignSym,MOD(B80+MATCH(Q80,SignSym,FALSE)-1,12)+1)</f>
        <v>Vi</v>
      </c>
      <c r="S80" s="107" t="str">
        <f>INDEX(SignSym,MOD(B80+MATCH(R80,SignSym,FALSE)-1,12)+1)</f>
        <v>Le</v>
      </c>
    </row>
    <row r="81" spans="1:19" s="107" customFormat="1" ht="12.75" hidden="1" customHeight="1" x14ac:dyDescent="0.2">
      <c r="C81" s="518"/>
      <c r="D81" s="518"/>
      <c r="F81" s="519"/>
      <c r="G81" s="519"/>
      <c r="H81" s="519" t="e">
        <f>F80</f>
        <v>#N/A</v>
      </c>
      <c r="I81" s="519" t="e">
        <f>H81+(E80*NDDaysInYEar/12)</f>
        <v>#N/A</v>
      </c>
      <c r="J81" s="519" t="e">
        <f>I81+(E80*NDDaysInYEar/12)</f>
        <v>#N/A</v>
      </c>
      <c r="K81" s="519" t="e">
        <f>J81+(E80*NDDaysInYEar/12)</f>
        <v>#N/A</v>
      </c>
      <c r="L81" s="519" t="e">
        <f>K81+(E80*NDDaysInYEar/12)</f>
        <v>#N/A</v>
      </c>
      <c r="M81" s="519" t="e">
        <f>L81+(E80*NDDaysInYEar/12)</f>
        <v>#N/A</v>
      </c>
      <c r="N81" s="519" t="e">
        <f>M81+(E80*NDDaysInYEar/12)</f>
        <v>#N/A</v>
      </c>
      <c r="O81" s="519" t="e">
        <f>N81+(E80*NDDaysInYEar/12)</f>
        <v>#N/A</v>
      </c>
      <c r="P81" s="519" t="e">
        <f>O81+(E80*NDDaysInYEar/12)</f>
        <v>#N/A</v>
      </c>
      <c r="Q81" s="519" t="e">
        <f>P81+(E80*NDDaysInYEar/12)</f>
        <v>#N/A</v>
      </c>
      <c r="R81" s="519" t="e">
        <f>Q81+(E80*NDDaysInYEar/12)</f>
        <v>#N/A</v>
      </c>
      <c r="S81" s="519" t="e">
        <f>R81+(E80*NDDaysInYEar/12)</f>
        <v>#N/A</v>
      </c>
    </row>
    <row r="82" spans="1:19" s="107" customFormat="1" x14ac:dyDescent="0.2">
      <c r="A82" s="107" t="str">
        <f>VLOOKUP(C71,NDasaSeq,11,FALSE)</f>
        <v>Ar</v>
      </c>
      <c r="B82" s="107">
        <f>VLOOKUP(A82,NDasaC,3,FALSE)</f>
        <v>1</v>
      </c>
      <c r="C82" s="518" t="e">
        <f>IF(MATCH(VLOOKUP(IF((A82="Aq"),VLOOKUP("AqLord",DivCharts,D70,FALSE),IF((A82="Sc"),VLOOKUP("ScLord",DivCharts,D70,FALSE),VLOOKUP(A82,RsInfo,9,FALSE))),DivCharts,D70,FALSE),RsTbl,0)=MATCH(VLOOKUP(IF((A82="Aq"),VLOOKUP("AqLord",DivCharts,D70,FALSE),IF((A82="Sc"),VLOOKUP("ScLord",DivCharts,D70,FALSE),VLOOKUP(A82,RsInfo,9,FALSE))),PlanetData,8,FALSE),RsTbl,0),1,IF(MATCH(VLOOKUP(IF((A82="Aq"),VLOOKUP("AqLord",DivCharts,D70,FALSE),IF((A82="Sc"),VLOOKUP("ScLord",DivCharts,D70,FALSE),VLOOKUP(A82,RsInfo,9,FALSE))),DivCharts,D70,FALSE),RsTbl,0)=MOD(MATCH(VLOOKUP(IF((A82="Aq"),VLOOKUP("AqLord",DivCharts,D70,FALSE),IF((A82="Sc"),VLOOKUP("ScLord",DivCharts,D70,FALSE),VLOOKUP(A82,RsInfo,9,FALSE))),PlanetData,8,FALSE),RsTbl,0)+6,12),-1,0))</f>
        <v>#N/A</v>
      </c>
      <c r="D82" s="518">
        <f>MOD((MATCH(VLOOKUP(IF((A82="Aq"),VLOOKUP("AqLord",DivCharts,D70,FALSE),IF((A82="Sc"),VLOOKUP("ScLord",DivCharts,D70,FALSE),VLOOKUP(A82,RsInfo,9,FALSE))),DivCharts,D70,FALSE),RsTbl,0)*B82)-(B82*MATCH(A82,RsTbl,0))+12,12)</f>
        <v>5</v>
      </c>
      <c r="E82" s="107" t="e">
        <f>IF(ISNA(MATCH((D82+C82),,0)),(D82+C82),12)</f>
        <v>#N/A</v>
      </c>
      <c r="F82" s="519" t="e">
        <f>G80</f>
        <v>#N/A</v>
      </c>
      <c r="G82" s="519" t="e">
        <f>F82+E82*NDDaysInYEar</f>
        <v>#N/A</v>
      </c>
      <c r="H82" s="510" t="s">
        <v>1959</v>
      </c>
      <c r="I82" s="107" t="str">
        <f>INDEX(SignSym,MOD(B82+MATCH(H82,SignSym,FALSE)-1,12)+1)</f>
        <v>Li</v>
      </c>
      <c r="J82" s="107" t="str">
        <f>INDEX(SignSym,MOD(B82+MATCH(I82,SignSym,FALSE)-1,12)+1)</f>
        <v>Sc</v>
      </c>
      <c r="K82" s="107" t="str">
        <f>INDEX(SignSym,MOD(B82+MATCH(J82,SignSym,FALSE)-1,12)+1)</f>
        <v>Sg</v>
      </c>
      <c r="L82" s="107" t="str">
        <f>INDEX(SignSym,MOD(B82+MATCH(K82,SignSym,FALSE)-1,12)+1)</f>
        <v>Cp</v>
      </c>
      <c r="M82" s="107" t="str">
        <f>INDEX(SignSym,MOD(B82+MATCH(L82,SignSym,FALSE)-1,12)+1)</f>
        <v>Aq</v>
      </c>
      <c r="N82" s="107" t="str">
        <f>INDEX(SignSym,MOD(B82+MATCH(M82,SignSym,FALSE)-1,12)+1)</f>
        <v>Pi</v>
      </c>
      <c r="O82" s="107" t="str">
        <f>INDEX(SignSym,MOD(B82+MATCH(N82,SignSym,FALSE)-1,12)+1)</f>
        <v>Ar</v>
      </c>
      <c r="P82" s="107" t="str">
        <f>INDEX(SignSym,MOD(B82+MATCH(O82,SignSym,FALSE)-1,12)+1)</f>
        <v>Ta</v>
      </c>
      <c r="Q82" s="107" t="str">
        <f>INDEX(SignSym,MOD(B82+MATCH(P82,SignSym,FALSE)-1,12)+1)</f>
        <v>Ge</v>
      </c>
      <c r="R82" s="107" t="str">
        <f>INDEX(SignSym,MOD(B82+MATCH(Q82,SignSym,FALSE)-1,12)+1)</f>
        <v>Cn</v>
      </c>
      <c r="S82" s="107" t="str">
        <f>INDEX(SignSym,MOD(B82+MATCH(R82,SignSym,FALSE)-1,12)+1)</f>
        <v>Le</v>
      </c>
    </row>
    <row r="83" spans="1:19" s="107" customFormat="1" hidden="1" x14ac:dyDescent="0.2">
      <c r="C83" s="518"/>
      <c r="D83" s="518"/>
      <c r="F83" s="519"/>
      <c r="G83" s="519"/>
      <c r="H83" s="519" t="e">
        <f>F82</f>
        <v>#N/A</v>
      </c>
      <c r="I83" s="519" t="e">
        <f>H83+(E82*NDDaysInYEar/12)</f>
        <v>#N/A</v>
      </c>
      <c r="J83" s="523" t="e">
        <f>I83+(E82*NDDaysInYEar/12)</f>
        <v>#N/A</v>
      </c>
      <c r="K83" s="519" t="e">
        <f>J83+(E82*NDDaysInYEar/12)</f>
        <v>#N/A</v>
      </c>
      <c r="L83" s="519" t="e">
        <f>K83+(E82*NDDaysInYEar/12)</f>
        <v>#N/A</v>
      </c>
      <c r="M83" s="519" t="e">
        <f>L83+(E82*NDDaysInYEar/12)</f>
        <v>#N/A</v>
      </c>
      <c r="N83" s="519" t="e">
        <f>M83+(E82*NDDaysInYEar/12)</f>
        <v>#N/A</v>
      </c>
      <c r="O83" s="519" t="e">
        <f>N83+(E82*NDDaysInYEar/12)</f>
        <v>#N/A</v>
      </c>
      <c r="P83" s="519" t="e">
        <f>O83+(E82*NDDaysInYEar/12)</f>
        <v>#N/A</v>
      </c>
      <c r="Q83" s="519" t="e">
        <f>P83+(E82*NDDaysInYEar/12)</f>
        <v>#N/A</v>
      </c>
      <c r="R83" s="519" t="e">
        <f>Q83+(E82*NDDaysInYEar/12)</f>
        <v>#N/A</v>
      </c>
      <c r="S83" s="519" t="e">
        <f>R83+(E82*NDDaysInYEar/12)</f>
        <v>#N/A</v>
      </c>
    </row>
    <row r="84" spans="1:19" s="107" customFormat="1" x14ac:dyDescent="0.2">
      <c r="A84" s="107" t="str">
        <f>VLOOKUP(C71,NDasaSeq,12,FALSE)</f>
        <v>Le</v>
      </c>
      <c r="B84" s="107">
        <f>VLOOKUP(A84,NDasaC,3,FALSE)</f>
        <v>-1</v>
      </c>
      <c r="C84" s="518" t="e">
        <f>IF(MATCH(VLOOKUP(IF((A84="Aq"),VLOOKUP("AqLord",DivCharts,D70,FALSE),IF((A84="Sc"),VLOOKUP("ScLord",DivCharts,D70,FALSE),VLOOKUP(A84,RsInfo,9,FALSE))),DivCharts,D70,FALSE),RsTbl,0)=MATCH(VLOOKUP(IF((A84="Aq"),VLOOKUP("AqLord",DivCharts,D70,FALSE),IF((A84="Sc"),VLOOKUP("ScLord",DivCharts,D70,FALSE),VLOOKUP(A84,RsInfo,9,FALSE))),PlanetData,8,FALSE),RsTbl,0),1,IF(MATCH(VLOOKUP(IF((A84="Aq"),VLOOKUP("AqLord",DivCharts,D70,FALSE),IF((A84="Sc"),VLOOKUP("ScLord",DivCharts,D70,FALSE),VLOOKUP(A84,RsInfo,9,FALSE))),DivCharts,D70,FALSE),RsTbl,0)=MOD(MATCH(VLOOKUP(IF((A84="Aq"),VLOOKUP("AqLord",DivCharts,D70,FALSE),IF((A84="Sc"),VLOOKUP("ScLord",DivCharts,D70,FALSE),VLOOKUP(A84,RsInfo,9,FALSE))),PlanetData,8,FALSE),RsTbl,0)+6,12),-1,0))</f>
        <v>#N/A</v>
      </c>
      <c r="D84" s="518">
        <f>MOD((MATCH(VLOOKUP(IF((A84="Aq"),VLOOKUP("AqLord",DivCharts,D70,FALSE),IF((A84="Sc"),VLOOKUP("ScLord",DivCharts,D70,FALSE),VLOOKUP(A84,RsInfo,9,FALSE))),DivCharts,D70,FALSE),RsTbl,0)*B84)-(B84*MATCH(A84,RsTbl,0))+12,12)</f>
        <v>1</v>
      </c>
      <c r="E84" s="107" t="e">
        <f>IF(ISNA(MATCH((D84+C84),,0)),(D84+C84),12)</f>
        <v>#N/A</v>
      </c>
      <c r="F84" s="519" t="e">
        <f>G82</f>
        <v>#N/A</v>
      </c>
      <c r="G84" s="519" t="e">
        <f>F84+E84*NDDaysInYEar</f>
        <v>#N/A</v>
      </c>
      <c r="H84" s="510" t="s">
        <v>1959</v>
      </c>
      <c r="I84" s="107" t="str">
        <f>INDEX(SignSym,MOD(B84+MATCH(H84,SignSym,FALSE)-1,12)+1)</f>
        <v>Le</v>
      </c>
      <c r="J84" s="107" t="str">
        <f>INDEX(SignSym,MOD(B84+MATCH(I84,SignSym,FALSE)-1,12)+1)</f>
        <v>Cn</v>
      </c>
      <c r="K84" s="107" t="str">
        <f>INDEX(SignSym,MOD(B84+MATCH(J84,SignSym,FALSE)-1,12)+1)</f>
        <v>Ge</v>
      </c>
      <c r="L84" s="107" t="str">
        <f>INDEX(SignSym,MOD(B84+MATCH(K84,SignSym,FALSE)-1,12)+1)</f>
        <v>Ta</v>
      </c>
      <c r="M84" s="107" t="str">
        <f>INDEX(SignSym,MOD(B84+MATCH(L84,SignSym,FALSE)-1,12)+1)</f>
        <v>Ar</v>
      </c>
      <c r="N84" s="107" t="str">
        <f>INDEX(SignSym,MOD(B84+MATCH(M84,SignSym,FALSE)-1,12)+1)</f>
        <v>Pi</v>
      </c>
      <c r="O84" s="107" t="str">
        <f>INDEX(SignSym,MOD(B84+MATCH(N84,SignSym,FALSE)-1,12)+1)</f>
        <v>Aq</v>
      </c>
      <c r="P84" s="107" t="str">
        <f>INDEX(SignSym,MOD(B84+MATCH(O84,SignSym,FALSE)-1,12)+1)</f>
        <v>Cp</v>
      </c>
      <c r="Q84" s="107" t="str">
        <f>INDEX(SignSym,MOD(B84+MATCH(P84,SignSym,FALSE)-1,12)+1)</f>
        <v>Sg</v>
      </c>
      <c r="R84" s="107" t="str">
        <f>INDEX(SignSym,MOD(B84+MATCH(Q84,SignSym,FALSE)-1,12)+1)</f>
        <v>Sc</v>
      </c>
      <c r="S84" s="107" t="str">
        <f>INDEX(SignSym,MOD(B84+MATCH(R84,SignSym,FALSE)-1,12)+1)</f>
        <v>Li</v>
      </c>
    </row>
    <row r="85" spans="1:19" s="107" customFormat="1" hidden="1" x14ac:dyDescent="0.2">
      <c r="C85" s="518"/>
      <c r="D85" s="518"/>
      <c r="F85" s="519"/>
      <c r="G85" s="519"/>
      <c r="H85" s="519" t="e">
        <f>F84</f>
        <v>#N/A</v>
      </c>
      <c r="I85" s="519" t="e">
        <f>H85+(E84*NDDaysInYEar/12)</f>
        <v>#N/A</v>
      </c>
      <c r="J85" s="519" t="e">
        <f>I85+(E84*NDDaysInYEar/12)</f>
        <v>#N/A</v>
      </c>
      <c r="K85" s="519" t="e">
        <f>J85+(E84*NDDaysInYEar/12)</f>
        <v>#N/A</v>
      </c>
      <c r="L85" s="519" t="e">
        <f>K85+(E84*NDDaysInYEar/12)</f>
        <v>#N/A</v>
      </c>
      <c r="M85" s="519" t="e">
        <f>L85+(E84*NDDaysInYEar/12)</f>
        <v>#N/A</v>
      </c>
      <c r="N85" s="519" t="e">
        <f>M85+(E84*NDDaysInYEar/12)</f>
        <v>#N/A</v>
      </c>
      <c r="O85" s="519" t="e">
        <f>N85+(E84*NDDaysInYEar/12)</f>
        <v>#N/A</v>
      </c>
      <c r="P85" s="519" t="e">
        <f>O85+(E84*NDDaysInYEar/12)</f>
        <v>#N/A</v>
      </c>
      <c r="Q85" s="519" t="e">
        <f>P85+(E84*NDDaysInYEar/12)</f>
        <v>#N/A</v>
      </c>
      <c r="R85" s="519" t="e">
        <f>Q85+(E84*NDDaysInYEar/12)</f>
        <v>#N/A</v>
      </c>
      <c r="S85" s="519" t="e">
        <f>R85+(E84*NDDaysInYEar/12)</f>
        <v>#N/A</v>
      </c>
    </row>
    <row r="86" spans="1:19" s="107" customFormat="1" x14ac:dyDescent="0.2">
      <c r="A86" s="107" t="str">
        <f>VLOOKUP(C71,NDasaSeq,13,FALSE)</f>
        <v>Vi</v>
      </c>
      <c r="B86" s="107">
        <f>VLOOKUP(A86,NDasaC,3,FALSE)</f>
        <v>-1</v>
      </c>
      <c r="C86" s="518" t="e">
        <f>IF(MATCH(VLOOKUP(IF((A86="Aq"),VLOOKUP("AqLord",DivCharts,D70,FALSE),IF((A86="Sc"),VLOOKUP("ScLord",DivCharts,D70,FALSE),VLOOKUP(A86,RsInfo,9,FALSE))),DivCharts,D70,FALSE),RsTbl,0)=MATCH(VLOOKUP(IF((A86="Aq"),VLOOKUP("AqLord",DivCharts,D70,FALSE),IF((A86="Sc"),VLOOKUP("ScLord",DivCharts,D70,FALSE),VLOOKUP(A86,RsInfo,9,FALSE))),PlanetData,8,FALSE),RsTbl,0),1,IF(MATCH(VLOOKUP(IF((A86="Aq"),VLOOKUP("AqLord",DivCharts,D70,FALSE),IF((A86="Sc"),VLOOKUP("ScLord",DivCharts,D70,FALSE),VLOOKUP(A86,RsInfo,9,FALSE))),DivCharts,D70,FALSE),RsTbl,0)=MOD(MATCH(VLOOKUP(IF((A86="Aq"),VLOOKUP("AqLord",DivCharts,D70,FALSE),IF((A86="Sc"),VLOOKUP("ScLord",DivCharts,D70,FALSE),VLOOKUP(A86,RsInfo,9,FALSE))),PlanetData,8,FALSE),RsTbl,0)+6,12),-1,0))</f>
        <v>#N/A</v>
      </c>
      <c r="D86" s="518">
        <f>MOD((MATCH(VLOOKUP(IF((A86="Aq"),VLOOKUP("AqLord",DivCharts,D70,FALSE),IF((A86="Sc"),VLOOKUP("ScLord",DivCharts,D70,FALSE),VLOOKUP(A86,RsInfo,9,FALSE))),DivCharts,D70,FALSE),RsTbl,0)*B86)-(B86*MATCH(A86,RsTbl,0))+12,12)</f>
        <v>6</v>
      </c>
      <c r="E86" s="107" t="e">
        <f>IF(ISNA(MATCH((D86+C86),,0)),(D86+C86),12)</f>
        <v>#N/A</v>
      </c>
      <c r="F86" s="519" t="e">
        <f>G84</f>
        <v>#N/A</v>
      </c>
      <c r="G86" s="519" t="e">
        <f>F86+E86*NDDaysInYEar</f>
        <v>#N/A</v>
      </c>
      <c r="H86" s="510" t="s">
        <v>1974</v>
      </c>
      <c r="I86" s="107" t="str">
        <f>INDEX(SignSym,MOD(B86+MATCH(H86,SignSym,FALSE)-1,12)+1)</f>
        <v>Cp</v>
      </c>
      <c r="J86" s="107" t="str">
        <f>INDEX(SignSym,MOD(B86+MATCH(I86,SignSym,FALSE)-1,12)+1)</f>
        <v>Sg</v>
      </c>
      <c r="K86" s="107" t="str">
        <f>INDEX(SignSym,MOD(B86+MATCH(J86,SignSym,FALSE)-1,12)+1)</f>
        <v>Sc</v>
      </c>
      <c r="L86" s="107" t="str">
        <f>INDEX(SignSym,MOD(B86+MATCH(K86,SignSym,FALSE)-1,12)+1)</f>
        <v>Li</v>
      </c>
      <c r="M86" s="107" t="str">
        <f>INDEX(SignSym,MOD(B86+MATCH(L86,SignSym,FALSE)-1,12)+1)</f>
        <v>Vi</v>
      </c>
      <c r="N86" s="107" t="str">
        <f>INDEX(SignSym,MOD(B86+MATCH(M86,SignSym,FALSE)-1,12)+1)</f>
        <v>Le</v>
      </c>
      <c r="O86" s="107" t="str">
        <f>INDEX(SignSym,MOD(B86+MATCH(N86,SignSym,FALSE)-1,12)+1)</f>
        <v>Cn</v>
      </c>
      <c r="P86" s="107" t="str">
        <f>INDEX(SignSym,MOD(B86+MATCH(O86,SignSym,FALSE)-1,12)+1)</f>
        <v>Ge</v>
      </c>
      <c r="Q86" s="107" t="str">
        <f>INDEX(SignSym,MOD(B86+MATCH(P86,SignSym,FALSE)-1,12)+1)</f>
        <v>Ta</v>
      </c>
      <c r="R86" s="107" t="str">
        <f>INDEX(SignSym,MOD(B86+MATCH(Q86,SignSym,FALSE)-1,12)+1)</f>
        <v>Ar</v>
      </c>
      <c r="S86" s="107" t="str">
        <f>INDEX(SignSym,MOD(B86+MATCH(R86,SignSym,FALSE)-1,12)+1)</f>
        <v>Pi</v>
      </c>
    </row>
    <row r="87" spans="1:19" s="107" customFormat="1" hidden="1" x14ac:dyDescent="0.2">
      <c r="C87" s="518"/>
      <c r="D87" s="518"/>
      <c r="F87" s="519"/>
      <c r="G87" s="519"/>
      <c r="H87" s="519" t="e">
        <f>F86</f>
        <v>#N/A</v>
      </c>
      <c r="I87" s="519" t="e">
        <f>H87+(E86*NDDaysInYEar/12)</f>
        <v>#N/A</v>
      </c>
      <c r="J87" s="519" t="e">
        <f>I87+(E86*NDDaysInYEar/12)</f>
        <v>#N/A</v>
      </c>
      <c r="K87" s="519" t="e">
        <f>J87+(E86*NDDaysInYEar/12)</f>
        <v>#N/A</v>
      </c>
      <c r="L87" s="519" t="e">
        <f>K87+(E86*NDDaysInYEar/12)</f>
        <v>#N/A</v>
      </c>
      <c r="M87" s="519" t="e">
        <f>L87+(E86*NDDaysInYEar/12)</f>
        <v>#N/A</v>
      </c>
      <c r="N87" s="519" t="e">
        <f>M87+(E86*NDDaysInYEar/12)</f>
        <v>#N/A</v>
      </c>
      <c r="O87" s="519" t="e">
        <f>N87+(E86*NDDaysInYEar/12)</f>
        <v>#N/A</v>
      </c>
      <c r="P87" s="519" t="e">
        <f>O87+(E86*NDDaysInYEar/12)</f>
        <v>#N/A</v>
      </c>
      <c r="Q87" s="519" t="e">
        <f>P87+(E86*NDDaysInYEar/12)</f>
        <v>#N/A</v>
      </c>
      <c r="R87" s="519" t="e">
        <f>Q87+(E86*NDDaysInYEar/12)</f>
        <v>#N/A</v>
      </c>
      <c r="S87" s="519" t="e">
        <f>R87+(E86*NDDaysInYEar/12)</f>
        <v>#N/A</v>
      </c>
    </row>
    <row r="88" spans="1:19" s="107" customFormat="1" x14ac:dyDescent="0.2">
      <c r="A88" s="107" t="str">
        <f>VLOOKUP(C71,NDasaSeq,14,FALSE)</f>
        <v>Cp</v>
      </c>
      <c r="B88" s="107">
        <f>VLOOKUP(A88,NDasaC,3,FALSE)</f>
        <v>-1</v>
      </c>
      <c r="C88" s="518" t="e">
        <f>IF(MATCH(VLOOKUP(IF((A88="Aq"),VLOOKUP("AqLord",DivCharts,D70,FALSE),IF((A88="Sc"),VLOOKUP("ScLord",DivCharts,D70,FALSE),VLOOKUP(A88,RsInfo,9,FALSE))),DivCharts,D70,FALSE),RsTbl,0)=MATCH(VLOOKUP(IF((A88="Aq"),VLOOKUP("AqLord",DivCharts,D70,FALSE),IF((A88="Sc"),VLOOKUP("ScLord",DivCharts,D70,FALSE),VLOOKUP(A88,RsInfo,9,FALSE))),PlanetData,8,FALSE),RsTbl,0),1,IF(MATCH(VLOOKUP(IF((A88="Aq"),VLOOKUP("AqLord",DivCharts,D70,FALSE),IF((A88="Sc"),VLOOKUP("ScLord",DivCharts,D70,FALSE),VLOOKUP(A88,RsInfo,9,FALSE))),DivCharts,D70,FALSE),RsTbl,0)=MOD(MATCH(VLOOKUP(IF((A88="Aq"),VLOOKUP("AqLord",DivCharts,D70,FALSE),IF((A88="Sc"),VLOOKUP("ScLord",DivCharts,D70,FALSE),VLOOKUP(A88,RsInfo,9,FALSE))),PlanetData,8,FALSE),RsTbl,0)+6,12),-1,0))</f>
        <v>#N/A</v>
      </c>
      <c r="D88" s="518">
        <f>MOD((MATCH(VLOOKUP(IF((A88="Aq"),VLOOKUP("AqLord",DivCharts,D70,FALSE),IF((A88="Sc"),VLOOKUP("ScLord",DivCharts,D70,FALSE),VLOOKUP(A88,RsInfo,9,FALSE))),DivCharts,D70,FALSE),RsTbl,0)*B88)-(B88*MATCH(A88,RsTbl,0))+12,12)</f>
        <v>10</v>
      </c>
      <c r="E88" s="107" t="e">
        <f>IF(ISNA(MATCH((D88+C88),,0)),(D88+C88),12)</f>
        <v>#N/A</v>
      </c>
      <c r="F88" s="519" t="e">
        <f>G86</f>
        <v>#N/A</v>
      </c>
      <c r="G88" s="519" t="e">
        <f>F88+E88*NDDaysInYEar</f>
        <v>#N/A</v>
      </c>
      <c r="H88" s="510" t="s">
        <v>1968</v>
      </c>
      <c r="I88" s="107" t="str">
        <f>INDEX(SignSym,MOD(B88+MATCH(H88,SignSym,FALSE)-1,12)+1)</f>
        <v>Ge</v>
      </c>
      <c r="J88" s="107" t="str">
        <f>INDEX(SignSym,MOD(B88+MATCH(I88,SignSym,FALSE)-1,12)+1)</f>
        <v>Ta</v>
      </c>
      <c r="K88" s="107" t="str">
        <f>INDEX(SignSym,MOD(B88+MATCH(J88,SignSym,FALSE)-1,12)+1)</f>
        <v>Ar</v>
      </c>
      <c r="L88" s="107" t="str">
        <f>INDEX(SignSym,MOD(B88+MATCH(K88,SignSym,FALSE)-1,12)+1)</f>
        <v>Pi</v>
      </c>
      <c r="M88" s="107" t="str">
        <f>INDEX(SignSym,MOD(B88+MATCH(L88,SignSym,FALSE)-1,12)+1)</f>
        <v>Aq</v>
      </c>
      <c r="N88" s="107" t="str">
        <f>INDEX(SignSym,MOD(B88+MATCH(M88,SignSym,FALSE)-1,12)+1)</f>
        <v>Cp</v>
      </c>
      <c r="O88" s="107" t="str">
        <f>INDEX(SignSym,MOD(B88+MATCH(N88,SignSym,FALSE)-1,12)+1)</f>
        <v>Sg</v>
      </c>
      <c r="P88" s="107" t="str">
        <f>INDEX(SignSym,MOD(B88+MATCH(O88,SignSym,FALSE)-1,12)+1)</f>
        <v>Sc</v>
      </c>
      <c r="Q88" s="107" t="str">
        <f>INDEX(SignSym,MOD(B88+MATCH(P88,SignSym,FALSE)-1,12)+1)</f>
        <v>Li</v>
      </c>
      <c r="R88" s="107" t="str">
        <f>INDEX(SignSym,MOD(B88+MATCH(Q88,SignSym,FALSE)-1,12)+1)</f>
        <v>Vi</v>
      </c>
      <c r="S88" s="107" t="str">
        <f>INDEX(SignSym,MOD(B88+MATCH(R88,SignSym,FALSE)-1,12)+1)</f>
        <v>Le</v>
      </c>
    </row>
    <row r="89" spans="1:19" s="107" customFormat="1" hidden="1" x14ac:dyDescent="0.2">
      <c r="C89" s="518"/>
      <c r="D89" s="518"/>
      <c r="F89" s="519"/>
      <c r="G89" s="519"/>
      <c r="H89" s="519" t="e">
        <f>F88</f>
        <v>#N/A</v>
      </c>
      <c r="I89" s="519" t="e">
        <f>H89+(E88*NDDaysInYEar/12)</f>
        <v>#N/A</v>
      </c>
      <c r="J89" s="519" t="e">
        <f>I89+(E88*NDDaysInYEar/12)</f>
        <v>#N/A</v>
      </c>
      <c r="K89" s="519" t="e">
        <f>J89+(E88*NDDaysInYEar/12)</f>
        <v>#N/A</v>
      </c>
      <c r="L89" s="519" t="e">
        <f>K89+(E88*NDDaysInYEar/12)</f>
        <v>#N/A</v>
      </c>
      <c r="M89" s="519" t="e">
        <f>L89+(E88*NDDaysInYEar/12)</f>
        <v>#N/A</v>
      </c>
      <c r="N89" s="519" t="e">
        <f>M89+(E88*NDDaysInYEar/12)</f>
        <v>#N/A</v>
      </c>
      <c r="O89" s="519" t="e">
        <f>N89+(E88*NDDaysInYEar/12)</f>
        <v>#N/A</v>
      </c>
      <c r="P89" s="519" t="e">
        <f>O89+(E88*NDDaysInYEar/12)</f>
        <v>#N/A</v>
      </c>
      <c r="Q89" s="519" t="e">
        <f>P89+(E88*NDDaysInYEar/12)</f>
        <v>#N/A</v>
      </c>
      <c r="R89" s="519" t="e">
        <f>Q89+(E88*NDDaysInYEar/12)</f>
        <v>#N/A</v>
      </c>
      <c r="S89" s="519" t="e">
        <f>R89+(E88*NDDaysInYEar/12)</f>
        <v>#N/A</v>
      </c>
    </row>
    <row r="90" spans="1:19" s="107" customFormat="1" x14ac:dyDescent="0.2">
      <c r="A90" s="107" t="str">
        <f>VLOOKUP(C71,NDasaSeq,15,FALSE)</f>
        <v>Ta</v>
      </c>
      <c r="B90" s="107">
        <f>VLOOKUP(A90,NDasaC,3,FALSE)</f>
        <v>1</v>
      </c>
      <c r="C90" s="518" t="e">
        <f>IF(MATCH(VLOOKUP(IF((A90="Aq"),VLOOKUP("AqLord",DivCharts,D70,FALSE),IF((A90="Sc"),VLOOKUP("ScLord",DivCharts,D70,FALSE),VLOOKUP(A90,RsInfo,9,FALSE))),DivCharts,D70,FALSE),RsTbl,0)=MATCH(VLOOKUP(IF((A90="Aq"),VLOOKUP("AqLord",DivCharts,D70,FALSE),IF((A90="Sc"),VLOOKUP("ScLord",DivCharts,D70,FALSE),VLOOKUP(A90,RsInfo,9,FALSE))),PlanetData,8,FALSE),RsTbl,0),1,IF(MATCH(VLOOKUP(IF((A90="Aq"),VLOOKUP("AqLord",DivCharts,D70,FALSE),IF((A90="Sc"),VLOOKUP("ScLord",DivCharts,D70,FALSE),VLOOKUP(A90,RsInfo,9,FALSE))),DivCharts,D70,FALSE),RsTbl,0)=MOD(MATCH(VLOOKUP(IF((A90="Aq"),VLOOKUP("AqLord",DivCharts,D70,FALSE),IF((A90="Sc"),VLOOKUP("ScLord",DivCharts,D70,FALSE),VLOOKUP(A90,RsInfo,9,FALSE))),PlanetData,8,FALSE),RsTbl,0)+6,12),-1,0))</f>
        <v>#N/A</v>
      </c>
      <c r="D90" s="518">
        <f>MOD((MATCH(VLOOKUP(IF((A90="Aq"),VLOOKUP("AqLord",DivCharts,D70,FALSE),IF((A90="Sc"),VLOOKUP("ScLord",DivCharts,D70,FALSE),VLOOKUP(A90,RsInfo,9,FALSE))),DivCharts,D70,FALSE),RsTbl,0)*B90)-(B90*MATCH(A90,RsTbl,0))+12,12)</f>
        <v>11</v>
      </c>
      <c r="E90" s="107" t="e">
        <f>IF(ISNA(MATCH((D90+C90),,0)),(D90+C90),12)</f>
        <v>#N/A</v>
      </c>
      <c r="F90" s="519" t="e">
        <f>G88</f>
        <v>#N/A</v>
      </c>
      <c r="G90" s="519" t="e">
        <f>F90+E90*NDDaysInYEar</f>
        <v>#N/A</v>
      </c>
      <c r="H90" s="510" t="str">
        <f>A90</f>
        <v>Ta</v>
      </c>
      <c r="I90" s="107" t="str">
        <f>INDEX(SignSym,MOD(B90+MATCH(H90,SignSym,FALSE)-1,12)+1)</f>
        <v>Ge</v>
      </c>
      <c r="J90" s="107" t="str">
        <f>INDEX(SignSym,MOD(B90+MATCH(I90,SignSym,FALSE)-1,12)+1)</f>
        <v>Cn</v>
      </c>
      <c r="K90" s="107" t="str">
        <f>INDEX(SignSym,MOD(B90+MATCH(J90,SignSym,FALSE)-1,12)+1)</f>
        <v>Le</v>
      </c>
      <c r="L90" s="107" t="str">
        <f>INDEX(SignSym,MOD(B90+MATCH(K90,SignSym,FALSE)-1,12)+1)</f>
        <v>Vi</v>
      </c>
      <c r="M90" s="107" t="str">
        <f>INDEX(SignSym,MOD(B90+MATCH(L90,SignSym,FALSE)-1,12)+1)</f>
        <v>Li</v>
      </c>
      <c r="N90" s="107" t="str">
        <f>INDEX(SignSym,MOD(B90+MATCH(M90,SignSym,FALSE)-1,12)+1)</f>
        <v>Sc</v>
      </c>
      <c r="O90" s="107" t="str">
        <f>INDEX(SignSym,MOD(B90+MATCH(N90,SignSym,FALSE)-1,12)+1)</f>
        <v>Sg</v>
      </c>
      <c r="P90" s="107" t="str">
        <f>INDEX(SignSym,MOD(B90+MATCH(O90,SignSym,FALSE)-1,12)+1)</f>
        <v>Cp</v>
      </c>
      <c r="Q90" s="107" t="str">
        <f>INDEX(SignSym,MOD(B90+MATCH(P90,SignSym,FALSE)-1,12)+1)</f>
        <v>Aq</v>
      </c>
      <c r="R90" s="107" t="str">
        <f>INDEX(SignSym,MOD(B90+MATCH(Q90,SignSym,FALSE)-1,12)+1)</f>
        <v>Pi</v>
      </c>
      <c r="S90" s="107" t="str">
        <f>INDEX(SignSym,MOD(B90+MATCH(R90,SignSym,FALSE)-1,12)+1)</f>
        <v>Ar</v>
      </c>
    </row>
    <row r="91" spans="1:19" s="107" customFormat="1" ht="12.75" hidden="1" customHeight="1" x14ac:dyDescent="0.2">
      <c r="C91" s="518"/>
      <c r="D91" s="518"/>
      <c r="F91" s="519"/>
      <c r="G91" s="519"/>
      <c r="H91" s="519" t="e">
        <f>F90</f>
        <v>#N/A</v>
      </c>
      <c r="I91" s="519" t="e">
        <f>H91+(E90*NDDaysInYEar/12)</f>
        <v>#N/A</v>
      </c>
      <c r="J91" s="519" t="e">
        <f>I91+(E90*NDDaysInYEar/12)</f>
        <v>#N/A</v>
      </c>
      <c r="K91" s="519" t="e">
        <f>J91+(E90*NDDaysInYEar/12)</f>
        <v>#N/A</v>
      </c>
      <c r="L91" s="519" t="e">
        <f>K91+(E90*NDDaysInYEar/12)</f>
        <v>#N/A</v>
      </c>
      <c r="M91" s="519" t="e">
        <f>L91+(E90*NDDaysInYEar/12)</f>
        <v>#N/A</v>
      </c>
      <c r="N91" s="519" t="e">
        <f>M91+(E90*NDDaysInYEar/12)</f>
        <v>#N/A</v>
      </c>
      <c r="O91" s="519" t="e">
        <f>N91+(E90*NDDaysInYEar/12)</f>
        <v>#N/A</v>
      </c>
      <c r="P91" s="519" t="e">
        <f>O91+(E90*NDDaysInYEar/12)</f>
        <v>#N/A</v>
      </c>
      <c r="Q91" s="519" t="e">
        <f>P91+(E90*NDDaysInYEar/12)</f>
        <v>#N/A</v>
      </c>
      <c r="R91" s="519" t="e">
        <f>Q91+(E90*NDDaysInYEar/12)</f>
        <v>#N/A</v>
      </c>
      <c r="S91" s="519" t="e">
        <f>R91+(E90*NDDaysInYEar/12)</f>
        <v>#N/A</v>
      </c>
    </row>
    <row r="92" spans="1:19" s="107" customFormat="1" x14ac:dyDescent="0.2">
      <c r="A92" s="107" t="str">
        <f>VLOOKUP(C71,NDasaSeq,16,FALSE)</f>
        <v>Ge</v>
      </c>
      <c r="B92" s="107">
        <f>VLOOKUP(A92,NDasaC,3,FALSE)</f>
        <v>1</v>
      </c>
      <c r="C92" s="518" t="e">
        <f>IF(MATCH(VLOOKUP(IF((A92="Aq"),VLOOKUP("AqLord",DivCharts,D70,FALSE),IF((A92="Sc"),VLOOKUP("ScLord",DivCharts,D70,FALSE),VLOOKUP(A92,RsInfo,9,FALSE))),DivCharts,D70,FALSE),RsTbl,0)=MATCH(VLOOKUP(IF((A92="Aq"),VLOOKUP("AqLord",DivCharts,D70,FALSE),IF((A92="Sc"),VLOOKUP("ScLord",DivCharts,D70,FALSE),VLOOKUP(A92,RsInfo,9,FALSE))),PlanetData,8,FALSE),RsTbl,0),1,IF(MATCH(VLOOKUP(IF((A92="Aq"),VLOOKUP("AqLord",DivCharts,D70,FALSE),IF((A92="Sc"),VLOOKUP("ScLord",DivCharts,D70,FALSE),VLOOKUP(A92,RsInfo,9,FALSE))),DivCharts,D70,FALSE),RsTbl,0)=MOD(MATCH(VLOOKUP(IF((A92="Aq"),VLOOKUP("AqLord",DivCharts,D70,FALSE),IF((A92="Sc"),VLOOKUP("ScLord",DivCharts,D70,FALSE),VLOOKUP(A92,RsInfo,9,FALSE))),PlanetData,8,FALSE),RsTbl,0)+6,12),-1,0))</f>
        <v>#N/A</v>
      </c>
      <c r="D92" s="518">
        <f>MOD((MATCH(VLOOKUP(IF((A92="Aq"),VLOOKUP("AqLord",DivCharts,D70,FALSE),IF((A92="Sc"),VLOOKUP("ScLord",DivCharts,D70,FALSE),VLOOKUP(A92,RsInfo,9,FALSE))),DivCharts,D70,FALSE),RsTbl,0)*B92)-(B92*MATCH(A92,RsTbl,0))+12,12)</f>
        <v>9</v>
      </c>
      <c r="E92" s="107" t="e">
        <f>IF(ISNA(MATCH((D92+C92),,0)),(D92+C92),12)</f>
        <v>#N/A</v>
      </c>
      <c r="F92" s="519" t="e">
        <f>G90</f>
        <v>#N/A</v>
      </c>
      <c r="G92" s="519" t="e">
        <f>F92+E92*NDDaysInYEar</f>
        <v>#N/A</v>
      </c>
      <c r="H92" s="510" t="str">
        <f>A92</f>
        <v>Ge</v>
      </c>
      <c r="I92" s="107" t="str">
        <f>INDEX(SignSym,MOD(B92+MATCH(H92,SignSym,FALSE)-1,12)+1)</f>
        <v>Cn</v>
      </c>
      <c r="J92" s="107" t="str">
        <f>INDEX(SignSym,MOD(B92+MATCH(I92,SignSym,FALSE)-1,12)+1)</f>
        <v>Le</v>
      </c>
      <c r="K92" s="107" t="str">
        <f>INDEX(SignSym,MOD(B92+MATCH(J92,SignSym,FALSE)-1,12)+1)</f>
        <v>Vi</v>
      </c>
      <c r="L92" s="107" t="str">
        <f>INDEX(SignSym,MOD(B92+MATCH(K92,SignSym,FALSE)-1,12)+1)</f>
        <v>Li</v>
      </c>
      <c r="M92" s="107" t="str">
        <f>INDEX(SignSym,MOD(B92+MATCH(L92,SignSym,FALSE)-1,12)+1)</f>
        <v>Sc</v>
      </c>
      <c r="N92" s="107" t="str">
        <f>INDEX(SignSym,MOD(B92+MATCH(M92,SignSym,FALSE)-1,12)+1)</f>
        <v>Sg</v>
      </c>
      <c r="O92" s="107" t="str">
        <f>INDEX(SignSym,MOD(B92+MATCH(N92,SignSym,FALSE)-1,12)+1)</f>
        <v>Cp</v>
      </c>
      <c r="P92" s="107" t="str">
        <f>INDEX(SignSym,MOD(B92+MATCH(O92,SignSym,FALSE)-1,12)+1)</f>
        <v>Aq</v>
      </c>
      <c r="Q92" s="107" t="str">
        <f>INDEX(SignSym,MOD(B92+MATCH(P92,SignSym,FALSE)-1,12)+1)</f>
        <v>Pi</v>
      </c>
      <c r="R92" s="107" t="str">
        <f>INDEX(SignSym,MOD(B92+MATCH(Q92,SignSym,FALSE)-1,12)+1)</f>
        <v>Ar</v>
      </c>
      <c r="S92" s="107" t="str">
        <f>INDEX(SignSym,MOD(B92+MATCH(R92,SignSym,FALSE)-1,12)+1)</f>
        <v>Ta</v>
      </c>
    </row>
    <row r="93" spans="1:19" s="107" customFormat="1" ht="12.75" hidden="1" customHeight="1" x14ac:dyDescent="0.2">
      <c r="C93" s="518"/>
      <c r="D93" s="518"/>
      <c r="F93" s="519"/>
      <c r="G93" s="519"/>
      <c r="H93" s="519" t="e">
        <f>F92</f>
        <v>#N/A</v>
      </c>
      <c r="I93" s="519" t="e">
        <f>H93+(E92*NDDaysInYEar/12)</f>
        <v>#N/A</v>
      </c>
      <c r="J93" s="519" t="e">
        <f>I93+(E92*NDDaysInYEar/12)</f>
        <v>#N/A</v>
      </c>
      <c r="K93" s="519" t="e">
        <f>J93+(E92*NDDaysInYEar/12)</f>
        <v>#N/A</v>
      </c>
      <c r="L93" s="519" t="e">
        <f>K93+(E92*NDDaysInYEar/12)</f>
        <v>#N/A</v>
      </c>
      <c r="M93" s="519" t="e">
        <f>L93+(E92*NDDaysInYEar/12)</f>
        <v>#N/A</v>
      </c>
      <c r="N93" s="519" t="e">
        <f>M93+(E92*NDDaysInYEar/12)</f>
        <v>#N/A</v>
      </c>
      <c r="O93" s="519" t="e">
        <f>N93+(E92*NDDaysInYEar/12)</f>
        <v>#N/A</v>
      </c>
      <c r="P93" s="519" t="e">
        <f>O93+(E92*NDDaysInYEar/12)</f>
        <v>#N/A</v>
      </c>
      <c r="Q93" s="519" t="e">
        <f>P93+(E92*NDDaysInYEar/12)</f>
        <v>#N/A</v>
      </c>
      <c r="R93" s="519" t="e">
        <f>Q93+(E92*NDDaysInYEar/12)</f>
        <v>#N/A</v>
      </c>
      <c r="S93" s="519" t="e">
        <f>R93+(E92*NDDaysInYEar/12)</f>
        <v>#N/A</v>
      </c>
    </row>
    <row r="94" spans="1:19" s="107" customFormat="1" x14ac:dyDescent="0.2">
      <c r="A94" s="107" t="str">
        <f>VLOOKUP(C71,NDasaSeq,17,FALSE)</f>
        <v>Li</v>
      </c>
      <c r="B94" s="107">
        <f>VLOOKUP(A94,NDasaC,3,FALSE)</f>
        <v>1</v>
      </c>
      <c r="C94" s="518" t="e">
        <f>IF(MATCH(VLOOKUP(IF((A94="Aq"),VLOOKUP("AqLord",DivCharts,D70,FALSE),IF((A94="Sc"),VLOOKUP("ScLord",DivCharts,D70,FALSE),VLOOKUP(A94,RsInfo,9,FALSE))),DivCharts,D70,FALSE),RsTbl,0)=MATCH(VLOOKUP(IF((A94="Aq"),VLOOKUP("AqLord",DivCharts,D70,FALSE),IF((A94="Sc"),VLOOKUP("ScLord",DivCharts,D70,FALSE),VLOOKUP(A94,RsInfo,9,FALSE))),PlanetData,8,FALSE),RsTbl,0),1,IF(MATCH(VLOOKUP(IF((A94="Aq"),VLOOKUP("AqLord",DivCharts,D70,FALSE),IF((A94="Sc"),VLOOKUP("ScLord",DivCharts,D70,FALSE),VLOOKUP(A94,RsInfo,9,FALSE))),DivCharts,D70,FALSE),RsTbl,0)=MOD(MATCH(VLOOKUP(IF((A94="Aq"),VLOOKUP("AqLord",DivCharts,D70,FALSE),IF((A94="Sc"),VLOOKUP("ScLord",DivCharts,D70,FALSE),VLOOKUP(A94,RsInfo,9,FALSE))),PlanetData,8,FALSE),RsTbl,0)+6,12),-1,0))</f>
        <v>#N/A</v>
      </c>
      <c r="D94" s="518">
        <f>MOD((MATCH(VLOOKUP(IF((A94="Aq"),VLOOKUP("AqLord",DivCharts,D70,FALSE),IF((A94="Sc"),VLOOKUP("ScLord",DivCharts,D70,FALSE),VLOOKUP(A94,RsInfo,9,FALSE))),DivCharts,D70,FALSE),RsTbl,0)*B94)-(B94*MATCH(A94,RsTbl,0))+12,12)</f>
        <v>6</v>
      </c>
      <c r="E94" s="107" t="e">
        <f>IF(ISNA(MATCH((D94+C94),,0)),(D94+C94),12)</f>
        <v>#N/A</v>
      </c>
      <c r="F94" s="519" t="e">
        <f>G92</f>
        <v>#N/A</v>
      </c>
      <c r="G94" s="519" t="e">
        <f>F94+E94*NDDaysInYEar</f>
        <v>#N/A</v>
      </c>
      <c r="H94" s="510" t="str">
        <f>A94</f>
        <v>Li</v>
      </c>
      <c r="I94" s="107" t="str">
        <f>INDEX(SignSym,MOD(B94+MATCH(H94,SignSym,FALSE)-1,12)+1)</f>
        <v>Sc</v>
      </c>
      <c r="J94" s="107" t="str">
        <f>INDEX(SignSym,MOD(B94+MATCH(I94,SignSym,FALSE)-1,12)+1)</f>
        <v>Sg</v>
      </c>
      <c r="K94" s="107" t="str">
        <f>INDEX(SignSym,MOD(B94+MATCH(J94,SignSym,FALSE)-1,12)+1)</f>
        <v>Cp</v>
      </c>
      <c r="L94" s="107" t="str">
        <f>INDEX(SignSym,MOD(B94+MATCH(K94,SignSym,FALSE)-1,12)+1)</f>
        <v>Aq</v>
      </c>
      <c r="M94" s="107" t="str">
        <f>INDEX(SignSym,MOD(B94+MATCH(L94,SignSym,FALSE)-1,12)+1)</f>
        <v>Pi</v>
      </c>
      <c r="N94" s="107" t="str">
        <f>INDEX(SignSym,MOD(B94+MATCH(M94,SignSym,FALSE)-1,12)+1)</f>
        <v>Ar</v>
      </c>
      <c r="O94" s="107" t="str">
        <f>INDEX(SignSym,MOD(B94+MATCH(N94,SignSym,FALSE)-1,12)+1)</f>
        <v>Ta</v>
      </c>
      <c r="P94" s="107" t="str">
        <f>INDEX(SignSym,MOD(B94+MATCH(O94,SignSym,FALSE)-1,12)+1)</f>
        <v>Ge</v>
      </c>
      <c r="Q94" s="107" t="str">
        <f>INDEX(SignSym,MOD(B94+MATCH(P94,SignSym,FALSE)-1,12)+1)</f>
        <v>Cn</v>
      </c>
      <c r="R94" s="107" t="str">
        <f>INDEX(SignSym,MOD(B94+MATCH(Q94,SignSym,FALSE)-1,12)+1)</f>
        <v>Le</v>
      </c>
      <c r="S94" s="107" t="str">
        <f>INDEX(SignSym,MOD(B94+MATCH(R94,SignSym,FALSE)-1,12)+1)</f>
        <v>Vi</v>
      </c>
    </row>
    <row r="95" spans="1:19" s="107" customFormat="1" ht="12.75" hidden="1" customHeight="1" x14ac:dyDescent="0.2">
      <c r="C95" s="518"/>
      <c r="D95" s="518"/>
      <c r="F95" s="519"/>
      <c r="G95" s="519"/>
      <c r="H95" s="519" t="e">
        <f>F94</f>
        <v>#N/A</v>
      </c>
      <c r="I95" s="519" t="e">
        <f>H95+(E94*NDDaysInYEar/12)</f>
        <v>#N/A</v>
      </c>
      <c r="J95" s="519" t="e">
        <f>I95+(E94*NDDaysInYEar/12)</f>
        <v>#N/A</v>
      </c>
      <c r="K95" s="519" t="e">
        <f>J95+(E94*NDDaysInYEar/12)</f>
        <v>#N/A</v>
      </c>
      <c r="L95" s="519" t="e">
        <f>K95+(E94*NDDaysInYEar/12)</f>
        <v>#N/A</v>
      </c>
      <c r="M95" s="519" t="e">
        <f>L95+(E94*NDDaysInYEar/12)</f>
        <v>#N/A</v>
      </c>
      <c r="N95" s="519" t="e">
        <f>M95+(E94*NDDaysInYEar/12)</f>
        <v>#N/A</v>
      </c>
      <c r="O95" s="519" t="e">
        <f>N95+(E94*NDDaysInYEar/12)</f>
        <v>#N/A</v>
      </c>
      <c r="P95" s="519" t="e">
        <f>O95+(E94*NDDaysInYEar/12)</f>
        <v>#N/A</v>
      </c>
      <c r="Q95" s="519" t="e">
        <f>P95+(E94*NDDaysInYEar/12)</f>
        <v>#N/A</v>
      </c>
      <c r="R95" s="519" t="e">
        <f>Q95+(E94*NDDaysInYEar/12)</f>
        <v>#N/A</v>
      </c>
      <c r="S95" s="519" t="e">
        <f>R95+(E94*NDDaysInYEar/12)</f>
        <v>#N/A</v>
      </c>
    </row>
    <row r="96" spans="1:19" s="107" customFormat="1" x14ac:dyDescent="0.2">
      <c r="A96" s="107" t="str">
        <f>VLOOKUP(C71,NDasaSeq,18,FALSE)</f>
        <v>Aq</v>
      </c>
      <c r="B96" s="107">
        <f>VLOOKUP(A96,NDasaC,3,FALSE)</f>
        <v>-1</v>
      </c>
      <c r="C96" s="518" t="e">
        <f>IF(MATCH(VLOOKUP(IF((A96="Aq"),VLOOKUP("AqLord",DivCharts,D70,FALSE),IF((A96="Sc"),VLOOKUP("ScLord",DivCharts,D70,FALSE),VLOOKUP(A96,RsInfo,9,FALSE))),DivCharts,D70,FALSE),RsTbl,0)=MATCH(VLOOKUP(IF((A96="Aq"),VLOOKUP("AqLord",DivCharts,D70,FALSE),IF((A96="Sc"),VLOOKUP("ScLord",DivCharts,D70,FALSE),VLOOKUP(A96,RsInfo,9,FALSE))),PlanetData,8,FALSE),RsTbl,0),1,IF(MATCH(VLOOKUP(IF((A96="Aq"),VLOOKUP("AqLord",DivCharts,D70,FALSE),IF((A96="Sc"),VLOOKUP("ScLord",DivCharts,D70,FALSE),VLOOKUP(A96,RsInfo,9,FALSE))),DivCharts,D70,FALSE),RsTbl,0)=MOD(MATCH(VLOOKUP(IF((A96="Aq"),VLOOKUP("AqLord",DivCharts,D70,FALSE),IF((A96="Sc"),VLOOKUP("ScLord",DivCharts,D70,FALSE),VLOOKUP(A96,RsInfo,9,FALSE))),PlanetData,8,FALSE),RsTbl,0)+6,12),-1,0))</f>
        <v>#N/A</v>
      </c>
      <c r="D96" s="518">
        <f>MOD((MATCH(VLOOKUP(IF((A96="Aq"),VLOOKUP("AqLord",DivCharts,D70,FALSE),IF((A96="Sc"),VLOOKUP("ScLord",DivCharts,D70,FALSE),VLOOKUP(A96,RsInfo,9,FALSE))),DivCharts,D70,FALSE),RsTbl,0)*B96)-(B96*MATCH(A96,RsTbl,0))+12,12)</f>
        <v>7</v>
      </c>
      <c r="E96" s="107" t="e">
        <f>IF(ISNA(MATCH((D96+C96),,0)),(D96+C96),12)</f>
        <v>#N/A</v>
      </c>
      <c r="F96" s="519" t="e">
        <f>G94</f>
        <v>#N/A</v>
      </c>
      <c r="G96" s="519" t="e">
        <f>F96+E96*NDDaysInYEar</f>
        <v>#N/A</v>
      </c>
      <c r="H96" s="510" t="str">
        <f>A96</f>
        <v>Aq</v>
      </c>
      <c r="I96" s="107" t="str">
        <f>INDEX(SignSym,MOD(B96+MATCH(H96,SignSym,FALSE)-1,12)+1)</f>
        <v>Cp</v>
      </c>
      <c r="J96" s="107" t="str">
        <f>INDEX(SignSym,MOD(B96+MATCH(I96,SignSym,FALSE)-1,12)+1)</f>
        <v>Sg</v>
      </c>
      <c r="K96" s="107" t="str">
        <f>INDEX(SignSym,MOD(B96+MATCH(J96,SignSym,FALSE)-1,12)+1)</f>
        <v>Sc</v>
      </c>
      <c r="L96" s="107" t="str">
        <f>INDEX(SignSym,MOD(B96+MATCH(K96,SignSym,FALSE)-1,12)+1)</f>
        <v>Li</v>
      </c>
      <c r="M96" s="107" t="str">
        <f>INDEX(SignSym,MOD(B96+MATCH(L96,SignSym,FALSE)-1,12)+1)</f>
        <v>Vi</v>
      </c>
      <c r="N96" s="107" t="str">
        <f>INDEX(SignSym,MOD(B96+MATCH(M96,SignSym,FALSE)-1,12)+1)</f>
        <v>Le</v>
      </c>
      <c r="O96" s="107" t="str">
        <f>INDEX(SignSym,MOD(B96+MATCH(N96,SignSym,FALSE)-1,12)+1)</f>
        <v>Cn</v>
      </c>
      <c r="P96" s="107" t="str">
        <f>INDEX(SignSym,MOD(B96+MATCH(O96,SignSym,FALSE)-1,12)+1)</f>
        <v>Ge</v>
      </c>
      <c r="Q96" s="107" t="str">
        <f>INDEX(SignSym,MOD(B96+MATCH(P96,SignSym,FALSE)-1,12)+1)</f>
        <v>Ta</v>
      </c>
      <c r="R96" s="107" t="str">
        <f>INDEX(SignSym,MOD(B96+MATCH(Q96,SignSym,FALSE)-1,12)+1)</f>
        <v>Ar</v>
      </c>
      <c r="S96" s="107" t="str">
        <f>INDEX(SignSym,MOD(B96+MATCH(R96,SignSym,FALSE)-1,12)+1)</f>
        <v>Pi</v>
      </c>
    </row>
    <row r="97" spans="1:19" s="107" customFormat="1" hidden="1" x14ac:dyDescent="0.2">
      <c r="D97" s="518"/>
      <c r="H97" s="519" t="e">
        <f>F96</f>
        <v>#N/A</v>
      </c>
      <c r="I97" s="519" t="e">
        <f>H97+(E96*NDDaysInYEar/12)</f>
        <v>#N/A</v>
      </c>
      <c r="J97" s="519" t="e">
        <f>I97+(E96*NDDaysInYEar/12)</f>
        <v>#N/A</v>
      </c>
      <c r="K97" s="519" t="e">
        <f>J97+(E96*NDDaysInYEar/12)</f>
        <v>#N/A</v>
      </c>
      <c r="L97" s="519" t="e">
        <f>K97+(E96*NDDaysInYEar/12)</f>
        <v>#N/A</v>
      </c>
      <c r="M97" s="519" t="e">
        <f>L97+(E96*NDDaysInYEar/12)</f>
        <v>#N/A</v>
      </c>
      <c r="N97" s="519" t="e">
        <f>M97+(E96*NDDaysInYEar/12)</f>
        <v>#N/A</v>
      </c>
      <c r="O97" s="519" t="e">
        <f>N97+(E96*NDDaysInYEar/12)</f>
        <v>#N/A</v>
      </c>
      <c r="P97" s="519" t="e">
        <f>O97+(E96*NDDaysInYEar/12)</f>
        <v>#N/A</v>
      </c>
      <c r="Q97" s="519" t="e">
        <f>P97+(E96*NDDaysInYEar/12)</f>
        <v>#N/A</v>
      </c>
      <c r="R97" s="519" t="e">
        <f>Q97+(E96*NDDaysInYEar/12)</f>
        <v>#N/A</v>
      </c>
      <c r="S97" s="519" t="e">
        <f>R97+(E96*NDDaysInYEar/12)</f>
        <v>#N/A</v>
      </c>
    </row>
    <row r="98" spans="1:19" s="107" customFormat="1" x14ac:dyDescent="0.2">
      <c r="A98" s="520"/>
      <c r="B98" s="520"/>
      <c r="C98" s="520"/>
      <c r="D98" s="520"/>
      <c r="E98" s="520"/>
      <c r="F98" s="520"/>
      <c r="G98" s="520"/>
      <c r="H98" s="520"/>
      <c r="I98" s="520"/>
      <c r="J98" s="520"/>
      <c r="K98" s="520"/>
      <c r="L98" s="520"/>
      <c r="M98" s="520"/>
      <c r="N98" s="520"/>
      <c r="O98" s="520"/>
      <c r="P98" s="520"/>
      <c r="Q98" s="520"/>
      <c r="R98" s="520"/>
      <c r="S98" s="520"/>
    </row>
    <row r="99" spans="1:19" s="107" customFormat="1" hidden="1" x14ac:dyDescent="0.2">
      <c r="H99" s="519"/>
      <c r="I99" s="519"/>
      <c r="J99" s="519"/>
      <c r="K99" s="519"/>
      <c r="L99" s="519"/>
      <c r="M99" s="519"/>
      <c r="N99" s="519"/>
      <c r="O99" s="519"/>
      <c r="P99" s="519"/>
      <c r="Q99" s="519"/>
      <c r="R99" s="519"/>
      <c r="S99" s="519"/>
    </row>
    <row r="100" spans="1:19" s="107" customFormat="1" x14ac:dyDescent="0.2"/>
    <row r="102" spans="1:19" s="107" customFormat="1" x14ac:dyDescent="0.2">
      <c r="A102" s="1574" t="s">
        <v>1429</v>
      </c>
      <c r="B102" s="1574"/>
      <c r="C102" s="507">
        <v>10</v>
      </c>
      <c r="D102" s="508">
        <f>MATCH(C102,$18:$18,1)</f>
        <v>7</v>
      </c>
      <c r="I102" s="509"/>
      <c r="N102" s="509"/>
    </row>
    <row r="103" spans="1:19" s="107" customFormat="1" x14ac:dyDescent="0.2">
      <c r="A103" s="1574" t="s">
        <v>1430</v>
      </c>
      <c r="B103" s="1574"/>
      <c r="C103" s="510" t="s">
        <v>2011</v>
      </c>
      <c r="D103" s="511"/>
      <c r="E103" s="512"/>
      <c r="H103" s="513"/>
      <c r="I103" s="513"/>
      <c r="J103" s="513"/>
      <c r="O103" s="514"/>
      <c r="P103" s="515"/>
      <c r="Q103" s="514"/>
    </row>
    <row r="104" spans="1:19" s="514" customFormat="1" x14ac:dyDescent="0.2">
      <c r="B104" s="516"/>
      <c r="C104" s="515"/>
      <c r="D104" s="516"/>
      <c r="E104" s="515"/>
      <c r="F104" s="516"/>
      <c r="G104" s="516"/>
      <c r="H104" s="515"/>
      <c r="I104" s="513"/>
      <c r="J104" s="513"/>
      <c r="K104" s="107"/>
      <c r="L104" s="107"/>
      <c r="M104" s="107"/>
      <c r="N104" s="107"/>
    </row>
    <row r="105" spans="1:19" s="107" customFormat="1" x14ac:dyDescent="0.2">
      <c r="A105" s="517" t="s">
        <v>1431</v>
      </c>
      <c r="B105" s="517" t="s">
        <v>1937</v>
      </c>
      <c r="C105" s="517" t="s">
        <v>1432</v>
      </c>
      <c r="D105" s="517" t="s">
        <v>1433</v>
      </c>
      <c r="E105" s="517" t="s">
        <v>1490</v>
      </c>
      <c r="F105" s="517" t="s">
        <v>2029</v>
      </c>
      <c r="G105" s="517" t="s">
        <v>2030</v>
      </c>
      <c r="H105" s="517" t="s">
        <v>1434</v>
      </c>
      <c r="I105" s="513"/>
      <c r="J105" s="513"/>
    </row>
    <row r="106" spans="1:19" s="107" customFormat="1" x14ac:dyDescent="0.2">
      <c r="A106" s="107" t="str">
        <f>VLOOKUP(C103,NDasaSeq,7,FALSE)</f>
        <v>Cp</v>
      </c>
      <c r="B106" s="107">
        <f>VLOOKUP(A106,NDasaC,3,FALSE)</f>
        <v>-1</v>
      </c>
      <c r="C106" s="518" t="e">
        <f>IF(MATCH(VLOOKUP(IF((A106="Aq"),VLOOKUP("AqLord",DivCharts,D102,FALSE),IF((A106="Sc"),VLOOKUP("ScLord",DivCharts,D102,FALSE),VLOOKUP(A106,RsInfo,9,FALSE))),DivCharts,D102,FALSE),RsTbl,0)=MATCH(VLOOKUP(IF((A106="Aq"),VLOOKUP("AqLord",DivCharts,D102,FALSE),IF((A106="Sc"),VLOOKUP("ScLord",DivCharts,D102,FALSE),VLOOKUP(A106,RsInfo,9,FALSE))),PlanetData,8,FALSE),RsTbl,0),1,IF(MATCH(VLOOKUP(IF((A106="Aq"),VLOOKUP("AqLord",DivCharts,D102,FALSE),IF((A106="Sc"),VLOOKUP("ScLord",DivCharts,D102,FALSE),VLOOKUP(A106,RsInfo,9,FALSE))),DivCharts,D102,FALSE),RsTbl,0)=MOD(MATCH(VLOOKUP(IF((A106="Aq"),VLOOKUP("AqLord",DivCharts,D102,FALSE),IF((A106="Sc"),VLOOKUP("ScLord",DivCharts,D102,FALSE),VLOOKUP(A106,RsInfo,9,FALSE))),PlanetData,8,FALSE),RsTbl,0)+6,12),-1,0))</f>
        <v>#N/A</v>
      </c>
      <c r="D106" s="518">
        <f>MOD((MATCH(VLOOKUP(IF((A106="Aq"),VLOOKUP("AqLord",DivCharts,D102,FALSE),IF((A106="Sc"),VLOOKUP("ScLord",DivCharts,D102,FALSE),VLOOKUP(A106,RsInfo,9,FALSE))),DivCharts,D102,FALSE),RsTbl,0)*B106)-(B106*MATCH(A106,RsTbl,0))+12,12)</f>
        <v>10</v>
      </c>
      <c r="E106" s="107" t="e">
        <f>IF(ISNA(MATCH((D106+C106),,0)),(D106+C106),12)</f>
        <v>#N/A</v>
      </c>
      <c r="F106" s="519">
        <f>NDDoB</f>
        <v>26133.384143518517</v>
      </c>
      <c r="G106" s="519" t="e">
        <f>F106+E106*NDDaysInYEar</f>
        <v>#N/A</v>
      </c>
      <c r="H106" s="510" t="str">
        <f>A106</f>
        <v>Cp</v>
      </c>
      <c r="I106" s="107" t="str">
        <f>INDEX(SignSym,MOD(B106+MATCH(H106,SignSym,FALSE)-1,12)+1)</f>
        <v>Sg</v>
      </c>
      <c r="J106" s="107" t="str">
        <f>INDEX(SignSym,MOD(B106+MATCH(I106,SignSym,FALSE)-1,12)+1)</f>
        <v>Sc</v>
      </c>
      <c r="K106" s="107" t="str">
        <f>INDEX(SignSym,MOD(B106+MATCH(J106,SignSym,FALSE)-1,12)+1)</f>
        <v>Li</v>
      </c>
      <c r="L106" s="107" t="str">
        <f>INDEX(SignSym,MOD(B106+MATCH(K106,SignSym,FALSE)-1,12)+1)</f>
        <v>Vi</v>
      </c>
      <c r="M106" s="107" t="str">
        <f>INDEX(SignSym,MOD(B106+MATCH(L106,SignSym,FALSE)-1,12)+1)</f>
        <v>Le</v>
      </c>
      <c r="N106" s="107" t="str">
        <f>INDEX(SignSym,MOD(B106+MATCH(M106,SignSym,FALSE)-1,12)+1)</f>
        <v>Cn</v>
      </c>
      <c r="O106" s="107" t="str">
        <f>INDEX(SignSym,MOD(B106+MATCH(N106,SignSym,FALSE)-1,12)+1)</f>
        <v>Ge</v>
      </c>
      <c r="P106" s="107" t="str">
        <f>INDEX(SignSym,MOD(B106+MATCH(O106,SignSym,FALSE)-1,12)+1)</f>
        <v>Ta</v>
      </c>
      <c r="Q106" s="107" t="str">
        <f>INDEX(SignSym,MOD(B106+MATCH(P106,SignSym,FALSE)-1,12)+1)</f>
        <v>Ar</v>
      </c>
      <c r="R106" s="107" t="str">
        <f>INDEX(SignSym,MOD(B106+MATCH(Q106,SignSym,FALSE)-1,12)+1)</f>
        <v>Pi</v>
      </c>
      <c r="S106" s="107" t="str">
        <f>INDEX(SignSym,MOD(B106+MATCH(R106,SignSym,FALSE)-1,12)+1)</f>
        <v>Aq</v>
      </c>
    </row>
    <row r="107" spans="1:19" s="107" customFormat="1" ht="12.75" hidden="1" customHeight="1" x14ac:dyDescent="0.2">
      <c r="C107" s="518"/>
      <c r="D107" s="518"/>
      <c r="F107" s="519"/>
      <c r="G107" s="519"/>
      <c r="H107" s="519">
        <f>F106</f>
        <v>26133.384143518517</v>
      </c>
      <c r="I107" s="519" t="e">
        <f>H107+(E106*NDDaysInYEar/12)</f>
        <v>#N/A</v>
      </c>
      <c r="J107" s="519" t="e">
        <f>I107+(E106*NDDaysInYEar/12)</f>
        <v>#N/A</v>
      </c>
      <c r="K107" s="519" t="e">
        <f>J107+(E106*NDDaysInYEar/12)</f>
        <v>#N/A</v>
      </c>
      <c r="L107" s="519" t="e">
        <f>K107+(E106*NDDaysInYEar/12)</f>
        <v>#N/A</v>
      </c>
      <c r="M107" s="519" t="e">
        <f>L107+(E106*NDDaysInYEar/12)</f>
        <v>#N/A</v>
      </c>
      <c r="N107" s="519" t="e">
        <f>M107+(E106*NDDaysInYEar/12)</f>
        <v>#N/A</v>
      </c>
      <c r="O107" s="519" t="e">
        <f>N107+(E106*NDDaysInYEar/12)</f>
        <v>#N/A</v>
      </c>
      <c r="P107" s="519" t="e">
        <f>O107+(E106*NDDaysInYEar/12)</f>
        <v>#N/A</v>
      </c>
      <c r="Q107" s="519" t="e">
        <f>P107+(E106*NDDaysInYEar/12)</f>
        <v>#N/A</v>
      </c>
      <c r="R107" s="519" t="e">
        <f>Q107+(E106*NDDaysInYEar/12)</f>
        <v>#N/A</v>
      </c>
      <c r="S107" s="519" t="e">
        <f>R107+(E106*NDDaysInYEar/12)</f>
        <v>#N/A</v>
      </c>
    </row>
    <row r="108" spans="1:19" s="107" customFormat="1" x14ac:dyDescent="0.2">
      <c r="A108" s="107" t="str">
        <f>VLOOKUP(C103,NDasaSeq,8,FALSE)</f>
        <v>Sg</v>
      </c>
      <c r="B108" s="107">
        <f>VLOOKUP(A108,NDasaC,3,FALSE)</f>
        <v>1</v>
      </c>
      <c r="C108" s="518" t="e">
        <f>IF(MATCH(VLOOKUP(IF((A108="Aq"),VLOOKUP("AqLord",DivCharts,D102,FALSE),IF((A108="Sc"),VLOOKUP("ScLord",DivCharts,D102,FALSE),VLOOKUP(A108,RsInfo,9,FALSE))),DivCharts,D102,FALSE),RsTbl,0)=MATCH(VLOOKUP(IF((A108="Aq"),VLOOKUP("AqLord",DivCharts,D102,FALSE),IF((A108="Sc"),VLOOKUP("ScLord",DivCharts,D102,FALSE),VLOOKUP(A108,RsInfo,9,FALSE))),PlanetData,8,FALSE),RsTbl,0),1,IF(MATCH(VLOOKUP(IF((A108="Aq"),VLOOKUP("AqLord",DivCharts,D102,FALSE),IF((A108="Sc"),VLOOKUP("ScLord",DivCharts,D102,FALSE),VLOOKUP(A108,RsInfo,9,FALSE))),DivCharts,D102,FALSE),RsTbl,0)=MOD(MATCH(VLOOKUP(IF((A108="Aq"),VLOOKUP("AqLord",DivCharts,D102,FALSE),IF((A108="Sc"),VLOOKUP("ScLord",DivCharts,D102,FALSE),VLOOKUP(A108,RsInfo,9,FALSE))),PlanetData,8,FALSE),RsTbl,0)+6,12),-1,0))</f>
        <v>#N/A</v>
      </c>
      <c r="D108" s="518">
        <f>MOD((MATCH(VLOOKUP(IF((A108="Aq"),VLOOKUP("AqLord",DivCharts,D102,FALSE),IF((A108="Sc"),VLOOKUP("ScLord",DivCharts,D102,FALSE),VLOOKUP(A108,RsInfo,9,FALSE))),DivCharts,D102,FALSE),RsTbl,0)*B108)-(B108*MATCH(A108,RsTbl,0))+12,12)</f>
        <v>7</v>
      </c>
      <c r="E108" s="107" t="e">
        <f>IF(ISNA(MATCH((D108+C108),,0)),(D108+C108),12)</f>
        <v>#N/A</v>
      </c>
      <c r="F108" s="519" t="e">
        <f>G106</f>
        <v>#N/A</v>
      </c>
      <c r="G108" s="519" t="e">
        <f>F108+E108*NDDaysInYEar</f>
        <v>#N/A</v>
      </c>
      <c r="H108" s="510" t="str">
        <f>A108</f>
        <v>Sg</v>
      </c>
      <c r="I108" s="107" t="str">
        <f>INDEX(SignSym,MOD(B108+MATCH(H108,SignSym,FALSE)-1,12)+1)</f>
        <v>Cp</v>
      </c>
      <c r="J108" s="107" t="str">
        <f>INDEX(SignSym,MOD(B108+MATCH(I108,SignSym,FALSE)-1,12)+1)</f>
        <v>Aq</v>
      </c>
      <c r="K108" s="107" t="str">
        <f>INDEX(SignSym,MOD(B108+MATCH(J108,SignSym,FALSE)-1,12)+1)</f>
        <v>Pi</v>
      </c>
      <c r="L108" s="107" t="str">
        <f>INDEX(SignSym,MOD(B108+MATCH(K108,SignSym,FALSE)-1,12)+1)</f>
        <v>Ar</v>
      </c>
      <c r="M108" s="107" t="str">
        <f>INDEX(SignSym,MOD(B108+MATCH(L108,SignSym,FALSE)-1,12)+1)</f>
        <v>Ta</v>
      </c>
      <c r="N108" s="107" t="str">
        <f>INDEX(SignSym,MOD(B108+MATCH(M108,SignSym,FALSE)-1,12)+1)</f>
        <v>Ge</v>
      </c>
      <c r="O108" s="107" t="str">
        <f>INDEX(SignSym,MOD(B108+MATCH(N108,SignSym,FALSE)-1,12)+1)</f>
        <v>Cn</v>
      </c>
      <c r="P108" s="107" t="str">
        <f>INDEX(SignSym,MOD(B108+MATCH(O108,SignSym,FALSE)-1,12)+1)</f>
        <v>Le</v>
      </c>
      <c r="Q108" s="107" t="str">
        <f>INDEX(SignSym,MOD(B108+MATCH(P108,SignSym,FALSE)-1,12)+1)</f>
        <v>Vi</v>
      </c>
      <c r="R108" s="107" t="str">
        <f>INDEX(SignSym,MOD(B108+MATCH(Q108,SignSym,FALSE)-1,12)+1)</f>
        <v>Li</v>
      </c>
      <c r="S108" s="107" t="str">
        <f>INDEX(SignSym,MOD(B108+MATCH(R108,SignSym,FALSE)-1,12)+1)</f>
        <v>Sc</v>
      </c>
    </row>
    <row r="109" spans="1:19" s="107" customFormat="1" ht="12.75" hidden="1" customHeight="1" x14ac:dyDescent="0.2">
      <c r="C109" s="518"/>
      <c r="D109" s="518"/>
      <c r="F109" s="519"/>
      <c r="G109" s="519"/>
      <c r="H109" s="519" t="e">
        <f>F108</f>
        <v>#N/A</v>
      </c>
      <c r="I109" s="519" t="e">
        <f>H109+(E108*NDDaysInYEar/12)</f>
        <v>#N/A</v>
      </c>
      <c r="J109" s="519" t="e">
        <f>I109+(E108*NDDaysInYEar/12)</f>
        <v>#N/A</v>
      </c>
      <c r="K109" s="519" t="e">
        <f>J109+(E108*NDDaysInYEar/12)</f>
        <v>#N/A</v>
      </c>
      <c r="L109" s="519" t="e">
        <f>K109+(E108*NDDaysInYEar/12)</f>
        <v>#N/A</v>
      </c>
      <c r="M109" s="519" t="e">
        <f>L109+(E108*NDDaysInYEar/12)</f>
        <v>#N/A</v>
      </c>
      <c r="N109" s="519" t="e">
        <f>M109+(E108*NDDaysInYEar/12)</f>
        <v>#N/A</v>
      </c>
      <c r="O109" s="519" t="e">
        <f>N109+(E108*NDDaysInYEar/12)</f>
        <v>#N/A</v>
      </c>
      <c r="P109" s="519" t="e">
        <f>O109+(E108*NDDaysInYEar/12)</f>
        <v>#N/A</v>
      </c>
      <c r="Q109" s="519" t="e">
        <f>P109+(E108*NDDaysInYEar/12)</f>
        <v>#N/A</v>
      </c>
      <c r="R109" s="519" t="e">
        <f>Q109+(E108*NDDaysInYEar/12)</f>
        <v>#N/A</v>
      </c>
      <c r="S109" s="519" t="e">
        <f>R109+(E108*NDDaysInYEar/12)</f>
        <v>#N/A</v>
      </c>
    </row>
    <row r="110" spans="1:19" s="107" customFormat="1" x14ac:dyDescent="0.2">
      <c r="A110" s="107" t="str">
        <f>VLOOKUP(C103,NDasaSeq,9,FALSE)</f>
        <v>Sc</v>
      </c>
      <c r="B110" s="107">
        <f>VLOOKUP(A110,NDasaC,3,FALSE)</f>
        <v>1</v>
      </c>
      <c r="C110" s="518" t="e">
        <f>IF(MATCH(VLOOKUP(IF((A110="Aq"),VLOOKUP("AqLord",DivCharts,D102,FALSE),IF((A110="Sc"),VLOOKUP("ScLord",DivCharts,D102,FALSE),VLOOKUP(A110,RsInfo,9,FALSE))),DivCharts,D102,FALSE),RsTbl,0)=MATCH(VLOOKUP(IF((A110="Aq"),VLOOKUP("AqLord",DivCharts,D102,FALSE),IF((A110="Sc"),VLOOKUP("ScLord",DivCharts,D102,FALSE),VLOOKUP(A110,RsInfo,9,FALSE))),PlanetData,8,FALSE),RsTbl,0),1,IF(MATCH(VLOOKUP(IF((A110="Aq"),VLOOKUP("AqLord",DivCharts,D102,FALSE),IF((A110="Sc"),VLOOKUP("ScLord",DivCharts,D102,FALSE),VLOOKUP(A110,RsInfo,9,FALSE))),DivCharts,D102,FALSE),RsTbl,0)=MOD(MATCH(VLOOKUP(IF((A110="Aq"),VLOOKUP("AqLord",DivCharts,D102,FALSE),IF((A110="Sc"),VLOOKUP("ScLord",DivCharts,D102,FALSE),VLOOKUP(A110,RsInfo,9,FALSE))),PlanetData,8,FALSE),RsTbl,0)+6,12),-1,0))</f>
        <v>#N/A</v>
      </c>
      <c r="D110" s="518">
        <f>MOD((MATCH(VLOOKUP(IF((A110="Aq"),VLOOKUP("AqLord",DivCharts,D102,FALSE),IF((A110="Sc"),VLOOKUP("ScLord",DivCharts,D102,FALSE),VLOOKUP(A110,RsInfo,9,FALSE))),DivCharts,D102,FALSE),RsTbl,0)*B110)-(B110*MATCH(A110,RsTbl,0))+12,12)</f>
        <v>2</v>
      </c>
      <c r="E110" s="107" t="e">
        <f>IF(ISNA(MATCH((D110+C110),,0)),(D110+C110),12)</f>
        <v>#N/A</v>
      </c>
      <c r="F110" s="519" t="e">
        <f>G108</f>
        <v>#N/A</v>
      </c>
      <c r="G110" s="519" t="e">
        <f>F110+E110*NDDaysInYEar</f>
        <v>#N/A</v>
      </c>
      <c r="H110" s="510" t="str">
        <f>A110</f>
        <v>Sc</v>
      </c>
      <c r="I110" s="107" t="str">
        <f>INDEX(SignSym,MOD(B110+MATCH(H110,SignSym,FALSE)-1,12)+1)</f>
        <v>Sg</v>
      </c>
      <c r="J110" s="107" t="str">
        <f>INDEX(SignSym,MOD(B110+MATCH(I110,SignSym,FALSE)-1,12)+1)</f>
        <v>Cp</v>
      </c>
      <c r="K110" s="107" t="str">
        <f>INDEX(SignSym,MOD(B110+MATCH(J110,SignSym,FALSE)-1,12)+1)</f>
        <v>Aq</v>
      </c>
      <c r="L110" s="107" t="str">
        <f>INDEX(SignSym,MOD(B110+MATCH(K110,SignSym,FALSE)-1,12)+1)</f>
        <v>Pi</v>
      </c>
      <c r="M110" s="107" t="str">
        <f>INDEX(SignSym,MOD(B110+MATCH(L110,SignSym,FALSE)-1,12)+1)</f>
        <v>Ar</v>
      </c>
      <c r="N110" s="107" t="str">
        <f>INDEX(SignSym,MOD(B110+MATCH(M110,SignSym,FALSE)-1,12)+1)</f>
        <v>Ta</v>
      </c>
      <c r="O110" s="107" t="str">
        <f>INDEX(SignSym,MOD(B110+MATCH(N110,SignSym,FALSE)-1,12)+1)</f>
        <v>Ge</v>
      </c>
      <c r="P110" s="107" t="str">
        <f>INDEX(SignSym,MOD(B110+MATCH(O110,SignSym,FALSE)-1,12)+1)</f>
        <v>Cn</v>
      </c>
      <c r="Q110" s="107" t="str">
        <f>INDEX(SignSym,MOD(B110+MATCH(P110,SignSym,FALSE)-1,12)+1)</f>
        <v>Le</v>
      </c>
      <c r="R110" s="107" t="str">
        <f>INDEX(SignSym,MOD(B110+MATCH(Q110,SignSym,FALSE)-1,12)+1)</f>
        <v>Vi</v>
      </c>
      <c r="S110" s="107" t="str">
        <f>INDEX(SignSym,MOD(B110+MATCH(R110,SignSym,FALSE)-1,12)+1)</f>
        <v>Li</v>
      </c>
    </row>
    <row r="111" spans="1:19" s="107" customFormat="1" ht="12.75" hidden="1" customHeight="1" x14ac:dyDescent="0.2">
      <c r="C111" s="518"/>
      <c r="D111" s="518"/>
      <c r="F111" s="519"/>
      <c r="G111" s="519"/>
      <c r="H111" s="519" t="e">
        <f>F110</f>
        <v>#N/A</v>
      </c>
      <c r="I111" s="519" t="e">
        <f>H111+(E110*NDDaysInYEar/12)</f>
        <v>#N/A</v>
      </c>
      <c r="J111" s="519" t="e">
        <f>I111+(E110*NDDaysInYEar/12)</f>
        <v>#N/A</v>
      </c>
      <c r="K111" s="519" t="e">
        <f>J111+(E110*NDDaysInYEar/12)</f>
        <v>#N/A</v>
      </c>
      <c r="L111" s="519" t="e">
        <f>K111+(E110*NDDaysInYEar/12)</f>
        <v>#N/A</v>
      </c>
      <c r="M111" s="519" t="e">
        <f>L111+(E110*NDDaysInYEar/12)</f>
        <v>#N/A</v>
      </c>
      <c r="N111" s="519" t="e">
        <f>M111+(E110*NDDaysInYEar/12)</f>
        <v>#N/A</v>
      </c>
      <c r="O111" s="519" t="e">
        <f>N111+(E110*NDDaysInYEar/12)</f>
        <v>#N/A</v>
      </c>
      <c r="P111" s="519" t="e">
        <f>O111+(E110*NDDaysInYEar/12)</f>
        <v>#N/A</v>
      </c>
      <c r="Q111" s="519" t="e">
        <f>P111+(E110*NDDaysInYEar/12)</f>
        <v>#N/A</v>
      </c>
      <c r="R111" s="519" t="e">
        <f>Q111+(E110*NDDaysInYEar/12)</f>
        <v>#N/A</v>
      </c>
      <c r="S111" s="519" t="e">
        <f>R111+(E110*NDDaysInYEar/12)</f>
        <v>#N/A</v>
      </c>
    </row>
    <row r="112" spans="1:19" s="107" customFormat="1" x14ac:dyDescent="0.2">
      <c r="A112" s="107" t="str">
        <f>VLOOKUP(C103,NDasaSeq,10,FALSE)</f>
        <v>Li</v>
      </c>
      <c r="B112" s="107">
        <f>VLOOKUP(A112,NDasaC,3,FALSE)</f>
        <v>1</v>
      </c>
      <c r="C112" s="518" t="e">
        <f>IF(MATCH(VLOOKUP(IF((A112="Aq"),VLOOKUP("AqLord",DivCharts,D102,FALSE),IF((A112="Sc"),VLOOKUP("ScLord",DivCharts,D102,FALSE),VLOOKUP(A112,RsInfo,9,FALSE))),DivCharts,D102,FALSE),RsTbl,0)=MATCH(VLOOKUP(IF((A112="Aq"),VLOOKUP("AqLord",DivCharts,D102,FALSE),IF((A112="Sc"),VLOOKUP("ScLord",DivCharts,D102,FALSE),VLOOKUP(A112,RsInfo,9,FALSE))),PlanetData,8,FALSE),RsTbl,0),1,IF(MATCH(VLOOKUP(IF((A112="Aq"),VLOOKUP("AqLord",DivCharts,D102,FALSE),IF((A112="Sc"),VLOOKUP("ScLord",DivCharts,D102,FALSE),VLOOKUP(A112,RsInfo,9,FALSE))),DivCharts,D102,FALSE),RsTbl,0)=MOD(MATCH(VLOOKUP(IF((A112="Aq"),VLOOKUP("AqLord",DivCharts,D102,FALSE),IF((A112="Sc"),VLOOKUP("ScLord",DivCharts,D102,FALSE),VLOOKUP(A112,RsInfo,9,FALSE))),PlanetData,8,FALSE),RsTbl,0)+6,12),-1,0))</f>
        <v>#N/A</v>
      </c>
      <c r="D112" s="518">
        <v>9</v>
      </c>
      <c r="E112" s="107" t="e">
        <f>IF(ISNA(MATCH((D112+C112),,0)),(D112+C112),12)</f>
        <v>#N/A</v>
      </c>
      <c r="F112" s="519" t="e">
        <f>G110</f>
        <v>#N/A</v>
      </c>
      <c r="G112" s="519" t="e">
        <f>F112+E112*NDDaysInYEar</f>
        <v>#N/A</v>
      </c>
      <c r="H112" s="510" t="str">
        <f>A112</f>
        <v>Li</v>
      </c>
      <c r="I112" s="107" t="str">
        <f>INDEX(SignSym,MOD(B112+MATCH(H112,SignSym,FALSE)-1,12)+1)</f>
        <v>Sc</v>
      </c>
      <c r="J112" s="107" t="str">
        <f>INDEX(SignSym,MOD(B112+MATCH(I112,SignSym,FALSE)-1,12)+1)</f>
        <v>Sg</v>
      </c>
      <c r="K112" s="107" t="str">
        <f>INDEX(SignSym,MOD(B112+MATCH(J112,SignSym,FALSE)-1,12)+1)</f>
        <v>Cp</v>
      </c>
      <c r="L112" s="107" t="str">
        <f>INDEX(SignSym,MOD(B112+MATCH(K112,SignSym,FALSE)-1,12)+1)</f>
        <v>Aq</v>
      </c>
      <c r="M112" s="107" t="str">
        <f>INDEX(SignSym,MOD(B112+MATCH(L112,SignSym,FALSE)-1,12)+1)</f>
        <v>Pi</v>
      </c>
      <c r="N112" s="107" t="str">
        <f>INDEX(SignSym,MOD(B112+MATCH(M112,SignSym,FALSE)-1,12)+1)</f>
        <v>Ar</v>
      </c>
      <c r="O112" s="107" t="str">
        <f>INDEX(SignSym,MOD(B112+MATCH(N112,SignSym,FALSE)-1,12)+1)</f>
        <v>Ta</v>
      </c>
      <c r="P112" s="107" t="str">
        <f>INDEX(SignSym,MOD(B112+MATCH(O112,SignSym,FALSE)-1,12)+1)</f>
        <v>Ge</v>
      </c>
      <c r="Q112" s="107" t="str">
        <f>INDEX(SignSym,MOD(B112+MATCH(P112,SignSym,FALSE)-1,12)+1)</f>
        <v>Cn</v>
      </c>
      <c r="R112" s="107" t="str">
        <f>INDEX(SignSym,MOD(B112+MATCH(Q112,SignSym,FALSE)-1,12)+1)</f>
        <v>Le</v>
      </c>
      <c r="S112" s="107" t="str">
        <f>INDEX(SignSym,MOD(B112+MATCH(R112,SignSym,FALSE)-1,12)+1)</f>
        <v>Vi</v>
      </c>
    </row>
    <row r="113" spans="1:19" s="107" customFormat="1" ht="12.75" hidden="1" customHeight="1" x14ac:dyDescent="0.2">
      <c r="C113" s="518"/>
      <c r="D113" s="518"/>
      <c r="F113" s="519"/>
      <c r="G113" s="519"/>
      <c r="H113" s="519" t="e">
        <f>F112</f>
        <v>#N/A</v>
      </c>
      <c r="I113" s="519" t="e">
        <f>H113+(E112*NDDaysInYEar/12)</f>
        <v>#N/A</v>
      </c>
      <c r="J113" s="519" t="e">
        <f>I113+(E112*NDDaysInYEar/12)</f>
        <v>#N/A</v>
      </c>
      <c r="K113" s="519" t="e">
        <f>J113+(E112*NDDaysInYEar/12)</f>
        <v>#N/A</v>
      </c>
      <c r="L113" s="519" t="e">
        <f>K113+(E112*NDDaysInYEar/12)</f>
        <v>#N/A</v>
      </c>
      <c r="M113" s="519" t="e">
        <f>L113+(E112*NDDaysInYEar/12)</f>
        <v>#N/A</v>
      </c>
      <c r="N113" s="519" t="e">
        <f>M113+(E112*NDDaysInYEar/12)</f>
        <v>#N/A</v>
      </c>
      <c r="O113" s="519" t="e">
        <f>N113+(E112*NDDaysInYEar/12)</f>
        <v>#N/A</v>
      </c>
      <c r="P113" s="519" t="e">
        <f>O113+(E112*NDDaysInYEar/12)</f>
        <v>#N/A</v>
      </c>
      <c r="Q113" s="519" t="e">
        <f>P113+(E112*NDDaysInYEar/12)</f>
        <v>#N/A</v>
      </c>
      <c r="R113" s="519" t="e">
        <f>Q113+(E112*NDDaysInYEar/12)</f>
        <v>#N/A</v>
      </c>
      <c r="S113" s="519" t="e">
        <f>R113+(E112*NDDaysInYEar/12)</f>
        <v>#N/A</v>
      </c>
    </row>
    <row r="114" spans="1:19" s="107" customFormat="1" x14ac:dyDescent="0.2">
      <c r="A114" s="107" t="str">
        <f>VLOOKUP(C103,NDasaSeq,11,FALSE)</f>
        <v>Vi</v>
      </c>
      <c r="B114" s="107">
        <f>VLOOKUP(A114,NDasaC,3,FALSE)</f>
        <v>-1</v>
      </c>
      <c r="C114" s="518" t="e">
        <f>IF(MATCH(VLOOKUP(IF((A114="Aq"),VLOOKUP("AqLord",DivCharts,D102,FALSE),IF((A114="Sc"),VLOOKUP("ScLord",DivCharts,D102,FALSE),VLOOKUP(A114,RsInfo,9,FALSE))),DivCharts,D102,FALSE),RsTbl,0)=MATCH(VLOOKUP(IF((A114="Aq"),VLOOKUP("AqLord",DivCharts,D102,FALSE),IF((A114="Sc"),VLOOKUP("ScLord",DivCharts,D102,FALSE),VLOOKUP(A114,RsInfo,9,FALSE))),PlanetData,8,FALSE),RsTbl,0),1,IF(MATCH(VLOOKUP(IF((A114="Aq"),VLOOKUP("AqLord",DivCharts,D102,FALSE),IF((A114="Sc"),VLOOKUP("ScLord",DivCharts,D102,FALSE),VLOOKUP(A114,RsInfo,9,FALSE))),DivCharts,D102,FALSE),RsTbl,0)=MOD(MATCH(VLOOKUP(IF((A114="Aq"),VLOOKUP("AqLord",DivCharts,D102,FALSE),IF((A114="Sc"),VLOOKUP("ScLord",DivCharts,D102,FALSE),VLOOKUP(A114,RsInfo,9,FALSE))),PlanetData,8,FALSE),RsTbl,0)+6,12),-1,0))</f>
        <v>#N/A</v>
      </c>
      <c r="D114" s="518">
        <f>MOD((MATCH(VLOOKUP(IF((A114="Aq"),VLOOKUP("AqLord",DivCharts,D102,FALSE),IF((A114="Sc"),VLOOKUP("ScLord",DivCharts,D102,FALSE),VLOOKUP(A114,RsInfo,9,FALSE))),DivCharts,D102,FALSE),RsTbl,0)*B114)-(B114*MATCH(A114,RsTbl,0))+12,12)</f>
        <v>2</v>
      </c>
      <c r="E114" s="107" t="e">
        <f>IF(ISNA(MATCH((D114+C114),,0)),(D114+C114),12)</f>
        <v>#N/A</v>
      </c>
      <c r="F114" s="519" t="e">
        <f>G112</f>
        <v>#N/A</v>
      </c>
      <c r="G114" s="519" t="e">
        <f>F114+E114*NDDaysInYEar</f>
        <v>#N/A</v>
      </c>
      <c r="H114" s="510" t="s">
        <v>1956</v>
      </c>
      <c r="I114" s="107" t="str">
        <f>INDEX(SignSym,MOD(B114+MATCH(H114,SignSym,FALSE)-1,12)+1)</f>
        <v>Pi</v>
      </c>
      <c r="J114" s="107" t="str">
        <f>INDEX(SignSym,MOD(B114+MATCH(I114,SignSym,FALSE)-1,12)+1)</f>
        <v>Aq</v>
      </c>
      <c r="K114" s="107" t="str">
        <f>INDEX(SignSym,MOD(B114+MATCH(J114,SignSym,FALSE)-1,12)+1)</f>
        <v>Cp</v>
      </c>
      <c r="L114" s="107" t="str">
        <f>INDEX(SignSym,MOD(B114+MATCH(K114,SignSym,FALSE)-1,12)+1)</f>
        <v>Sg</v>
      </c>
      <c r="M114" s="107" t="str">
        <f>INDEX(SignSym,MOD(B114+MATCH(L114,SignSym,FALSE)-1,12)+1)</f>
        <v>Sc</v>
      </c>
      <c r="N114" s="107" t="str">
        <f>INDEX(SignSym,MOD(B114+MATCH(M114,SignSym,FALSE)-1,12)+1)</f>
        <v>Li</v>
      </c>
      <c r="O114" s="107" t="str">
        <f>INDEX(SignSym,MOD(B114+MATCH(N114,SignSym,FALSE)-1,12)+1)</f>
        <v>Vi</v>
      </c>
      <c r="P114" s="107" t="str">
        <f>INDEX(SignSym,MOD(B114+MATCH(O114,SignSym,FALSE)-1,12)+1)</f>
        <v>Le</v>
      </c>
      <c r="Q114" s="107" t="str">
        <f>INDEX(SignSym,MOD(B114+MATCH(P114,SignSym,FALSE)-1,12)+1)</f>
        <v>Cn</v>
      </c>
      <c r="R114" s="107" t="str">
        <f>INDEX(SignSym,MOD(B114+MATCH(Q114,SignSym,FALSE)-1,12)+1)</f>
        <v>Ge</v>
      </c>
      <c r="S114" s="107" t="str">
        <f>INDEX(SignSym,MOD(B114+MATCH(R114,SignSym,FALSE)-1,12)+1)</f>
        <v>Ta</v>
      </c>
    </row>
    <row r="115" spans="1:19" s="107" customFormat="1" hidden="1" x14ac:dyDescent="0.2">
      <c r="C115" s="518"/>
      <c r="D115" s="518"/>
      <c r="F115" s="519"/>
      <c r="G115" s="519"/>
      <c r="H115" s="519" t="e">
        <f>F114</f>
        <v>#N/A</v>
      </c>
      <c r="I115" s="519" t="e">
        <f>H115+(E114*NDDaysInYEar/12)</f>
        <v>#N/A</v>
      </c>
      <c r="J115" s="519" t="e">
        <f>I115+(E114*NDDaysInYEar/12)</f>
        <v>#N/A</v>
      </c>
      <c r="K115" s="519" t="e">
        <f>J115+(E114*NDDaysInYEar/12)</f>
        <v>#N/A</v>
      </c>
      <c r="L115" s="519" t="e">
        <f>K115+(E114*NDDaysInYEar/12)</f>
        <v>#N/A</v>
      </c>
      <c r="M115" s="519" t="e">
        <f>L115+(E114*NDDaysInYEar/12)</f>
        <v>#N/A</v>
      </c>
      <c r="N115" s="519" t="e">
        <f>M115+(E114*NDDaysInYEar/12)</f>
        <v>#N/A</v>
      </c>
      <c r="O115" s="519" t="e">
        <f>N115+(E114*NDDaysInYEar/12)</f>
        <v>#N/A</v>
      </c>
      <c r="P115" s="519" t="e">
        <f>O115+(E114*NDDaysInYEar/12)</f>
        <v>#N/A</v>
      </c>
      <c r="Q115" s="519" t="e">
        <f>P115+(E114*NDDaysInYEar/12)</f>
        <v>#N/A</v>
      </c>
      <c r="R115" s="519" t="e">
        <f>Q115+(E114*NDDaysInYEar/12)</f>
        <v>#N/A</v>
      </c>
      <c r="S115" s="519" t="e">
        <f>R115+(E114*NDDaysInYEar/12)</f>
        <v>#N/A</v>
      </c>
    </row>
    <row r="116" spans="1:19" s="107" customFormat="1" x14ac:dyDescent="0.2">
      <c r="A116" s="107" t="str">
        <f>VLOOKUP(C103,NDasaSeq,12,FALSE)</f>
        <v>Le</v>
      </c>
      <c r="B116" s="107">
        <f>VLOOKUP(A116,NDasaC,3,FALSE)</f>
        <v>-1</v>
      </c>
      <c r="C116" s="518" t="e">
        <f>IF(MATCH(VLOOKUP(IF((A116="Aq"),VLOOKUP("AqLord",DivCharts,D102,FALSE),IF((A116="Sc"),VLOOKUP("ScLord",DivCharts,D102,FALSE),VLOOKUP(A116,RsInfo,9,FALSE))),DivCharts,D102,FALSE),RsTbl,0)=MATCH(VLOOKUP(IF((A116="Aq"),VLOOKUP("AqLord",DivCharts,D102,FALSE),IF((A116="Sc"),VLOOKUP("ScLord",DivCharts,D102,FALSE),VLOOKUP(A116,RsInfo,9,FALSE))),PlanetData,8,FALSE),RsTbl,0),1,IF(MATCH(VLOOKUP(IF((A116="Aq"),VLOOKUP("AqLord",DivCharts,D102,FALSE),IF((A116="Sc"),VLOOKUP("ScLord",DivCharts,D102,FALSE),VLOOKUP(A116,RsInfo,9,FALSE))),DivCharts,D102,FALSE),RsTbl,0)=MOD(MATCH(VLOOKUP(IF((A116="Aq"),VLOOKUP("AqLord",DivCharts,D102,FALSE),IF((A116="Sc"),VLOOKUP("ScLord",DivCharts,D102,FALSE),VLOOKUP(A116,RsInfo,9,FALSE))),PlanetData,8,FALSE),RsTbl,0)+6,12),-1,0))</f>
        <v>#N/A</v>
      </c>
      <c r="D116" s="518">
        <f>MOD((MATCH(VLOOKUP(IF((A116="Aq"),VLOOKUP("AqLord",DivCharts,D102,FALSE),IF((A116="Sc"),VLOOKUP("ScLord",DivCharts,D102,FALSE),VLOOKUP(A116,RsInfo,9,FALSE))),DivCharts,D102,FALSE),RsTbl,0)*B116)-(B116*MATCH(A116,RsTbl,0))+12,12)</f>
        <v>10</v>
      </c>
      <c r="E116" s="107" t="e">
        <f>IF(ISNA(MATCH((D116+C116),,0)),(D116+C116),12)</f>
        <v>#N/A</v>
      </c>
      <c r="F116" s="519" t="e">
        <f>G114</f>
        <v>#N/A</v>
      </c>
      <c r="G116" s="519" t="e">
        <f>F116+E116*NDDaysInYEar</f>
        <v>#N/A</v>
      </c>
      <c r="H116" s="510" t="s">
        <v>1959</v>
      </c>
      <c r="I116" s="107" t="str">
        <f>INDEX(SignSym,MOD(B116+MATCH(H116,SignSym,FALSE)-1,12)+1)</f>
        <v>Le</v>
      </c>
      <c r="J116" s="107" t="str">
        <f>INDEX(SignSym,MOD(B116+MATCH(I116,SignSym,FALSE)-1,12)+1)</f>
        <v>Cn</v>
      </c>
      <c r="K116" s="107" t="str">
        <f>INDEX(SignSym,MOD(B116+MATCH(J116,SignSym,FALSE)-1,12)+1)</f>
        <v>Ge</v>
      </c>
      <c r="L116" s="107" t="str">
        <f>INDEX(SignSym,MOD(B116+MATCH(K116,SignSym,FALSE)-1,12)+1)</f>
        <v>Ta</v>
      </c>
      <c r="M116" s="107" t="str">
        <f>INDEX(SignSym,MOD(B116+MATCH(L116,SignSym,FALSE)-1,12)+1)</f>
        <v>Ar</v>
      </c>
      <c r="N116" s="107" t="str">
        <f>INDEX(SignSym,MOD(B116+MATCH(M116,SignSym,FALSE)-1,12)+1)</f>
        <v>Pi</v>
      </c>
      <c r="O116" s="107" t="str">
        <f>INDEX(SignSym,MOD(B116+MATCH(N116,SignSym,FALSE)-1,12)+1)</f>
        <v>Aq</v>
      </c>
      <c r="P116" s="107" t="str">
        <f>INDEX(SignSym,MOD(B116+MATCH(O116,SignSym,FALSE)-1,12)+1)</f>
        <v>Cp</v>
      </c>
      <c r="Q116" s="107" t="str">
        <f>INDEX(SignSym,MOD(B116+MATCH(P116,SignSym,FALSE)-1,12)+1)</f>
        <v>Sg</v>
      </c>
      <c r="R116" s="107" t="str">
        <f>INDEX(SignSym,MOD(B116+MATCH(Q116,SignSym,FALSE)-1,12)+1)</f>
        <v>Sc</v>
      </c>
      <c r="S116" s="107" t="str">
        <f>INDEX(SignSym,MOD(B116+MATCH(R116,SignSym,FALSE)-1,12)+1)</f>
        <v>Li</v>
      </c>
    </row>
    <row r="117" spans="1:19" s="107" customFormat="1" hidden="1" x14ac:dyDescent="0.2">
      <c r="C117" s="518"/>
      <c r="D117" s="518"/>
      <c r="F117" s="519"/>
      <c r="G117" s="519"/>
      <c r="H117" s="519" t="e">
        <f>F116</f>
        <v>#N/A</v>
      </c>
      <c r="I117" s="519" t="e">
        <f>H117+(E116*NDDaysInYEar/12)</f>
        <v>#N/A</v>
      </c>
      <c r="J117" s="519" t="e">
        <f>I117+(E116*NDDaysInYEar/12)</f>
        <v>#N/A</v>
      </c>
      <c r="K117" s="519" t="e">
        <f>J117+(E116*NDDaysInYEar/12)</f>
        <v>#N/A</v>
      </c>
      <c r="L117" s="519" t="e">
        <f>K117+(E116*NDDaysInYEar/12)</f>
        <v>#N/A</v>
      </c>
      <c r="M117" s="519" t="e">
        <f>L117+(E116*NDDaysInYEar/12)</f>
        <v>#N/A</v>
      </c>
      <c r="N117" s="519" t="e">
        <f>M117+(E116*NDDaysInYEar/12)</f>
        <v>#N/A</v>
      </c>
      <c r="O117" s="519" t="e">
        <f>N117+(E116*NDDaysInYEar/12)</f>
        <v>#N/A</v>
      </c>
      <c r="P117" s="519" t="e">
        <f>O117+(E116*NDDaysInYEar/12)</f>
        <v>#N/A</v>
      </c>
      <c r="Q117" s="519" t="e">
        <f>P117+(E116*NDDaysInYEar/12)</f>
        <v>#N/A</v>
      </c>
      <c r="R117" s="519" t="e">
        <f>Q117+(E116*NDDaysInYEar/12)</f>
        <v>#N/A</v>
      </c>
      <c r="S117" s="519" t="e">
        <f>R117+(E116*NDDaysInYEar/12)</f>
        <v>#N/A</v>
      </c>
    </row>
    <row r="118" spans="1:19" s="107" customFormat="1" x14ac:dyDescent="0.2">
      <c r="A118" s="107" t="str">
        <f>VLOOKUP(C103,NDasaSeq,13,FALSE)</f>
        <v>Cn</v>
      </c>
      <c r="B118" s="107">
        <f>VLOOKUP(A118,NDasaC,3,FALSE)</f>
        <v>-1</v>
      </c>
      <c r="C118" s="518" t="e">
        <f>IF(MATCH(VLOOKUP(IF((A118="Aq"),VLOOKUP("AqLord",DivCharts,D102,FALSE),IF((A118="Sc"),VLOOKUP("ScLord",DivCharts,D102,FALSE),VLOOKUP(A118,RsInfo,9,FALSE))),DivCharts,D102,FALSE),RsTbl,0)=MATCH(VLOOKUP(IF((A118="Aq"),VLOOKUP("AqLord",DivCharts,D102,FALSE),IF((A118="Sc"),VLOOKUP("ScLord",DivCharts,D102,FALSE),VLOOKUP(A118,RsInfo,9,FALSE))),PlanetData,8,FALSE),RsTbl,0),1,IF(MATCH(VLOOKUP(IF((A118="Aq"),VLOOKUP("AqLord",DivCharts,D102,FALSE),IF((A118="Sc"),VLOOKUP("ScLord",DivCharts,D102,FALSE),VLOOKUP(A118,RsInfo,9,FALSE))),DivCharts,D102,FALSE),RsTbl,0)=MOD(MATCH(VLOOKUP(IF((A118="Aq"),VLOOKUP("AqLord",DivCharts,D102,FALSE),IF((A118="Sc"),VLOOKUP("ScLord",DivCharts,D102,FALSE),VLOOKUP(A118,RsInfo,9,FALSE))),PlanetData,8,FALSE),RsTbl,0)+6,12),-1,0))</f>
        <v>#N/A</v>
      </c>
      <c r="D118" s="518">
        <f>MOD((MATCH(VLOOKUP(IF((A118="Aq"),VLOOKUP("AqLord",DivCharts,D102,FALSE),IF((A118="Sc"),VLOOKUP("ScLord",DivCharts,D102,FALSE),VLOOKUP(A118,RsInfo,9,FALSE))),DivCharts,D102,FALSE),RsTbl,0)*B118)-(B118*MATCH(A118,RsTbl,0))+12,12)</f>
        <v>0</v>
      </c>
      <c r="E118" s="107" t="e">
        <f>IF(ISNA(MATCH((D118+C118),,0)),(D118+C118),12)</f>
        <v>#N/A</v>
      </c>
      <c r="F118" s="519" t="e">
        <f>G116</f>
        <v>#N/A</v>
      </c>
      <c r="G118" s="519" t="e">
        <f>F118+E118*NDDaysInYEar</f>
        <v>#N/A</v>
      </c>
      <c r="H118" s="510" t="s">
        <v>1974</v>
      </c>
      <c r="I118" s="107" t="str">
        <f>INDEX(SignSym,MOD(B118+MATCH(H118,SignSym,FALSE)-1,12)+1)</f>
        <v>Cp</v>
      </c>
      <c r="J118" s="107" t="str">
        <f>INDEX(SignSym,MOD(B118+MATCH(I118,SignSym,FALSE)-1,12)+1)</f>
        <v>Sg</v>
      </c>
      <c r="K118" s="107" t="str">
        <f>INDEX(SignSym,MOD(B118+MATCH(J118,SignSym,FALSE)-1,12)+1)</f>
        <v>Sc</v>
      </c>
      <c r="L118" s="107" t="str">
        <f>INDEX(SignSym,MOD(B118+MATCH(K118,SignSym,FALSE)-1,12)+1)</f>
        <v>Li</v>
      </c>
      <c r="M118" s="107" t="str">
        <f>INDEX(SignSym,MOD(B118+MATCH(L118,SignSym,FALSE)-1,12)+1)</f>
        <v>Vi</v>
      </c>
      <c r="N118" s="107" t="str">
        <f>INDEX(SignSym,MOD(B118+MATCH(M118,SignSym,FALSE)-1,12)+1)</f>
        <v>Le</v>
      </c>
      <c r="O118" s="107" t="str">
        <f>INDEX(SignSym,MOD(B118+MATCH(N118,SignSym,FALSE)-1,12)+1)</f>
        <v>Cn</v>
      </c>
      <c r="P118" s="107" t="str">
        <f>INDEX(SignSym,MOD(B118+MATCH(O118,SignSym,FALSE)-1,12)+1)</f>
        <v>Ge</v>
      </c>
      <c r="Q118" s="107" t="str">
        <f>INDEX(SignSym,MOD(B118+MATCH(P118,SignSym,FALSE)-1,12)+1)</f>
        <v>Ta</v>
      </c>
      <c r="R118" s="107" t="str">
        <f>INDEX(SignSym,MOD(B118+MATCH(Q118,SignSym,FALSE)-1,12)+1)</f>
        <v>Ar</v>
      </c>
      <c r="S118" s="107" t="str">
        <f>INDEX(SignSym,MOD(B118+MATCH(R118,SignSym,FALSE)-1,12)+1)</f>
        <v>Pi</v>
      </c>
    </row>
    <row r="119" spans="1:19" s="107" customFormat="1" hidden="1" x14ac:dyDescent="0.2">
      <c r="C119" s="518"/>
      <c r="D119" s="518"/>
      <c r="F119" s="519"/>
      <c r="G119" s="519"/>
      <c r="H119" s="519" t="e">
        <f>F118</f>
        <v>#N/A</v>
      </c>
      <c r="I119" s="519" t="e">
        <f>H119+(E118*NDDaysInYEar/12)</f>
        <v>#N/A</v>
      </c>
      <c r="J119" s="519" t="e">
        <f>I119+(E118*NDDaysInYEar/12)</f>
        <v>#N/A</v>
      </c>
      <c r="K119" s="519" t="e">
        <f>J119+(E118*NDDaysInYEar/12)</f>
        <v>#N/A</v>
      </c>
      <c r="L119" s="519" t="e">
        <f>K119+(E118*NDDaysInYEar/12)</f>
        <v>#N/A</v>
      </c>
      <c r="M119" s="519" t="e">
        <f>L119+(E118*NDDaysInYEar/12)</f>
        <v>#N/A</v>
      </c>
      <c r="N119" s="519" t="e">
        <f>M119+(E118*NDDaysInYEar/12)</f>
        <v>#N/A</v>
      </c>
      <c r="O119" s="519" t="e">
        <f>N119+(E118*NDDaysInYEar/12)</f>
        <v>#N/A</v>
      </c>
      <c r="P119" s="519" t="e">
        <f>O119+(E118*NDDaysInYEar/12)</f>
        <v>#N/A</v>
      </c>
      <c r="Q119" s="519" t="e">
        <f>P119+(E118*NDDaysInYEar/12)</f>
        <v>#N/A</v>
      </c>
      <c r="R119" s="519" t="e">
        <f>Q119+(E118*NDDaysInYEar/12)</f>
        <v>#N/A</v>
      </c>
      <c r="S119" s="519" t="e">
        <f>R119+(E118*NDDaysInYEar/12)</f>
        <v>#N/A</v>
      </c>
    </row>
    <row r="120" spans="1:19" s="107" customFormat="1" x14ac:dyDescent="0.2">
      <c r="A120" s="107" t="str">
        <f>VLOOKUP(C103,NDasaSeq,14,FALSE)</f>
        <v>Ge</v>
      </c>
      <c r="B120" s="107">
        <f>VLOOKUP(A120,NDasaC,3,FALSE)</f>
        <v>1</v>
      </c>
      <c r="C120" s="518" t="e">
        <f>IF(MATCH(VLOOKUP(IF((A120="Aq"),VLOOKUP("AqLord",DivCharts,D102,FALSE),IF((A120="Sc"),VLOOKUP("ScLord",DivCharts,D102,FALSE),VLOOKUP(A120,RsInfo,9,FALSE))),DivCharts,D102,FALSE),RsTbl,0)=MATCH(VLOOKUP(IF((A120="Aq"),VLOOKUP("AqLord",DivCharts,D102,FALSE),IF((A120="Sc"),VLOOKUP("ScLord",DivCharts,D102,FALSE),VLOOKUP(A120,RsInfo,9,FALSE))),PlanetData,8,FALSE),RsTbl,0),1,IF(MATCH(VLOOKUP(IF((A120="Aq"),VLOOKUP("AqLord",DivCharts,D102,FALSE),IF((A120="Sc"),VLOOKUP("ScLord",DivCharts,D102,FALSE),VLOOKUP(A120,RsInfo,9,FALSE))),DivCharts,D102,FALSE),RsTbl,0)=MOD(MATCH(VLOOKUP(IF((A120="Aq"),VLOOKUP("AqLord",DivCharts,D102,FALSE),IF((A120="Sc"),VLOOKUP("ScLord",DivCharts,D102,FALSE),VLOOKUP(A120,RsInfo,9,FALSE))),PlanetData,8,FALSE),RsTbl,0)+6,12),-1,0))</f>
        <v>#N/A</v>
      </c>
      <c r="D120" s="518">
        <f>MOD((MATCH(VLOOKUP(IF((A120="Aq"),VLOOKUP("AqLord",DivCharts,D102,FALSE),IF((A120="Sc"),VLOOKUP("ScLord",DivCharts,D102,FALSE),VLOOKUP(A120,RsInfo,9,FALSE))),DivCharts,D102,FALSE),RsTbl,0)*B120)-(B120*MATCH(A120,RsTbl,0))+12,12)</f>
        <v>1</v>
      </c>
      <c r="E120" s="107" t="e">
        <f>IF(ISNA(MATCH((D120+C120),,0)),(D120+C120),12)</f>
        <v>#N/A</v>
      </c>
      <c r="F120" s="519" t="e">
        <f>G118</f>
        <v>#N/A</v>
      </c>
      <c r="G120" s="519" t="e">
        <f>F120+E120*NDDaysInYEar</f>
        <v>#N/A</v>
      </c>
      <c r="H120" s="510" t="s">
        <v>1968</v>
      </c>
      <c r="I120" s="107" t="str">
        <f>INDEX(SignSym,MOD(B120+MATCH(H120,SignSym,FALSE)-1,12)+1)</f>
        <v>Le</v>
      </c>
      <c r="J120" s="107" t="str">
        <f>INDEX(SignSym,MOD(B120+MATCH(I120,SignSym,FALSE)-1,12)+1)</f>
        <v>Vi</v>
      </c>
      <c r="K120" s="107" t="str">
        <f>INDEX(SignSym,MOD(B120+MATCH(J120,SignSym,FALSE)-1,12)+1)</f>
        <v>Li</v>
      </c>
      <c r="L120" s="107" t="str">
        <f>INDEX(SignSym,MOD(B120+MATCH(K120,SignSym,FALSE)-1,12)+1)</f>
        <v>Sc</v>
      </c>
      <c r="M120" s="107" t="str">
        <f>INDEX(SignSym,MOD(B120+MATCH(L120,SignSym,FALSE)-1,12)+1)</f>
        <v>Sg</v>
      </c>
      <c r="N120" s="107" t="str">
        <f>INDEX(SignSym,MOD(B120+MATCH(M120,SignSym,FALSE)-1,12)+1)</f>
        <v>Cp</v>
      </c>
      <c r="O120" s="107" t="str">
        <f>INDEX(SignSym,MOD(B120+MATCH(N120,SignSym,FALSE)-1,12)+1)</f>
        <v>Aq</v>
      </c>
      <c r="P120" s="107" t="str">
        <f>INDEX(SignSym,MOD(B120+MATCH(O120,SignSym,FALSE)-1,12)+1)</f>
        <v>Pi</v>
      </c>
      <c r="Q120" s="107" t="str">
        <f>INDEX(SignSym,MOD(B120+MATCH(P120,SignSym,FALSE)-1,12)+1)</f>
        <v>Ar</v>
      </c>
      <c r="R120" s="107" t="str">
        <f>INDEX(SignSym,MOD(B120+MATCH(Q120,SignSym,FALSE)-1,12)+1)</f>
        <v>Ta</v>
      </c>
      <c r="S120" s="107" t="str">
        <f>INDEX(SignSym,MOD(B120+MATCH(R120,SignSym,FALSE)-1,12)+1)</f>
        <v>Ge</v>
      </c>
    </row>
    <row r="121" spans="1:19" s="107" customFormat="1" hidden="1" x14ac:dyDescent="0.2">
      <c r="C121" s="518"/>
      <c r="D121" s="518"/>
      <c r="F121" s="519"/>
      <c r="G121" s="519"/>
      <c r="H121" s="519" t="e">
        <f>F120</f>
        <v>#N/A</v>
      </c>
      <c r="I121" s="519" t="e">
        <f>H121+(E120*NDDaysInYEar/12)</f>
        <v>#N/A</v>
      </c>
      <c r="J121" s="519" t="e">
        <f>I121+(E120*NDDaysInYEar/12)</f>
        <v>#N/A</v>
      </c>
      <c r="K121" s="519" t="e">
        <f>J121+(E120*NDDaysInYEar/12)</f>
        <v>#N/A</v>
      </c>
      <c r="L121" s="519" t="e">
        <f>K121+(E120*NDDaysInYEar/12)</f>
        <v>#N/A</v>
      </c>
      <c r="M121" s="519" t="e">
        <f>L121+(E120*NDDaysInYEar/12)</f>
        <v>#N/A</v>
      </c>
      <c r="N121" s="519" t="e">
        <f>M121+(E120*NDDaysInYEar/12)</f>
        <v>#N/A</v>
      </c>
      <c r="O121" s="519" t="e">
        <f>N121+(E120*NDDaysInYEar/12)</f>
        <v>#N/A</v>
      </c>
      <c r="P121" s="519" t="e">
        <f>O121+(E120*NDDaysInYEar/12)</f>
        <v>#N/A</v>
      </c>
      <c r="Q121" s="519" t="e">
        <f>P121+(E120*NDDaysInYEar/12)</f>
        <v>#N/A</v>
      </c>
      <c r="R121" s="519" t="e">
        <f>Q121+(E120*NDDaysInYEar/12)</f>
        <v>#N/A</v>
      </c>
      <c r="S121" s="519" t="e">
        <f>R121+(E120*NDDaysInYEar/12)</f>
        <v>#N/A</v>
      </c>
    </row>
    <row r="122" spans="1:19" s="107" customFormat="1" x14ac:dyDescent="0.2">
      <c r="A122" s="107" t="str">
        <f>VLOOKUP(C103,NDasaSeq,15,FALSE)</f>
        <v>Ta</v>
      </c>
      <c r="B122" s="107">
        <f>VLOOKUP(A122,NDasaC,3,FALSE)</f>
        <v>1</v>
      </c>
      <c r="C122" s="518" t="e">
        <f>IF(MATCH(VLOOKUP(IF((A122="Aq"),VLOOKUP("AqLord",DivCharts,D102,FALSE),IF((A122="Sc"),VLOOKUP("ScLord",DivCharts,D102,FALSE),VLOOKUP(A122,RsInfo,9,FALSE))),DivCharts,D102,FALSE),RsTbl,0)=MATCH(VLOOKUP(IF((A122="Aq"),VLOOKUP("AqLord",DivCharts,D102,FALSE),IF((A122="Sc"),VLOOKUP("ScLord",DivCharts,D102,FALSE),VLOOKUP(A122,RsInfo,9,FALSE))),PlanetData,8,FALSE),RsTbl,0),1,IF(MATCH(VLOOKUP(IF((A122="Aq"),VLOOKUP("AqLord",DivCharts,D102,FALSE),IF((A122="Sc"),VLOOKUP("ScLord",DivCharts,D102,FALSE),VLOOKUP(A122,RsInfo,9,FALSE))),DivCharts,D102,FALSE),RsTbl,0)=MOD(MATCH(VLOOKUP(IF((A122="Aq"),VLOOKUP("AqLord",DivCharts,D102,FALSE),IF((A122="Sc"),VLOOKUP("ScLord",DivCharts,D102,FALSE),VLOOKUP(A122,RsInfo,9,FALSE))),PlanetData,8,FALSE),RsTbl,0)+6,12),-1,0))</f>
        <v>#N/A</v>
      </c>
      <c r="D122" s="518">
        <f>MOD((MATCH(VLOOKUP(IF((A122="Aq"),VLOOKUP("AqLord",DivCharts,D102,FALSE),IF((A122="Sc"),VLOOKUP("ScLord",DivCharts,D102,FALSE),VLOOKUP(A122,RsInfo,9,FALSE))),DivCharts,D102,FALSE),RsTbl,0)*B122)-(B122*MATCH(A122,RsTbl,0))+12,12)</f>
        <v>4</v>
      </c>
      <c r="E122" s="107" t="e">
        <f>IF(ISNA(MATCH((D122+C122),,0)),(D122+C122),12)</f>
        <v>#N/A</v>
      </c>
      <c r="F122" s="519" t="e">
        <f>G120</f>
        <v>#N/A</v>
      </c>
      <c r="G122" s="519" t="e">
        <f>F122+E122*NDDaysInYEar</f>
        <v>#N/A</v>
      </c>
      <c r="H122" s="510" t="str">
        <f>A122</f>
        <v>Ta</v>
      </c>
      <c r="I122" s="107" t="str">
        <f>INDEX(SignSym,MOD(B122+MATCH(H122,SignSym,FALSE)-1,12)+1)</f>
        <v>Ge</v>
      </c>
      <c r="J122" s="107" t="str">
        <f>INDEX(SignSym,MOD(B122+MATCH(I122,SignSym,FALSE)-1,12)+1)</f>
        <v>Cn</v>
      </c>
      <c r="K122" s="107" t="str">
        <f>INDEX(SignSym,MOD(B122+MATCH(J122,SignSym,FALSE)-1,12)+1)</f>
        <v>Le</v>
      </c>
      <c r="L122" s="107" t="str">
        <f>INDEX(SignSym,MOD(B122+MATCH(K122,SignSym,FALSE)-1,12)+1)</f>
        <v>Vi</v>
      </c>
      <c r="M122" s="107" t="str">
        <f>INDEX(SignSym,MOD(B122+MATCH(L122,SignSym,FALSE)-1,12)+1)</f>
        <v>Li</v>
      </c>
      <c r="N122" s="107" t="str">
        <f>INDEX(SignSym,MOD(B122+MATCH(M122,SignSym,FALSE)-1,12)+1)</f>
        <v>Sc</v>
      </c>
      <c r="O122" s="107" t="str">
        <f>INDEX(SignSym,MOD(B122+MATCH(N122,SignSym,FALSE)-1,12)+1)</f>
        <v>Sg</v>
      </c>
      <c r="P122" s="107" t="str">
        <f>INDEX(SignSym,MOD(B122+MATCH(O122,SignSym,FALSE)-1,12)+1)</f>
        <v>Cp</v>
      </c>
      <c r="Q122" s="107" t="str">
        <f>INDEX(SignSym,MOD(B122+MATCH(P122,SignSym,FALSE)-1,12)+1)</f>
        <v>Aq</v>
      </c>
      <c r="R122" s="107" t="str">
        <f>INDEX(SignSym,MOD(B122+MATCH(Q122,SignSym,FALSE)-1,12)+1)</f>
        <v>Pi</v>
      </c>
      <c r="S122" s="107" t="str">
        <f>INDEX(SignSym,MOD(B122+MATCH(R122,SignSym,FALSE)-1,12)+1)</f>
        <v>Ar</v>
      </c>
    </row>
    <row r="123" spans="1:19" s="107" customFormat="1" ht="12.75" hidden="1" customHeight="1" x14ac:dyDescent="0.2">
      <c r="C123" s="518"/>
      <c r="D123" s="518"/>
      <c r="F123" s="519"/>
      <c r="G123" s="519"/>
      <c r="H123" s="519" t="e">
        <f>F122</f>
        <v>#N/A</v>
      </c>
      <c r="I123" s="519" t="e">
        <f>H123+(E122*NDDaysInYEar/12)</f>
        <v>#N/A</v>
      </c>
      <c r="J123" s="519" t="e">
        <f>I123+(E122*NDDaysInYEar/12)</f>
        <v>#N/A</v>
      </c>
      <c r="K123" s="519" t="e">
        <f>J123+(E122*NDDaysInYEar/12)</f>
        <v>#N/A</v>
      </c>
      <c r="L123" s="519" t="e">
        <f>K123+(E122*NDDaysInYEar/12)</f>
        <v>#N/A</v>
      </c>
      <c r="M123" s="519" t="e">
        <f>L123+(E122*NDDaysInYEar/12)</f>
        <v>#N/A</v>
      </c>
      <c r="N123" s="519" t="e">
        <f>M123+(E122*NDDaysInYEar/12)</f>
        <v>#N/A</v>
      </c>
      <c r="O123" s="519" t="e">
        <f>N123+(E122*NDDaysInYEar/12)</f>
        <v>#N/A</v>
      </c>
      <c r="P123" s="519" t="e">
        <f>O123+(E122*NDDaysInYEar/12)</f>
        <v>#N/A</v>
      </c>
      <c r="Q123" s="519" t="e">
        <f>P123+(E122*NDDaysInYEar/12)</f>
        <v>#N/A</v>
      </c>
      <c r="R123" s="519" t="e">
        <f>Q123+(E122*NDDaysInYEar/12)</f>
        <v>#N/A</v>
      </c>
      <c r="S123" s="519" t="e">
        <f>R123+(E122*NDDaysInYEar/12)</f>
        <v>#N/A</v>
      </c>
    </row>
    <row r="124" spans="1:19" s="107" customFormat="1" x14ac:dyDescent="0.2">
      <c r="A124" s="107" t="str">
        <f>VLOOKUP(C103,NDasaSeq,16,FALSE)</f>
        <v>Ar</v>
      </c>
      <c r="B124" s="107">
        <f>VLOOKUP(A124,NDasaC,3,FALSE)</f>
        <v>1</v>
      </c>
      <c r="C124" s="518" t="e">
        <f>IF(MATCH(VLOOKUP(IF((A124="Aq"),VLOOKUP("AqLord",DivCharts,D102,FALSE),IF((A124="Sc"),VLOOKUP("ScLord",DivCharts,D102,FALSE),VLOOKUP(A124,RsInfo,9,FALSE))),DivCharts,D102,FALSE),RsTbl,0)=MATCH(VLOOKUP(IF((A124="Aq"),VLOOKUP("AqLord",DivCharts,D102,FALSE),IF((A124="Sc"),VLOOKUP("ScLord",DivCharts,D102,FALSE),VLOOKUP(A124,RsInfo,9,FALSE))),PlanetData,8,FALSE),RsTbl,0),1,IF(MATCH(VLOOKUP(IF((A124="Aq"),VLOOKUP("AqLord",DivCharts,D102,FALSE),IF((A124="Sc"),VLOOKUP("ScLord",DivCharts,D102,FALSE),VLOOKUP(A124,RsInfo,9,FALSE))),DivCharts,D102,FALSE),RsTbl,0)=MOD(MATCH(VLOOKUP(IF((A124="Aq"),VLOOKUP("AqLord",DivCharts,D102,FALSE),IF((A124="Sc"),VLOOKUP("ScLord",DivCharts,D102,FALSE),VLOOKUP(A124,RsInfo,9,FALSE))),PlanetData,8,FALSE),RsTbl,0)+6,12),-1,0))</f>
        <v>#N/A</v>
      </c>
      <c r="D124" s="518">
        <f>MOD((MATCH(VLOOKUP(IF((A124="Aq"),VLOOKUP("AqLord",DivCharts,D102,FALSE),IF((A124="Sc"),VLOOKUP("ScLord",DivCharts,D102,FALSE),VLOOKUP(A124,RsInfo,9,FALSE))),DivCharts,D102,FALSE),RsTbl,0)*B124)-(B124*MATCH(A124,RsTbl,0))+12,12)</f>
        <v>9</v>
      </c>
      <c r="E124" s="107" t="e">
        <f>IF(ISNA(MATCH((D124+C124),,0)),(D124+C124),12)</f>
        <v>#N/A</v>
      </c>
      <c r="F124" s="519" t="e">
        <f>G122</f>
        <v>#N/A</v>
      </c>
      <c r="G124" s="519" t="e">
        <f>F124+E124*NDDaysInYEar</f>
        <v>#N/A</v>
      </c>
      <c r="H124" s="510" t="str">
        <f>A124</f>
        <v>Ar</v>
      </c>
      <c r="I124" s="107" t="str">
        <f>INDEX(SignSym,MOD(B124+MATCH(H124,SignSym,FALSE)-1,12)+1)</f>
        <v>Ta</v>
      </c>
      <c r="J124" s="107" t="str">
        <f>INDEX(SignSym,MOD(B124+MATCH(I124,SignSym,FALSE)-1,12)+1)</f>
        <v>Ge</v>
      </c>
      <c r="K124" s="107" t="str">
        <f>INDEX(SignSym,MOD(B124+MATCH(J124,SignSym,FALSE)-1,12)+1)</f>
        <v>Cn</v>
      </c>
      <c r="L124" s="107" t="str">
        <f>INDEX(SignSym,MOD(B124+MATCH(K124,SignSym,FALSE)-1,12)+1)</f>
        <v>Le</v>
      </c>
      <c r="M124" s="107" t="str">
        <f>INDEX(SignSym,MOD(B124+MATCH(L124,SignSym,FALSE)-1,12)+1)</f>
        <v>Vi</v>
      </c>
      <c r="N124" s="107" t="str">
        <f>INDEX(SignSym,MOD(B124+MATCH(M124,SignSym,FALSE)-1,12)+1)</f>
        <v>Li</v>
      </c>
      <c r="O124" s="107" t="str">
        <f>INDEX(SignSym,MOD(B124+MATCH(N124,SignSym,FALSE)-1,12)+1)</f>
        <v>Sc</v>
      </c>
      <c r="P124" s="107" t="str">
        <f>INDEX(SignSym,MOD(B124+MATCH(O124,SignSym,FALSE)-1,12)+1)</f>
        <v>Sg</v>
      </c>
      <c r="Q124" s="107" t="str">
        <f>INDEX(SignSym,MOD(B124+MATCH(P124,SignSym,FALSE)-1,12)+1)</f>
        <v>Cp</v>
      </c>
      <c r="R124" s="107" t="str">
        <f>INDEX(SignSym,MOD(B124+MATCH(Q124,SignSym,FALSE)-1,12)+1)</f>
        <v>Aq</v>
      </c>
      <c r="S124" s="107" t="str">
        <f>INDEX(SignSym,MOD(B124+MATCH(R124,SignSym,FALSE)-1,12)+1)</f>
        <v>Pi</v>
      </c>
    </row>
    <row r="125" spans="1:19" s="107" customFormat="1" ht="12.75" hidden="1" customHeight="1" x14ac:dyDescent="0.2">
      <c r="C125" s="518"/>
      <c r="D125" s="518"/>
      <c r="F125" s="519"/>
      <c r="G125" s="519"/>
      <c r="H125" s="519" t="e">
        <f>F124</f>
        <v>#N/A</v>
      </c>
      <c r="I125" s="519" t="e">
        <f>H125+(E124*NDDaysInYEar/12)</f>
        <v>#N/A</v>
      </c>
      <c r="J125" s="519" t="e">
        <f>I125+(E124*NDDaysInYEar/12)</f>
        <v>#N/A</v>
      </c>
      <c r="K125" s="519" t="e">
        <f>J125+(E124*NDDaysInYEar/12)</f>
        <v>#N/A</v>
      </c>
      <c r="L125" s="519" t="e">
        <f>K125+(E124*NDDaysInYEar/12)</f>
        <v>#N/A</v>
      </c>
      <c r="M125" s="519" t="e">
        <f>L125+(E124*NDDaysInYEar/12)</f>
        <v>#N/A</v>
      </c>
      <c r="N125" s="519" t="e">
        <f>M125+(E124*NDDaysInYEar/12)</f>
        <v>#N/A</v>
      </c>
      <c r="O125" s="519" t="e">
        <f>N125+(E124*NDDaysInYEar/12)</f>
        <v>#N/A</v>
      </c>
      <c r="P125" s="519" t="e">
        <f>O125+(E124*NDDaysInYEar/12)</f>
        <v>#N/A</v>
      </c>
      <c r="Q125" s="519" t="e">
        <f>P125+(E124*NDDaysInYEar/12)</f>
        <v>#N/A</v>
      </c>
      <c r="R125" s="519" t="e">
        <f>Q125+(E124*NDDaysInYEar/12)</f>
        <v>#N/A</v>
      </c>
      <c r="S125" s="519" t="e">
        <f>R125+(E124*NDDaysInYEar/12)</f>
        <v>#N/A</v>
      </c>
    </row>
    <row r="126" spans="1:19" s="107" customFormat="1" x14ac:dyDescent="0.2">
      <c r="A126" s="107" t="str">
        <f>VLOOKUP(C103,NDasaSeq,17,FALSE)</f>
        <v>Pi</v>
      </c>
      <c r="B126" s="107">
        <f>VLOOKUP(A126,NDasaC,3,FALSE)</f>
        <v>-1</v>
      </c>
      <c r="C126" s="518" t="e">
        <f>IF(MATCH(VLOOKUP(IF((A126="Aq"),VLOOKUP("AqLord",DivCharts,D102,FALSE),IF((A126="Sc"),VLOOKUP("ScLord",DivCharts,D102,FALSE),VLOOKUP(A126,RsInfo,9,FALSE))),DivCharts,D102,FALSE),RsTbl,0)=MATCH(VLOOKUP(IF((A126="Aq"),VLOOKUP("AqLord",DivCharts,D102,FALSE),IF((A126="Sc"),VLOOKUP("ScLord",DivCharts,D102,FALSE),VLOOKUP(A126,RsInfo,9,FALSE))),PlanetData,8,FALSE),RsTbl,0),1,IF(MATCH(VLOOKUP(IF((A126="Aq"),VLOOKUP("AqLord",DivCharts,D102,FALSE),IF((A126="Sc"),VLOOKUP("ScLord",DivCharts,D102,FALSE),VLOOKUP(A126,RsInfo,9,FALSE))),DivCharts,D102,FALSE),RsTbl,0)=MOD(MATCH(VLOOKUP(IF((A126="Aq"),VLOOKUP("AqLord",DivCharts,D102,FALSE),IF((A126="Sc"),VLOOKUP("ScLord",DivCharts,D102,FALSE),VLOOKUP(A126,RsInfo,9,FALSE))),PlanetData,8,FALSE),RsTbl,0)+6,12),-1,0))</f>
        <v>#N/A</v>
      </c>
      <c r="D126" s="518">
        <f>MOD((MATCH(VLOOKUP(IF((A126="Aq"),VLOOKUP("AqLord",DivCharts,D102,FALSE),IF((A126="Sc"),VLOOKUP("ScLord",DivCharts,D102,FALSE),VLOOKUP(A126,RsInfo,9,FALSE))),DivCharts,D102,FALSE),RsTbl,0)*B126)-(B126*MATCH(A126,RsTbl,0))+12,12)</f>
        <v>8</v>
      </c>
      <c r="E126" s="107" t="e">
        <f>IF(ISNA(MATCH((D126+C126),,0)),(D126+C126),12)</f>
        <v>#N/A</v>
      </c>
      <c r="F126" s="519" t="e">
        <f>G124</f>
        <v>#N/A</v>
      </c>
      <c r="G126" s="519" t="e">
        <f>F126+E126*NDDaysInYEar</f>
        <v>#N/A</v>
      </c>
      <c r="H126" s="510" t="str">
        <f>A126</f>
        <v>Pi</v>
      </c>
      <c r="I126" s="107" t="str">
        <f>INDEX(SignSym,MOD(B126+MATCH(H126,SignSym,FALSE)-1,12)+1)</f>
        <v>Aq</v>
      </c>
      <c r="J126" s="107" t="str">
        <f>INDEX(SignSym,MOD(B126+MATCH(I126,SignSym,FALSE)-1,12)+1)</f>
        <v>Cp</v>
      </c>
      <c r="K126" s="107" t="str">
        <f>INDEX(SignSym,MOD(B126+MATCH(J126,SignSym,FALSE)-1,12)+1)</f>
        <v>Sg</v>
      </c>
      <c r="L126" s="107" t="str">
        <f>INDEX(SignSym,MOD(B126+MATCH(K126,SignSym,FALSE)-1,12)+1)</f>
        <v>Sc</v>
      </c>
      <c r="M126" s="107" t="str">
        <f>INDEX(SignSym,MOD(B126+MATCH(L126,SignSym,FALSE)-1,12)+1)</f>
        <v>Li</v>
      </c>
      <c r="N126" s="107" t="str">
        <f>INDEX(SignSym,MOD(B126+MATCH(M126,SignSym,FALSE)-1,12)+1)</f>
        <v>Vi</v>
      </c>
      <c r="O126" s="107" t="str">
        <f>INDEX(SignSym,MOD(B126+MATCH(N126,SignSym,FALSE)-1,12)+1)</f>
        <v>Le</v>
      </c>
      <c r="P126" s="107" t="str">
        <f>INDEX(SignSym,MOD(B126+MATCH(O126,SignSym,FALSE)-1,12)+1)</f>
        <v>Cn</v>
      </c>
      <c r="Q126" s="107" t="str">
        <f>INDEX(SignSym,MOD(B126+MATCH(P126,SignSym,FALSE)-1,12)+1)</f>
        <v>Ge</v>
      </c>
      <c r="R126" s="107" t="str">
        <f>INDEX(SignSym,MOD(B126+MATCH(Q126,SignSym,FALSE)-1,12)+1)</f>
        <v>Ta</v>
      </c>
      <c r="S126" s="107" t="str">
        <f>INDEX(SignSym,MOD(B126+MATCH(R126,SignSym,FALSE)-1,12)+1)</f>
        <v>Ar</v>
      </c>
    </row>
    <row r="127" spans="1:19" s="107" customFormat="1" ht="12.75" hidden="1" customHeight="1" x14ac:dyDescent="0.2">
      <c r="C127" s="518"/>
      <c r="D127" s="518"/>
      <c r="F127" s="519"/>
      <c r="G127" s="519"/>
      <c r="H127" s="519" t="e">
        <f>F126</f>
        <v>#N/A</v>
      </c>
      <c r="I127" s="519" t="e">
        <f>H127+(E126*NDDaysInYEar/12)</f>
        <v>#N/A</v>
      </c>
      <c r="J127" s="519" t="e">
        <f>I127+(E126*NDDaysInYEar/12)</f>
        <v>#N/A</v>
      </c>
      <c r="K127" s="519" t="e">
        <f>J127+(E126*NDDaysInYEar/12)</f>
        <v>#N/A</v>
      </c>
      <c r="L127" s="519" t="e">
        <f>K127+(E126*NDDaysInYEar/12)</f>
        <v>#N/A</v>
      </c>
      <c r="M127" s="519" t="e">
        <f>L127+(E126*NDDaysInYEar/12)</f>
        <v>#N/A</v>
      </c>
      <c r="N127" s="519" t="e">
        <f>M127+(E126*NDDaysInYEar/12)</f>
        <v>#N/A</v>
      </c>
      <c r="O127" s="519" t="e">
        <f>N127+(E126*NDDaysInYEar/12)</f>
        <v>#N/A</v>
      </c>
      <c r="P127" s="519" t="e">
        <f>O127+(E126*NDDaysInYEar/12)</f>
        <v>#N/A</v>
      </c>
      <c r="Q127" s="519" t="e">
        <f>P127+(E126*NDDaysInYEar/12)</f>
        <v>#N/A</v>
      </c>
      <c r="R127" s="519" t="e">
        <f>Q127+(E126*NDDaysInYEar/12)</f>
        <v>#N/A</v>
      </c>
      <c r="S127" s="519" t="e">
        <f>R127+(E126*NDDaysInYEar/12)</f>
        <v>#N/A</v>
      </c>
    </row>
    <row r="128" spans="1:19" s="107" customFormat="1" x14ac:dyDescent="0.2">
      <c r="A128" s="107" t="str">
        <f>VLOOKUP(C103,NDasaSeq,18,FALSE)</f>
        <v>Aq</v>
      </c>
      <c r="B128" s="107">
        <f>VLOOKUP(A128,NDasaC,3,FALSE)</f>
        <v>-1</v>
      </c>
      <c r="C128" s="518" t="e">
        <f>IF(MATCH(VLOOKUP(IF((A128="Aq"),VLOOKUP("AqLord",DivCharts,D102,FALSE),IF((A128="Sc"),VLOOKUP("ScLord",DivCharts,D102,FALSE),VLOOKUP(A128,RsInfo,9,FALSE))),DivCharts,D102,FALSE),RsTbl,0)=MATCH(VLOOKUP(IF((A128="Aq"),VLOOKUP("AqLord",DivCharts,D102,FALSE),IF((A128="Sc"),VLOOKUP("ScLord",DivCharts,D102,FALSE),VLOOKUP(A128,RsInfo,9,FALSE))),PlanetData,8,FALSE),RsTbl,0),1,IF(MATCH(VLOOKUP(IF((A128="Aq"),VLOOKUP("AqLord",DivCharts,D102,FALSE),IF((A128="Sc"),VLOOKUP("ScLord",DivCharts,D102,FALSE),VLOOKUP(A128,RsInfo,9,FALSE))),DivCharts,D102,FALSE),RsTbl,0)=MOD(MATCH(VLOOKUP(IF((A128="Aq"),VLOOKUP("AqLord",DivCharts,D102,FALSE),IF((A128="Sc"),VLOOKUP("ScLord",DivCharts,D102,FALSE),VLOOKUP(A128,RsInfo,9,FALSE))),PlanetData,8,FALSE),RsTbl,0)+6,12),-1,0))</f>
        <v>#N/A</v>
      </c>
      <c r="D128" s="518">
        <f>MOD((MATCH(VLOOKUP(IF((A128="Aq"),VLOOKUP("AqLord",DivCharts,D102,FALSE),IF((A128="Sc"),VLOOKUP("ScLord",DivCharts,D102,FALSE),VLOOKUP(A128,RsInfo,9,FALSE))),DivCharts,D102,FALSE),RsTbl,0)*B128)-(B128*MATCH(A128,RsTbl,0))+12,12)</f>
        <v>3</v>
      </c>
      <c r="E128" s="107" t="e">
        <f>IF(ISNA(MATCH((D128+C128),,0)),(D128+C128),12)</f>
        <v>#N/A</v>
      </c>
      <c r="F128" s="519" t="e">
        <f>G126</f>
        <v>#N/A</v>
      </c>
      <c r="G128" s="519" t="e">
        <f>F128+E128*NDDaysInYEar</f>
        <v>#N/A</v>
      </c>
      <c r="H128" s="510" t="str">
        <f>A128</f>
        <v>Aq</v>
      </c>
      <c r="I128" s="107" t="str">
        <f>INDEX(SignSym,MOD(B128+MATCH(H128,SignSym,FALSE)-1,12)+1)</f>
        <v>Cp</v>
      </c>
      <c r="J128" s="107" t="str">
        <f>INDEX(SignSym,MOD(B128+MATCH(I128,SignSym,FALSE)-1,12)+1)</f>
        <v>Sg</v>
      </c>
      <c r="K128" s="107" t="str">
        <f>INDEX(SignSym,MOD(B128+MATCH(J128,SignSym,FALSE)-1,12)+1)</f>
        <v>Sc</v>
      </c>
      <c r="L128" s="107" t="str">
        <f>INDEX(SignSym,MOD(B128+MATCH(K128,SignSym,FALSE)-1,12)+1)</f>
        <v>Li</v>
      </c>
      <c r="M128" s="107" t="str">
        <f>INDEX(SignSym,MOD(B128+MATCH(L128,SignSym,FALSE)-1,12)+1)</f>
        <v>Vi</v>
      </c>
      <c r="N128" s="107" t="str">
        <f>INDEX(SignSym,MOD(B128+MATCH(M128,SignSym,FALSE)-1,12)+1)</f>
        <v>Le</v>
      </c>
      <c r="O128" s="107" t="str">
        <f>INDEX(SignSym,MOD(B128+MATCH(N128,SignSym,FALSE)-1,12)+1)</f>
        <v>Cn</v>
      </c>
      <c r="P128" s="107" t="str">
        <f>INDEX(SignSym,MOD(B128+MATCH(O128,SignSym,FALSE)-1,12)+1)</f>
        <v>Ge</v>
      </c>
      <c r="Q128" s="107" t="str">
        <f>INDEX(SignSym,MOD(B128+MATCH(P128,SignSym,FALSE)-1,12)+1)</f>
        <v>Ta</v>
      </c>
      <c r="R128" s="107" t="str">
        <f>INDEX(SignSym,MOD(B128+MATCH(Q128,SignSym,FALSE)-1,12)+1)</f>
        <v>Ar</v>
      </c>
      <c r="S128" s="107" t="str">
        <f>INDEX(SignSym,MOD(B128+MATCH(R128,SignSym,FALSE)-1,12)+1)</f>
        <v>Pi</v>
      </c>
    </row>
    <row r="129" spans="1:19" s="107" customFormat="1" hidden="1" x14ac:dyDescent="0.2">
      <c r="D129" s="518"/>
      <c r="H129" s="519" t="e">
        <f>F128</f>
        <v>#N/A</v>
      </c>
      <c r="I129" s="519" t="e">
        <f>H129+(E128*NDDaysInYEar/12)</f>
        <v>#N/A</v>
      </c>
      <c r="J129" s="519" t="e">
        <f>I129+(E128*NDDaysInYEar/12)</f>
        <v>#N/A</v>
      </c>
      <c r="K129" s="519" t="e">
        <f>J129+(E128*NDDaysInYEar/12)</f>
        <v>#N/A</v>
      </c>
      <c r="L129" s="519" t="e">
        <f>K129+(E128*NDDaysInYEar/12)</f>
        <v>#N/A</v>
      </c>
      <c r="M129" s="519" t="e">
        <f>L129+(E128*NDDaysInYEar/12)</f>
        <v>#N/A</v>
      </c>
      <c r="N129" s="519" t="e">
        <f>M129+(E128*NDDaysInYEar/12)</f>
        <v>#N/A</v>
      </c>
      <c r="O129" s="519" t="e">
        <f>N129+(E128*NDDaysInYEar/12)</f>
        <v>#N/A</v>
      </c>
      <c r="P129" s="519" t="e">
        <f>O129+(E128*NDDaysInYEar/12)</f>
        <v>#N/A</v>
      </c>
      <c r="Q129" s="519" t="e">
        <f>P129+(E128*NDDaysInYEar/12)</f>
        <v>#N/A</v>
      </c>
      <c r="R129" s="519" t="e">
        <f>Q129+(E128*NDDaysInYEar/12)</f>
        <v>#N/A</v>
      </c>
      <c r="S129" s="519" t="e">
        <f>R129+(E128*NDDaysInYEar/12)</f>
        <v>#N/A</v>
      </c>
    </row>
    <row r="130" spans="1:19" s="107" customFormat="1" x14ac:dyDescent="0.2">
      <c r="A130" s="520"/>
      <c r="B130" s="520"/>
      <c r="C130" s="520"/>
      <c r="D130" s="520"/>
      <c r="E130" s="520"/>
      <c r="F130" s="520"/>
      <c r="G130" s="520"/>
      <c r="H130" s="520"/>
      <c r="I130" s="520"/>
      <c r="J130" s="520"/>
      <c r="K130" s="520"/>
      <c r="L130" s="520"/>
      <c r="M130" s="520"/>
      <c r="N130" s="520"/>
      <c r="O130" s="520"/>
      <c r="P130" s="520"/>
      <c r="Q130" s="520"/>
      <c r="R130" s="520"/>
      <c r="S130" s="520"/>
    </row>
    <row r="131" spans="1:19" s="107" customFormat="1" hidden="1" x14ac:dyDescent="0.2">
      <c r="H131" s="519"/>
      <c r="I131" s="519"/>
      <c r="J131" s="519"/>
      <c r="K131" s="519"/>
      <c r="L131" s="519"/>
      <c r="M131" s="519"/>
      <c r="N131" s="519"/>
      <c r="O131" s="519"/>
      <c r="P131" s="519"/>
      <c r="Q131" s="519"/>
      <c r="R131" s="519"/>
      <c r="S131" s="519"/>
    </row>
    <row r="132" spans="1:19" s="107" customFormat="1" x14ac:dyDescent="0.2"/>
    <row r="135" spans="1:19" s="107" customFormat="1" x14ac:dyDescent="0.2">
      <c r="A135" s="1574" t="s">
        <v>1429</v>
      </c>
      <c r="B135" s="1574"/>
      <c r="C135" s="507">
        <v>20</v>
      </c>
      <c r="D135" s="508">
        <f>MATCH(C135,$18:$18,1)</f>
        <v>10</v>
      </c>
      <c r="I135" s="509"/>
      <c r="N135" s="509"/>
    </row>
    <row r="136" spans="1:19" s="107" customFormat="1" x14ac:dyDescent="0.2">
      <c r="A136" s="1574" t="s">
        <v>1430</v>
      </c>
      <c r="B136" s="1574"/>
      <c r="C136" s="510" t="s">
        <v>2011</v>
      </c>
      <c r="D136" s="511"/>
      <c r="E136" s="512"/>
      <c r="H136" s="513"/>
      <c r="I136" s="513"/>
      <c r="J136" s="513"/>
      <c r="O136" s="514"/>
      <c r="P136" s="515"/>
      <c r="Q136" s="514"/>
    </row>
    <row r="137" spans="1:19" s="514" customFormat="1" x14ac:dyDescent="0.2">
      <c r="B137" s="516"/>
      <c r="C137" s="515"/>
      <c r="D137" s="516"/>
      <c r="E137" s="515"/>
      <c r="F137" s="516"/>
      <c r="G137" s="516"/>
      <c r="H137" s="515"/>
      <c r="I137" s="513"/>
      <c r="J137" s="513"/>
      <c r="K137" s="107"/>
      <c r="L137" s="107"/>
      <c r="M137" s="107"/>
      <c r="N137" s="107"/>
    </row>
    <row r="138" spans="1:19" s="107" customFormat="1" x14ac:dyDescent="0.2">
      <c r="A138" s="517" t="s">
        <v>1431</v>
      </c>
      <c r="B138" s="517" t="s">
        <v>1937</v>
      </c>
      <c r="C138" s="517" t="s">
        <v>1432</v>
      </c>
      <c r="D138" s="517" t="s">
        <v>1433</v>
      </c>
      <c r="E138" s="517" t="s">
        <v>1490</v>
      </c>
      <c r="F138" s="517" t="s">
        <v>2029</v>
      </c>
      <c r="G138" s="517" t="s">
        <v>2030</v>
      </c>
      <c r="H138" s="517" t="s">
        <v>1434</v>
      </c>
      <c r="I138" s="513"/>
      <c r="J138" s="513"/>
    </row>
    <row r="139" spans="1:19" s="107" customFormat="1" x14ac:dyDescent="0.2">
      <c r="A139" s="107" t="str">
        <f>VLOOKUP(C136,NDasaSeq,7,FALSE)</f>
        <v>Cp</v>
      </c>
      <c r="B139" s="107">
        <f>VLOOKUP(A139,NDasaC,3,FALSE)</f>
        <v>-1</v>
      </c>
      <c r="C139" s="518" t="e">
        <f>IF(MATCH(VLOOKUP(IF((A139="Aq"),VLOOKUP("AqLord",DivCharts,D135,FALSE),IF((A139="Sc"),VLOOKUP("ScLord",DivCharts,D135,FALSE),VLOOKUP(A139,RsInfo,9,FALSE))),DivCharts,D135,FALSE),RsTbl,0)=MATCH(VLOOKUP(IF((A139="Aq"),VLOOKUP("AqLord",DivCharts,D135,FALSE),IF((A139="Sc"),VLOOKUP("ScLord",DivCharts,D135,FALSE),VLOOKUP(A139,RsInfo,9,FALSE))),PlanetData,8,FALSE),RsTbl,0),1,IF(MATCH(VLOOKUP(IF((A139="Aq"),VLOOKUP("AqLord",DivCharts,D135,FALSE),IF((A139="Sc"),VLOOKUP("ScLord",DivCharts,D135,FALSE),VLOOKUP(A139,RsInfo,9,FALSE))),DivCharts,D135,FALSE),RsTbl,0)=MOD(MATCH(VLOOKUP(IF((A139="Aq"),VLOOKUP("AqLord",DivCharts,D135,FALSE),IF((A139="Sc"),VLOOKUP("ScLord",DivCharts,D135,FALSE),VLOOKUP(A139,RsInfo,9,FALSE))),PlanetData,8,FALSE),RsTbl,0)+6,12),-1,0))</f>
        <v>#N/A</v>
      </c>
      <c r="D139" s="518">
        <f>MOD((MATCH(VLOOKUP(IF((A139="Aq"),VLOOKUP("AqLord",DivCharts,D135,FALSE),IF((A139="Sc"),VLOOKUP("ScLord",DivCharts,D135,FALSE),VLOOKUP(A139,RsInfo,9,FALSE))),DivCharts,D135,FALSE),RsTbl,0)*B139)-(B139*MATCH(A139,RsTbl,0))+12,12)</f>
        <v>7</v>
      </c>
      <c r="E139" s="107" t="e">
        <f>IF(ISNA(MATCH((D139+C139),,0)),(D139+C139),12)</f>
        <v>#N/A</v>
      </c>
      <c r="F139" s="519">
        <f>NDDoB</f>
        <v>26133.384143518517</v>
      </c>
      <c r="G139" s="519" t="e">
        <f>F139+E139*NDDaysInYEar</f>
        <v>#N/A</v>
      </c>
      <c r="H139" s="510" t="str">
        <f>A139</f>
        <v>Cp</v>
      </c>
      <c r="I139" s="107" t="str">
        <f>INDEX(SignSym,MOD(B139+MATCH(H139,SignSym,FALSE)-1,12)+1)</f>
        <v>Sg</v>
      </c>
      <c r="J139" s="107" t="str">
        <f>INDEX(SignSym,MOD(B139+MATCH(I139,SignSym,FALSE)-1,12)+1)</f>
        <v>Sc</v>
      </c>
      <c r="K139" s="107" t="str">
        <f>INDEX(SignSym,MOD(B139+MATCH(J139,SignSym,FALSE)-1,12)+1)</f>
        <v>Li</v>
      </c>
      <c r="L139" s="107" t="str">
        <f>INDEX(SignSym,MOD(B139+MATCH(K139,SignSym,FALSE)-1,12)+1)</f>
        <v>Vi</v>
      </c>
      <c r="M139" s="107" t="str">
        <f>INDEX(SignSym,MOD(B139+MATCH(L139,SignSym,FALSE)-1,12)+1)</f>
        <v>Le</v>
      </c>
      <c r="N139" s="107" t="str">
        <f>INDEX(SignSym,MOD(B139+MATCH(M139,SignSym,FALSE)-1,12)+1)</f>
        <v>Cn</v>
      </c>
      <c r="O139" s="107" t="str">
        <f>INDEX(SignSym,MOD(B139+MATCH(N139,SignSym,FALSE)-1,12)+1)</f>
        <v>Ge</v>
      </c>
      <c r="P139" s="107" t="str">
        <f>INDEX(SignSym,MOD(B139+MATCH(O139,SignSym,FALSE)-1,12)+1)</f>
        <v>Ta</v>
      </c>
      <c r="Q139" s="107" t="str">
        <f>INDEX(SignSym,MOD(B139+MATCH(P139,SignSym,FALSE)-1,12)+1)</f>
        <v>Ar</v>
      </c>
      <c r="R139" s="107" t="str">
        <f>INDEX(SignSym,MOD(B139+MATCH(Q139,SignSym,FALSE)-1,12)+1)</f>
        <v>Pi</v>
      </c>
      <c r="S139" s="107" t="str">
        <f>INDEX(SignSym,MOD(B139+MATCH(R139,SignSym,FALSE)-1,12)+1)</f>
        <v>Aq</v>
      </c>
    </row>
    <row r="140" spans="1:19" s="107" customFormat="1" ht="12.75" hidden="1" customHeight="1" x14ac:dyDescent="0.2">
      <c r="C140" s="518"/>
      <c r="D140" s="518"/>
      <c r="F140" s="519"/>
      <c r="G140" s="519"/>
      <c r="H140" s="519">
        <f>F139</f>
        <v>26133.384143518517</v>
      </c>
      <c r="I140" s="519" t="e">
        <f>H140+(E139*NDDaysInYEar/12)</f>
        <v>#N/A</v>
      </c>
      <c r="J140" s="519" t="e">
        <f>I140+(E139*NDDaysInYEar/12)</f>
        <v>#N/A</v>
      </c>
      <c r="K140" s="519" t="e">
        <f>J140+(E139*NDDaysInYEar/12)</f>
        <v>#N/A</v>
      </c>
      <c r="L140" s="519" t="e">
        <f>K140+(E139*NDDaysInYEar/12)</f>
        <v>#N/A</v>
      </c>
      <c r="M140" s="519" t="e">
        <f>L140+(E139*NDDaysInYEar/12)</f>
        <v>#N/A</v>
      </c>
      <c r="N140" s="519" t="e">
        <f>M140+(E139*NDDaysInYEar/12)</f>
        <v>#N/A</v>
      </c>
      <c r="O140" s="519" t="e">
        <f>N140+(E139*NDDaysInYEar/12)</f>
        <v>#N/A</v>
      </c>
      <c r="P140" s="519" t="e">
        <f>O140+(E139*NDDaysInYEar/12)</f>
        <v>#N/A</v>
      </c>
      <c r="Q140" s="519" t="e">
        <f>P140+(E139*NDDaysInYEar/12)</f>
        <v>#N/A</v>
      </c>
      <c r="R140" s="519" t="e">
        <f>Q140+(E139*NDDaysInYEar/12)</f>
        <v>#N/A</v>
      </c>
      <c r="S140" s="519" t="e">
        <f>R140+(E139*NDDaysInYEar/12)</f>
        <v>#N/A</v>
      </c>
    </row>
    <row r="141" spans="1:19" s="107" customFormat="1" x14ac:dyDescent="0.2">
      <c r="A141" s="107" t="str">
        <f>VLOOKUP(C136,NDasaSeq,8,FALSE)</f>
        <v>Sg</v>
      </c>
      <c r="B141" s="107">
        <f>VLOOKUP(A141,NDasaC,3,FALSE)</f>
        <v>1</v>
      </c>
      <c r="C141" s="518" t="e">
        <f>IF(MATCH(VLOOKUP(IF((A141="Aq"),VLOOKUP("AqLord",DivCharts,D135,FALSE),IF((A141="Sc"),VLOOKUP("ScLord",DivCharts,D135,FALSE),VLOOKUP(A141,RsInfo,9,FALSE))),DivCharts,D135,FALSE),RsTbl,0)=MATCH(VLOOKUP(IF((A141="Aq"),VLOOKUP("AqLord",DivCharts,D135,FALSE),IF((A141="Sc"),VLOOKUP("ScLord",DivCharts,D135,FALSE),VLOOKUP(A141,RsInfo,9,FALSE))),PlanetData,8,FALSE),RsTbl,0),1,IF(MATCH(VLOOKUP(IF((A141="Aq"),VLOOKUP("AqLord",DivCharts,D135,FALSE),IF((A141="Sc"),VLOOKUP("ScLord",DivCharts,D135,FALSE),VLOOKUP(A141,RsInfo,9,FALSE))),DivCharts,D135,FALSE),RsTbl,0)=MOD(MATCH(VLOOKUP(IF((A141="Aq"),VLOOKUP("AqLord",DivCharts,D135,FALSE),IF((A141="Sc"),VLOOKUP("ScLord",DivCharts,D135,FALSE),VLOOKUP(A141,RsInfo,9,FALSE))),PlanetData,8,FALSE),RsTbl,0)+6,12),-1,0))</f>
        <v>#N/A</v>
      </c>
      <c r="D141" s="518">
        <f>MOD((MATCH(VLOOKUP(IF((A141="Aq"),VLOOKUP("AqLord",DivCharts,D135,FALSE),IF((A141="Sc"),VLOOKUP("ScLord",DivCharts,D135,FALSE),VLOOKUP(A141,RsInfo,9,FALSE))),DivCharts,D135,FALSE),RsTbl,0)*B141)-(B141*MATCH(A141,RsTbl,0))+12,12)</f>
        <v>2</v>
      </c>
      <c r="E141" s="107" t="e">
        <f>IF(ISNA(MATCH((D141+C141),,0)),(D141+C141),12)</f>
        <v>#N/A</v>
      </c>
      <c r="F141" s="519" t="e">
        <f>G139</f>
        <v>#N/A</v>
      </c>
      <c r="G141" s="519" t="e">
        <f>F141+E141*NDDaysInYEar</f>
        <v>#N/A</v>
      </c>
      <c r="H141" s="510" t="str">
        <f>A141</f>
        <v>Sg</v>
      </c>
      <c r="I141" s="107" t="str">
        <f>INDEX(SignSym,MOD(B141+MATCH(H141,SignSym,FALSE)-1,12)+1)</f>
        <v>Cp</v>
      </c>
      <c r="J141" s="107" t="str">
        <f>INDEX(SignSym,MOD(B141+MATCH(I141,SignSym,FALSE)-1,12)+1)</f>
        <v>Aq</v>
      </c>
      <c r="K141" s="107" t="str">
        <f>INDEX(SignSym,MOD(B141+MATCH(J141,SignSym,FALSE)-1,12)+1)</f>
        <v>Pi</v>
      </c>
      <c r="L141" s="107" t="str">
        <f>INDEX(SignSym,MOD(B141+MATCH(K141,SignSym,FALSE)-1,12)+1)</f>
        <v>Ar</v>
      </c>
      <c r="M141" s="107" t="str">
        <f>INDEX(SignSym,MOD(B141+MATCH(L141,SignSym,FALSE)-1,12)+1)</f>
        <v>Ta</v>
      </c>
      <c r="N141" s="107" t="str">
        <f>INDEX(SignSym,MOD(B141+MATCH(M141,SignSym,FALSE)-1,12)+1)</f>
        <v>Ge</v>
      </c>
      <c r="O141" s="107" t="str">
        <f>INDEX(SignSym,MOD(B141+MATCH(N141,SignSym,FALSE)-1,12)+1)</f>
        <v>Cn</v>
      </c>
      <c r="P141" s="107" t="str">
        <f>INDEX(SignSym,MOD(B141+MATCH(O141,SignSym,FALSE)-1,12)+1)</f>
        <v>Le</v>
      </c>
      <c r="Q141" s="107" t="str">
        <f>INDEX(SignSym,MOD(B141+MATCH(P141,SignSym,FALSE)-1,12)+1)</f>
        <v>Vi</v>
      </c>
      <c r="R141" s="107" t="str">
        <f>INDEX(SignSym,MOD(B141+MATCH(Q141,SignSym,FALSE)-1,12)+1)</f>
        <v>Li</v>
      </c>
      <c r="S141" s="107" t="str">
        <f>INDEX(SignSym,MOD(B141+MATCH(R141,SignSym,FALSE)-1,12)+1)</f>
        <v>Sc</v>
      </c>
    </row>
    <row r="142" spans="1:19" s="107" customFormat="1" ht="12.75" hidden="1" customHeight="1" x14ac:dyDescent="0.2">
      <c r="C142" s="518"/>
      <c r="D142" s="518"/>
      <c r="F142" s="519"/>
      <c r="G142" s="519"/>
      <c r="H142" s="519" t="e">
        <f>F141</f>
        <v>#N/A</v>
      </c>
      <c r="I142" s="519" t="e">
        <f>H142+(E141*NDDaysInYEar/12)</f>
        <v>#N/A</v>
      </c>
      <c r="J142" s="519" t="e">
        <f>I142+(E141*NDDaysInYEar/12)</f>
        <v>#N/A</v>
      </c>
      <c r="K142" s="519" t="e">
        <f>J142+(E141*NDDaysInYEar/12)</f>
        <v>#N/A</v>
      </c>
      <c r="L142" s="519" t="e">
        <f>K142+(E141*NDDaysInYEar/12)</f>
        <v>#N/A</v>
      </c>
      <c r="M142" s="519" t="e">
        <f>L142+(E141*NDDaysInYEar/12)</f>
        <v>#N/A</v>
      </c>
      <c r="N142" s="519" t="e">
        <f>M142+(E141*NDDaysInYEar/12)</f>
        <v>#N/A</v>
      </c>
      <c r="O142" s="519" t="e">
        <f>N142+(E141*NDDaysInYEar/12)</f>
        <v>#N/A</v>
      </c>
      <c r="P142" s="519" t="e">
        <f>O142+(E141*NDDaysInYEar/12)</f>
        <v>#N/A</v>
      </c>
      <c r="Q142" s="519" t="e">
        <f>P142+(E141*NDDaysInYEar/12)</f>
        <v>#N/A</v>
      </c>
      <c r="R142" s="519" t="e">
        <f>Q142+(E141*NDDaysInYEar/12)</f>
        <v>#N/A</v>
      </c>
      <c r="S142" s="519" t="e">
        <f>R142+(E141*NDDaysInYEar/12)</f>
        <v>#N/A</v>
      </c>
    </row>
    <row r="143" spans="1:19" s="107" customFormat="1" x14ac:dyDescent="0.2">
      <c r="A143" s="107" t="str">
        <f>VLOOKUP(C136,NDasaSeq,9,FALSE)</f>
        <v>Sc</v>
      </c>
      <c r="B143" s="107">
        <f>VLOOKUP(A143,NDasaC,3,FALSE)</f>
        <v>1</v>
      </c>
      <c r="C143" s="518" t="e">
        <f>IF(MATCH(VLOOKUP(IF((A143="Aq"),VLOOKUP("AqLord",DivCharts,D135,FALSE),IF((A143="Sc"),VLOOKUP("ScLord",DivCharts,D135,FALSE),VLOOKUP(A143,RsInfo,9,FALSE))),DivCharts,D135,FALSE),RsTbl,0)=MATCH(VLOOKUP(IF((A143="Aq"),VLOOKUP("AqLord",DivCharts,D135,FALSE),IF((A143="Sc"),VLOOKUP("ScLord",DivCharts,D135,FALSE),VLOOKUP(A143,RsInfo,9,FALSE))),PlanetData,8,FALSE),RsTbl,0),1,IF(MATCH(VLOOKUP(IF((A143="Aq"),VLOOKUP("AqLord",DivCharts,D135,FALSE),IF((A143="Sc"),VLOOKUP("ScLord",DivCharts,D135,FALSE),VLOOKUP(A143,RsInfo,9,FALSE))),DivCharts,D135,FALSE),RsTbl,0)=MOD(MATCH(VLOOKUP(IF((A143="Aq"),VLOOKUP("AqLord",DivCharts,D135,FALSE),IF((A143="Sc"),VLOOKUP("ScLord",DivCharts,D135,FALSE),VLOOKUP(A143,RsInfo,9,FALSE))),PlanetData,8,FALSE),RsTbl,0)+6,12),-1,0))</f>
        <v>#N/A</v>
      </c>
      <c r="D143" s="518">
        <f>MOD((MATCH(VLOOKUP(IF((A143="Aq"),VLOOKUP("AqLord",DivCharts,D135,FALSE),IF((A143="Sc"),VLOOKUP("ScLord",DivCharts,D135,FALSE),VLOOKUP(A143,RsInfo,9,FALSE))),DivCharts,D135,FALSE),RsTbl,0)*B143)-(B143*MATCH(A143,RsTbl,0))+12,12)</f>
        <v>11</v>
      </c>
      <c r="E143" s="107" t="e">
        <f>IF(ISNA(MATCH((D143+C143),,0)),(D143+C143),12)</f>
        <v>#N/A</v>
      </c>
      <c r="F143" s="519" t="e">
        <f>G141</f>
        <v>#N/A</v>
      </c>
      <c r="G143" s="519" t="e">
        <f>F143+E143*NDDaysInYEar</f>
        <v>#N/A</v>
      </c>
      <c r="H143" s="510" t="str">
        <f>A143</f>
        <v>Sc</v>
      </c>
      <c r="I143" s="107" t="str">
        <f>INDEX(SignSym,MOD(B143+MATCH(H143,SignSym,FALSE)-1,12)+1)</f>
        <v>Sg</v>
      </c>
      <c r="J143" s="107" t="str">
        <f>INDEX(SignSym,MOD(B143+MATCH(I143,SignSym,FALSE)-1,12)+1)</f>
        <v>Cp</v>
      </c>
      <c r="K143" s="107" t="str">
        <f>INDEX(SignSym,MOD(B143+MATCH(J143,SignSym,FALSE)-1,12)+1)</f>
        <v>Aq</v>
      </c>
      <c r="L143" s="107" t="str">
        <f>INDEX(SignSym,MOD(B143+MATCH(K143,SignSym,FALSE)-1,12)+1)</f>
        <v>Pi</v>
      </c>
      <c r="M143" s="107" t="str">
        <f>INDEX(SignSym,MOD(B143+MATCH(L143,SignSym,FALSE)-1,12)+1)</f>
        <v>Ar</v>
      </c>
      <c r="N143" s="107" t="str">
        <f>INDEX(SignSym,MOD(B143+MATCH(M143,SignSym,FALSE)-1,12)+1)</f>
        <v>Ta</v>
      </c>
      <c r="O143" s="107" t="str">
        <f>INDEX(SignSym,MOD(B143+MATCH(N143,SignSym,FALSE)-1,12)+1)</f>
        <v>Ge</v>
      </c>
      <c r="P143" s="107" t="str">
        <f>INDEX(SignSym,MOD(B143+MATCH(O143,SignSym,FALSE)-1,12)+1)</f>
        <v>Cn</v>
      </c>
      <c r="Q143" s="107" t="str">
        <f>INDEX(SignSym,MOD(B143+MATCH(P143,SignSym,FALSE)-1,12)+1)</f>
        <v>Le</v>
      </c>
      <c r="R143" s="107" t="str">
        <f>INDEX(SignSym,MOD(B143+MATCH(Q143,SignSym,FALSE)-1,12)+1)</f>
        <v>Vi</v>
      </c>
      <c r="S143" s="107" t="str">
        <f>INDEX(SignSym,MOD(B143+MATCH(R143,SignSym,FALSE)-1,12)+1)</f>
        <v>Li</v>
      </c>
    </row>
    <row r="144" spans="1:19" s="107" customFormat="1" ht="12.75" hidden="1" customHeight="1" x14ac:dyDescent="0.2">
      <c r="C144" s="518"/>
      <c r="D144" s="518"/>
      <c r="F144" s="519"/>
      <c r="G144" s="519"/>
      <c r="H144" s="519" t="e">
        <f>F143</f>
        <v>#N/A</v>
      </c>
      <c r="I144" s="519" t="e">
        <f>H144+(E143*NDDaysInYEar/12)</f>
        <v>#N/A</v>
      </c>
      <c r="J144" s="519" t="e">
        <f>I144+(E143*NDDaysInYEar/12)</f>
        <v>#N/A</v>
      </c>
      <c r="K144" s="519" t="e">
        <f>J144+(E143*NDDaysInYEar/12)</f>
        <v>#N/A</v>
      </c>
      <c r="L144" s="519" t="e">
        <f>K144+(E143*NDDaysInYEar/12)</f>
        <v>#N/A</v>
      </c>
      <c r="M144" s="519" t="e">
        <f>L144+(E143*NDDaysInYEar/12)</f>
        <v>#N/A</v>
      </c>
      <c r="N144" s="519" t="e">
        <f>M144+(E143*NDDaysInYEar/12)</f>
        <v>#N/A</v>
      </c>
      <c r="O144" s="519" t="e">
        <f>N144+(E143*NDDaysInYEar/12)</f>
        <v>#N/A</v>
      </c>
      <c r="P144" s="519" t="e">
        <f>O144+(E143*NDDaysInYEar/12)</f>
        <v>#N/A</v>
      </c>
      <c r="Q144" s="519" t="e">
        <f>P144+(E143*NDDaysInYEar/12)</f>
        <v>#N/A</v>
      </c>
      <c r="R144" s="519" t="e">
        <f>Q144+(E143*NDDaysInYEar/12)</f>
        <v>#N/A</v>
      </c>
      <c r="S144" s="519" t="e">
        <f>R144+(E143*NDDaysInYEar/12)</f>
        <v>#N/A</v>
      </c>
    </row>
    <row r="145" spans="1:19" s="107" customFormat="1" x14ac:dyDescent="0.2">
      <c r="A145" s="107" t="str">
        <f>VLOOKUP(C136,NDasaSeq,10,FALSE)</f>
        <v>Li</v>
      </c>
      <c r="B145" s="107">
        <f>VLOOKUP(A145,NDasaC,3,FALSE)</f>
        <v>1</v>
      </c>
      <c r="C145" s="518" t="e">
        <f>IF(MATCH(VLOOKUP(IF((A145="Aq"),VLOOKUP("AqLord",DivCharts,D135,FALSE),IF((A145="Sc"),VLOOKUP("ScLord",DivCharts,D135,FALSE),VLOOKUP(A145,RsInfo,9,FALSE))),DivCharts,D135,FALSE),RsTbl,0)=MATCH(VLOOKUP(IF((A145="Aq"),VLOOKUP("AqLord",DivCharts,D135,FALSE),IF((A145="Sc"),VLOOKUP("ScLord",DivCharts,D135,FALSE),VLOOKUP(A145,RsInfo,9,FALSE))),PlanetData,8,FALSE),RsTbl,0),1,IF(MATCH(VLOOKUP(IF((A145="Aq"),VLOOKUP("AqLord",DivCharts,D135,FALSE),IF((A145="Sc"),VLOOKUP("ScLord",DivCharts,D135,FALSE),VLOOKUP(A145,RsInfo,9,FALSE))),DivCharts,D135,FALSE),RsTbl,0)=MOD(MATCH(VLOOKUP(IF((A145="Aq"),VLOOKUP("AqLord",DivCharts,D135,FALSE),IF((A145="Sc"),VLOOKUP("ScLord",DivCharts,D135,FALSE),VLOOKUP(A145,RsInfo,9,FALSE))),PlanetData,8,FALSE),RsTbl,0)+6,12),-1,0))</f>
        <v>#N/A</v>
      </c>
      <c r="D145" s="518">
        <f>MOD((MATCH(VLOOKUP(IF((A145="Aq"),VLOOKUP("AqLord",DivCharts,D135,FALSE),IF((A145="Sc"),VLOOKUP("ScLord",DivCharts,D135,FALSE),VLOOKUP(A145,RsInfo,9,FALSE))),DivCharts,D135,FALSE),RsTbl,0)*B145)-(B145*MATCH(A145,RsTbl,0))+12,12)</f>
        <v>0</v>
      </c>
      <c r="E145" s="107" t="e">
        <f>IF(ISNA(MATCH((D145+C145),,0)),(D145+C145),12)</f>
        <v>#N/A</v>
      </c>
      <c r="F145" s="519" t="e">
        <f>G143</f>
        <v>#N/A</v>
      </c>
      <c r="G145" s="519" t="e">
        <f>F145+E145*NDDaysInYEar</f>
        <v>#N/A</v>
      </c>
      <c r="H145" s="510" t="str">
        <f>A145</f>
        <v>Li</v>
      </c>
      <c r="I145" s="107" t="str">
        <f>INDEX(SignSym,MOD(B145+MATCH(H145,SignSym,FALSE)-1,12)+1)</f>
        <v>Sc</v>
      </c>
      <c r="J145" s="107" t="str">
        <f>INDEX(SignSym,MOD(B145+MATCH(I145,SignSym,FALSE)-1,12)+1)</f>
        <v>Sg</v>
      </c>
      <c r="K145" s="107" t="str">
        <f>INDEX(SignSym,MOD(B145+MATCH(J145,SignSym,FALSE)-1,12)+1)</f>
        <v>Cp</v>
      </c>
      <c r="L145" s="107" t="str">
        <f>INDEX(SignSym,MOD(B145+MATCH(K145,SignSym,FALSE)-1,12)+1)</f>
        <v>Aq</v>
      </c>
      <c r="M145" s="107" t="str">
        <f>INDEX(SignSym,MOD(B145+MATCH(L145,SignSym,FALSE)-1,12)+1)</f>
        <v>Pi</v>
      </c>
      <c r="N145" s="107" t="str">
        <f>INDEX(SignSym,MOD(B145+MATCH(M145,SignSym,FALSE)-1,12)+1)</f>
        <v>Ar</v>
      </c>
      <c r="O145" s="107" t="str">
        <f>INDEX(SignSym,MOD(B145+MATCH(N145,SignSym,FALSE)-1,12)+1)</f>
        <v>Ta</v>
      </c>
      <c r="P145" s="107" t="str">
        <f>INDEX(SignSym,MOD(B145+MATCH(O145,SignSym,FALSE)-1,12)+1)</f>
        <v>Ge</v>
      </c>
      <c r="Q145" s="107" t="str">
        <f>INDEX(SignSym,MOD(B145+MATCH(P145,SignSym,FALSE)-1,12)+1)</f>
        <v>Cn</v>
      </c>
      <c r="R145" s="107" t="str">
        <f>INDEX(SignSym,MOD(B145+MATCH(Q145,SignSym,FALSE)-1,12)+1)</f>
        <v>Le</v>
      </c>
      <c r="S145" s="107" t="str">
        <f>INDEX(SignSym,MOD(B145+MATCH(R145,SignSym,FALSE)-1,12)+1)</f>
        <v>Vi</v>
      </c>
    </row>
    <row r="146" spans="1:19" s="107" customFormat="1" ht="12.75" hidden="1" customHeight="1" x14ac:dyDescent="0.2">
      <c r="C146" s="518"/>
      <c r="D146" s="518"/>
      <c r="F146" s="519"/>
      <c r="G146" s="519"/>
      <c r="H146" s="519" t="e">
        <f>F145</f>
        <v>#N/A</v>
      </c>
      <c r="I146" s="519" t="e">
        <f>H146+(E145*NDDaysInYEar/12)</f>
        <v>#N/A</v>
      </c>
      <c r="J146" s="519" t="e">
        <f>I146+(E145*NDDaysInYEar/12)</f>
        <v>#N/A</v>
      </c>
      <c r="K146" s="519" t="e">
        <f>J146+(E145*NDDaysInYEar/12)</f>
        <v>#N/A</v>
      </c>
      <c r="L146" s="519" t="e">
        <f>K146+(E145*NDDaysInYEar/12)</f>
        <v>#N/A</v>
      </c>
      <c r="M146" s="519" t="e">
        <f>L146+(E145*NDDaysInYEar/12)</f>
        <v>#N/A</v>
      </c>
      <c r="N146" s="519" t="e">
        <f>M146+(E145*NDDaysInYEar/12)</f>
        <v>#N/A</v>
      </c>
      <c r="O146" s="519" t="e">
        <f>N146+(E145*NDDaysInYEar/12)</f>
        <v>#N/A</v>
      </c>
      <c r="P146" s="519" t="e">
        <f>O146+(E145*NDDaysInYEar/12)</f>
        <v>#N/A</v>
      </c>
      <c r="Q146" s="519" t="e">
        <f>P146+(E145*NDDaysInYEar/12)</f>
        <v>#N/A</v>
      </c>
      <c r="R146" s="519" t="e">
        <f>Q146+(E145*NDDaysInYEar/12)</f>
        <v>#N/A</v>
      </c>
      <c r="S146" s="519" t="e">
        <f>R146+(E145*NDDaysInYEar/12)</f>
        <v>#N/A</v>
      </c>
    </row>
    <row r="147" spans="1:19" s="107" customFormat="1" x14ac:dyDescent="0.2">
      <c r="A147" s="107" t="str">
        <f>VLOOKUP(C136,NDasaSeq,11,FALSE)</f>
        <v>Vi</v>
      </c>
      <c r="B147" s="107">
        <f>VLOOKUP(A147,NDasaC,3,FALSE)</f>
        <v>-1</v>
      </c>
      <c r="C147" s="518" t="e">
        <f>IF(MATCH(VLOOKUP(IF((A147="Aq"),VLOOKUP("AqLord",DivCharts,D135,FALSE),IF((A147="Sc"),VLOOKUP("ScLord",DivCharts,D135,FALSE),VLOOKUP(A147,RsInfo,9,FALSE))),DivCharts,D135,FALSE),RsTbl,0)=MATCH(VLOOKUP(IF((A147="Aq"),VLOOKUP("AqLord",DivCharts,D135,FALSE),IF((A147="Sc"),VLOOKUP("ScLord",DivCharts,D135,FALSE),VLOOKUP(A147,RsInfo,9,FALSE))),PlanetData,8,FALSE),RsTbl,0),1,IF(MATCH(VLOOKUP(IF((A147="Aq"),VLOOKUP("AqLord",DivCharts,D135,FALSE),IF((A147="Sc"),VLOOKUP("ScLord",DivCharts,D135,FALSE),VLOOKUP(A147,RsInfo,9,FALSE))),DivCharts,D135,FALSE),RsTbl,0)=MOD(MATCH(VLOOKUP(IF((A147="Aq"),VLOOKUP("AqLord",DivCharts,D135,FALSE),IF((A147="Sc"),VLOOKUP("ScLord",DivCharts,D135,FALSE),VLOOKUP(A147,RsInfo,9,FALSE))),PlanetData,8,FALSE),RsTbl,0)+6,12),-1,0))</f>
        <v>#N/A</v>
      </c>
      <c r="D147" s="518">
        <f>MOD((MATCH(VLOOKUP(IF((A147="Aq"),VLOOKUP("AqLord",DivCharts,D135,FALSE),IF((A147="Sc"),VLOOKUP("ScLord",DivCharts,D135,FALSE),VLOOKUP(A147,RsInfo,9,FALSE))),DivCharts,D135,FALSE),RsTbl,0)*B147)-(B147*MATCH(A147,RsTbl,0))+12,12)</f>
        <v>11</v>
      </c>
      <c r="E147" s="107" t="e">
        <f>IF(ISNA(MATCH((D147+C147),,0)),(D147+C147),12)</f>
        <v>#N/A</v>
      </c>
      <c r="F147" s="519" t="e">
        <f>G145</f>
        <v>#N/A</v>
      </c>
      <c r="G147" s="519" t="e">
        <f>F147+E147*NDDaysInYEar</f>
        <v>#N/A</v>
      </c>
      <c r="H147" s="510" t="s">
        <v>1956</v>
      </c>
      <c r="I147" s="107" t="str">
        <f>INDEX(SignSym,MOD(B147+MATCH(H147,SignSym,FALSE)-1,12)+1)</f>
        <v>Pi</v>
      </c>
      <c r="J147" s="107" t="str">
        <f>INDEX(SignSym,MOD(B147+MATCH(I147,SignSym,FALSE)-1,12)+1)</f>
        <v>Aq</v>
      </c>
      <c r="K147" s="107" t="str">
        <f>INDEX(SignSym,MOD(B147+MATCH(J147,SignSym,FALSE)-1,12)+1)</f>
        <v>Cp</v>
      </c>
      <c r="L147" s="107" t="str">
        <f>INDEX(SignSym,MOD(B147+MATCH(K147,SignSym,FALSE)-1,12)+1)</f>
        <v>Sg</v>
      </c>
      <c r="M147" s="107" t="str">
        <f>INDEX(SignSym,MOD(B147+MATCH(L147,SignSym,FALSE)-1,12)+1)</f>
        <v>Sc</v>
      </c>
      <c r="N147" s="107" t="str">
        <f>INDEX(SignSym,MOD(B147+MATCH(M147,SignSym,FALSE)-1,12)+1)</f>
        <v>Li</v>
      </c>
      <c r="O147" s="107" t="str">
        <f>INDEX(SignSym,MOD(B147+MATCH(N147,SignSym,FALSE)-1,12)+1)</f>
        <v>Vi</v>
      </c>
      <c r="P147" s="107" t="str">
        <f>INDEX(SignSym,MOD(B147+MATCH(O147,SignSym,FALSE)-1,12)+1)</f>
        <v>Le</v>
      </c>
      <c r="Q147" s="107" t="str">
        <f>INDEX(SignSym,MOD(B147+MATCH(P147,SignSym,FALSE)-1,12)+1)</f>
        <v>Cn</v>
      </c>
      <c r="R147" s="107" t="str">
        <f>INDEX(SignSym,MOD(B147+MATCH(Q147,SignSym,FALSE)-1,12)+1)</f>
        <v>Ge</v>
      </c>
      <c r="S147" s="107" t="str">
        <f>INDEX(SignSym,MOD(B147+MATCH(R147,SignSym,FALSE)-1,12)+1)</f>
        <v>Ta</v>
      </c>
    </row>
    <row r="148" spans="1:19" s="107" customFormat="1" hidden="1" x14ac:dyDescent="0.2">
      <c r="C148" s="518"/>
      <c r="D148" s="518"/>
      <c r="F148" s="519"/>
      <c r="G148" s="519"/>
      <c r="H148" s="519" t="e">
        <f>F147</f>
        <v>#N/A</v>
      </c>
      <c r="I148" s="519" t="e">
        <f>H148+(E147*NDDaysInYEar/12)</f>
        <v>#N/A</v>
      </c>
      <c r="J148" s="519" t="e">
        <f>I148+(E147*NDDaysInYEar/12)</f>
        <v>#N/A</v>
      </c>
      <c r="K148" s="519" t="e">
        <f>J148+(E147*NDDaysInYEar/12)</f>
        <v>#N/A</v>
      </c>
      <c r="L148" s="519" t="e">
        <f>K148+(E147*NDDaysInYEar/12)</f>
        <v>#N/A</v>
      </c>
      <c r="M148" s="519" t="e">
        <f>L148+(E147*NDDaysInYEar/12)</f>
        <v>#N/A</v>
      </c>
      <c r="N148" s="519" t="e">
        <f>M148+(E147*NDDaysInYEar/12)</f>
        <v>#N/A</v>
      </c>
      <c r="O148" s="519" t="e">
        <f>N148+(E147*NDDaysInYEar/12)</f>
        <v>#N/A</v>
      </c>
      <c r="P148" s="519" t="e">
        <f>O148+(E147*NDDaysInYEar/12)</f>
        <v>#N/A</v>
      </c>
      <c r="Q148" s="519" t="e">
        <f>P148+(E147*NDDaysInYEar/12)</f>
        <v>#N/A</v>
      </c>
      <c r="R148" s="519" t="e">
        <f>Q148+(E147*NDDaysInYEar/12)</f>
        <v>#N/A</v>
      </c>
      <c r="S148" s="519" t="e">
        <f>R148+(E147*NDDaysInYEar/12)</f>
        <v>#N/A</v>
      </c>
    </row>
    <row r="149" spans="1:19" s="107" customFormat="1" x14ac:dyDescent="0.2">
      <c r="A149" s="107" t="str">
        <f>VLOOKUP(C136,NDasaSeq,12,FALSE)</f>
        <v>Le</v>
      </c>
      <c r="B149" s="107">
        <f>VLOOKUP(A149,NDasaC,3,FALSE)</f>
        <v>-1</v>
      </c>
      <c r="C149" s="518" t="e">
        <f>IF(MATCH(VLOOKUP(IF((A149="Aq"),VLOOKUP("AqLord",DivCharts,D135,FALSE),IF((A149="Sc"),VLOOKUP("ScLord",DivCharts,D135,FALSE),VLOOKUP(A149,RsInfo,9,FALSE))),DivCharts,D135,FALSE),RsTbl,0)=MATCH(VLOOKUP(IF((A149="Aq"),VLOOKUP("AqLord",DivCharts,D135,FALSE),IF((A149="Sc"),VLOOKUP("ScLord",DivCharts,D135,FALSE),VLOOKUP(A149,RsInfo,9,FALSE))),PlanetData,8,FALSE),RsTbl,0),1,IF(MATCH(VLOOKUP(IF((A149="Aq"),VLOOKUP("AqLord",DivCharts,D135,FALSE),IF((A149="Sc"),VLOOKUP("ScLord",DivCharts,D135,FALSE),VLOOKUP(A149,RsInfo,9,FALSE))),DivCharts,D135,FALSE),RsTbl,0)=MOD(MATCH(VLOOKUP(IF((A149="Aq"),VLOOKUP("AqLord",DivCharts,D135,FALSE),IF((A149="Sc"),VLOOKUP("ScLord",DivCharts,D135,FALSE),VLOOKUP(A149,RsInfo,9,FALSE))),PlanetData,8,FALSE),RsTbl,0)+6,12),-1,0))</f>
        <v>#N/A</v>
      </c>
      <c r="D149" s="518">
        <f>MOD((MATCH(VLOOKUP(IF((A149="Aq"),VLOOKUP("AqLord",DivCharts,D135,FALSE),IF((A149="Sc"),VLOOKUP("ScLord",DivCharts,D135,FALSE),VLOOKUP(A149,RsInfo,9,FALSE))),DivCharts,D135,FALSE),RsTbl,0)*B149)-(B149*MATCH(A149,RsTbl,0))+12,12)</f>
        <v>3</v>
      </c>
      <c r="E149" s="107" t="e">
        <f>IF(ISNA(MATCH((D149+C149),,0)),(D149+C149),12)</f>
        <v>#N/A</v>
      </c>
      <c r="F149" s="519" t="e">
        <f>G147</f>
        <v>#N/A</v>
      </c>
      <c r="G149" s="519" t="e">
        <f>F149+E149*NDDaysInYEar</f>
        <v>#N/A</v>
      </c>
      <c r="H149" s="510" t="s">
        <v>1959</v>
      </c>
      <c r="I149" s="107" t="str">
        <f>INDEX(SignSym,MOD(B149+MATCH(H149,SignSym,FALSE)-1,12)+1)</f>
        <v>Le</v>
      </c>
      <c r="J149" s="107" t="str">
        <f>INDEX(SignSym,MOD(B149+MATCH(I149,SignSym,FALSE)-1,12)+1)</f>
        <v>Cn</v>
      </c>
      <c r="K149" s="107" t="str">
        <f>INDEX(SignSym,MOD(B149+MATCH(J149,SignSym,FALSE)-1,12)+1)</f>
        <v>Ge</v>
      </c>
      <c r="L149" s="107" t="str">
        <f>INDEX(SignSym,MOD(B149+MATCH(K149,SignSym,FALSE)-1,12)+1)</f>
        <v>Ta</v>
      </c>
      <c r="M149" s="107" t="str">
        <f>INDEX(SignSym,MOD(B149+MATCH(L149,SignSym,FALSE)-1,12)+1)</f>
        <v>Ar</v>
      </c>
      <c r="N149" s="107" t="str">
        <f>INDEX(SignSym,MOD(B149+MATCH(M149,SignSym,FALSE)-1,12)+1)</f>
        <v>Pi</v>
      </c>
      <c r="O149" s="107" t="str">
        <f>INDEX(SignSym,MOD(B149+MATCH(N149,SignSym,FALSE)-1,12)+1)</f>
        <v>Aq</v>
      </c>
      <c r="P149" s="107" t="str">
        <f>INDEX(SignSym,MOD(B149+MATCH(O149,SignSym,FALSE)-1,12)+1)</f>
        <v>Cp</v>
      </c>
      <c r="Q149" s="107" t="str">
        <f>INDEX(SignSym,MOD(B149+MATCH(P149,SignSym,FALSE)-1,12)+1)</f>
        <v>Sg</v>
      </c>
      <c r="R149" s="107" t="str">
        <f>INDEX(SignSym,MOD(B149+MATCH(Q149,SignSym,FALSE)-1,12)+1)</f>
        <v>Sc</v>
      </c>
      <c r="S149" s="107" t="str">
        <f>INDEX(SignSym,MOD(B149+MATCH(R149,SignSym,FALSE)-1,12)+1)</f>
        <v>Li</v>
      </c>
    </row>
    <row r="150" spans="1:19" s="107" customFormat="1" hidden="1" x14ac:dyDescent="0.2">
      <c r="C150" s="518"/>
      <c r="D150" s="518"/>
      <c r="F150" s="519"/>
      <c r="G150" s="519"/>
      <c r="H150" s="519" t="e">
        <f>F149</f>
        <v>#N/A</v>
      </c>
      <c r="I150" s="519" t="e">
        <f>H150+(E149*NDDaysInYEar/12)</f>
        <v>#N/A</v>
      </c>
      <c r="J150" s="519" t="e">
        <f>I150+(E149*NDDaysInYEar/12)</f>
        <v>#N/A</v>
      </c>
      <c r="K150" s="519" t="e">
        <f>J150+(E149*NDDaysInYEar/12)</f>
        <v>#N/A</v>
      </c>
      <c r="L150" s="519" t="e">
        <f>K150+(E149*NDDaysInYEar/12)</f>
        <v>#N/A</v>
      </c>
      <c r="M150" s="519" t="e">
        <f>L150+(E149*NDDaysInYEar/12)</f>
        <v>#N/A</v>
      </c>
      <c r="N150" s="519" t="e">
        <f>M150+(E149*NDDaysInYEar/12)</f>
        <v>#N/A</v>
      </c>
      <c r="O150" s="519" t="e">
        <f>N150+(E149*NDDaysInYEar/12)</f>
        <v>#N/A</v>
      </c>
      <c r="P150" s="519" t="e">
        <f>O150+(E149*NDDaysInYEar/12)</f>
        <v>#N/A</v>
      </c>
      <c r="Q150" s="519" t="e">
        <f>P150+(E149*NDDaysInYEar/12)</f>
        <v>#N/A</v>
      </c>
      <c r="R150" s="519" t="e">
        <f>Q150+(E149*NDDaysInYEar/12)</f>
        <v>#N/A</v>
      </c>
      <c r="S150" s="519" t="e">
        <f>R150+(E149*NDDaysInYEar/12)</f>
        <v>#N/A</v>
      </c>
    </row>
    <row r="151" spans="1:19" s="107" customFormat="1" x14ac:dyDescent="0.2">
      <c r="A151" s="107" t="str">
        <f>VLOOKUP(C136,NDasaSeq,13,FALSE)</f>
        <v>Cn</v>
      </c>
      <c r="B151" s="107">
        <f>VLOOKUP(A151,NDasaC,3,FALSE)</f>
        <v>-1</v>
      </c>
      <c r="C151" s="518" t="e">
        <f>IF(MATCH(VLOOKUP(IF((A151="Aq"),VLOOKUP("AqLord",DivCharts,D135,FALSE),IF((A151="Sc"),VLOOKUP("ScLord",DivCharts,D135,FALSE),VLOOKUP(A151,RsInfo,9,FALSE))),DivCharts,D135,FALSE),RsTbl,0)=MATCH(VLOOKUP(IF((A151="Aq"),VLOOKUP("AqLord",DivCharts,D135,FALSE),IF((A151="Sc"),VLOOKUP("ScLord",DivCharts,D135,FALSE),VLOOKUP(A151,RsInfo,9,FALSE))),PlanetData,8,FALSE),RsTbl,0),1,IF(MATCH(VLOOKUP(IF((A151="Aq"),VLOOKUP("AqLord",DivCharts,D135,FALSE),IF((A151="Sc"),VLOOKUP("ScLord",DivCharts,D135,FALSE),VLOOKUP(A151,RsInfo,9,FALSE))),DivCharts,D135,FALSE),RsTbl,0)=MOD(MATCH(VLOOKUP(IF((A151="Aq"),VLOOKUP("AqLord",DivCharts,D135,FALSE),IF((A151="Sc"),VLOOKUP("ScLord",DivCharts,D135,FALSE),VLOOKUP(A151,RsInfo,9,FALSE))),PlanetData,8,FALSE),RsTbl,0)+6,12),-1,0))</f>
        <v>#N/A</v>
      </c>
      <c r="D151" s="518">
        <f>MOD((MATCH(VLOOKUP(IF((A151="Aq"),VLOOKUP("AqLord",DivCharts,D135,FALSE),IF((A151="Sc"),VLOOKUP("ScLord",DivCharts,D135,FALSE),VLOOKUP(A151,RsInfo,9,FALSE))),DivCharts,D135,FALSE),RsTbl,0)*B151)-(B151*MATCH(A151,RsTbl,0))+12,12)</f>
        <v>4</v>
      </c>
      <c r="E151" s="107" t="e">
        <f>IF(ISNA(MATCH((D151+C151),,0)),(D151+C151),12)</f>
        <v>#N/A</v>
      </c>
      <c r="F151" s="519" t="e">
        <f>G149</f>
        <v>#N/A</v>
      </c>
      <c r="G151" s="519" t="e">
        <f>F151+E151*NDDaysInYEar</f>
        <v>#N/A</v>
      </c>
      <c r="H151" s="510" t="s">
        <v>1974</v>
      </c>
      <c r="I151" s="107" t="str">
        <f>INDEX(SignSym,MOD(B151+MATCH(H151,SignSym,FALSE)-1,12)+1)</f>
        <v>Cp</v>
      </c>
      <c r="J151" s="107" t="str">
        <f>INDEX(SignSym,MOD(B151+MATCH(I151,SignSym,FALSE)-1,12)+1)</f>
        <v>Sg</v>
      </c>
      <c r="K151" s="107" t="str">
        <f>INDEX(SignSym,MOD(B151+MATCH(J151,SignSym,FALSE)-1,12)+1)</f>
        <v>Sc</v>
      </c>
      <c r="L151" s="107" t="str">
        <f>INDEX(SignSym,MOD(B151+MATCH(K151,SignSym,FALSE)-1,12)+1)</f>
        <v>Li</v>
      </c>
      <c r="M151" s="107" t="str">
        <f>INDEX(SignSym,MOD(B151+MATCH(L151,SignSym,FALSE)-1,12)+1)</f>
        <v>Vi</v>
      </c>
      <c r="N151" s="107" t="str">
        <f>INDEX(SignSym,MOD(B151+MATCH(M151,SignSym,FALSE)-1,12)+1)</f>
        <v>Le</v>
      </c>
      <c r="O151" s="107" t="str">
        <f>INDEX(SignSym,MOD(B151+MATCH(N151,SignSym,FALSE)-1,12)+1)</f>
        <v>Cn</v>
      </c>
      <c r="P151" s="107" t="str">
        <f>INDEX(SignSym,MOD(B151+MATCH(O151,SignSym,FALSE)-1,12)+1)</f>
        <v>Ge</v>
      </c>
      <c r="Q151" s="107" t="str">
        <f>INDEX(SignSym,MOD(B151+MATCH(P151,SignSym,FALSE)-1,12)+1)</f>
        <v>Ta</v>
      </c>
      <c r="R151" s="107" t="str">
        <f>INDEX(SignSym,MOD(B151+MATCH(Q151,SignSym,FALSE)-1,12)+1)</f>
        <v>Ar</v>
      </c>
      <c r="S151" s="107" t="str">
        <f>INDEX(SignSym,MOD(B151+MATCH(R151,SignSym,FALSE)-1,12)+1)</f>
        <v>Pi</v>
      </c>
    </row>
    <row r="152" spans="1:19" s="107" customFormat="1" hidden="1" x14ac:dyDescent="0.2">
      <c r="C152" s="518"/>
      <c r="D152" s="518"/>
      <c r="F152" s="519"/>
      <c r="G152" s="519"/>
      <c r="H152" s="519" t="e">
        <f>F151</f>
        <v>#N/A</v>
      </c>
      <c r="I152" s="519" t="e">
        <f>H152+(E151*NDDaysInYEar/12)</f>
        <v>#N/A</v>
      </c>
      <c r="J152" s="519" t="e">
        <f>I152+(E151*NDDaysInYEar/12)</f>
        <v>#N/A</v>
      </c>
      <c r="K152" s="519" t="e">
        <f>J152+(E151*NDDaysInYEar/12)</f>
        <v>#N/A</v>
      </c>
      <c r="L152" s="519" t="e">
        <f>K152+(E151*NDDaysInYEar/12)</f>
        <v>#N/A</v>
      </c>
      <c r="M152" s="519" t="e">
        <f>L152+(E151*NDDaysInYEar/12)</f>
        <v>#N/A</v>
      </c>
      <c r="N152" s="519" t="e">
        <f>M152+(E151*NDDaysInYEar/12)</f>
        <v>#N/A</v>
      </c>
      <c r="O152" s="519" t="e">
        <f>N152+(E151*NDDaysInYEar/12)</f>
        <v>#N/A</v>
      </c>
      <c r="P152" s="519" t="e">
        <f>O152+(E151*NDDaysInYEar/12)</f>
        <v>#N/A</v>
      </c>
      <c r="Q152" s="519" t="e">
        <f>P152+(E151*NDDaysInYEar/12)</f>
        <v>#N/A</v>
      </c>
      <c r="R152" s="519" t="e">
        <f>Q152+(E151*NDDaysInYEar/12)</f>
        <v>#N/A</v>
      </c>
      <c r="S152" s="519" t="e">
        <f>R152+(E151*NDDaysInYEar/12)</f>
        <v>#N/A</v>
      </c>
    </row>
    <row r="153" spans="1:19" s="107" customFormat="1" x14ac:dyDescent="0.2">
      <c r="A153" s="107" t="str">
        <f>VLOOKUP(C136,NDasaSeq,14,FALSE)</f>
        <v>Ge</v>
      </c>
      <c r="B153" s="107">
        <f>VLOOKUP(A153,NDasaC,3,FALSE)</f>
        <v>1</v>
      </c>
      <c r="C153" s="518" t="e">
        <f>IF(MATCH(VLOOKUP(IF((A153="Aq"),VLOOKUP("AqLord",DivCharts,D135,FALSE),IF((A153="Sc"),VLOOKUP("ScLord",DivCharts,D135,FALSE),VLOOKUP(A153,RsInfo,9,FALSE))),DivCharts,D135,FALSE),RsTbl,0)=MATCH(VLOOKUP(IF((A153="Aq"),VLOOKUP("AqLord",DivCharts,D135,FALSE),IF((A153="Sc"),VLOOKUP("ScLord",DivCharts,D135,FALSE),VLOOKUP(A153,RsInfo,9,FALSE))),PlanetData,8,FALSE),RsTbl,0),1,IF(MATCH(VLOOKUP(IF((A153="Aq"),VLOOKUP("AqLord",DivCharts,D135,FALSE),IF((A153="Sc"),VLOOKUP("ScLord",DivCharts,D135,FALSE),VLOOKUP(A153,RsInfo,9,FALSE))),DivCharts,D135,FALSE),RsTbl,0)=MOD(MATCH(VLOOKUP(IF((A153="Aq"),VLOOKUP("AqLord",DivCharts,D135,FALSE),IF((A153="Sc"),VLOOKUP("ScLord",DivCharts,D135,FALSE),VLOOKUP(A153,RsInfo,9,FALSE))),PlanetData,8,FALSE),RsTbl,0)+6,12),-1,0))</f>
        <v>#N/A</v>
      </c>
      <c r="D153" s="518">
        <f>MOD((MATCH(VLOOKUP(IF((A153="Aq"),VLOOKUP("AqLord",DivCharts,D135,FALSE),IF((A153="Sc"),VLOOKUP("ScLord",DivCharts,D135,FALSE),VLOOKUP(A153,RsInfo,9,FALSE))),DivCharts,D135,FALSE),RsTbl,0)*B153)-(B153*MATCH(A153,RsTbl,0))+12,12)</f>
        <v>4</v>
      </c>
      <c r="E153" s="107" t="e">
        <f>IF(ISNA(MATCH((D153+C153),,0)),(D153+C153),12)</f>
        <v>#N/A</v>
      </c>
      <c r="F153" s="519" t="e">
        <f>G151</f>
        <v>#N/A</v>
      </c>
      <c r="G153" s="519" t="e">
        <f>F153+E153*NDDaysInYEar</f>
        <v>#N/A</v>
      </c>
      <c r="H153" s="510" t="s">
        <v>1968</v>
      </c>
      <c r="I153" s="107" t="str">
        <f>INDEX(SignSym,MOD(B153+MATCH(H153,SignSym,FALSE)-1,12)+1)</f>
        <v>Le</v>
      </c>
      <c r="J153" s="107" t="str">
        <f>INDEX(SignSym,MOD(B153+MATCH(I153,SignSym,FALSE)-1,12)+1)</f>
        <v>Vi</v>
      </c>
      <c r="K153" s="107" t="str">
        <f>INDEX(SignSym,MOD(B153+MATCH(J153,SignSym,FALSE)-1,12)+1)</f>
        <v>Li</v>
      </c>
      <c r="L153" s="107" t="str">
        <f>INDEX(SignSym,MOD(B153+MATCH(K153,SignSym,FALSE)-1,12)+1)</f>
        <v>Sc</v>
      </c>
      <c r="M153" s="107" t="str">
        <f>INDEX(SignSym,MOD(B153+MATCH(L153,SignSym,FALSE)-1,12)+1)</f>
        <v>Sg</v>
      </c>
      <c r="N153" s="107" t="str">
        <f>INDEX(SignSym,MOD(B153+MATCH(M153,SignSym,FALSE)-1,12)+1)</f>
        <v>Cp</v>
      </c>
      <c r="O153" s="107" t="str">
        <f>INDEX(SignSym,MOD(B153+MATCH(N153,SignSym,FALSE)-1,12)+1)</f>
        <v>Aq</v>
      </c>
      <c r="P153" s="107" t="str">
        <f>INDEX(SignSym,MOD(B153+MATCH(O153,SignSym,FALSE)-1,12)+1)</f>
        <v>Pi</v>
      </c>
      <c r="Q153" s="107" t="str">
        <f>INDEX(SignSym,MOD(B153+MATCH(P153,SignSym,FALSE)-1,12)+1)</f>
        <v>Ar</v>
      </c>
      <c r="R153" s="107" t="str">
        <f>INDEX(SignSym,MOD(B153+MATCH(Q153,SignSym,FALSE)-1,12)+1)</f>
        <v>Ta</v>
      </c>
      <c r="S153" s="107" t="str">
        <f>INDEX(SignSym,MOD(B153+MATCH(R153,SignSym,FALSE)-1,12)+1)</f>
        <v>Ge</v>
      </c>
    </row>
    <row r="154" spans="1:19" s="107" customFormat="1" hidden="1" x14ac:dyDescent="0.2">
      <c r="C154" s="518"/>
      <c r="D154" s="518"/>
      <c r="F154" s="519"/>
      <c r="G154" s="519"/>
      <c r="H154" s="519" t="e">
        <f>F153</f>
        <v>#N/A</v>
      </c>
      <c r="I154" s="519" t="e">
        <f>H154+(E153*NDDaysInYEar/12)</f>
        <v>#N/A</v>
      </c>
      <c r="J154" s="519" t="e">
        <f>I154+(E153*NDDaysInYEar/12)</f>
        <v>#N/A</v>
      </c>
      <c r="K154" s="519" t="e">
        <f>J154+(E153*NDDaysInYEar/12)</f>
        <v>#N/A</v>
      </c>
      <c r="L154" s="519" t="e">
        <f>K154+(E153*NDDaysInYEar/12)</f>
        <v>#N/A</v>
      </c>
      <c r="M154" s="519" t="e">
        <f>L154+(E153*NDDaysInYEar/12)</f>
        <v>#N/A</v>
      </c>
      <c r="N154" s="519" t="e">
        <f>M154+(E153*NDDaysInYEar/12)</f>
        <v>#N/A</v>
      </c>
      <c r="O154" s="519" t="e">
        <f>N154+(E153*NDDaysInYEar/12)</f>
        <v>#N/A</v>
      </c>
      <c r="P154" s="519" t="e">
        <f>O154+(E153*NDDaysInYEar/12)</f>
        <v>#N/A</v>
      </c>
      <c r="Q154" s="519" t="e">
        <f>P154+(E153*NDDaysInYEar/12)</f>
        <v>#N/A</v>
      </c>
      <c r="R154" s="519" t="e">
        <f>Q154+(E153*NDDaysInYEar/12)</f>
        <v>#N/A</v>
      </c>
      <c r="S154" s="519" t="e">
        <f>R154+(E153*NDDaysInYEar/12)</f>
        <v>#N/A</v>
      </c>
    </row>
    <row r="155" spans="1:19" s="107" customFormat="1" x14ac:dyDescent="0.2">
      <c r="A155" s="107" t="str">
        <f>VLOOKUP(C136,NDasaSeq,15,FALSE)</f>
        <v>Ta</v>
      </c>
      <c r="B155" s="107">
        <f>VLOOKUP(A155,NDasaC,3,FALSE)</f>
        <v>1</v>
      </c>
      <c r="C155" s="518" t="e">
        <f>IF(MATCH(VLOOKUP(IF((A155="Aq"),VLOOKUP("AqLord",DivCharts,D135,FALSE),IF((A155="Sc"),VLOOKUP("ScLord",DivCharts,D135,FALSE),VLOOKUP(A155,RsInfo,9,FALSE))),DivCharts,D135,FALSE),RsTbl,0)=MATCH(VLOOKUP(IF((A155="Aq"),VLOOKUP("AqLord",DivCharts,D135,FALSE),IF((A155="Sc"),VLOOKUP("ScLord",DivCharts,D135,FALSE),VLOOKUP(A155,RsInfo,9,FALSE))),PlanetData,8,FALSE),RsTbl,0),1,IF(MATCH(VLOOKUP(IF((A155="Aq"),VLOOKUP("AqLord",DivCharts,D135,FALSE),IF((A155="Sc"),VLOOKUP("ScLord",DivCharts,D135,FALSE),VLOOKUP(A155,RsInfo,9,FALSE))),DivCharts,D135,FALSE),RsTbl,0)=MOD(MATCH(VLOOKUP(IF((A155="Aq"),VLOOKUP("AqLord",DivCharts,D135,FALSE),IF((A155="Sc"),VLOOKUP("ScLord",DivCharts,D135,FALSE),VLOOKUP(A155,RsInfo,9,FALSE))),PlanetData,8,FALSE),RsTbl,0)+6,12),-1,0))</f>
        <v>#N/A</v>
      </c>
      <c r="D155" s="518">
        <f>MOD((MATCH(VLOOKUP(IF((A155="Aq"),VLOOKUP("AqLord",DivCharts,D135,FALSE),IF((A155="Sc"),VLOOKUP("ScLord",DivCharts,D135,FALSE),VLOOKUP(A155,RsInfo,9,FALSE))),DivCharts,D135,FALSE),RsTbl,0)*B155)-(B155*MATCH(A155,RsTbl,0))+12,12)</f>
        <v>5</v>
      </c>
      <c r="E155" s="107" t="e">
        <f>IF(ISNA(MATCH((D155+C155),,0)),(D155+C155),12)</f>
        <v>#N/A</v>
      </c>
      <c r="F155" s="519" t="e">
        <f>G153</f>
        <v>#N/A</v>
      </c>
      <c r="G155" s="519" t="e">
        <f>F155+E155*NDDaysInYEar</f>
        <v>#N/A</v>
      </c>
      <c r="H155" s="510" t="str">
        <f>A155</f>
        <v>Ta</v>
      </c>
      <c r="I155" s="107" t="str">
        <f>INDEX(SignSym,MOD(B155+MATCH(H155,SignSym,FALSE)-1,12)+1)</f>
        <v>Ge</v>
      </c>
      <c r="J155" s="107" t="str">
        <f>INDEX(SignSym,MOD(B155+MATCH(I155,SignSym,FALSE)-1,12)+1)</f>
        <v>Cn</v>
      </c>
      <c r="K155" s="107" t="str">
        <f>INDEX(SignSym,MOD(B155+MATCH(J155,SignSym,FALSE)-1,12)+1)</f>
        <v>Le</v>
      </c>
      <c r="L155" s="107" t="str">
        <f>INDEX(SignSym,MOD(B155+MATCH(K155,SignSym,FALSE)-1,12)+1)</f>
        <v>Vi</v>
      </c>
      <c r="M155" s="107" t="str">
        <f>INDEX(SignSym,MOD(B155+MATCH(L155,SignSym,FALSE)-1,12)+1)</f>
        <v>Li</v>
      </c>
      <c r="N155" s="107" t="str">
        <f>INDEX(SignSym,MOD(B155+MATCH(M155,SignSym,FALSE)-1,12)+1)</f>
        <v>Sc</v>
      </c>
      <c r="O155" s="107" t="str">
        <f>INDEX(SignSym,MOD(B155+MATCH(N155,SignSym,FALSE)-1,12)+1)</f>
        <v>Sg</v>
      </c>
      <c r="P155" s="107" t="str">
        <f>INDEX(SignSym,MOD(B155+MATCH(O155,SignSym,FALSE)-1,12)+1)</f>
        <v>Cp</v>
      </c>
      <c r="Q155" s="107" t="str">
        <f>INDEX(SignSym,MOD(B155+MATCH(P155,SignSym,FALSE)-1,12)+1)</f>
        <v>Aq</v>
      </c>
      <c r="R155" s="107" t="str">
        <f>INDEX(SignSym,MOD(B155+MATCH(Q155,SignSym,FALSE)-1,12)+1)</f>
        <v>Pi</v>
      </c>
      <c r="S155" s="107" t="str">
        <f>INDEX(SignSym,MOD(B155+MATCH(R155,SignSym,FALSE)-1,12)+1)</f>
        <v>Ar</v>
      </c>
    </row>
    <row r="156" spans="1:19" s="107" customFormat="1" ht="12.75" hidden="1" customHeight="1" x14ac:dyDescent="0.2">
      <c r="C156" s="518"/>
      <c r="D156" s="518"/>
      <c r="F156" s="519"/>
      <c r="G156" s="519"/>
      <c r="H156" s="519" t="e">
        <f>F155</f>
        <v>#N/A</v>
      </c>
      <c r="I156" s="519" t="e">
        <f>H156+(E155*NDDaysInYEar/12)</f>
        <v>#N/A</v>
      </c>
      <c r="J156" s="519" t="e">
        <f>I156+(E155*NDDaysInYEar/12)</f>
        <v>#N/A</v>
      </c>
      <c r="K156" s="519" t="e">
        <f>J156+(E155*NDDaysInYEar/12)</f>
        <v>#N/A</v>
      </c>
      <c r="L156" s="519" t="e">
        <f>K156+(E155*NDDaysInYEar/12)</f>
        <v>#N/A</v>
      </c>
      <c r="M156" s="519" t="e">
        <f>L156+(E155*NDDaysInYEar/12)</f>
        <v>#N/A</v>
      </c>
      <c r="N156" s="519" t="e">
        <f>M156+(E155*NDDaysInYEar/12)</f>
        <v>#N/A</v>
      </c>
      <c r="O156" s="519" t="e">
        <f>N156+(E155*NDDaysInYEar/12)</f>
        <v>#N/A</v>
      </c>
      <c r="P156" s="519" t="e">
        <f>O156+(E155*NDDaysInYEar/12)</f>
        <v>#N/A</v>
      </c>
      <c r="Q156" s="519" t="e">
        <f>P156+(E155*NDDaysInYEar/12)</f>
        <v>#N/A</v>
      </c>
      <c r="R156" s="519" t="e">
        <f>Q156+(E155*NDDaysInYEar/12)</f>
        <v>#N/A</v>
      </c>
      <c r="S156" s="519" t="e">
        <f>R156+(E155*NDDaysInYEar/12)</f>
        <v>#N/A</v>
      </c>
    </row>
    <row r="157" spans="1:19" s="107" customFormat="1" x14ac:dyDescent="0.2">
      <c r="A157" s="107" t="str">
        <f>VLOOKUP(C136,NDasaSeq,16,FALSE)</f>
        <v>Ar</v>
      </c>
      <c r="B157" s="107">
        <f>VLOOKUP(A157,NDasaC,3,FALSE)</f>
        <v>1</v>
      </c>
      <c r="C157" s="518" t="e">
        <f>IF(MATCH(VLOOKUP(IF((A157="Aq"),VLOOKUP("AqLord",DivCharts,D135,FALSE),IF((A157="Sc"),VLOOKUP("ScLord",DivCharts,D135,FALSE),VLOOKUP(A157,RsInfo,9,FALSE))),DivCharts,D135,FALSE),RsTbl,0)=MATCH(VLOOKUP(IF((A157="Aq"),VLOOKUP("AqLord",DivCharts,D135,FALSE),IF((A157="Sc"),VLOOKUP("ScLord",DivCharts,D135,FALSE),VLOOKUP(A157,RsInfo,9,FALSE))),PlanetData,8,FALSE),RsTbl,0),1,IF(MATCH(VLOOKUP(IF((A157="Aq"),VLOOKUP("AqLord",DivCharts,D135,FALSE),IF((A157="Sc"),VLOOKUP("ScLord",DivCharts,D135,FALSE),VLOOKUP(A157,RsInfo,9,FALSE))),DivCharts,D135,FALSE),RsTbl,0)=MOD(MATCH(VLOOKUP(IF((A157="Aq"),VLOOKUP("AqLord",DivCharts,D135,FALSE),IF((A157="Sc"),VLOOKUP("ScLord",DivCharts,D135,FALSE),VLOOKUP(A157,RsInfo,9,FALSE))),PlanetData,8,FALSE),RsTbl,0)+6,12),-1,0))</f>
        <v>#N/A</v>
      </c>
      <c r="D157" s="518">
        <f>MOD((MATCH(VLOOKUP(IF((A157="Aq"),VLOOKUP("AqLord",DivCharts,D135,FALSE),IF((A157="Sc"),VLOOKUP("ScLord",DivCharts,D135,FALSE),VLOOKUP(A157,RsInfo,9,FALSE))),DivCharts,D135,FALSE),RsTbl,0)*B157)-(B157*MATCH(A157,RsTbl,0))+12,12)</f>
        <v>6</v>
      </c>
      <c r="E157" s="107" t="e">
        <f>IF(ISNA(MATCH((D157+C157),,0)),(D157+C157),12)</f>
        <v>#N/A</v>
      </c>
      <c r="F157" s="519" t="e">
        <f>G155</f>
        <v>#N/A</v>
      </c>
      <c r="G157" s="519" t="e">
        <f>F157+E157*NDDaysInYEar</f>
        <v>#N/A</v>
      </c>
      <c r="H157" s="510" t="str">
        <f>A157</f>
        <v>Ar</v>
      </c>
      <c r="I157" s="107" t="str">
        <f>INDEX(SignSym,MOD(B157+MATCH(H157,SignSym,FALSE)-1,12)+1)</f>
        <v>Ta</v>
      </c>
      <c r="J157" s="107" t="str">
        <f>INDEX(SignSym,MOD(B157+MATCH(I157,SignSym,FALSE)-1,12)+1)</f>
        <v>Ge</v>
      </c>
      <c r="K157" s="107" t="str">
        <f>INDEX(SignSym,MOD(B157+MATCH(J157,SignSym,FALSE)-1,12)+1)</f>
        <v>Cn</v>
      </c>
      <c r="L157" s="107" t="str">
        <f>INDEX(SignSym,MOD(B157+MATCH(K157,SignSym,FALSE)-1,12)+1)</f>
        <v>Le</v>
      </c>
      <c r="M157" s="107" t="str">
        <f>INDEX(SignSym,MOD(B157+MATCH(L157,SignSym,FALSE)-1,12)+1)</f>
        <v>Vi</v>
      </c>
      <c r="N157" s="107" t="str">
        <f>INDEX(SignSym,MOD(B157+MATCH(M157,SignSym,FALSE)-1,12)+1)</f>
        <v>Li</v>
      </c>
      <c r="O157" s="107" t="str">
        <f>INDEX(SignSym,MOD(B157+MATCH(N157,SignSym,FALSE)-1,12)+1)</f>
        <v>Sc</v>
      </c>
      <c r="P157" s="107" t="str">
        <f>INDEX(SignSym,MOD(B157+MATCH(O157,SignSym,FALSE)-1,12)+1)</f>
        <v>Sg</v>
      </c>
      <c r="Q157" s="107" t="str">
        <f>INDEX(SignSym,MOD(B157+MATCH(P157,SignSym,FALSE)-1,12)+1)</f>
        <v>Cp</v>
      </c>
      <c r="R157" s="107" t="str">
        <f>INDEX(SignSym,MOD(B157+MATCH(Q157,SignSym,FALSE)-1,12)+1)</f>
        <v>Aq</v>
      </c>
      <c r="S157" s="107" t="str">
        <f>INDEX(SignSym,MOD(B157+MATCH(R157,SignSym,FALSE)-1,12)+1)</f>
        <v>Pi</v>
      </c>
    </row>
    <row r="158" spans="1:19" s="107" customFormat="1" ht="12.75" hidden="1" customHeight="1" x14ac:dyDescent="0.2">
      <c r="C158" s="518"/>
      <c r="D158" s="518"/>
      <c r="F158" s="519"/>
      <c r="G158" s="519"/>
      <c r="H158" s="519" t="e">
        <f>F157</f>
        <v>#N/A</v>
      </c>
      <c r="I158" s="519" t="e">
        <f>H158+(E157*NDDaysInYEar/12)</f>
        <v>#N/A</v>
      </c>
      <c r="J158" s="519" t="e">
        <f>I158+(E157*NDDaysInYEar/12)</f>
        <v>#N/A</v>
      </c>
      <c r="K158" s="519" t="e">
        <f>J158+(E157*NDDaysInYEar/12)</f>
        <v>#N/A</v>
      </c>
      <c r="L158" s="519" t="e">
        <f>K158+(E157*NDDaysInYEar/12)</f>
        <v>#N/A</v>
      </c>
      <c r="M158" s="519" t="e">
        <f>L158+(E157*NDDaysInYEar/12)</f>
        <v>#N/A</v>
      </c>
      <c r="N158" s="519" t="e">
        <f>M158+(E157*NDDaysInYEar/12)</f>
        <v>#N/A</v>
      </c>
      <c r="O158" s="519" t="e">
        <f>N158+(E157*NDDaysInYEar/12)</f>
        <v>#N/A</v>
      </c>
      <c r="P158" s="519" t="e">
        <f>O158+(E157*NDDaysInYEar/12)</f>
        <v>#N/A</v>
      </c>
      <c r="Q158" s="519" t="e">
        <f>P158+(E157*NDDaysInYEar/12)</f>
        <v>#N/A</v>
      </c>
      <c r="R158" s="519" t="e">
        <f>Q158+(E157*NDDaysInYEar/12)</f>
        <v>#N/A</v>
      </c>
      <c r="S158" s="519" t="e">
        <f>R158+(E157*NDDaysInYEar/12)</f>
        <v>#N/A</v>
      </c>
    </row>
    <row r="159" spans="1:19" s="107" customFormat="1" x14ac:dyDescent="0.2">
      <c r="A159" s="107" t="str">
        <f>VLOOKUP(C136,NDasaSeq,17,FALSE)</f>
        <v>Pi</v>
      </c>
      <c r="B159" s="107">
        <f>VLOOKUP(A159,NDasaC,3,FALSE)</f>
        <v>-1</v>
      </c>
      <c r="C159" s="518" t="e">
        <f>IF(MATCH(VLOOKUP(IF((A159="Aq"),VLOOKUP("AqLord",DivCharts,D135,FALSE),IF((A159="Sc"),VLOOKUP("ScLord",DivCharts,D135,FALSE),VLOOKUP(A159,RsInfo,9,FALSE))),DivCharts,D135,FALSE),RsTbl,0)=MATCH(VLOOKUP(IF((A159="Aq"),VLOOKUP("AqLord",DivCharts,D135,FALSE),IF((A159="Sc"),VLOOKUP("ScLord",DivCharts,D135,FALSE),VLOOKUP(A159,RsInfo,9,FALSE))),PlanetData,8,FALSE),RsTbl,0),1,IF(MATCH(VLOOKUP(IF((A159="Aq"),VLOOKUP("AqLord",DivCharts,D135,FALSE),IF((A159="Sc"),VLOOKUP("ScLord",DivCharts,D135,FALSE),VLOOKUP(A159,RsInfo,9,FALSE))),DivCharts,D135,FALSE),RsTbl,0)=MOD(MATCH(VLOOKUP(IF((A159="Aq"),VLOOKUP("AqLord",DivCharts,D135,FALSE),IF((A159="Sc"),VLOOKUP("ScLord",DivCharts,D135,FALSE),VLOOKUP(A159,RsInfo,9,FALSE))),PlanetData,8,FALSE),RsTbl,0)+6,12),-1,0))</f>
        <v>#N/A</v>
      </c>
      <c r="D159" s="518">
        <f>MOD((MATCH(VLOOKUP(IF((A159="Aq"),VLOOKUP("AqLord",DivCharts,D135,FALSE),IF((A159="Sc"),VLOOKUP("ScLord",DivCharts,D135,FALSE),VLOOKUP(A159,RsInfo,9,FALSE))),DivCharts,D135,FALSE),RsTbl,0)*B159)-(B159*MATCH(A159,RsTbl,0))+12,12)</f>
        <v>1</v>
      </c>
      <c r="E159" s="107" t="e">
        <f>IF(ISNA(MATCH((D159+C159),,0)),(D159+C159),12)</f>
        <v>#N/A</v>
      </c>
      <c r="F159" s="519" t="e">
        <f>G157</f>
        <v>#N/A</v>
      </c>
      <c r="G159" s="519" t="e">
        <f>F159+E159*NDDaysInYEar</f>
        <v>#N/A</v>
      </c>
      <c r="H159" s="510" t="str">
        <f>A159</f>
        <v>Pi</v>
      </c>
      <c r="I159" s="107" t="str">
        <f>INDEX(SignSym,MOD(B159+MATCH(H159,SignSym,FALSE)-1,12)+1)</f>
        <v>Aq</v>
      </c>
      <c r="J159" s="107" t="str">
        <f>INDEX(SignSym,MOD(B159+MATCH(I159,SignSym,FALSE)-1,12)+1)</f>
        <v>Cp</v>
      </c>
      <c r="K159" s="107" t="str">
        <f>INDEX(SignSym,MOD(B159+MATCH(J159,SignSym,FALSE)-1,12)+1)</f>
        <v>Sg</v>
      </c>
      <c r="L159" s="107" t="str">
        <f>INDEX(SignSym,MOD(B159+MATCH(K159,SignSym,FALSE)-1,12)+1)</f>
        <v>Sc</v>
      </c>
      <c r="M159" s="107" t="str">
        <f>INDEX(SignSym,MOD(B159+MATCH(L159,SignSym,FALSE)-1,12)+1)</f>
        <v>Li</v>
      </c>
      <c r="N159" s="107" t="str">
        <f>INDEX(SignSym,MOD(B159+MATCH(M159,SignSym,FALSE)-1,12)+1)</f>
        <v>Vi</v>
      </c>
      <c r="O159" s="107" t="str">
        <f>INDEX(SignSym,MOD(B159+MATCH(N159,SignSym,FALSE)-1,12)+1)</f>
        <v>Le</v>
      </c>
      <c r="P159" s="107" t="str">
        <f>INDEX(SignSym,MOD(B159+MATCH(O159,SignSym,FALSE)-1,12)+1)</f>
        <v>Cn</v>
      </c>
      <c r="Q159" s="107" t="str">
        <f>INDEX(SignSym,MOD(B159+MATCH(P159,SignSym,FALSE)-1,12)+1)</f>
        <v>Ge</v>
      </c>
      <c r="R159" s="107" t="str">
        <f>INDEX(SignSym,MOD(B159+MATCH(Q159,SignSym,FALSE)-1,12)+1)</f>
        <v>Ta</v>
      </c>
      <c r="S159" s="107" t="str">
        <f>INDEX(SignSym,MOD(B159+MATCH(R159,SignSym,FALSE)-1,12)+1)</f>
        <v>Ar</v>
      </c>
    </row>
    <row r="160" spans="1:19" s="107" customFormat="1" ht="12.75" hidden="1" customHeight="1" x14ac:dyDescent="0.2">
      <c r="C160" s="518"/>
      <c r="D160" s="518"/>
      <c r="F160" s="519"/>
      <c r="G160" s="519"/>
      <c r="H160" s="519" t="e">
        <f>F159</f>
        <v>#N/A</v>
      </c>
      <c r="I160" s="519" t="e">
        <f>H160+(E159*NDDaysInYEar/12)</f>
        <v>#N/A</v>
      </c>
      <c r="J160" s="519" t="e">
        <f>I160+(E159*NDDaysInYEar/12)</f>
        <v>#N/A</v>
      </c>
      <c r="K160" s="519" t="e">
        <f>J160+(E159*NDDaysInYEar/12)</f>
        <v>#N/A</v>
      </c>
      <c r="L160" s="519" t="e">
        <f>K160+(E159*NDDaysInYEar/12)</f>
        <v>#N/A</v>
      </c>
      <c r="M160" s="519" t="e">
        <f>L160+(E159*NDDaysInYEar/12)</f>
        <v>#N/A</v>
      </c>
      <c r="N160" s="519" t="e">
        <f>M160+(E159*NDDaysInYEar/12)</f>
        <v>#N/A</v>
      </c>
      <c r="O160" s="519" t="e">
        <f>N160+(E159*NDDaysInYEar/12)</f>
        <v>#N/A</v>
      </c>
      <c r="P160" s="519" t="e">
        <f>O160+(E159*NDDaysInYEar/12)</f>
        <v>#N/A</v>
      </c>
      <c r="Q160" s="519" t="e">
        <f>P160+(E159*NDDaysInYEar/12)</f>
        <v>#N/A</v>
      </c>
      <c r="R160" s="519" t="e">
        <f>Q160+(E159*NDDaysInYEar/12)</f>
        <v>#N/A</v>
      </c>
      <c r="S160" s="519" t="e">
        <f>R160+(E159*NDDaysInYEar/12)</f>
        <v>#N/A</v>
      </c>
    </row>
    <row r="161" spans="1:19" s="107" customFormat="1" x14ac:dyDescent="0.2">
      <c r="A161" s="107" t="str">
        <f>VLOOKUP(C136,NDasaSeq,18,FALSE)</f>
        <v>Aq</v>
      </c>
      <c r="B161" s="107">
        <f>VLOOKUP(A161,NDasaC,3,FALSE)</f>
        <v>-1</v>
      </c>
      <c r="C161" s="518" t="e">
        <f>IF(MATCH(VLOOKUP(IF((A161="Aq"),VLOOKUP("AqLord",DivCharts,D135,FALSE),IF((A161="Sc"),VLOOKUP("ScLord",DivCharts,D135,FALSE),VLOOKUP(A161,RsInfo,9,FALSE))),DivCharts,D135,FALSE),RsTbl,0)=MATCH(VLOOKUP(IF((A161="Aq"),VLOOKUP("AqLord",DivCharts,D135,FALSE),IF((A161="Sc"),VLOOKUP("ScLord",DivCharts,D135,FALSE),VLOOKUP(A161,RsInfo,9,FALSE))),PlanetData,8,FALSE),RsTbl,0),1,IF(MATCH(VLOOKUP(IF((A161="Aq"),VLOOKUP("AqLord",DivCharts,D135,FALSE),IF((A161="Sc"),VLOOKUP("ScLord",DivCharts,D135,FALSE),VLOOKUP(A161,RsInfo,9,FALSE))),DivCharts,D135,FALSE),RsTbl,0)=MOD(MATCH(VLOOKUP(IF((A161="Aq"),VLOOKUP("AqLord",DivCharts,D135,FALSE),IF((A161="Sc"),VLOOKUP("ScLord",DivCharts,D135,FALSE),VLOOKUP(A161,RsInfo,9,FALSE))),PlanetData,8,FALSE),RsTbl,0)+6,12),-1,0))</f>
        <v>#N/A</v>
      </c>
      <c r="D161" s="518">
        <f>MOD((MATCH(VLOOKUP(IF((A161="Aq"),VLOOKUP("AqLord",DivCharts,D135,FALSE),IF((A161="Sc"),VLOOKUP("ScLord",DivCharts,D135,FALSE),VLOOKUP(A161,RsInfo,9,FALSE))),DivCharts,D135,FALSE),RsTbl,0)*B161)-(B161*MATCH(A161,RsTbl,0))+12,12)</f>
        <v>8</v>
      </c>
      <c r="E161" s="107" t="e">
        <f>IF(ISNA(MATCH((D161+C161),,0)),(D161+C161),12)</f>
        <v>#N/A</v>
      </c>
      <c r="F161" s="519" t="e">
        <f>G159</f>
        <v>#N/A</v>
      </c>
      <c r="G161" s="519" t="e">
        <f>F161+E161*NDDaysInYEar</f>
        <v>#N/A</v>
      </c>
      <c r="H161" s="510" t="str">
        <f>A161</f>
        <v>Aq</v>
      </c>
      <c r="I161" s="107" t="str">
        <f>INDEX(SignSym,MOD(B161+MATCH(H161,SignSym,FALSE)-1,12)+1)</f>
        <v>Cp</v>
      </c>
      <c r="J161" s="107" t="str">
        <f>INDEX(SignSym,MOD(B161+MATCH(I161,SignSym,FALSE)-1,12)+1)</f>
        <v>Sg</v>
      </c>
      <c r="K161" s="107" t="str">
        <f>INDEX(SignSym,MOD(B161+MATCH(J161,SignSym,FALSE)-1,12)+1)</f>
        <v>Sc</v>
      </c>
      <c r="L161" s="107" t="str">
        <f>INDEX(SignSym,MOD(B161+MATCH(K161,SignSym,FALSE)-1,12)+1)</f>
        <v>Li</v>
      </c>
      <c r="M161" s="107" t="str">
        <f>INDEX(SignSym,MOD(B161+MATCH(L161,SignSym,FALSE)-1,12)+1)</f>
        <v>Vi</v>
      </c>
      <c r="N161" s="107" t="str">
        <f>INDEX(SignSym,MOD(B161+MATCH(M161,SignSym,FALSE)-1,12)+1)</f>
        <v>Le</v>
      </c>
      <c r="O161" s="107" t="str">
        <f>INDEX(SignSym,MOD(B161+MATCH(N161,SignSym,FALSE)-1,12)+1)</f>
        <v>Cn</v>
      </c>
      <c r="P161" s="107" t="str">
        <f>INDEX(SignSym,MOD(B161+MATCH(O161,SignSym,FALSE)-1,12)+1)</f>
        <v>Ge</v>
      </c>
      <c r="Q161" s="107" t="str">
        <f>INDEX(SignSym,MOD(B161+MATCH(P161,SignSym,FALSE)-1,12)+1)</f>
        <v>Ta</v>
      </c>
      <c r="R161" s="107" t="str">
        <f>INDEX(SignSym,MOD(B161+MATCH(Q161,SignSym,FALSE)-1,12)+1)</f>
        <v>Ar</v>
      </c>
      <c r="S161" s="107" t="str">
        <f>INDEX(SignSym,MOD(B161+MATCH(R161,SignSym,FALSE)-1,12)+1)</f>
        <v>Pi</v>
      </c>
    </row>
    <row r="162" spans="1:19" s="107" customFormat="1" hidden="1" x14ac:dyDescent="0.2">
      <c r="D162" s="518"/>
      <c r="H162" s="519" t="e">
        <f>F161</f>
        <v>#N/A</v>
      </c>
      <c r="I162" s="519" t="e">
        <f>H162+(E161*NDDaysInYEar/12)</f>
        <v>#N/A</v>
      </c>
      <c r="J162" s="519" t="e">
        <f>I162+(E161*NDDaysInYEar/12)</f>
        <v>#N/A</v>
      </c>
      <c r="K162" s="519" t="e">
        <f>J162+(E161*NDDaysInYEar/12)</f>
        <v>#N/A</v>
      </c>
      <c r="L162" s="519" t="e">
        <f>K162+(E161*NDDaysInYEar/12)</f>
        <v>#N/A</v>
      </c>
      <c r="M162" s="519" t="e">
        <f>L162+(E161*NDDaysInYEar/12)</f>
        <v>#N/A</v>
      </c>
      <c r="N162" s="519" t="e">
        <f>M162+(E161*NDDaysInYEar/12)</f>
        <v>#N/A</v>
      </c>
      <c r="O162" s="519" t="e">
        <f>N162+(E161*NDDaysInYEar/12)</f>
        <v>#N/A</v>
      </c>
      <c r="P162" s="519" t="e">
        <f>O162+(E161*NDDaysInYEar/12)</f>
        <v>#N/A</v>
      </c>
      <c r="Q162" s="519" t="e">
        <f>P162+(E161*NDDaysInYEar/12)</f>
        <v>#N/A</v>
      </c>
      <c r="R162" s="519" t="e">
        <f>Q162+(E161*NDDaysInYEar/12)</f>
        <v>#N/A</v>
      </c>
      <c r="S162" s="519" t="e">
        <f>R162+(E161*NDDaysInYEar/12)</f>
        <v>#N/A</v>
      </c>
    </row>
    <row r="163" spans="1:19" s="107" customFormat="1" x14ac:dyDescent="0.2">
      <c r="A163" s="520"/>
      <c r="B163" s="520"/>
      <c r="C163" s="520"/>
      <c r="D163" s="520"/>
      <c r="E163" s="520"/>
      <c r="F163" s="520"/>
      <c r="G163" s="520"/>
      <c r="H163" s="520"/>
      <c r="I163" s="520"/>
      <c r="J163" s="520"/>
      <c r="K163" s="520"/>
      <c r="L163" s="520"/>
      <c r="M163" s="520"/>
      <c r="N163" s="520"/>
      <c r="O163" s="520"/>
      <c r="P163" s="520"/>
      <c r="Q163" s="520"/>
      <c r="R163" s="520"/>
      <c r="S163" s="520"/>
    </row>
    <row r="164" spans="1:19" s="107" customFormat="1" hidden="1" x14ac:dyDescent="0.2">
      <c r="H164" s="519"/>
      <c r="I164" s="519"/>
      <c r="J164" s="519"/>
      <c r="K164" s="519"/>
      <c r="L164" s="519"/>
      <c r="M164" s="519"/>
      <c r="N164" s="519"/>
      <c r="O164" s="519"/>
      <c r="P164" s="519"/>
      <c r="Q164" s="519"/>
      <c r="R164" s="519"/>
      <c r="S164" s="519"/>
    </row>
    <row r="165" spans="1:19" s="107" customFormat="1" x14ac:dyDescent="0.2"/>
    <row r="170" spans="1:19" x14ac:dyDescent="0.2">
      <c r="A170" s="504" t="s">
        <v>1436</v>
      </c>
      <c r="B170" s="505"/>
      <c r="C170" s="505"/>
      <c r="D170" s="505"/>
      <c r="E170" s="505"/>
      <c r="F170" s="505"/>
      <c r="G170" s="505"/>
      <c r="H170" s="505"/>
      <c r="I170" s="505"/>
      <c r="J170" s="505"/>
      <c r="K170" s="505"/>
      <c r="L170" s="506"/>
      <c r="M170" s="505"/>
      <c r="N170" s="505"/>
      <c r="O170" s="505"/>
      <c r="P170" s="505"/>
      <c r="Q170" s="505"/>
      <c r="R170" s="505"/>
      <c r="S170" s="505"/>
    </row>
    <row r="171" spans="1:19" s="107" customFormat="1" x14ac:dyDescent="0.2">
      <c r="A171" s="1574" t="s">
        <v>1429</v>
      </c>
      <c r="B171" s="1574"/>
      <c r="C171" s="507">
        <v>24</v>
      </c>
      <c r="D171" s="508">
        <f>MATCH(C171,$18:$18,1)</f>
        <v>11</v>
      </c>
      <c r="I171" s="509"/>
      <c r="N171" s="509"/>
    </row>
    <row r="172" spans="1:19" s="107" customFormat="1" x14ac:dyDescent="0.2">
      <c r="A172" s="1574" t="s">
        <v>1430</v>
      </c>
      <c r="B172" s="1574"/>
      <c r="C172" s="510" t="s">
        <v>2013</v>
      </c>
      <c r="D172" s="511"/>
      <c r="E172" s="512"/>
      <c r="H172" s="513"/>
      <c r="I172" s="513"/>
      <c r="J172" s="513"/>
      <c r="O172" s="514"/>
      <c r="P172" s="515"/>
      <c r="Q172" s="514"/>
    </row>
    <row r="173" spans="1:19" s="514" customFormat="1" x14ac:dyDescent="0.2">
      <c r="B173" s="516"/>
      <c r="C173" s="515"/>
      <c r="D173" s="516"/>
      <c r="E173" s="515"/>
      <c r="F173" s="516"/>
      <c r="G173" s="516"/>
      <c r="H173" s="515"/>
      <c r="I173" s="513"/>
      <c r="J173" s="513"/>
      <c r="K173" s="107"/>
      <c r="L173" s="107"/>
      <c r="M173" s="107"/>
      <c r="N173" s="107"/>
    </row>
    <row r="174" spans="1:19" s="107" customFormat="1" x14ac:dyDescent="0.2">
      <c r="A174" s="517" t="s">
        <v>1431</v>
      </c>
      <c r="B174" s="517" t="s">
        <v>1937</v>
      </c>
      <c r="C174" s="517" t="s">
        <v>1432</v>
      </c>
      <c r="D174" s="517" t="s">
        <v>1433</v>
      </c>
      <c r="E174" s="517" t="s">
        <v>1490</v>
      </c>
      <c r="F174" s="517" t="s">
        <v>2029</v>
      </c>
      <c r="G174" s="517" t="s">
        <v>2030</v>
      </c>
      <c r="H174" s="517" t="s">
        <v>1434</v>
      </c>
      <c r="I174" s="513"/>
      <c r="J174" s="513"/>
    </row>
    <row r="175" spans="1:19" s="107" customFormat="1" x14ac:dyDescent="0.2">
      <c r="A175" s="107" t="str">
        <f>VLOOKUP(C172,NDasaSeq,7,FALSE)</f>
        <v>Aq</v>
      </c>
      <c r="B175" s="107">
        <f>VLOOKUP(A175,NDasaC,3,FALSE)</f>
        <v>-1</v>
      </c>
      <c r="C175" s="518" t="e">
        <f>IF(MATCH(VLOOKUP(IF((A175="Aq"),VLOOKUP("AqLord",DivCharts,D171,FALSE),IF((A175="Sc"),VLOOKUP("ScLord",DivCharts,D171,FALSE),VLOOKUP(A175,RsInfo,9,FALSE))),DivCharts,D171,FALSE),RsTbl,0)=MATCH(VLOOKUP(IF((A175="Aq"),VLOOKUP("AqLord",DivCharts,D171,FALSE),IF((A175="Sc"),VLOOKUP("ScLord",DivCharts,D171,FALSE),VLOOKUP(A175,RsInfo,9,FALSE))),PlanetData,8,FALSE),RsTbl,0),1,IF(MATCH(VLOOKUP(IF((A175="Aq"),VLOOKUP("AqLord",DivCharts,D171,FALSE),IF((A175="Sc"),VLOOKUP("ScLord",DivCharts,D171,FALSE),VLOOKUP(A175,RsInfo,9,FALSE))),DivCharts,D171,FALSE),RsTbl,0)=MOD(MATCH(VLOOKUP(IF((A175="Aq"),VLOOKUP("AqLord",DivCharts,D171,FALSE),IF((A175="Sc"),VLOOKUP("ScLord",DivCharts,D171,FALSE),VLOOKUP(A175,RsInfo,9,FALSE))),PlanetData,8,FALSE),RsTbl,0)+6,12),-1,0))</f>
        <v>#N/A</v>
      </c>
      <c r="D175" s="518">
        <f>MOD((MATCH(VLOOKUP(IF((A175="Aq"),VLOOKUP("AqLord",DivCharts,D171,FALSE),IF((A175="Sc"),VLOOKUP("ScLord",DivCharts,D171,FALSE),VLOOKUP(A175,RsInfo,9,FALSE))),DivCharts,D171,FALSE),RsTbl,0)*B175)-(B175*MATCH(A175,RsTbl,0))+12,12)</f>
        <v>2</v>
      </c>
      <c r="E175" s="107" t="e">
        <f>IF(ISNA(MATCH((D175+C175),,0)),(D175+C175),12)</f>
        <v>#N/A</v>
      </c>
      <c r="F175" s="519">
        <v>11569</v>
      </c>
      <c r="G175" s="519" t="e">
        <f>F175+E175*NDDaysInYEar</f>
        <v>#N/A</v>
      </c>
      <c r="H175" s="510" t="str">
        <f>A175</f>
        <v>Aq</v>
      </c>
      <c r="I175" s="107" t="str">
        <f>INDEX(SignSym,MOD(B175+MATCH(H175,SignSym,FALSE)-1,12)+1)</f>
        <v>Cp</v>
      </c>
      <c r="J175" s="107" t="str">
        <f>INDEX(SignSym,MOD(B175+MATCH(I175,SignSym,FALSE)-1,12)+1)</f>
        <v>Sg</v>
      </c>
      <c r="K175" s="107" t="str">
        <f>INDEX(SignSym,MOD(B175+MATCH(J175,SignSym,FALSE)-1,12)+1)</f>
        <v>Sc</v>
      </c>
      <c r="L175" s="107" t="str">
        <f>INDEX(SignSym,MOD(B175+MATCH(K175,SignSym,FALSE)-1,12)+1)</f>
        <v>Li</v>
      </c>
      <c r="M175" s="107" t="str">
        <f>INDEX(SignSym,MOD(B175+MATCH(L175,SignSym,FALSE)-1,12)+1)</f>
        <v>Vi</v>
      </c>
      <c r="N175" s="107" t="str">
        <f>INDEX(SignSym,MOD(B175+MATCH(M175,SignSym,FALSE)-1,12)+1)</f>
        <v>Le</v>
      </c>
      <c r="O175" s="107" t="str">
        <f>INDEX(SignSym,MOD(B175+MATCH(N175,SignSym,FALSE)-1,12)+1)</f>
        <v>Cn</v>
      </c>
      <c r="P175" s="107" t="str">
        <f>INDEX(SignSym,MOD(B175+MATCH(O175,SignSym,FALSE)-1,12)+1)</f>
        <v>Ge</v>
      </c>
      <c r="Q175" s="107" t="str">
        <f>INDEX(SignSym,MOD(B175+MATCH(P175,SignSym,FALSE)-1,12)+1)</f>
        <v>Ta</v>
      </c>
      <c r="R175" s="107" t="str">
        <f>INDEX(SignSym,MOD(B175+MATCH(Q175,SignSym,FALSE)-1,12)+1)</f>
        <v>Ar</v>
      </c>
      <c r="S175" s="107" t="str">
        <f>INDEX(SignSym,MOD(B175+MATCH(R175,SignSym,FALSE)-1,12)+1)</f>
        <v>Pi</v>
      </c>
    </row>
    <row r="176" spans="1:19" s="107" customFormat="1" ht="12.75" hidden="1" customHeight="1" x14ac:dyDescent="0.2">
      <c r="C176" s="518"/>
      <c r="D176" s="518"/>
      <c r="F176" s="519"/>
      <c r="G176" s="519"/>
      <c r="H176" s="519">
        <f>F175</f>
        <v>11569</v>
      </c>
      <c r="I176" s="519" t="e">
        <f>H176+(E175*NDDaysInYEar/12)</f>
        <v>#N/A</v>
      </c>
      <c r="J176" s="519" t="e">
        <f>I176+(E175*NDDaysInYEar/12)</f>
        <v>#N/A</v>
      </c>
      <c r="K176" s="519" t="e">
        <f>J176+(E175*NDDaysInYEar/12)</f>
        <v>#N/A</v>
      </c>
      <c r="L176" s="519" t="e">
        <f>K176+(E175*NDDaysInYEar/12)</f>
        <v>#N/A</v>
      </c>
      <c r="M176" s="519" t="e">
        <f>L176+(E175*NDDaysInYEar/12)</f>
        <v>#N/A</v>
      </c>
      <c r="N176" s="519" t="e">
        <f>M176+(E175*NDDaysInYEar/12)</f>
        <v>#N/A</v>
      </c>
      <c r="O176" s="519" t="e">
        <f>N176+(E175*NDDaysInYEar/12)</f>
        <v>#N/A</v>
      </c>
      <c r="P176" s="519" t="e">
        <f>O176+(E175*NDDaysInYEar/12)</f>
        <v>#N/A</v>
      </c>
      <c r="Q176" s="519" t="e">
        <f>P176+(E175*NDDaysInYEar/12)</f>
        <v>#N/A</v>
      </c>
      <c r="R176" s="519" t="e">
        <f>Q176+(E175*NDDaysInYEar/12)</f>
        <v>#N/A</v>
      </c>
      <c r="S176" s="519" t="e">
        <f>R176+(E175*NDDaysInYEar/12)</f>
        <v>#N/A</v>
      </c>
    </row>
    <row r="177" spans="1:19" s="107" customFormat="1" x14ac:dyDescent="0.2">
      <c r="A177" s="107" t="str">
        <f>VLOOKUP(C172,NDasaSeq,8,FALSE)</f>
        <v>Cn</v>
      </c>
      <c r="B177" s="107">
        <f>VLOOKUP(A177,NDasaC,3,FALSE)</f>
        <v>-1</v>
      </c>
      <c r="C177" s="518" t="e">
        <f>IF(MATCH(VLOOKUP(IF((A177="Aq"),VLOOKUP("AqLord",DivCharts,D171,FALSE),IF((A177="Sc"),VLOOKUP("ScLord",DivCharts,D171,FALSE),VLOOKUP(A177,RsInfo,9,FALSE))),DivCharts,D171,FALSE),RsTbl,0)=MATCH(VLOOKUP(IF((A177="Aq"),VLOOKUP("AqLord",DivCharts,D171,FALSE),IF((A177="Sc"),VLOOKUP("ScLord",DivCharts,D171,FALSE),VLOOKUP(A177,RsInfo,9,FALSE))),PlanetData,8,FALSE),RsTbl,0),1,IF(MATCH(VLOOKUP(IF((A177="Aq"),VLOOKUP("AqLord",DivCharts,D171,FALSE),IF((A177="Sc"),VLOOKUP("ScLord",DivCharts,D171,FALSE),VLOOKUP(A177,RsInfo,9,FALSE))),DivCharts,D171,FALSE),RsTbl,0)=MOD(MATCH(VLOOKUP(IF((A177="Aq"),VLOOKUP("AqLord",DivCharts,D171,FALSE),IF((A177="Sc"),VLOOKUP("ScLord",DivCharts,D171,FALSE),VLOOKUP(A177,RsInfo,9,FALSE))),PlanetData,8,FALSE),RsTbl,0)+6,12),-1,0))</f>
        <v>#N/A</v>
      </c>
      <c r="D177" s="518">
        <f>MOD((MATCH(VLOOKUP(IF((A177="Aq"),VLOOKUP("AqLord",DivCharts,D171,FALSE),IF((A177="Sc"),VLOOKUP("ScLord",DivCharts,D171,FALSE),VLOOKUP(A177,RsInfo,9,FALSE))),DivCharts,D171,FALSE),RsTbl,0)*B177)-(B177*MATCH(A177,RsTbl,0))+12,12)</f>
        <v>8</v>
      </c>
      <c r="E177" s="107" t="e">
        <f>IF(ISNA(MATCH((D177+C177),,0)),(D177+C177),12)</f>
        <v>#N/A</v>
      </c>
      <c r="F177" s="519" t="e">
        <f>G175</f>
        <v>#N/A</v>
      </c>
      <c r="G177" s="519" t="e">
        <f>F177+E177*NDDaysInYEar</f>
        <v>#N/A</v>
      </c>
      <c r="H177" s="510" t="str">
        <f>A177</f>
        <v>Cn</v>
      </c>
      <c r="I177" s="107" t="str">
        <f>INDEX(SignSym,MOD(B177+MATCH(H177,SignSym,FALSE)-1,12)+1)</f>
        <v>Ge</v>
      </c>
      <c r="J177" s="107" t="str">
        <f>INDEX(SignSym,MOD(B177+MATCH(I177,SignSym,FALSE)-1,12)+1)</f>
        <v>Ta</v>
      </c>
      <c r="K177" s="107" t="str">
        <f>INDEX(SignSym,MOD(B177+MATCH(J177,SignSym,FALSE)-1,12)+1)</f>
        <v>Ar</v>
      </c>
      <c r="L177" s="107" t="str">
        <f>INDEX(SignSym,MOD(B177+MATCH(K177,SignSym,FALSE)-1,12)+1)</f>
        <v>Pi</v>
      </c>
      <c r="M177" s="107" t="str">
        <f>INDEX(SignSym,MOD(B177+MATCH(L177,SignSym,FALSE)-1,12)+1)</f>
        <v>Aq</v>
      </c>
      <c r="N177" s="107" t="str">
        <f>INDEX(SignSym,MOD(B177+MATCH(M177,SignSym,FALSE)-1,12)+1)</f>
        <v>Cp</v>
      </c>
      <c r="O177" s="107" t="str">
        <f>INDEX(SignSym,MOD(B177+MATCH(N177,SignSym,FALSE)-1,12)+1)</f>
        <v>Sg</v>
      </c>
      <c r="P177" s="107" t="str">
        <f>INDEX(SignSym,MOD(B177+MATCH(O177,SignSym,FALSE)-1,12)+1)</f>
        <v>Sc</v>
      </c>
      <c r="Q177" s="107" t="str">
        <f>INDEX(SignSym,MOD(B177+MATCH(P177,SignSym,FALSE)-1,12)+1)</f>
        <v>Li</v>
      </c>
      <c r="R177" s="107" t="str">
        <f>INDEX(SignSym,MOD(B177+MATCH(Q177,SignSym,FALSE)-1,12)+1)</f>
        <v>Vi</v>
      </c>
      <c r="S177" s="107" t="str">
        <f>INDEX(SignSym,MOD(B177+MATCH(R177,SignSym,FALSE)-1,12)+1)</f>
        <v>Le</v>
      </c>
    </row>
    <row r="178" spans="1:19" s="107" customFormat="1" ht="12.75" hidden="1" customHeight="1" x14ac:dyDescent="0.2">
      <c r="C178" s="518"/>
      <c r="D178" s="518"/>
      <c r="F178" s="519"/>
      <c r="G178" s="519"/>
      <c r="H178" s="519" t="e">
        <f>F177</f>
        <v>#N/A</v>
      </c>
      <c r="I178" s="519" t="e">
        <f>H178+(E177*NDDaysInYEar/12)</f>
        <v>#N/A</v>
      </c>
      <c r="J178" s="519" t="e">
        <f>I178+(E177*NDDaysInYEar/12)</f>
        <v>#N/A</v>
      </c>
      <c r="K178" s="519" t="e">
        <f>J178+(E177*NDDaysInYEar/12)</f>
        <v>#N/A</v>
      </c>
      <c r="L178" s="519" t="e">
        <f>K178+(E177*NDDaysInYEar/12)</f>
        <v>#N/A</v>
      </c>
      <c r="M178" s="519" t="e">
        <f>L178+(E177*NDDaysInYEar/12)</f>
        <v>#N/A</v>
      </c>
      <c r="N178" s="519" t="e">
        <f>M178+(E177*NDDaysInYEar/12)</f>
        <v>#N/A</v>
      </c>
      <c r="O178" s="519" t="e">
        <f>N178+(E177*NDDaysInYEar/12)</f>
        <v>#N/A</v>
      </c>
      <c r="P178" s="519" t="e">
        <f>O178+(E177*NDDaysInYEar/12)</f>
        <v>#N/A</v>
      </c>
      <c r="Q178" s="519" t="e">
        <f>P178+(E177*NDDaysInYEar/12)</f>
        <v>#N/A</v>
      </c>
      <c r="R178" s="519" t="e">
        <f>Q178+(E177*NDDaysInYEar/12)</f>
        <v>#N/A</v>
      </c>
      <c r="S178" s="519" t="e">
        <f>R178+(E177*NDDaysInYEar/12)</f>
        <v>#N/A</v>
      </c>
    </row>
    <row r="179" spans="1:19" s="107" customFormat="1" x14ac:dyDescent="0.2">
      <c r="A179" s="107" t="str">
        <f>VLOOKUP(C172,NDasaSeq,9,FALSE)</f>
        <v>Sg</v>
      </c>
      <c r="B179" s="107">
        <f>VLOOKUP(A179,NDasaC,3,FALSE)</f>
        <v>1</v>
      </c>
      <c r="C179" s="518" t="e">
        <f>IF(MATCH(VLOOKUP(IF((A179="Aq"),VLOOKUP("AqLord",DivCharts,D171,FALSE),IF((A179="Sc"),VLOOKUP("ScLord",DivCharts,D171,FALSE),VLOOKUP(A179,RsInfo,9,FALSE))),DivCharts,D171,FALSE),RsTbl,0)=MATCH(VLOOKUP(IF((A179="Aq"),VLOOKUP("AqLord",DivCharts,D171,FALSE),IF((A179="Sc"),VLOOKUP("ScLord",DivCharts,D171,FALSE),VLOOKUP(A179,RsInfo,9,FALSE))),PlanetData,8,FALSE),RsTbl,0),1,IF(MATCH(VLOOKUP(IF((A179="Aq"),VLOOKUP("AqLord",DivCharts,D171,FALSE),IF((A179="Sc"),VLOOKUP("ScLord",DivCharts,D171,FALSE),VLOOKUP(A179,RsInfo,9,FALSE))),DivCharts,D171,FALSE),RsTbl,0)=MOD(MATCH(VLOOKUP(IF((A179="Aq"),VLOOKUP("AqLord",DivCharts,D171,FALSE),IF((A179="Sc"),VLOOKUP("ScLord",DivCharts,D171,FALSE),VLOOKUP(A179,RsInfo,9,FALSE))),PlanetData,8,FALSE),RsTbl,0)+6,12),-1,0))</f>
        <v>#N/A</v>
      </c>
      <c r="D179" s="518">
        <f>MOD((MATCH(VLOOKUP(IF((A179="Aq"),VLOOKUP("AqLord",DivCharts,D171,FALSE),IF((A179="Sc"),VLOOKUP("ScLord",DivCharts,D171,FALSE),VLOOKUP(A179,RsInfo,9,FALSE))),DivCharts,D171,FALSE),RsTbl,0)*B179)-(B179*MATCH(A179,RsTbl,0))+12,12)</f>
        <v>6</v>
      </c>
      <c r="E179" s="107" t="e">
        <f>IF(ISNA(MATCH((D179+C179),,0)),(D179+C179),12)</f>
        <v>#N/A</v>
      </c>
      <c r="F179" s="519" t="e">
        <f>G177</f>
        <v>#N/A</v>
      </c>
      <c r="G179" s="519" t="e">
        <f>F179+E179*NDDaysInYEar</f>
        <v>#N/A</v>
      </c>
      <c r="H179" s="510" t="str">
        <f>A179</f>
        <v>Sg</v>
      </c>
      <c r="I179" s="107" t="str">
        <f>INDEX(SignSym,MOD(B179+MATCH(H179,SignSym,FALSE)-1,12)+1)</f>
        <v>Cp</v>
      </c>
      <c r="J179" s="107" t="str">
        <f>INDEX(SignSym,MOD(B179+MATCH(I179,SignSym,FALSE)-1,12)+1)</f>
        <v>Aq</v>
      </c>
      <c r="K179" s="107" t="str">
        <f>INDEX(SignSym,MOD(B179+MATCH(J179,SignSym,FALSE)-1,12)+1)</f>
        <v>Pi</v>
      </c>
      <c r="L179" s="107" t="str">
        <f>INDEX(SignSym,MOD(B179+MATCH(K179,SignSym,FALSE)-1,12)+1)</f>
        <v>Ar</v>
      </c>
      <c r="M179" s="107" t="str">
        <f>INDEX(SignSym,MOD(B179+MATCH(L179,SignSym,FALSE)-1,12)+1)</f>
        <v>Ta</v>
      </c>
      <c r="N179" s="107" t="str">
        <f>INDEX(SignSym,MOD(B179+MATCH(M179,SignSym,FALSE)-1,12)+1)</f>
        <v>Ge</v>
      </c>
      <c r="O179" s="107" t="str">
        <f>INDEX(SignSym,MOD(B179+MATCH(N179,SignSym,FALSE)-1,12)+1)</f>
        <v>Cn</v>
      </c>
      <c r="P179" s="107" t="str">
        <f>INDEX(SignSym,MOD(B179+MATCH(O179,SignSym,FALSE)-1,12)+1)</f>
        <v>Le</v>
      </c>
      <c r="Q179" s="107" t="str">
        <f>INDEX(SignSym,MOD(B179+MATCH(P179,SignSym,FALSE)-1,12)+1)</f>
        <v>Vi</v>
      </c>
      <c r="R179" s="107" t="str">
        <f>INDEX(SignSym,MOD(B179+MATCH(Q179,SignSym,FALSE)-1,12)+1)</f>
        <v>Li</v>
      </c>
      <c r="S179" s="107" t="str">
        <f>INDEX(SignSym,MOD(B179+MATCH(R179,SignSym,FALSE)-1,12)+1)</f>
        <v>Sc</v>
      </c>
    </row>
    <row r="180" spans="1:19" s="107" customFormat="1" ht="12.75" hidden="1" customHeight="1" x14ac:dyDescent="0.2">
      <c r="C180" s="518"/>
      <c r="D180" s="518"/>
      <c r="F180" s="519"/>
      <c r="G180" s="519"/>
      <c r="H180" s="519" t="e">
        <f>F179</f>
        <v>#N/A</v>
      </c>
      <c r="I180" s="519" t="e">
        <f>H180+(E179*NDDaysInYEar/12)</f>
        <v>#N/A</v>
      </c>
      <c r="J180" s="519" t="e">
        <f>I180+(E179*NDDaysInYEar/12)</f>
        <v>#N/A</v>
      </c>
      <c r="K180" s="519" t="e">
        <f>J180+(E179*NDDaysInYEar/12)</f>
        <v>#N/A</v>
      </c>
      <c r="L180" s="519" t="e">
        <f>K180+(E179*NDDaysInYEar/12)</f>
        <v>#N/A</v>
      </c>
      <c r="M180" s="519" t="e">
        <f>L180+(E179*NDDaysInYEar/12)</f>
        <v>#N/A</v>
      </c>
      <c r="N180" s="519" t="e">
        <f>M180+(E179*NDDaysInYEar/12)</f>
        <v>#N/A</v>
      </c>
      <c r="O180" s="519" t="e">
        <f>N180+(E179*NDDaysInYEar/12)</f>
        <v>#N/A</v>
      </c>
      <c r="P180" s="519" t="e">
        <f>O180+(E179*NDDaysInYEar/12)</f>
        <v>#N/A</v>
      </c>
      <c r="Q180" s="519" t="e">
        <f>P180+(E179*NDDaysInYEar/12)</f>
        <v>#N/A</v>
      </c>
      <c r="R180" s="519" t="e">
        <f>Q180+(E179*NDDaysInYEar/12)</f>
        <v>#N/A</v>
      </c>
      <c r="S180" s="519" t="e">
        <f>R180+(E179*NDDaysInYEar/12)</f>
        <v>#N/A</v>
      </c>
    </row>
    <row r="181" spans="1:19" s="107" customFormat="1" x14ac:dyDescent="0.2">
      <c r="A181" s="107" t="str">
        <f>VLOOKUP(C172,NDasaSeq,10,FALSE)</f>
        <v>Ta</v>
      </c>
      <c r="B181" s="107">
        <f>VLOOKUP(A181,NDasaC,3,FALSE)</f>
        <v>1</v>
      </c>
      <c r="C181" s="518" t="e">
        <f>IF(MATCH(VLOOKUP(IF((A181="Aq"),VLOOKUP("AqLord",DivCharts,D171,FALSE),IF((A181="Sc"),VLOOKUP("ScLord",DivCharts,D171,FALSE),VLOOKUP(A181,RsInfo,9,FALSE))),DivCharts,D171,FALSE),RsTbl,0)=MATCH(VLOOKUP(IF((A181="Aq"),VLOOKUP("AqLord",DivCharts,D171,FALSE),IF((A181="Sc"),VLOOKUP("ScLord",DivCharts,D171,FALSE),VLOOKUP(A181,RsInfo,9,FALSE))),PlanetData,8,FALSE),RsTbl,0),1,IF(MATCH(VLOOKUP(IF((A181="Aq"),VLOOKUP("AqLord",DivCharts,D171,FALSE),IF((A181="Sc"),VLOOKUP("ScLord",DivCharts,D171,FALSE),VLOOKUP(A181,RsInfo,9,FALSE))),DivCharts,D171,FALSE),RsTbl,0)=MOD(MATCH(VLOOKUP(IF((A181="Aq"),VLOOKUP("AqLord",DivCharts,D171,FALSE),IF((A181="Sc"),VLOOKUP("ScLord",DivCharts,D171,FALSE),VLOOKUP(A181,RsInfo,9,FALSE))),PlanetData,8,FALSE),RsTbl,0)+6,12),-1,0))</f>
        <v>#N/A</v>
      </c>
      <c r="D181" s="518">
        <f>MOD((MATCH(VLOOKUP(IF((A181="Aq"),VLOOKUP("AqLord",DivCharts,D171,FALSE),IF((A181="Sc"),VLOOKUP("ScLord",DivCharts,D171,FALSE),VLOOKUP(A181,RsInfo,9,FALSE))),DivCharts,D171,FALSE),RsTbl,0)*B181)-(B181*MATCH(A181,RsTbl,0))+12,12)</f>
        <v>8</v>
      </c>
      <c r="E181" s="107" t="e">
        <f>IF(ISNA(MATCH((D181+C181),,0)),(D181+C181),12)</f>
        <v>#N/A</v>
      </c>
      <c r="F181" s="519" t="e">
        <f>G179</f>
        <v>#N/A</v>
      </c>
      <c r="G181" s="519" t="e">
        <f>F181+E181*NDDaysInYEar</f>
        <v>#N/A</v>
      </c>
      <c r="H181" s="510" t="str">
        <f>A181</f>
        <v>Ta</v>
      </c>
      <c r="I181" s="107" t="str">
        <f>INDEX(SignSym,MOD(B181+MATCH(H181,SignSym,FALSE)-1,12)+1)</f>
        <v>Ge</v>
      </c>
      <c r="J181" s="107" t="str">
        <f>INDEX(SignSym,MOD(B181+MATCH(I181,SignSym,FALSE)-1,12)+1)</f>
        <v>Cn</v>
      </c>
      <c r="K181" s="107" t="str">
        <f>INDEX(SignSym,MOD(B181+MATCH(J181,SignSym,FALSE)-1,12)+1)</f>
        <v>Le</v>
      </c>
      <c r="L181" s="107" t="str">
        <f>INDEX(SignSym,MOD(B181+MATCH(K181,SignSym,FALSE)-1,12)+1)</f>
        <v>Vi</v>
      </c>
      <c r="M181" s="107" t="str">
        <f>INDEX(SignSym,MOD(B181+MATCH(L181,SignSym,FALSE)-1,12)+1)</f>
        <v>Li</v>
      </c>
      <c r="N181" s="107" t="str">
        <f>INDEX(SignSym,MOD(B181+MATCH(M181,SignSym,FALSE)-1,12)+1)</f>
        <v>Sc</v>
      </c>
      <c r="O181" s="107" t="str">
        <f>INDEX(SignSym,MOD(B181+MATCH(N181,SignSym,FALSE)-1,12)+1)</f>
        <v>Sg</v>
      </c>
      <c r="P181" s="107" t="str">
        <f>INDEX(SignSym,MOD(B181+MATCH(O181,SignSym,FALSE)-1,12)+1)</f>
        <v>Cp</v>
      </c>
      <c r="Q181" s="107" t="str">
        <f>INDEX(SignSym,MOD(B181+MATCH(P181,SignSym,FALSE)-1,12)+1)</f>
        <v>Aq</v>
      </c>
      <c r="R181" s="107" t="str">
        <f>INDEX(SignSym,MOD(B181+MATCH(Q181,SignSym,FALSE)-1,12)+1)</f>
        <v>Pi</v>
      </c>
      <c r="S181" s="107" t="str">
        <f>INDEX(SignSym,MOD(B181+MATCH(R181,SignSym,FALSE)-1,12)+1)</f>
        <v>Ar</v>
      </c>
    </row>
    <row r="182" spans="1:19" s="107" customFormat="1" ht="12.75" hidden="1" customHeight="1" x14ac:dyDescent="0.2">
      <c r="C182" s="518"/>
      <c r="D182" s="518"/>
      <c r="F182" s="519"/>
      <c r="G182" s="519"/>
      <c r="H182" s="519" t="e">
        <f>F181</f>
        <v>#N/A</v>
      </c>
      <c r="I182" s="519" t="e">
        <f>H182+(E181*NDDaysInYEar/12)</f>
        <v>#N/A</v>
      </c>
      <c r="J182" s="519" t="e">
        <f>I182+(E181*NDDaysInYEar/12)</f>
        <v>#N/A</v>
      </c>
      <c r="K182" s="519" t="e">
        <f>J182+(E181*NDDaysInYEar/12)</f>
        <v>#N/A</v>
      </c>
      <c r="L182" s="519" t="e">
        <f>K182+(E181*NDDaysInYEar/12)</f>
        <v>#N/A</v>
      </c>
      <c r="M182" s="519" t="e">
        <f>L182+(E181*NDDaysInYEar/12)</f>
        <v>#N/A</v>
      </c>
      <c r="N182" s="519" t="e">
        <f>M182+(E181*NDDaysInYEar/12)</f>
        <v>#N/A</v>
      </c>
      <c r="O182" s="519" t="e">
        <f>N182+(E181*NDDaysInYEar/12)</f>
        <v>#N/A</v>
      </c>
      <c r="P182" s="519" t="e">
        <f>O182+(E181*NDDaysInYEar/12)</f>
        <v>#N/A</v>
      </c>
      <c r="Q182" s="519" t="e">
        <f>P182+(E181*NDDaysInYEar/12)</f>
        <v>#N/A</v>
      </c>
      <c r="R182" s="519" t="e">
        <f>Q182+(E181*NDDaysInYEar/12)</f>
        <v>#N/A</v>
      </c>
      <c r="S182" s="519" t="e">
        <f>R182+(E181*NDDaysInYEar/12)</f>
        <v>#N/A</v>
      </c>
    </row>
    <row r="183" spans="1:19" s="107" customFormat="1" x14ac:dyDescent="0.2">
      <c r="A183" s="107" t="str">
        <f>VLOOKUP(C172,NDasaSeq,11,FALSE)</f>
        <v>Li</v>
      </c>
      <c r="B183" s="107">
        <f>VLOOKUP(A183,NDasaC,3,FALSE)</f>
        <v>1</v>
      </c>
      <c r="C183" s="518" t="e">
        <f>IF(MATCH(VLOOKUP(IF((A183="Aq"),VLOOKUP("AqLord",DivCharts,D171,FALSE),IF((A183="Sc"),VLOOKUP("ScLord",DivCharts,D171,FALSE),VLOOKUP(A183,RsInfo,9,FALSE))),DivCharts,D171,FALSE),RsTbl,0)=MATCH(VLOOKUP(IF((A183="Aq"),VLOOKUP("AqLord",DivCharts,D171,FALSE),IF((A183="Sc"),VLOOKUP("ScLord",DivCharts,D171,FALSE),VLOOKUP(A183,RsInfo,9,FALSE))),PlanetData,8,FALSE),RsTbl,0),1,IF(MATCH(VLOOKUP(IF((A183="Aq"),VLOOKUP("AqLord",DivCharts,D171,FALSE),IF((A183="Sc"),VLOOKUP("ScLord",DivCharts,D171,FALSE),VLOOKUP(A183,RsInfo,9,FALSE))),DivCharts,D171,FALSE),RsTbl,0)=MOD(MATCH(VLOOKUP(IF((A183="Aq"),VLOOKUP("AqLord",DivCharts,D171,FALSE),IF((A183="Sc"),VLOOKUP("ScLord",DivCharts,D171,FALSE),VLOOKUP(A183,RsInfo,9,FALSE))),PlanetData,8,FALSE),RsTbl,0)+6,12),-1,0))</f>
        <v>#N/A</v>
      </c>
      <c r="D183" s="518">
        <f>MOD((MATCH(VLOOKUP(IF((A183="Aq"),VLOOKUP("AqLord",DivCharts,D171,FALSE),IF((A183="Sc"),VLOOKUP("ScLord",DivCharts,D171,FALSE),VLOOKUP(A183,RsInfo,9,FALSE))),DivCharts,D171,FALSE),RsTbl,0)*B183)-(B183*MATCH(A183,RsTbl,0))+12,12)</f>
        <v>3</v>
      </c>
      <c r="E183" s="107" t="e">
        <f>IF(ISNA(MATCH((D183+C183),,0)),(D183+C183),12)</f>
        <v>#N/A</v>
      </c>
      <c r="F183" s="519" t="e">
        <f>G181</f>
        <v>#N/A</v>
      </c>
      <c r="G183" s="519" t="e">
        <f>F183+E183*NDDaysInYEar</f>
        <v>#N/A</v>
      </c>
      <c r="H183" s="510" t="str">
        <f>A183</f>
        <v>Li</v>
      </c>
      <c r="I183" s="107" t="str">
        <f>INDEX(SignSym,MOD(B183+MATCH(H183,SignSym,FALSE)-1,12)+1)</f>
        <v>Sc</v>
      </c>
      <c r="J183" s="107" t="str">
        <f>INDEX(SignSym,MOD(B183+MATCH(I183,SignSym,FALSE)-1,12)+1)</f>
        <v>Sg</v>
      </c>
      <c r="K183" s="107" t="str">
        <f>INDEX(SignSym,MOD(B183+MATCH(J183,SignSym,FALSE)-1,12)+1)</f>
        <v>Cp</v>
      </c>
      <c r="L183" s="107" t="str">
        <f>INDEX(SignSym,MOD(B183+MATCH(K183,SignSym,FALSE)-1,12)+1)</f>
        <v>Aq</v>
      </c>
      <c r="M183" s="107" t="str">
        <f>INDEX(SignSym,MOD(B183+MATCH(L183,SignSym,FALSE)-1,12)+1)</f>
        <v>Pi</v>
      </c>
      <c r="N183" s="107" t="str">
        <f>INDEX(SignSym,MOD(B183+MATCH(M183,SignSym,FALSE)-1,12)+1)</f>
        <v>Ar</v>
      </c>
      <c r="O183" s="107" t="str">
        <f>INDEX(SignSym,MOD(B183+MATCH(N183,SignSym,FALSE)-1,12)+1)</f>
        <v>Ta</v>
      </c>
      <c r="P183" s="107" t="str">
        <f>INDEX(SignSym,MOD(B183+MATCH(O183,SignSym,FALSE)-1,12)+1)</f>
        <v>Ge</v>
      </c>
      <c r="Q183" s="107" t="str">
        <f>INDEX(SignSym,MOD(B183+MATCH(P183,SignSym,FALSE)-1,12)+1)</f>
        <v>Cn</v>
      </c>
      <c r="R183" s="107" t="str">
        <f>INDEX(SignSym,MOD(B183+MATCH(Q183,SignSym,FALSE)-1,12)+1)</f>
        <v>Le</v>
      </c>
      <c r="S183" s="107" t="str">
        <f>INDEX(SignSym,MOD(B183+MATCH(R183,SignSym,FALSE)-1,12)+1)</f>
        <v>Vi</v>
      </c>
    </row>
    <row r="184" spans="1:19" s="107" customFormat="1" hidden="1" x14ac:dyDescent="0.2">
      <c r="C184" s="518"/>
      <c r="D184" s="518"/>
      <c r="F184" s="519"/>
      <c r="G184" s="519"/>
      <c r="H184" s="519" t="e">
        <f>F183</f>
        <v>#N/A</v>
      </c>
      <c r="I184" s="519" t="e">
        <f>H184+(E183*NDDaysInYEar/12)</f>
        <v>#N/A</v>
      </c>
      <c r="J184" s="519" t="e">
        <f>I184+(E183*NDDaysInYEar/12)</f>
        <v>#N/A</v>
      </c>
      <c r="K184" s="519" t="e">
        <f>J184+(E183*NDDaysInYEar/12)</f>
        <v>#N/A</v>
      </c>
      <c r="L184" s="519" t="e">
        <f>K184+(E183*NDDaysInYEar/12)</f>
        <v>#N/A</v>
      </c>
      <c r="M184" s="519" t="e">
        <f>L184+(E183*NDDaysInYEar/12)</f>
        <v>#N/A</v>
      </c>
      <c r="N184" s="519" t="e">
        <f>M184+(E183*NDDaysInYEar/12)</f>
        <v>#N/A</v>
      </c>
      <c r="O184" s="519" t="e">
        <f>N184+(E183*NDDaysInYEar/12)</f>
        <v>#N/A</v>
      </c>
      <c r="P184" s="519" t="e">
        <f>O184+(E183*NDDaysInYEar/12)</f>
        <v>#N/A</v>
      </c>
      <c r="Q184" s="519" t="e">
        <f>P184+(E183*NDDaysInYEar/12)</f>
        <v>#N/A</v>
      </c>
      <c r="R184" s="519" t="e">
        <f>Q184+(E183*NDDaysInYEar/12)</f>
        <v>#N/A</v>
      </c>
      <c r="S184" s="519" t="e">
        <f>R184+(E183*NDDaysInYEar/12)</f>
        <v>#N/A</v>
      </c>
    </row>
    <row r="185" spans="1:19" s="107" customFormat="1" x14ac:dyDescent="0.2">
      <c r="A185" s="107" t="str">
        <f>VLOOKUP(C172,NDasaSeq,12,FALSE)</f>
        <v>Pi</v>
      </c>
      <c r="B185" s="107">
        <f>VLOOKUP(A185,NDasaC,3,FALSE)</f>
        <v>-1</v>
      </c>
      <c r="C185" s="518" t="e">
        <f>IF(MATCH(VLOOKUP(IF((A185="Aq"),VLOOKUP("AqLord",DivCharts,D171,FALSE),IF((A185="Sc"),VLOOKUP("ScLord",DivCharts,D171,FALSE),VLOOKUP(A185,RsInfo,9,FALSE))),DivCharts,D171,FALSE),RsTbl,0)=MATCH(VLOOKUP(IF((A185="Aq"),VLOOKUP("AqLord",DivCharts,D171,FALSE),IF((A185="Sc"),VLOOKUP("ScLord",DivCharts,D171,FALSE),VLOOKUP(A185,RsInfo,9,FALSE))),PlanetData,8,FALSE),RsTbl,0),1,IF(MATCH(VLOOKUP(IF((A185="Aq"),VLOOKUP("AqLord",DivCharts,D171,FALSE),IF((A185="Sc"),VLOOKUP("ScLord",DivCharts,D171,FALSE),VLOOKUP(A185,RsInfo,9,FALSE))),DivCharts,D171,FALSE),RsTbl,0)=MOD(MATCH(VLOOKUP(IF((A185="Aq"),VLOOKUP("AqLord",DivCharts,D171,FALSE),IF((A185="Sc"),VLOOKUP("ScLord",DivCharts,D171,FALSE),VLOOKUP(A185,RsInfo,9,FALSE))),PlanetData,8,FALSE),RsTbl,0)+6,12),-1,0))</f>
        <v>#N/A</v>
      </c>
      <c r="D185" s="518">
        <f>MOD((MATCH(VLOOKUP(IF((A185="Aq"),VLOOKUP("AqLord",DivCharts,D171,FALSE),IF((A185="Sc"),VLOOKUP("ScLord",DivCharts,D171,FALSE),VLOOKUP(A185,RsInfo,9,FALSE))),DivCharts,D171,FALSE),RsTbl,0)*B185)-(B185*MATCH(A185,RsTbl,0))+12,12)</f>
        <v>9</v>
      </c>
      <c r="E185" s="107" t="e">
        <f>IF(ISNA(MATCH((D185+C185),,0)),(D185+C185),12)</f>
        <v>#N/A</v>
      </c>
      <c r="F185" s="519" t="e">
        <f>G183</f>
        <v>#N/A</v>
      </c>
      <c r="G185" s="519" t="e">
        <f>F185+E185*NDDaysInYEar</f>
        <v>#N/A</v>
      </c>
      <c r="H185" s="510" t="s">
        <v>1968</v>
      </c>
      <c r="I185" s="107" t="str">
        <f>INDEX(SignSym,MOD(B185+MATCH(H185,SignSym,FALSE)-1,12)+1)</f>
        <v>Ge</v>
      </c>
      <c r="J185" s="107" t="str">
        <f>INDEX(SignSym,MOD(B185+MATCH(I185,SignSym,FALSE)-1,12)+1)</f>
        <v>Ta</v>
      </c>
      <c r="K185" s="107" t="str">
        <f>INDEX(SignSym,MOD(B185+MATCH(J185,SignSym,FALSE)-1,12)+1)</f>
        <v>Ar</v>
      </c>
      <c r="L185" s="107" t="str">
        <f>INDEX(SignSym,MOD(B185+MATCH(K185,SignSym,FALSE)-1,12)+1)</f>
        <v>Pi</v>
      </c>
      <c r="M185" s="107" t="str">
        <f>INDEX(SignSym,MOD(B185+MATCH(L185,SignSym,FALSE)-1,12)+1)</f>
        <v>Aq</v>
      </c>
      <c r="N185" s="107" t="str">
        <f>INDEX(SignSym,MOD(B185+MATCH(M185,SignSym,FALSE)-1,12)+1)</f>
        <v>Cp</v>
      </c>
      <c r="O185" s="107" t="str">
        <f>INDEX(SignSym,MOD(B185+MATCH(N185,SignSym,FALSE)-1,12)+1)</f>
        <v>Sg</v>
      </c>
      <c r="P185" s="107" t="str">
        <f>INDEX(SignSym,MOD(B185+MATCH(O185,SignSym,FALSE)-1,12)+1)</f>
        <v>Sc</v>
      </c>
      <c r="Q185" s="107" t="str">
        <f>INDEX(SignSym,MOD(B185+MATCH(P185,SignSym,FALSE)-1,12)+1)</f>
        <v>Li</v>
      </c>
      <c r="R185" s="107" t="str">
        <f>INDEX(SignSym,MOD(B185+MATCH(Q185,SignSym,FALSE)-1,12)+1)</f>
        <v>Vi</v>
      </c>
      <c r="S185" s="107" t="str">
        <f>INDEX(SignSym,MOD(B185+MATCH(R185,SignSym,FALSE)-1,12)+1)</f>
        <v>Le</v>
      </c>
    </row>
    <row r="186" spans="1:19" s="107" customFormat="1" hidden="1" x14ac:dyDescent="0.2">
      <c r="C186" s="518"/>
      <c r="D186" s="518"/>
      <c r="F186" s="519"/>
      <c r="G186" s="519"/>
      <c r="H186" s="519" t="e">
        <f>F185</f>
        <v>#N/A</v>
      </c>
      <c r="I186" s="519" t="e">
        <f>H186+(E185*NDDaysInYEar/12)</f>
        <v>#N/A</v>
      </c>
      <c r="J186" s="519" t="e">
        <f>I186+(E185*NDDaysInYEar/12)</f>
        <v>#N/A</v>
      </c>
      <c r="K186" s="519" t="e">
        <f>J186+(E185*NDDaysInYEar/12)</f>
        <v>#N/A</v>
      </c>
      <c r="L186" s="519" t="e">
        <f>K186+(E185*NDDaysInYEar/12)</f>
        <v>#N/A</v>
      </c>
      <c r="M186" s="519" t="e">
        <f>L186+(E185*NDDaysInYEar/12)</f>
        <v>#N/A</v>
      </c>
      <c r="N186" s="519" t="e">
        <f>M186+(E185*NDDaysInYEar/12)</f>
        <v>#N/A</v>
      </c>
      <c r="O186" s="519" t="e">
        <f>N186+(E185*NDDaysInYEar/12)</f>
        <v>#N/A</v>
      </c>
      <c r="P186" s="519" t="e">
        <f>O186+(E185*NDDaysInYEar/12)</f>
        <v>#N/A</v>
      </c>
      <c r="Q186" s="519" t="e">
        <f>P186+(E185*NDDaysInYEar/12)</f>
        <v>#N/A</v>
      </c>
      <c r="R186" s="519" t="e">
        <f>Q186+(E185*NDDaysInYEar/12)</f>
        <v>#N/A</v>
      </c>
      <c r="S186" s="519" t="e">
        <f>R186+(E185*NDDaysInYEar/12)</f>
        <v>#N/A</v>
      </c>
    </row>
    <row r="187" spans="1:19" s="107" customFormat="1" x14ac:dyDescent="0.2">
      <c r="A187" s="107" t="str">
        <f>VLOOKUP(C172,NDasaSeq,13,FALSE)</f>
        <v>Le</v>
      </c>
      <c r="B187" s="107">
        <f>VLOOKUP(A187,NDasaC,3,FALSE)</f>
        <v>-1</v>
      </c>
      <c r="C187" s="518" t="e">
        <f>IF(MATCH(VLOOKUP(IF((A187="Aq"),VLOOKUP("AqLord",DivCharts,D171,FALSE),IF((A187="Sc"),VLOOKUP("ScLord",DivCharts,D171,FALSE),VLOOKUP(A187,RsInfo,9,FALSE))),DivCharts,D171,FALSE),RsTbl,0)=MATCH(VLOOKUP(IF((A187="Aq"),VLOOKUP("AqLord",DivCharts,D171,FALSE),IF((A187="Sc"),VLOOKUP("ScLord",DivCharts,D171,FALSE),VLOOKUP(A187,RsInfo,9,FALSE))),PlanetData,8,FALSE),RsTbl,0),1,IF(MATCH(VLOOKUP(IF((A187="Aq"),VLOOKUP("AqLord",DivCharts,D171,FALSE),IF((A187="Sc"),VLOOKUP("ScLord",DivCharts,D171,FALSE),VLOOKUP(A187,RsInfo,9,FALSE))),DivCharts,D171,FALSE),RsTbl,0)=MOD(MATCH(VLOOKUP(IF((A187="Aq"),VLOOKUP("AqLord",DivCharts,D171,FALSE),IF((A187="Sc"),VLOOKUP("ScLord",DivCharts,D171,FALSE),VLOOKUP(A187,RsInfo,9,FALSE))),PlanetData,8,FALSE),RsTbl,0)+6,12),-1,0))</f>
        <v>#N/A</v>
      </c>
      <c r="D187" s="518">
        <f>MOD((MATCH(VLOOKUP(IF((A187="Aq"),VLOOKUP("AqLord",DivCharts,D171,FALSE),IF((A187="Sc"),VLOOKUP("ScLord",DivCharts,D171,FALSE),VLOOKUP(A187,RsInfo,9,FALSE))),DivCharts,D171,FALSE),RsTbl,0)*B187)-(B187*MATCH(A187,RsTbl,0))+12,12)</f>
        <v>6</v>
      </c>
      <c r="E187" s="107" t="e">
        <f>IF(ISNA(MATCH((D187+C187),,0)),(D187+C187),12)</f>
        <v>#N/A</v>
      </c>
      <c r="F187" s="519" t="e">
        <f>G185</f>
        <v>#N/A</v>
      </c>
      <c r="G187" s="519" t="e">
        <f>F187+E187*NDDaysInYEar</f>
        <v>#N/A</v>
      </c>
      <c r="H187" s="510" t="s">
        <v>1974</v>
      </c>
      <c r="I187" s="107" t="str">
        <f>INDEX(SignSym,MOD(B187+MATCH(H187,SignSym,FALSE)-1,12)+1)</f>
        <v>Cp</v>
      </c>
      <c r="J187" s="107" t="str">
        <f>INDEX(SignSym,MOD(B187+MATCH(I187,SignSym,FALSE)-1,12)+1)</f>
        <v>Sg</v>
      </c>
      <c r="K187" s="107" t="str">
        <f>INDEX(SignSym,MOD(B187+MATCH(J187,SignSym,FALSE)-1,12)+1)</f>
        <v>Sc</v>
      </c>
      <c r="L187" s="107" t="str">
        <f>INDEX(SignSym,MOD(B187+MATCH(K187,SignSym,FALSE)-1,12)+1)</f>
        <v>Li</v>
      </c>
      <c r="M187" s="107" t="str">
        <f>INDEX(SignSym,MOD(B187+MATCH(L187,SignSym,FALSE)-1,12)+1)</f>
        <v>Vi</v>
      </c>
      <c r="N187" s="107" t="str">
        <f>INDEX(SignSym,MOD(B187+MATCH(M187,SignSym,FALSE)-1,12)+1)</f>
        <v>Le</v>
      </c>
      <c r="O187" s="107" t="str">
        <f>INDEX(SignSym,MOD(B187+MATCH(N187,SignSym,FALSE)-1,12)+1)</f>
        <v>Cn</v>
      </c>
      <c r="P187" s="107" t="str">
        <f>INDEX(SignSym,MOD(B187+MATCH(O187,SignSym,FALSE)-1,12)+1)</f>
        <v>Ge</v>
      </c>
      <c r="Q187" s="107" t="str">
        <f>INDEX(SignSym,MOD(B187+MATCH(P187,SignSym,FALSE)-1,12)+1)</f>
        <v>Ta</v>
      </c>
      <c r="R187" s="107" t="str">
        <f>INDEX(SignSym,MOD(B187+MATCH(Q187,SignSym,FALSE)-1,12)+1)</f>
        <v>Ar</v>
      </c>
      <c r="S187" s="107" t="str">
        <f>INDEX(SignSym,MOD(B187+MATCH(R187,SignSym,FALSE)-1,12)+1)</f>
        <v>Pi</v>
      </c>
    </row>
    <row r="188" spans="1:19" s="107" customFormat="1" hidden="1" x14ac:dyDescent="0.2">
      <c r="C188" s="518"/>
      <c r="D188" s="518"/>
      <c r="F188" s="519"/>
      <c r="G188" s="519"/>
      <c r="H188" s="519" t="e">
        <f>F187</f>
        <v>#N/A</v>
      </c>
      <c r="I188" s="519" t="e">
        <f>H188+(E187*NDDaysInYEar/12)</f>
        <v>#N/A</v>
      </c>
      <c r="J188" s="519" t="e">
        <f>I188+(E187*NDDaysInYEar/12)</f>
        <v>#N/A</v>
      </c>
      <c r="K188" s="519" t="e">
        <f>J188+(E187*NDDaysInYEar/12)</f>
        <v>#N/A</v>
      </c>
      <c r="L188" s="519" t="e">
        <f>K188+(E187*NDDaysInYEar/12)</f>
        <v>#N/A</v>
      </c>
      <c r="M188" s="519" t="e">
        <f>L188+(E187*NDDaysInYEar/12)</f>
        <v>#N/A</v>
      </c>
      <c r="N188" s="519" t="e">
        <f>M188+(E187*NDDaysInYEar/12)</f>
        <v>#N/A</v>
      </c>
      <c r="O188" s="519" t="e">
        <f>N188+(E187*NDDaysInYEar/12)</f>
        <v>#N/A</v>
      </c>
      <c r="P188" s="519" t="e">
        <f>O188+(E187*NDDaysInYEar/12)</f>
        <v>#N/A</v>
      </c>
      <c r="Q188" s="519" t="e">
        <f>P188+(E187*NDDaysInYEar/12)</f>
        <v>#N/A</v>
      </c>
      <c r="R188" s="519" t="e">
        <f>Q188+(E187*NDDaysInYEar/12)</f>
        <v>#N/A</v>
      </c>
      <c r="S188" s="519" t="e">
        <f>R188+(E187*NDDaysInYEar/12)</f>
        <v>#N/A</v>
      </c>
    </row>
    <row r="189" spans="1:19" s="107" customFormat="1" x14ac:dyDescent="0.2">
      <c r="A189" s="107" t="str">
        <f>VLOOKUP(C172,NDasaSeq,14,FALSE)</f>
        <v>Cp</v>
      </c>
      <c r="B189" s="107">
        <f>VLOOKUP(A189,NDasaC,3,FALSE)</f>
        <v>-1</v>
      </c>
      <c r="C189" s="518" t="e">
        <f>IF(MATCH(VLOOKUP(IF((A189="Aq"),VLOOKUP("AqLord",DivCharts,D171,FALSE),IF((A189="Sc"),VLOOKUP("ScLord",DivCharts,D171,FALSE),VLOOKUP(A189,RsInfo,9,FALSE))),DivCharts,D171,FALSE),RsTbl,0)=MATCH(VLOOKUP(IF((A189="Aq"),VLOOKUP("AqLord",DivCharts,D171,FALSE),IF((A189="Sc"),VLOOKUP("ScLord",DivCharts,D171,FALSE),VLOOKUP(A189,RsInfo,9,FALSE))),PlanetData,8,FALSE),RsTbl,0),1,IF(MATCH(VLOOKUP(IF((A189="Aq"),VLOOKUP("AqLord",DivCharts,D171,FALSE),IF((A189="Sc"),VLOOKUP("ScLord",DivCharts,D171,FALSE),VLOOKUP(A189,RsInfo,9,FALSE))),DivCharts,D171,FALSE),RsTbl,0)=MOD(MATCH(VLOOKUP(IF((A189="Aq"),VLOOKUP("AqLord",DivCharts,D171,FALSE),IF((A189="Sc"),VLOOKUP("ScLord",DivCharts,D171,FALSE),VLOOKUP(A189,RsInfo,9,FALSE))),PlanetData,8,FALSE),RsTbl,0)+6,12),-1,0))</f>
        <v>#N/A</v>
      </c>
      <c r="D189" s="518">
        <f>MOD((MATCH(VLOOKUP(IF((A189="Aq"),VLOOKUP("AqLord",DivCharts,D171,FALSE),IF((A189="Sc"),VLOOKUP("ScLord",DivCharts,D171,FALSE),VLOOKUP(A189,RsInfo,9,FALSE))),DivCharts,D171,FALSE),RsTbl,0)*B189)-(B189*MATCH(A189,RsTbl,0))+12,12)</f>
        <v>1</v>
      </c>
      <c r="E189" s="107" t="e">
        <f>IF(ISNA(MATCH((D189+C189),,0)),(D189+C189),12)</f>
        <v>#N/A</v>
      </c>
      <c r="F189" s="519" t="e">
        <f>G187</f>
        <v>#N/A</v>
      </c>
      <c r="G189" s="519" t="e">
        <f>F189+E189*NDDaysInYEar</f>
        <v>#N/A</v>
      </c>
      <c r="H189" s="510" t="s">
        <v>1953</v>
      </c>
      <c r="I189" s="107" t="str">
        <f>INDEX(SignSym,MOD(B189+MATCH(H189,SignSym,FALSE)-1,12)+1)</f>
        <v>Ar</v>
      </c>
      <c r="J189" s="107" t="str">
        <f>INDEX(SignSym,MOD(B189+MATCH(I189,SignSym,FALSE)-1,12)+1)</f>
        <v>Pi</v>
      </c>
      <c r="K189" s="107" t="str">
        <f>INDEX(SignSym,MOD(B189+MATCH(J189,SignSym,FALSE)-1,12)+1)</f>
        <v>Aq</v>
      </c>
      <c r="L189" s="107" t="str">
        <f>INDEX(SignSym,MOD(B189+MATCH(K189,SignSym,FALSE)-1,12)+1)</f>
        <v>Cp</v>
      </c>
      <c r="M189" s="107" t="str">
        <f>INDEX(SignSym,MOD(B189+MATCH(L189,SignSym,FALSE)-1,12)+1)</f>
        <v>Sg</v>
      </c>
      <c r="N189" s="107" t="str">
        <f>INDEX(SignSym,MOD(B189+MATCH(M189,SignSym,FALSE)-1,12)+1)</f>
        <v>Sc</v>
      </c>
      <c r="O189" s="107" t="str">
        <f>INDEX(SignSym,MOD(B189+MATCH(N189,SignSym,FALSE)-1,12)+1)</f>
        <v>Li</v>
      </c>
      <c r="P189" s="107" t="str">
        <f>INDEX(SignSym,MOD(B189+MATCH(O189,SignSym,FALSE)-1,12)+1)</f>
        <v>Vi</v>
      </c>
      <c r="Q189" s="107" t="str">
        <f>INDEX(SignSym,MOD(B189+MATCH(P189,SignSym,FALSE)-1,12)+1)</f>
        <v>Le</v>
      </c>
      <c r="R189" s="107" t="str">
        <f>INDEX(SignSym,MOD(B189+MATCH(Q189,SignSym,FALSE)-1,12)+1)</f>
        <v>Cn</v>
      </c>
      <c r="S189" s="107" t="str">
        <f>INDEX(SignSym,MOD(B189+MATCH(R189,SignSym,FALSE)-1,12)+1)</f>
        <v>Ge</v>
      </c>
    </row>
    <row r="190" spans="1:19" s="107" customFormat="1" hidden="1" x14ac:dyDescent="0.2">
      <c r="C190" s="518"/>
      <c r="D190" s="518"/>
      <c r="F190" s="519"/>
      <c r="G190" s="519"/>
      <c r="H190" s="519" t="e">
        <f>F189</f>
        <v>#N/A</v>
      </c>
      <c r="I190" s="519" t="e">
        <f>H190+(E189*NDDaysInYEar/12)</f>
        <v>#N/A</v>
      </c>
      <c r="J190" s="519" t="e">
        <f>I190+(E189*NDDaysInYEar/12)</f>
        <v>#N/A</v>
      </c>
      <c r="K190" s="519" t="e">
        <f>J190+(E189*NDDaysInYEar/12)</f>
        <v>#N/A</v>
      </c>
      <c r="L190" s="519" t="e">
        <f>K190+(E189*NDDaysInYEar/12)</f>
        <v>#N/A</v>
      </c>
      <c r="M190" s="519" t="e">
        <f>L190+(E189*NDDaysInYEar/12)</f>
        <v>#N/A</v>
      </c>
      <c r="N190" s="519" t="e">
        <f>M190+(E189*NDDaysInYEar/12)</f>
        <v>#N/A</v>
      </c>
      <c r="O190" s="519" t="e">
        <f>N190+(E189*NDDaysInYEar/12)</f>
        <v>#N/A</v>
      </c>
      <c r="P190" s="519" t="e">
        <f>O190+(E189*NDDaysInYEar/12)</f>
        <v>#N/A</v>
      </c>
      <c r="Q190" s="519" t="e">
        <f>P190+(E189*NDDaysInYEar/12)</f>
        <v>#N/A</v>
      </c>
      <c r="R190" s="519" t="e">
        <f>Q190+(E189*NDDaysInYEar/12)</f>
        <v>#N/A</v>
      </c>
      <c r="S190" s="519" t="e">
        <f>R190+(E189*NDDaysInYEar/12)</f>
        <v>#N/A</v>
      </c>
    </row>
    <row r="191" spans="1:19" s="107" customFormat="1" x14ac:dyDescent="0.2">
      <c r="A191" s="107" t="str">
        <f>VLOOKUP(C172,NDasaSeq,15,FALSE)</f>
        <v>Ge</v>
      </c>
      <c r="B191" s="107">
        <f>VLOOKUP(A191,NDasaC,3,FALSE)</f>
        <v>1</v>
      </c>
      <c r="C191" s="518" t="e">
        <f>IF(MATCH(VLOOKUP(IF((A191="Aq"),VLOOKUP("AqLord",DivCharts,D171,FALSE),IF((A191="Sc"),VLOOKUP("ScLord",DivCharts,D171,FALSE),VLOOKUP(A191,RsInfo,9,FALSE))),DivCharts,D171,FALSE),RsTbl,0)=MATCH(VLOOKUP(IF((A191="Aq"),VLOOKUP("AqLord",DivCharts,D171,FALSE),IF((A191="Sc"),VLOOKUP("ScLord",DivCharts,D171,FALSE),VLOOKUP(A191,RsInfo,9,FALSE))),PlanetData,8,FALSE),RsTbl,0),1,IF(MATCH(VLOOKUP(IF((A191="Aq"),VLOOKUP("AqLord",DivCharts,D171,FALSE),IF((A191="Sc"),VLOOKUP("ScLord",DivCharts,D171,FALSE),VLOOKUP(A191,RsInfo,9,FALSE))),DivCharts,D171,FALSE),RsTbl,0)=MOD(MATCH(VLOOKUP(IF((A191="Aq"),VLOOKUP("AqLord",DivCharts,D171,FALSE),IF((A191="Sc"),VLOOKUP("ScLord",DivCharts,D171,FALSE),VLOOKUP(A191,RsInfo,9,FALSE))),PlanetData,8,FALSE),RsTbl,0)+6,12),-1,0))</f>
        <v>#N/A</v>
      </c>
      <c r="D191" s="518">
        <f>MOD((MATCH(VLOOKUP(IF((A191="Aq"),VLOOKUP("AqLord",DivCharts,D171,FALSE),IF((A191="Sc"),VLOOKUP("ScLord",DivCharts,D171,FALSE),VLOOKUP(A191,RsInfo,9,FALSE))),DivCharts,D171,FALSE),RsTbl,0)*B191)-(B191*MATCH(A191,RsTbl,0))+12,12)</f>
        <v>8</v>
      </c>
      <c r="E191" s="107" t="e">
        <f>IF(ISNA(MATCH((D191+C191),,0)),(D191+C191),12)</f>
        <v>#N/A</v>
      </c>
      <c r="F191" s="519" t="e">
        <f>G189</f>
        <v>#N/A</v>
      </c>
      <c r="G191" s="519" t="e">
        <f>F191+E191*NDDaysInYEar</f>
        <v>#N/A</v>
      </c>
      <c r="H191" s="510" t="str">
        <f>A191</f>
        <v>Ge</v>
      </c>
      <c r="I191" s="107" t="str">
        <f>INDEX(SignSym,MOD(B191+MATCH(H191,SignSym,FALSE)-1,12)+1)</f>
        <v>Cn</v>
      </c>
      <c r="J191" s="107" t="str">
        <f>INDEX(SignSym,MOD(B191+MATCH(I191,SignSym,FALSE)-1,12)+1)</f>
        <v>Le</v>
      </c>
      <c r="K191" s="107" t="str">
        <f>INDEX(SignSym,MOD(B191+MATCH(J191,SignSym,FALSE)-1,12)+1)</f>
        <v>Vi</v>
      </c>
      <c r="L191" s="107" t="str">
        <f>INDEX(SignSym,MOD(B191+MATCH(K191,SignSym,FALSE)-1,12)+1)</f>
        <v>Li</v>
      </c>
      <c r="M191" s="107" t="str">
        <f>INDEX(SignSym,MOD(B191+MATCH(L191,SignSym,FALSE)-1,12)+1)</f>
        <v>Sc</v>
      </c>
      <c r="N191" s="107" t="str">
        <f>INDEX(SignSym,MOD(B191+MATCH(M191,SignSym,FALSE)-1,12)+1)</f>
        <v>Sg</v>
      </c>
      <c r="O191" s="107" t="str">
        <f>INDEX(SignSym,MOD(B191+MATCH(N191,SignSym,FALSE)-1,12)+1)</f>
        <v>Cp</v>
      </c>
      <c r="P191" s="107" t="str">
        <f>INDEX(SignSym,MOD(B191+MATCH(O191,SignSym,FALSE)-1,12)+1)</f>
        <v>Aq</v>
      </c>
      <c r="Q191" s="107" t="str">
        <f>INDEX(SignSym,MOD(B191+MATCH(P191,SignSym,FALSE)-1,12)+1)</f>
        <v>Pi</v>
      </c>
      <c r="R191" s="107" t="str">
        <f>INDEX(SignSym,MOD(B191+MATCH(Q191,SignSym,FALSE)-1,12)+1)</f>
        <v>Ar</v>
      </c>
      <c r="S191" s="107" t="str">
        <f>INDEX(SignSym,MOD(B191+MATCH(R191,SignSym,FALSE)-1,12)+1)</f>
        <v>Ta</v>
      </c>
    </row>
    <row r="192" spans="1:19" s="107" customFormat="1" ht="12.75" hidden="1" customHeight="1" x14ac:dyDescent="0.2">
      <c r="C192" s="518"/>
      <c r="D192" s="518"/>
      <c r="F192" s="519"/>
      <c r="G192" s="519"/>
      <c r="H192" s="519" t="e">
        <f>F191</f>
        <v>#N/A</v>
      </c>
      <c r="I192" s="519" t="e">
        <f>H192+(E191*NDDaysInYEar/12)</f>
        <v>#N/A</v>
      </c>
      <c r="J192" s="519" t="e">
        <f>I192+(E191*NDDaysInYEar/12)</f>
        <v>#N/A</v>
      </c>
      <c r="K192" s="519" t="e">
        <f>J192+(E191*NDDaysInYEar/12)</f>
        <v>#N/A</v>
      </c>
      <c r="L192" s="519" t="e">
        <f>K192+(E191*NDDaysInYEar/12)</f>
        <v>#N/A</v>
      </c>
      <c r="M192" s="519" t="e">
        <f>L192+(E191*NDDaysInYEar/12)</f>
        <v>#N/A</v>
      </c>
      <c r="N192" s="519" t="e">
        <f>M192+(E191*NDDaysInYEar/12)</f>
        <v>#N/A</v>
      </c>
      <c r="O192" s="519" t="e">
        <f>N192+(E191*NDDaysInYEar/12)</f>
        <v>#N/A</v>
      </c>
      <c r="P192" s="519" t="e">
        <f>O192+(E191*NDDaysInYEar/12)</f>
        <v>#N/A</v>
      </c>
      <c r="Q192" s="519" t="e">
        <f>P192+(E191*NDDaysInYEar/12)</f>
        <v>#N/A</v>
      </c>
      <c r="R192" s="519" t="e">
        <f>Q192+(E191*NDDaysInYEar/12)</f>
        <v>#N/A</v>
      </c>
      <c r="S192" s="519" t="e">
        <f>R192+(E191*NDDaysInYEar/12)</f>
        <v>#N/A</v>
      </c>
    </row>
    <row r="193" spans="1:19" s="107" customFormat="1" x14ac:dyDescent="0.2">
      <c r="A193" s="107" t="str">
        <f>VLOOKUP(C172,NDasaSeq,16,FALSE)</f>
        <v>Sc</v>
      </c>
      <c r="B193" s="107">
        <f>VLOOKUP(A193,NDasaC,3,FALSE)</f>
        <v>1</v>
      </c>
      <c r="C193" s="518" t="e">
        <f>IF(MATCH(VLOOKUP(IF((A193="Aq"),VLOOKUP("AqLord",DivCharts,D171,FALSE),IF((A193="Sc"),VLOOKUP("ScLord",DivCharts,D171,FALSE),VLOOKUP(A193,RsInfo,9,FALSE))),DivCharts,D171,FALSE),RsTbl,0)=MATCH(VLOOKUP(IF((A193="Aq"),VLOOKUP("AqLord",DivCharts,D171,FALSE),IF((A193="Sc"),VLOOKUP("ScLord",DivCharts,D171,FALSE),VLOOKUP(A193,RsInfo,9,FALSE))),PlanetData,8,FALSE),RsTbl,0),1,IF(MATCH(VLOOKUP(IF((A193="Aq"),VLOOKUP("AqLord",DivCharts,D171,FALSE),IF((A193="Sc"),VLOOKUP("ScLord",DivCharts,D171,FALSE),VLOOKUP(A193,RsInfo,9,FALSE))),DivCharts,D171,FALSE),RsTbl,0)=MOD(MATCH(VLOOKUP(IF((A193="Aq"),VLOOKUP("AqLord",DivCharts,D171,FALSE),IF((A193="Sc"),VLOOKUP("ScLord",DivCharts,D171,FALSE),VLOOKUP(A193,RsInfo,9,FALSE))),PlanetData,8,FALSE),RsTbl,0)+6,12),-1,0))</f>
        <v>#N/A</v>
      </c>
      <c r="D193" s="518">
        <f>MOD((MATCH(VLOOKUP(IF((A193="Aq"),VLOOKUP("AqLord",DivCharts,D171,FALSE),IF((A193="Sc"),VLOOKUP("ScLord",DivCharts,D171,FALSE),VLOOKUP(A193,RsInfo,9,FALSE))),DivCharts,D171,FALSE),RsTbl,0)*B193)-(B193*MATCH(A193,RsTbl,0))+12,12)</f>
        <v>8</v>
      </c>
      <c r="E193" s="107" t="e">
        <f>IF(ISNA(MATCH((D193+C193),,0)),(D193+C193),12)</f>
        <v>#N/A</v>
      </c>
      <c r="F193" s="519" t="e">
        <f>G191</f>
        <v>#N/A</v>
      </c>
      <c r="G193" s="519" t="e">
        <f>F193+E193*NDDaysInYEar</f>
        <v>#N/A</v>
      </c>
      <c r="H193" s="510" t="str">
        <f>A193</f>
        <v>Sc</v>
      </c>
      <c r="I193" s="107" t="str">
        <f>INDEX(SignSym,MOD(B193+MATCH(H193,SignSym,FALSE)-1,12)+1)</f>
        <v>Sg</v>
      </c>
      <c r="J193" s="107" t="str">
        <f>INDEX(SignSym,MOD(B193+MATCH(I193,SignSym,FALSE)-1,12)+1)</f>
        <v>Cp</v>
      </c>
      <c r="K193" s="107" t="str">
        <f>INDEX(SignSym,MOD(B193+MATCH(J193,SignSym,FALSE)-1,12)+1)</f>
        <v>Aq</v>
      </c>
      <c r="L193" s="107" t="str">
        <f>INDEX(SignSym,MOD(B193+MATCH(K193,SignSym,FALSE)-1,12)+1)</f>
        <v>Pi</v>
      </c>
      <c r="M193" s="107" t="str">
        <f>INDEX(SignSym,MOD(B193+MATCH(L193,SignSym,FALSE)-1,12)+1)</f>
        <v>Ar</v>
      </c>
      <c r="N193" s="107" t="str">
        <f>INDEX(SignSym,MOD(B193+MATCH(M193,SignSym,FALSE)-1,12)+1)</f>
        <v>Ta</v>
      </c>
      <c r="O193" s="107" t="str">
        <f>INDEX(SignSym,MOD(B193+MATCH(N193,SignSym,FALSE)-1,12)+1)</f>
        <v>Ge</v>
      </c>
      <c r="P193" s="107" t="str">
        <f>INDEX(SignSym,MOD(B193+MATCH(O193,SignSym,FALSE)-1,12)+1)</f>
        <v>Cn</v>
      </c>
      <c r="Q193" s="107" t="str">
        <f>INDEX(SignSym,MOD(B193+MATCH(P193,SignSym,FALSE)-1,12)+1)</f>
        <v>Le</v>
      </c>
      <c r="R193" s="107" t="str">
        <f>INDEX(SignSym,MOD(B193+MATCH(Q193,SignSym,FALSE)-1,12)+1)</f>
        <v>Vi</v>
      </c>
      <c r="S193" s="107" t="str">
        <f>INDEX(SignSym,MOD(B193+MATCH(R193,SignSym,FALSE)-1,12)+1)</f>
        <v>Li</v>
      </c>
    </row>
    <row r="194" spans="1:19" s="107" customFormat="1" ht="12.75" hidden="1" customHeight="1" x14ac:dyDescent="0.2">
      <c r="C194" s="518"/>
      <c r="D194" s="518"/>
      <c r="F194" s="519"/>
      <c r="G194" s="519"/>
      <c r="H194" s="519" t="e">
        <f>F193</f>
        <v>#N/A</v>
      </c>
      <c r="I194" s="519" t="e">
        <f>H194+(E193*NDDaysInYEar/12)</f>
        <v>#N/A</v>
      </c>
      <c r="J194" s="519" t="e">
        <f>I194+(E193*NDDaysInYEar/12)</f>
        <v>#N/A</v>
      </c>
      <c r="K194" s="519" t="e">
        <f>J194+(E193*NDDaysInYEar/12)</f>
        <v>#N/A</v>
      </c>
      <c r="L194" s="519" t="e">
        <f>K194+(E193*NDDaysInYEar/12)</f>
        <v>#N/A</v>
      </c>
      <c r="M194" s="519" t="e">
        <f>L194+(E193*NDDaysInYEar/12)</f>
        <v>#N/A</v>
      </c>
      <c r="N194" s="519" t="e">
        <f>M194+(E193*NDDaysInYEar/12)</f>
        <v>#N/A</v>
      </c>
      <c r="O194" s="519" t="e">
        <f>N194+(E193*NDDaysInYEar/12)</f>
        <v>#N/A</v>
      </c>
      <c r="P194" s="519" t="e">
        <f>O194+(E193*NDDaysInYEar/12)</f>
        <v>#N/A</v>
      </c>
      <c r="Q194" s="519" t="e">
        <f>P194+(E193*NDDaysInYEar/12)</f>
        <v>#N/A</v>
      </c>
      <c r="R194" s="519" t="e">
        <f>Q194+(E193*NDDaysInYEar/12)</f>
        <v>#N/A</v>
      </c>
      <c r="S194" s="519" t="e">
        <f>R194+(E193*NDDaysInYEar/12)</f>
        <v>#N/A</v>
      </c>
    </row>
    <row r="195" spans="1:19" s="107" customFormat="1" x14ac:dyDescent="0.2">
      <c r="A195" s="107" t="str">
        <f>VLOOKUP(C172,NDasaSeq,17,FALSE)</f>
        <v>Ar</v>
      </c>
      <c r="B195" s="107">
        <f>VLOOKUP(A195,NDasaC,3,FALSE)</f>
        <v>1</v>
      </c>
      <c r="C195" s="518" t="e">
        <f>IF(MATCH(VLOOKUP(IF((A195="Aq"),VLOOKUP("AqLord",DivCharts,D171,FALSE),IF((A195="Sc"),VLOOKUP("ScLord",DivCharts,D171,FALSE),VLOOKUP(A195,RsInfo,9,FALSE))),DivCharts,D171,FALSE),RsTbl,0)=MATCH(VLOOKUP(IF((A195="Aq"),VLOOKUP("AqLord",DivCharts,D171,FALSE),IF((A195="Sc"),VLOOKUP("ScLord",DivCharts,D171,FALSE),VLOOKUP(A195,RsInfo,9,FALSE))),PlanetData,8,FALSE),RsTbl,0),1,IF(MATCH(VLOOKUP(IF((A195="Aq"),VLOOKUP("AqLord",DivCharts,D171,FALSE),IF((A195="Sc"),VLOOKUP("ScLord",DivCharts,D171,FALSE),VLOOKUP(A195,RsInfo,9,FALSE))),DivCharts,D171,FALSE),RsTbl,0)=MOD(MATCH(VLOOKUP(IF((A195="Aq"),VLOOKUP("AqLord",DivCharts,D171,FALSE),IF((A195="Sc"),VLOOKUP("ScLord",DivCharts,D171,FALSE),VLOOKUP(A195,RsInfo,9,FALSE))),PlanetData,8,FALSE),RsTbl,0)+6,12),-1,0))</f>
        <v>#N/A</v>
      </c>
      <c r="D195" s="518">
        <f>MOD((MATCH(VLOOKUP(IF((A195="Aq"),VLOOKUP("AqLord",DivCharts,D171,FALSE),IF((A195="Sc"),VLOOKUP("ScLord",DivCharts,D171,FALSE),VLOOKUP(A195,RsInfo,9,FALSE))),DivCharts,D171,FALSE),RsTbl,0)*B195)-(B195*MATCH(A195,RsTbl,0))+12,12)</f>
        <v>3</v>
      </c>
      <c r="E195" s="107" t="e">
        <f>IF(ISNA(MATCH((D195+C195),,0)),(D195+C195),12)</f>
        <v>#N/A</v>
      </c>
      <c r="F195" s="519" t="e">
        <f>G193</f>
        <v>#N/A</v>
      </c>
      <c r="G195" s="519" t="e">
        <f>F195+E195*NDDaysInYEar</f>
        <v>#N/A</v>
      </c>
      <c r="H195" s="510" t="str">
        <f>A195</f>
        <v>Ar</v>
      </c>
      <c r="I195" s="107" t="str">
        <f>INDEX(SignSym,MOD(B195+MATCH(H195,SignSym,FALSE)-1,12)+1)</f>
        <v>Ta</v>
      </c>
      <c r="J195" s="107" t="str">
        <f>INDEX(SignSym,MOD(B195+MATCH(I195,SignSym,FALSE)-1,12)+1)</f>
        <v>Ge</v>
      </c>
      <c r="K195" s="107" t="str">
        <f>INDEX(SignSym,MOD(B195+MATCH(J195,SignSym,FALSE)-1,12)+1)</f>
        <v>Cn</v>
      </c>
      <c r="L195" s="107" t="str">
        <f>INDEX(SignSym,MOD(B195+MATCH(K195,SignSym,FALSE)-1,12)+1)</f>
        <v>Le</v>
      </c>
      <c r="M195" s="107" t="str">
        <f>INDEX(SignSym,MOD(B195+MATCH(L195,SignSym,FALSE)-1,12)+1)</f>
        <v>Vi</v>
      </c>
      <c r="N195" s="107" t="str">
        <f>INDEX(SignSym,MOD(B195+MATCH(M195,SignSym,FALSE)-1,12)+1)</f>
        <v>Li</v>
      </c>
      <c r="O195" s="107" t="str">
        <f>INDEX(SignSym,MOD(B195+MATCH(N195,SignSym,FALSE)-1,12)+1)</f>
        <v>Sc</v>
      </c>
      <c r="P195" s="107" t="str">
        <f>INDEX(SignSym,MOD(B195+MATCH(O195,SignSym,FALSE)-1,12)+1)</f>
        <v>Sg</v>
      </c>
      <c r="Q195" s="107" t="str">
        <f>INDEX(SignSym,MOD(B195+MATCH(P195,SignSym,FALSE)-1,12)+1)</f>
        <v>Cp</v>
      </c>
      <c r="R195" s="107" t="str">
        <f>INDEX(SignSym,MOD(B195+MATCH(Q195,SignSym,FALSE)-1,12)+1)</f>
        <v>Aq</v>
      </c>
      <c r="S195" s="107" t="str">
        <f>INDEX(SignSym,MOD(B195+MATCH(R195,SignSym,FALSE)-1,12)+1)</f>
        <v>Pi</v>
      </c>
    </row>
    <row r="196" spans="1:19" s="107" customFormat="1" ht="12.75" hidden="1" customHeight="1" x14ac:dyDescent="0.2">
      <c r="C196" s="518"/>
      <c r="D196" s="518"/>
      <c r="F196" s="519"/>
      <c r="G196" s="519"/>
      <c r="H196" s="519" t="e">
        <f>F195</f>
        <v>#N/A</v>
      </c>
      <c r="I196" s="519" t="e">
        <f>H196+(E195*NDDaysInYEar/12)</f>
        <v>#N/A</v>
      </c>
      <c r="J196" s="519" t="e">
        <f>I196+(E195*NDDaysInYEar/12)</f>
        <v>#N/A</v>
      </c>
      <c r="K196" s="519" t="e">
        <f>J196+(E195*NDDaysInYEar/12)</f>
        <v>#N/A</v>
      </c>
      <c r="L196" s="519" t="e">
        <f>K196+(E195*NDDaysInYEar/12)</f>
        <v>#N/A</v>
      </c>
      <c r="M196" s="519" t="e">
        <f>L196+(E195*NDDaysInYEar/12)</f>
        <v>#N/A</v>
      </c>
      <c r="N196" s="519" t="e">
        <f>M196+(E195*NDDaysInYEar/12)</f>
        <v>#N/A</v>
      </c>
      <c r="O196" s="519" t="e">
        <f>N196+(E195*NDDaysInYEar/12)</f>
        <v>#N/A</v>
      </c>
      <c r="P196" s="519" t="e">
        <f>O196+(E195*NDDaysInYEar/12)</f>
        <v>#N/A</v>
      </c>
      <c r="Q196" s="519" t="e">
        <f>P196+(E195*NDDaysInYEar/12)</f>
        <v>#N/A</v>
      </c>
      <c r="R196" s="519" t="e">
        <f>Q196+(E195*NDDaysInYEar/12)</f>
        <v>#N/A</v>
      </c>
      <c r="S196" s="519" t="e">
        <f>R196+(E195*NDDaysInYEar/12)</f>
        <v>#N/A</v>
      </c>
    </row>
    <row r="197" spans="1:19" s="107" customFormat="1" x14ac:dyDescent="0.2">
      <c r="A197" s="107" t="str">
        <f>VLOOKUP(C172,NDasaSeq,18,FALSE)</f>
        <v>Vi</v>
      </c>
      <c r="B197" s="107">
        <f>VLOOKUP(A197,NDasaC,3,FALSE)</f>
        <v>-1</v>
      </c>
      <c r="C197" s="518" t="e">
        <f>IF(MATCH(VLOOKUP(IF((A197="Aq"),VLOOKUP("AqLord",DivCharts,D171,FALSE),IF((A197="Sc"),VLOOKUP("ScLord",DivCharts,D171,FALSE),VLOOKUP(A197,RsInfo,9,FALSE))),DivCharts,D171,FALSE),RsTbl,0)=MATCH(VLOOKUP(IF((A197="Aq"),VLOOKUP("AqLord",DivCharts,D171,FALSE),IF((A197="Sc"),VLOOKUP("ScLord",DivCharts,D171,FALSE),VLOOKUP(A197,RsInfo,9,FALSE))),PlanetData,8,FALSE),RsTbl,0),1,IF(MATCH(VLOOKUP(IF((A197="Aq"),VLOOKUP("AqLord",DivCharts,D171,FALSE),IF((A197="Sc"),VLOOKUP("ScLord",DivCharts,D171,FALSE),VLOOKUP(A197,RsInfo,9,FALSE))),DivCharts,D171,FALSE),RsTbl,0)=MOD(MATCH(VLOOKUP(IF((A197="Aq"),VLOOKUP("AqLord",DivCharts,D171,FALSE),IF((A197="Sc"),VLOOKUP("ScLord",DivCharts,D171,FALSE),VLOOKUP(A197,RsInfo,9,FALSE))),PlanetData,8,FALSE),RsTbl,0)+6,12),-1,0))</f>
        <v>#N/A</v>
      </c>
      <c r="D197" s="518">
        <f>MOD((MATCH(VLOOKUP(IF((A197="Aq"),VLOOKUP("AqLord",DivCharts,D171,FALSE),IF((A197="Sc"),VLOOKUP("ScLord",DivCharts,D171,FALSE),VLOOKUP(A197,RsInfo,9,FALSE))),DivCharts,D171,FALSE),RsTbl,0)*B197)-(B197*MATCH(A197,RsTbl,0))+12,12)</f>
        <v>7</v>
      </c>
      <c r="E197" s="107" t="e">
        <f>IF(ISNA(MATCH((D197+C197),,0)),(D197+C197),12)</f>
        <v>#N/A</v>
      </c>
      <c r="F197" s="519" t="e">
        <f>G195</f>
        <v>#N/A</v>
      </c>
      <c r="G197" s="519" t="e">
        <f>F197+E197*NDDaysInYEar</f>
        <v>#N/A</v>
      </c>
      <c r="H197" s="510" t="str">
        <f>A197</f>
        <v>Vi</v>
      </c>
      <c r="I197" s="107" t="str">
        <f>INDEX(SignSym,MOD(B197+MATCH(H197,SignSym,FALSE)-1,12)+1)</f>
        <v>Le</v>
      </c>
      <c r="J197" s="107" t="str">
        <f>INDEX(SignSym,MOD(B197+MATCH(I197,SignSym,FALSE)-1,12)+1)</f>
        <v>Cn</v>
      </c>
      <c r="K197" s="107" t="str">
        <f>INDEX(SignSym,MOD(B197+MATCH(J197,SignSym,FALSE)-1,12)+1)</f>
        <v>Ge</v>
      </c>
      <c r="L197" s="107" t="str">
        <f>INDEX(SignSym,MOD(B197+MATCH(K197,SignSym,FALSE)-1,12)+1)</f>
        <v>Ta</v>
      </c>
      <c r="M197" s="107" t="str">
        <f>INDEX(SignSym,MOD(B197+MATCH(L197,SignSym,FALSE)-1,12)+1)</f>
        <v>Ar</v>
      </c>
      <c r="N197" s="107" t="str">
        <f>INDEX(SignSym,MOD(B197+MATCH(M197,SignSym,FALSE)-1,12)+1)</f>
        <v>Pi</v>
      </c>
      <c r="O197" s="107" t="str">
        <f>INDEX(SignSym,MOD(B197+MATCH(N197,SignSym,FALSE)-1,12)+1)</f>
        <v>Aq</v>
      </c>
      <c r="P197" s="107" t="str">
        <f>INDEX(SignSym,MOD(B197+MATCH(O197,SignSym,FALSE)-1,12)+1)</f>
        <v>Cp</v>
      </c>
      <c r="Q197" s="107" t="str">
        <f>INDEX(SignSym,MOD(B197+MATCH(P197,SignSym,FALSE)-1,12)+1)</f>
        <v>Sg</v>
      </c>
      <c r="R197" s="107" t="str">
        <f>INDEX(SignSym,MOD(B197+MATCH(Q197,SignSym,FALSE)-1,12)+1)</f>
        <v>Sc</v>
      </c>
      <c r="S197" s="107" t="str">
        <f>INDEX(SignSym,MOD(B197+MATCH(R197,SignSym,FALSE)-1,12)+1)</f>
        <v>Li</v>
      </c>
    </row>
    <row r="198" spans="1:19" s="107" customFormat="1" hidden="1" x14ac:dyDescent="0.2">
      <c r="D198" s="518"/>
      <c r="H198" s="519" t="e">
        <f>F197</f>
        <v>#N/A</v>
      </c>
      <c r="I198" s="519" t="e">
        <f>H198+(E197*NDDaysInYEar/12)</f>
        <v>#N/A</v>
      </c>
      <c r="J198" s="519" t="e">
        <f>I198+(E197*NDDaysInYEar/12)</f>
        <v>#N/A</v>
      </c>
      <c r="K198" s="519" t="e">
        <f>J198+(E197*NDDaysInYEar/12)</f>
        <v>#N/A</v>
      </c>
      <c r="L198" s="519" t="e">
        <f>K198+(E197*NDDaysInYEar/12)</f>
        <v>#N/A</v>
      </c>
      <c r="M198" s="519" t="e">
        <f>L198+(E197*NDDaysInYEar/12)</f>
        <v>#N/A</v>
      </c>
      <c r="N198" s="519" t="e">
        <f>M198+(E197*NDDaysInYEar/12)</f>
        <v>#N/A</v>
      </c>
      <c r="O198" s="519" t="e">
        <f>N198+(E197*NDDaysInYEar/12)</f>
        <v>#N/A</v>
      </c>
      <c r="P198" s="519" t="e">
        <f>O198+(E197*NDDaysInYEar/12)</f>
        <v>#N/A</v>
      </c>
      <c r="Q198" s="519" t="e">
        <f>P198+(E197*NDDaysInYEar/12)</f>
        <v>#N/A</v>
      </c>
      <c r="R198" s="519" t="e">
        <f>Q198+(E197*NDDaysInYEar/12)</f>
        <v>#N/A</v>
      </c>
      <c r="S198" s="519" t="e">
        <f>R198+(E197*NDDaysInYEar/12)</f>
        <v>#N/A</v>
      </c>
    </row>
    <row r="199" spans="1:19" s="107" customFormat="1" x14ac:dyDescent="0.2">
      <c r="A199" s="520"/>
      <c r="B199" s="520"/>
      <c r="C199" s="520"/>
      <c r="D199" s="520"/>
      <c r="E199" s="520"/>
      <c r="F199" s="520"/>
      <c r="G199" s="520"/>
      <c r="H199" s="520"/>
      <c r="I199" s="520"/>
      <c r="J199" s="520"/>
      <c r="K199" s="520"/>
      <c r="L199" s="520"/>
      <c r="M199" s="520"/>
      <c r="N199" s="520"/>
      <c r="O199" s="520"/>
      <c r="P199" s="520"/>
      <c r="Q199" s="520"/>
      <c r="R199" s="520"/>
      <c r="S199" s="520"/>
    </row>
    <row r="200" spans="1:19" s="107" customFormat="1" hidden="1" x14ac:dyDescent="0.2">
      <c r="H200" s="519"/>
      <c r="I200" s="519"/>
      <c r="J200" s="519"/>
      <c r="K200" s="519"/>
      <c r="L200" s="519"/>
      <c r="M200" s="519"/>
      <c r="N200" s="519"/>
      <c r="O200" s="519"/>
      <c r="P200" s="519"/>
      <c r="Q200" s="519"/>
      <c r="R200" s="519"/>
      <c r="S200" s="519"/>
    </row>
    <row r="201" spans="1:19" s="107" customFormat="1" x14ac:dyDescent="0.2"/>
    <row r="205" spans="1:19" x14ac:dyDescent="0.2">
      <c r="A205" s="504" t="s">
        <v>1428</v>
      </c>
      <c r="B205" s="505"/>
      <c r="C205" s="505"/>
      <c r="D205" s="505"/>
      <c r="E205" s="505"/>
      <c r="F205" s="505"/>
      <c r="G205" s="505"/>
      <c r="H205" s="505"/>
      <c r="I205" s="505"/>
      <c r="J205" s="505"/>
      <c r="K205" s="505"/>
      <c r="L205" s="506"/>
      <c r="M205" s="505"/>
      <c r="N205" s="505"/>
      <c r="O205" s="505"/>
      <c r="P205" s="505"/>
      <c r="Q205" s="505"/>
      <c r="R205" s="505"/>
      <c r="S205" s="505"/>
    </row>
    <row r="206" spans="1:19" s="107" customFormat="1" x14ac:dyDescent="0.2">
      <c r="A206" s="1574" t="s">
        <v>1429</v>
      </c>
      <c r="B206" s="1574"/>
      <c r="C206" s="507">
        <v>9</v>
      </c>
      <c r="D206" s="508">
        <f>MATCH(C206,$18:$18,1)</f>
        <v>6</v>
      </c>
      <c r="I206" s="509"/>
      <c r="N206" s="509"/>
    </row>
    <row r="207" spans="1:19" s="107" customFormat="1" x14ac:dyDescent="0.2">
      <c r="A207" s="1574" t="s">
        <v>1430</v>
      </c>
      <c r="B207" s="1574"/>
      <c r="C207" s="510" t="s">
        <v>2015</v>
      </c>
      <c r="D207" s="511"/>
      <c r="E207" s="512"/>
      <c r="H207" s="513"/>
      <c r="I207" s="513"/>
      <c r="J207" s="513"/>
      <c r="O207" s="514"/>
      <c r="P207" s="515"/>
      <c r="Q207" s="514"/>
    </row>
    <row r="208" spans="1:19" s="514" customFormat="1" x14ac:dyDescent="0.2">
      <c r="B208" s="516"/>
      <c r="C208" s="515"/>
      <c r="D208" s="516"/>
      <c r="E208" s="515"/>
      <c r="F208" s="516"/>
      <c r="G208" s="516"/>
      <c r="H208" s="515"/>
      <c r="I208" s="513"/>
      <c r="J208" s="513"/>
      <c r="K208" s="107"/>
      <c r="L208" s="107"/>
      <c r="M208" s="107"/>
      <c r="N208" s="107"/>
    </row>
    <row r="209" spans="1:19" s="107" customFormat="1" x14ac:dyDescent="0.2">
      <c r="A209" s="517" t="s">
        <v>1431</v>
      </c>
      <c r="B209" s="517" t="s">
        <v>1937</v>
      </c>
      <c r="C209" s="517" t="s">
        <v>1432</v>
      </c>
      <c r="D209" s="517" t="s">
        <v>1433</v>
      </c>
      <c r="E209" s="517" t="s">
        <v>1490</v>
      </c>
      <c r="F209" s="517" t="s">
        <v>2029</v>
      </c>
      <c r="G209" s="517" t="s">
        <v>2030</v>
      </c>
      <c r="H209" s="517" t="s">
        <v>1434</v>
      </c>
      <c r="I209" s="513"/>
      <c r="J209" s="513"/>
    </row>
    <row r="210" spans="1:19" s="107" customFormat="1" x14ac:dyDescent="0.2">
      <c r="A210" s="107" t="str">
        <f>VLOOKUP(C207,NDasaSeq,7,FALSE)</f>
        <v>Pi</v>
      </c>
      <c r="B210" s="107">
        <f>VLOOKUP(A210,NDasaC,3,FALSE)</f>
        <v>-1</v>
      </c>
      <c r="C210" s="518" t="e">
        <f>IF(MATCH(VLOOKUP(IF((A210="Aq"),VLOOKUP("AqLord",DivCharts,D206,FALSE),IF((A210="Sc"),VLOOKUP("ScLord",DivCharts,D206,FALSE),VLOOKUP(A210,RsInfo,9,FALSE))),DivCharts,D206,FALSE),RsTbl,0)=MATCH(VLOOKUP(IF((A210="Aq"),VLOOKUP("AqLord",DivCharts,D206,FALSE),IF((A210="Sc"),VLOOKUP("ScLord",DivCharts,D206,FALSE),VLOOKUP(A210,RsInfo,9,FALSE))),PlanetData,8,FALSE),RsTbl,0),1,IF(MATCH(VLOOKUP(IF((A210="Aq"),VLOOKUP("AqLord",DivCharts,D206,FALSE),IF((A210="Sc"),VLOOKUP("ScLord",DivCharts,D206,FALSE),VLOOKUP(A210,RsInfo,9,FALSE))),DivCharts,D206,FALSE),RsTbl,0)=MOD(MATCH(VLOOKUP(IF((A210="Aq"),VLOOKUP("AqLord",DivCharts,D206,FALSE),IF((A210="Sc"),VLOOKUP("ScLord",DivCharts,D206,FALSE),VLOOKUP(A210,RsInfo,9,FALSE))),PlanetData,8,FALSE),RsTbl,0)+6,12),-1,0))</f>
        <v>#N/A</v>
      </c>
      <c r="D210" s="518">
        <f>MOD((MATCH(VLOOKUP(IF((A210="Aq"),VLOOKUP("AqLord",DivCharts,D206,FALSE),IF((A210="Sc"),VLOOKUP("ScLord",DivCharts,D206,FALSE),VLOOKUP(A210,RsInfo,9,FALSE))),DivCharts,D206,FALSE),RsTbl,0)*B210)-(B210*MATCH(A210,RsTbl,0))+12,12)</f>
        <v>8</v>
      </c>
      <c r="E210" s="107" t="e">
        <f>IF(ISNA(MATCH((D210+C210),,0)),(D210+C210),12)</f>
        <v>#N/A</v>
      </c>
      <c r="F210" s="519">
        <f>NDDoB</f>
        <v>26133.384143518517</v>
      </c>
      <c r="G210" s="519" t="e">
        <f>F210+E210*NDDaysInYEar</f>
        <v>#N/A</v>
      </c>
      <c r="H210" s="510" t="str">
        <f>A210</f>
        <v>Pi</v>
      </c>
      <c r="I210" s="107" t="str">
        <f>INDEX(SignSym,MOD(B210+MATCH(H210,SignSym,FALSE)-1,12)+1)</f>
        <v>Aq</v>
      </c>
      <c r="J210" s="107" t="str">
        <f>INDEX(SignSym,MOD(B210+MATCH(I210,SignSym,FALSE)-1,12)+1)</f>
        <v>Cp</v>
      </c>
      <c r="K210" s="107" t="str">
        <f>INDEX(SignSym,MOD(B210+MATCH(J210,SignSym,FALSE)-1,12)+1)</f>
        <v>Sg</v>
      </c>
      <c r="L210" s="107" t="str">
        <f>INDEX(SignSym,MOD(B210+MATCH(K210,SignSym,FALSE)-1,12)+1)</f>
        <v>Sc</v>
      </c>
      <c r="M210" s="107" t="str">
        <f>INDEX(SignSym,MOD(B210+MATCH(L210,SignSym,FALSE)-1,12)+1)</f>
        <v>Li</v>
      </c>
      <c r="N210" s="107" t="str">
        <f>INDEX(SignSym,MOD(B210+MATCH(M210,SignSym,FALSE)-1,12)+1)</f>
        <v>Vi</v>
      </c>
      <c r="O210" s="107" t="str">
        <f>INDEX(SignSym,MOD(B210+MATCH(N210,SignSym,FALSE)-1,12)+1)</f>
        <v>Le</v>
      </c>
      <c r="P210" s="107" t="str">
        <f>INDEX(SignSym,MOD(B210+MATCH(O210,SignSym,FALSE)-1,12)+1)</f>
        <v>Cn</v>
      </c>
      <c r="Q210" s="107" t="str">
        <f>INDEX(SignSym,MOD(B210+MATCH(P210,SignSym,FALSE)-1,12)+1)</f>
        <v>Ge</v>
      </c>
      <c r="R210" s="107" t="str">
        <f>INDEX(SignSym,MOD(B210+MATCH(Q210,SignSym,FALSE)-1,12)+1)</f>
        <v>Ta</v>
      </c>
      <c r="S210" s="107" t="str">
        <f>INDEX(SignSym,MOD(B210+MATCH(R210,SignSym,FALSE)-1,12)+1)</f>
        <v>Ar</v>
      </c>
    </row>
    <row r="211" spans="1:19" s="107" customFormat="1" ht="12.75" hidden="1" customHeight="1" x14ac:dyDescent="0.2">
      <c r="C211" s="518"/>
      <c r="D211" s="518"/>
      <c r="F211" s="519"/>
      <c r="G211" s="519"/>
      <c r="H211" s="519">
        <f>F210</f>
        <v>26133.384143518517</v>
      </c>
      <c r="I211" s="519" t="e">
        <f>H211+(E210*NDDaysInYEar/12)</f>
        <v>#N/A</v>
      </c>
      <c r="J211" s="519" t="e">
        <f>I211+(E210*NDDaysInYEar/12)</f>
        <v>#N/A</v>
      </c>
      <c r="K211" s="519" t="e">
        <f>J211+(E210*NDDaysInYEar/12)</f>
        <v>#N/A</v>
      </c>
      <c r="L211" s="519" t="e">
        <f>K211+(E210*NDDaysInYEar/12)</f>
        <v>#N/A</v>
      </c>
      <c r="M211" s="519" t="e">
        <f>L211+(E210*NDDaysInYEar/12)</f>
        <v>#N/A</v>
      </c>
      <c r="N211" s="519" t="e">
        <f>M211+(E210*NDDaysInYEar/12)</f>
        <v>#N/A</v>
      </c>
      <c r="O211" s="519" t="e">
        <f>N211+(E210*NDDaysInYEar/12)</f>
        <v>#N/A</v>
      </c>
      <c r="P211" s="519" t="e">
        <f>O211+(E210*NDDaysInYEar/12)</f>
        <v>#N/A</v>
      </c>
      <c r="Q211" s="519" t="e">
        <f>P211+(E210*NDDaysInYEar/12)</f>
        <v>#N/A</v>
      </c>
      <c r="R211" s="519" t="e">
        <f>Q211+(E210*NDDaysInYEar/12)</f>
        <v>#N/A</v>
      </c>
      <c r="S211" s="519" t="e">
        <f>R211+(E210*NDDaysInYEar/12)</f>
        <v>#N/A</v>
      </c>
    </row>
    <row r="212" spans="1:19" s="107" customFormat="1" x14ac:dyDescent="0.2">
      <c r="A212" s="107" t="s">
        <v>1956</v>
      </c>
      <c r="B212" s="107">
        <f>VLOOKUP(A212,NDasaC,3,FALSE)</f>
        <v>1</v>
      </c>
      <c r="C212" s="518" t="e">
        <f>IF(MATCH(VLOOKUP(IF((A212="Aq"),VLOOKUP("AqLord",DivCharts,D206,FALSE),IF((A212="Sc"),VLOOKUP("ScLord",DivCharts,D206,FALSE),VLOOKUP(A212,RsInfo,9,FALSE))),DivCharts,D206,FALSE),RsTbl,0)=MATCH(VLOOKUP(IF((A212="Aq"),VLOOKUP("AqLord",DivCharts,D206,FALSE),IF((A212="Sc"),VLOOKUP("ScLord",DivCharts,D206,FALSE),VLOOKUP(A212,RsInfo,9,FALSE))),PlanetData,8,FALSE),RsTbl,0),1,IF(MATCH(VLOOKUP(IF((A212="Aq"),VLOOKUP("AqLord",DivCharts,D206,FALSE),IF((A212="Sc"),VLOOKUP("ScLord",DivCharts,D206,FALSE),VLOOKUP(A212,RsInfo,9,FALSE))),DivCharts,D206,FALSE),RsTbl,0)=MOD(MATCH(VLOOKUP(IF((A212="Aq"),VLOOKUP("AqLord",DivCharts,D206,FALSE),IF((A212="Sc"),VLOOKUP("ScLord",DivCharts,D206,FALSE),VLOOKUP(A212,RsInfo,9,FALSE))),PlanetData,8,FALSE),RsTbl,0)+6,12),-1,0))</f>
        <v>#N/A</v>
      </c>
      <c r="D212" s="518">
        <f>MOD((MATCH(VLOOKUP(IF((A212="Aq"),VLOOKUP("AqLord",DivCharts,D206,FALSE),IF((A212="Sc"),VLOOKUP("ScLord",DivCharts,D206,FALSE),VLOOKUP(A212,RsInfo,9,FALSE))),DivCharts,D206,FALSE),RsTbl,0)*B212)-(B212*MATCH(A212,RsTbl,0))+12,12)</f>
        <v>5</v>
      </c>
      <c r="E212" s="107" t="e">
        <f>IF(ISNA(MATCH((D212+C212),,0)),(D212+C212),12)</f>
        <v>#N/A</v>
      </c>
      <c r="F212" s="519" t="e">
        <f>G210</f>
        <v>#N/A</v>
      </c>
      <c r="G212" s="519" t="e">
        <f>F212+E212*NDDaysInYEar</f>
        <v>#N/A</v>
      </c>
      <c r="H212" s="510" t="str">
        <f>A212</f>
        <v>Ar</v>
      </c>
      <c r="I212" s="107" t="str">
        <f>INDEX(SignSym,MOD(B212+MATCH(H212,SignSym,FALSE)-1,12)+1)</f>
        <v>Ta</v>
      </c>
      <c r="J212" s="107" t="str">
        <f>INDEX(SignSym,MOD(B212+MATCH(I212,SignSym,FALSE)-1,12)+1)</f>
        <v>Ge</v>
      </c>
      <c r="K212" s="107" t="str">
        <f>INDEX(SignSym,MOD(B212+MATCH(J212,SignSym,FALSE)-1,12)+1)</f>
        <v>Cn</v>
      </c>
      <c r="L212" s="107" t="str">
        <f>INDEX(SignSym,MOD(B212+MATCH(K212,SignSym,FALSE)-1,12)+1)</f>
        <v>Le</v>
      </c>
      <c r="M212" s="107" t="str">
        <f>INDEX(SignSym,MOD(B212+MATCH(L212,SignSym,FALSE)-1,12)+1)</f>
        <v>Vi</v>
      </c>
      <c r="N212" s="107" t="str">
        <f>INDEX(SignSym,MOD(B212+MATCH(M212,SignSym,FALSE)-1,12)+1)</f>
        <v>Li</v>
      </c>
      <c r="O212" s="107" t="str">
        <f>INDEX(SignSym,MOD(B212+MATCH(N212,SignSym,FALSE)-1,12)+1)</f>
        <v>Sc</v>
      </c>
      <c r="P212" s="107" t="str">
        <f>INDEX(SignSym,MOD(B212+MATCH(O212,SignSym,FALSE)-1,12)+1)</f>
        <v>Sg</v>
      </c>
      <c r="Q212" s="107" t="str">
        <f>INDEX(SignSym,MOD(B212+MATCH(P212,SignSym,FALSE)-1,12)+1)</f>
        <v>Cp</v>
      </c>
      <c r="R212" s="107" t="str">
        <f>INDEX(SignSym,MOD(B212+MATCH(Q212,SignSym,FALSE)-1,12)+1)</f>
        <v>Aq</v>
      </c>
      <c r="S212" s="107" t="str">
        <f>INDEX(SignSym,MOD(B212+MATCH(R212,SignSym,FALSE)-1,12)+1)</f>
        <v>Pi</v>
      </c>
    </row>
    <row r="213" spans="1:19" s="107" customFormat="1" ht="12.75" hidden="1" customHeight="1" x14ac:dyDescent="0.2">
      <c r="C213" s="518"/>
      <c r="D213" s="518"/>
      <c r="F213" s="519"/>
      <c r="G213" s="519"/>
      <c r="H213" s="519" t="e">
        <f>F212</f>
        <v>#N/A</v>
      </c>
      <c r="I213" s="519" t="e">
        <f>H213+(E212*NDDaysInYEar/12)</f>
        <v>#N/A</v>
      </c>
      <c r="J213" s="519" t="e">
        <f>I213+(E212*NDDaysInYEar/12)</f>
        <v>#N/A</v>
      </c>
      <c r="K213" s="519" t="e">
        <f>J213+(E212*NDDaysInYEar/12)</f>
        <v>#N/A</v>
      </c>
      <c r="L213" s="519" t="e">
        <f>K213+(E212*NDDaysInYEar/12)</f>
        <v>#N/A</v>
      </c>
      <c r="M213" s="519" t="e">
        <f>L213+(E212*NDDaysInYEar/12)</f>
        <v>#N/A</v>
      </c>
      <c r="N213" s="519" t="e">
        <f>M213+(E212*NDDaysInYEar/12)</f>
        <v>#N/A</v>
      </c>
      <c r="O213" s="519" t="e">
        <f>N213+(E212*NDDaysInYEar/12)</f>
        <v>#N/A</v>
      </c>
      <c r="P213" s="519" t="e">
        <f>O213+(E212*NDDaysInYEar/12)</f>
        <v>#N/A</v>
      </c>
      <c r="Q213" s="519" t="e">
        <f>P213+(E212*NDDaysInYEar/12)</f>
        <v>#N/A</v>
      </c>
      <c r="R213" s="519" t="e">
        <f>Q213+(E212*NDDaysInYEar/12)</f>
        <v>#N/A</v>
      </c>
      <c r="S213" s="519" t="e">
        <f>R213+(E212*NDDaysInYEar/12)</f>
        <v>#N/A</v>
      </c>
    </row>
    <row r="214" spans="1:19" s="107" customFormat="1" x14ac:dyDescent="0.2">
      <c r="A214" s="107" t="s">
        <v>1953</v>
      </c>
      <c r="B214" s="107">
        <v>-1</v>
      </c>
      <c r="C214" s="518" t="e">
        <f>IF(MATCH(VLOOKUP(IF((A214="Aq"),VLOOKUP("AqLord",DivCharts,D206,FALSE),IF((A214="Sc"),VLOOKUP("ScLord",DivCharts,D206,FALSE),VLOOKUP(A214,RsInfo,9,FALSE))),DivCharts,D206,FALSE),RsTbl,0)=MATCH(VLOOKUP(IF((A214="Aq"),VLOOKUP("AqLord",DivCharts,D206,FALSE),IF((A214="Sc"),VLOOKUP("ScLord",DivCharts,D206,FALSE),VLOOKUP(A214,RsInfo,9,FALSE))),PlanetData,8,FALSE),RsTbl,0),1,IF(MATCH(VLOOKUP(IF((A214="Aq"),VLOOKUP("AqLord",DivCharts,D206,FALSE),IF((A214="Sc"),VLOOKUP("ScLord",DivCharts,D206,FALSE),VLOOKUP(A214,RsInfo,9,FALSE))),DivCharts,D206,FALSE),RsTbl,0)=MOD(MATCH(VLOOKUP(IF((A214="Aq"),VLOOKUP("AqLord",DivCharts,D206,FALSE),IF((A214="Sc"),VLOOKUP("ScLord",DivCharts,D206,FALSE),VLOOKUP(A214,RsInfo,9,FALSE))),PlanetData,8,FALSE),RsTbl,0)+6,12),-1,0))</f>
        <v>#N/A</v>
      </c>
      <c r="D214" s="518">
        <f>MOD((MATCH(VLOOKUP(IF((A214="Aq"),VLOOKUP("AqLord",DivCharts,D206,FALSE),IF((A214="Sc"),VLOOKUP("ScLord",DivCharts,D206,FALSE),VLOOKUP(A214,RsInfo,9,FALSE))),DivCharts,D206,FALSE),RsTbl,0)*B214)-(B214*MATCH(A214,RsTbl,0))+12,12)</f>
        <v>1</v>
      </c>
      <c r="E214" s="107" t="e">
        <f>IF(ISNA(MATCH((D214+C214),,0)),(D214+C214),12)</f>
        <v>#N/A</v>
      </c>
      <c r="F214" s="519" t="e">
        <f>G212</f>
        <v>#N/A</v>
      </c>
      <c r="G214" s="519" t="e">
        <f>F214+E214*NDDaysInYEar</f>
        <v>#N/A</v>
      </c>
      <c r="H214" s="510" t="s">
        <v>1959</v>
      </c>
      <c r="I214" s="107" t="str">
        <f>INDEX(SignSym,MOD(B214+MATCH(H214,SignSym,FALSE)-1,12)+1)</f>
        <v>Le</v>
      </c>
      <c r="J214" s="107" t="str">
        <f>INDEX(SignSym,MOD(B214+MATCH(I214,SignSym,FALSE)-1,12)+1)</f>
        <v>Cn</v>
      </c>
      <c r="K214" s="107" t="str">
        <f>INDEX(SignSym,MOD(B214+MATCH(J214,SignSym,FALSE)-1,12)+1)</f>
        <v>Ge</v>
      </c>
      <c r="L214" s="107" t="str">
        <f>INDEX(SignSym,MOD(B214+MATCH(K214,SignSym,FALSE)-1,12)+1)</f>
        <v>Ta</v>
      </c>
      <c r="M214" s="107" t="str">
        <f>INDEX(SignSym,MOD(B214+MATCH(L214,SignSym,FALSE)-1,12)+1)</f>
        <v>Ar</v>
      </c>
      <c r="N214" s="107" t="str">
        <f>INDEX(SignSym,MOD(B214+MATCH(M214,SignSym,FALSE)-1,12)+1)</f>
        <v>Pi</v>
      </c>
      <c r="O214" s="107" t="str">
        <f>INDEX(SignSym,MOD(B214+MATCH(N214,SignSym,FALSE)-1,12)+1)</f>
        <v>Aq</v>
      </c>
      <c r="P214" s="107" t="str">
        <f>INDEX(SignSym,MOD(B214+MATCH(O214,SignSym,FALSE)-1,12)+1)</f>
        <v>Cp</v>
      </c>
      <c r="Q214" s="107" t="str">
        <f>INDEX(SignSym,MOD(B214+MATCH(P214,SignSym,FALSE)-1,12)+1)</f>
        <v>Sg</v>
      </c>
      <c r="R214" s="107" t="str">
        <f>INDEX(SignSym,MOD(B214+MATCH(Q214,SignSym,FALSE)-1,12)+1)</f>
        <v>Sc</v>
      </c>
      <c r="S214" s="107" t="str">
        <f>INDEX(SignSym,MOD(B214+MATCH(R214,SignSym,FALSE)-1,12)+1)</f>
        <v>Li</v>
      </c>
    </row>
    <row r="215" spans="1:19" s="107" customFormat="1" ht="12.75" hidden="1" customHeight="1" x14ac:dyDescent="0.2">
      <c r="C215" s="518"/>
      <c r="D215" s="518"/>
      <c r="F215" s="519"/>
      <c r="G215" s="519"/>
      <c r="H215" s="519" t="e">
        <f>F214</f>
        <v>#N/A</v>
      </c>
      <c r="I215" s="519" t="e">
        <f>H215+(E214*NDDaysInYEar/12)</f>
        <v>#N/A</v>
      </c>
      <c r="J215" s="519" t="e">
        <f>I215+(E214*NDDaysInYEar/12)</f>
        <v>#N/A</v>
      </c>
      <c r="K215" s="519" t="e">
        <f>J215+(E214*NDDaysInYEar/12)</f>
        <v>#N/A</v>
      </c>
      <c r="L215" s="519" t="e">
        <f>K215+(E214*NDDaysInYEar/12)</f>
        <v>#N/A</v>
      </c>
      <c r="M215" s="519" t="e">
        <f>L215+(E214*NDDaysInYEar/12)</f>
        <v>#N/A</v>
      </c>
      <c r="N215" s="519" t="e">
        <f>M215+(E214*NDDaysInYEar/12)</f>
        <v>#N/A</v>
      </c>
      <c r="O215" s="519" t="e">
        <f>N215+(E214*NDDaysInYEar/12)</f>
        <v>#N/A</v>
      </c>
      <c r="P215" s="519" t="e">
        <f>O215+(E214*NDDaysInYEar/12)</f>
        <v>#N/A</v>
      </c>
      <c r="Q215" s="519" t="e">
        <f>P215+(E214*NDDaysInYEar/12)</f>
        <v>#N/A</v>
      </c>
      <c r="R215" s="519" t="e">
        <f>Q215+(E214*NDDaysInYEar/12)</f>
        <v>#N/A</v>
      </c>
      <c r="S215" s="519" t="e">
        <f>R215+(E214*NDDaysInYEar/12)</f>
        <v>#N/A</v>
      </c>
    </row>
    <row r="216" spans="1:19" s="107" customFormat="1" x14ac:dyDescent="0.2">
      <c r="A216" s="107" t="s">
        <v>1965</v>
      </c>
      <c r="B216" s="107">
        <v>-1</v>
      </c>
      <c r="C216" s="518" t="e">
        <f>IF(MATCH(VLOOKUP(IF((A216="Aq"),VLOOKUP("AqLord",DivCharts,D206,FALSE),IF((A216="Sc"),VLOOKUP("ScLord",DivCharts,D206,FALSE),VLOOKUP(A216,RsInfo,9,FALSE))),DivCharts,D206,FALSE),RsTbl,0)=MATCH(VLOOKUP(IF((A216="Aq"),VLOOKUP("AqLord",DivCharts,D206,FALSE),IF((A216="Sc"),VLOOKUP("ScLord",DivCharts,D206,FALSE),VLOOKUP(A216,RsInfo,9,FALSE))),PlanetData,8,FALSE),RsTbl,0),1,IF(MATCH(VLOOKUP(IF((A216="Aq"),VLOOKUP("AqLord",DivCharts,D206,FALSE),IF((A216="Sc"),VLOOKUP("ScLord",DivCharts,D206,FALSE),VLOOKUP(A216,RsInfo,9,FALSE))),DivCharts,D206,FALSE),RsTbl,0)=MOD(MATCH(VLOOKUP(IF((A216="Aq"),VLOOKUP("AqLord",DivCharts,D206,FALSE),IF((A216="Sc"),VLOOKUP("ScLord",DivCharts,D206,FALSE),VLOOKUP(A216,RsInfo,9,FALSE))),PlanetData,8,FALSE),RsTbl,0)+6,12),-1,0))</f>
        <v>#N/A</v>
      </c>
      <c r="D216" s="518">
        <f>MOD((MATCH(VLOOKUP(IF((A216="Aq"),VLOOKUP("AqLord",DivCharts,D206,FALSE),IF((A216="Sc"),VLOOKUP("ScLord",DivCharts,D206,FALSE),VLOOKUP(A216,RsInfo,9,FALSE))),DivCharts,D206,FALSE),RsTbl,0)*B216)-(B216*MATCH(A216,RsTbl,0))+12,12)</f>
        <v>3</v>
      </c>
      <c r="E216" s="107" t="e">
        <f>IF(ISNA(MATCH((D216+C216),,0)),(D216+C216),12)</f>
        <v>#N/A</v>
      </c>
      <c r="F216" s="519" t="e">
        <f>G214</f>
        <v>#N/A</v>
      </c>
      <c r="G216" s="519" t="e">
        <f>F216+E216*NDDaysInYEar</f>
        <v>#N/A</v>
      </c>
      <c r="H216" s="510" t="s">
        <v>1968</v>
      </c>
      <c r="I216" s="107" t="str">
        <f>INDEX(SignSym,MOD(B216+MATCH(H216,SignSym,FALSE)-1,12)+1)</f>
        <v>Ge</v>
      </c>
      <c r="J216" s="107" t="str">
        <f>INDEX(SignSym,MOD(B216+MATCH(I216,SignSym,FALSE)-1,12)+1)</f>
        <v>Ta</v>
      </c>
      <c r="K216" s="107" t="str">
        <f>INDEX(SignSym,MOD(B216+MATCH(J216,SignSym,FALSE)-1,12)+1)</f>
        <v>Ar</v>
      </c>
      <c r="L216" s="107" t="str">
        <f>INDEX(SignSym,MOD(B216+MATCH(K216,SignSym,FALSE)-1,12)+1)</f>
        <v>Pi</v>
      </c>
      <c r="M216" s="107" t="str">
        <f>INDEX(SignSym,MOD(B216+MATCH(L216,SignSym,FALSE)-1,12)+1)</f>
        <v>Aq</v>
      </c>
      <c r="N216" s="107" t="str">
        <f>INDEX(SignSym,MOD(B216+MATCH(M216,SignSym,FALSE)-1,12)+1)</f>
        <v>Cp</v>
      </c>
      <c r="O216" s="107" t="str">
        <f>INDEX(SignSym,MOD(B216+MATCH(N216,SignSym,FALSE)-1,12)+1)</f>
        <v>Sg</v>
      </c>
      <c r="P216" s="107" t="str">
        <f>INDEX(SignSym,MOD(B216+MATCH(O216,SignSym,FALSE)-1,12)+1)</f>
        <v>Sc</v>
      </c>
      <c r="Q216" s="107" t="str">
        <f>INDEX(SignSym,MOD(B216+MATCH(P216,SignSym,FALSE)-1,12)+1)</f>
        <v>Li</v>
      </c>
      <c r="R216" s="107" t="str">
        <f>INDEX(SignSym,MOD(B216+MATCH(Q216,SignSym,FALSE)-1,12)+1)</f>
        <v>Vi</v>
      </c>
      <c r="S216" s="107" t="str">
        <f>INDEX(SignSym,MOD(B216+MATCH(R216,SignSym,FALSE)-1,12)+1)</f>
        <v>Le</v>
      </c>
    </row>
    <row r="217" spans="1:19" s="107" customFormat="1" ht="12.75" hidden="1" customHeight="1" x14ac:dyDescent="0.2">
      <c r="C217" s="518"/>
      <c r="D217" s="518"/>
      <c r="F217" s="519"/>
      <c r="G217" s="519"/>
      <c r="H217" s="519" t="e">
        <f>F216</f>
        <v>#N/A</v>
      </c>
      <c r="I217" s="519" t="e">
        <f>H217+(E216*NDDaysInYEar/12)</f>
        <v>#N/A</v>
      </c>
      <c r="J217" s="519" t="e">
        <f>I217+(E216*NDDaysInYEar/12)</f>
        <v>#N/A</v>
      </c>
      <c r="K217" s="519" t="e">
        <f>J217+(E216*NDDaysInYEar/12)</f>
        <v>#N/A</v>
      </c>
      <c r="L217" s="519" t="e">
        <f>K217+(E216*NDDaysInYEar/12)</f>
        <v>#N/A</v>
      </c>
      <c r="M217" s="519" t="e">
        <f>L217+(E216*NDDaysInYEar/12)</f>
        <v>#N/A</v>
      </c>
      <c r="N217" s="519" t="e">
        <f>M217+(E216*NDDaysInYEar/12)</f>
        <v>#N/A</v>
      </c>
      <c r="O217" s="519" t="e">
        <f>N217+(E216*NDDaysInYEar/12)</f>
        <v>#N/A</v>
      </c>
      <c r="P217" s="519" t="e">
        <f>O217+(E216*NDDaysInYEar/12)</f>
        <v>#N/A</v>
      </c>
      <c r="Q217" s="519" t="e">
        <f>P217+(E216*NDDaysInYEar/12)</f>
        <v>#N/A</v>
      </c>
      <c r="R217" s="519" t="e">
        <f>Q217+(E216*NDDaysInYEar/12)</f>
        <v>#N/A</v>
      </c>
      <c r="S217" s="519" t="e">
        <f>R217+(E216*NDDaysInYEar/12)</f>
        <v>#N/A</v>
      </c>
    </row>
    <row r="218" spans="1:19" s="107" customFormat="1" x14ac:dyDescent="0.2">
      <c r="A218" s="107" t="s">
        <v>1968</v>
      </c>
      <c r="B218" s="107">
        <v>-1</v>
      </c>
      <c r="C218" s="518" t="e">
        <f>IF(MATCH(VLOOKUP(IF((A218="Aq"),VLOOKUP("AqLord",DivCharts,D206,FALSE),IF((A218="Sc"),VLOOKUP("ScLord",DivCharts,D206,FALSE),VLOOKUP(A218,RsInfo,9,FALSE))),DivCharts,D206,FALSE),RsTbl,0)=MATCH(VLOOKUP(IF((A218="Aq"),VLOOKUP("AqLord",DivCharts,D206,FALSE),IF((A218="Sc"),VLOOKUP("ScLord",DivCharts,D206,FALSE),VLOOKUP(A218,RsInfo,9,FALSE))),PlanetData,8,FALSE),RsTbl,0),1,IF(MATCH(VLOOKUP(IF((A218="Aq"),VLOOKUP("AqLord",DivCharts,D206,FALSE),IF((A218="Sc"),VLOOKUP("ScLord",DivCharts,D206,FALSE),VLOOKUP(A218,RsInfo,9,FALSE))),DivCharts,D206,FALSE),RsTbl,0)=MOD(MATCH(VLOOKUP(IF((A218="Aq"),VLOOKUP("AqLord",DivCharts,D206,FALSE),IF((A218="Sc"),VLOOKUP("ScLord",DivCharts,D206,FALSE),VLOOKUP(A218,RsInfo,9,FALSE))),PlanetData,8,FALSE),RsTbl,0)+6,12),-1,0))</f>
        <v>#N/A</v>
      </c>
      <c r="D218" s="518">
        <f>MOD((MATCH(VLOOKUP(IF((A218="Aq"),VLOOKUP("AqLord",DivCharts,D206,FALSE),IF((A218="Sc"),VLOOKUP("ScLord",DivCharts,D206,FALSE),VLOOKUP(A218,RsInfo,9,FALSE))),DivCharts,D206,FALSE),RsTbl,0)*B218)-(B218*MATCH(A218,RsTbl,0))+12,12)</f>
        <v>0</v>
      </c>
      <c r="E218" s="107" t="e">
        <f>IF(ISNA(MATCH((D218+C218),,0)),(D218+C218),12)</f>
        <v>#N/A</v>
      </c>
      <c r="F218" s="519" t="e">
        <f>G216</f>
        <v>#N/A</v>
      </c>
      <c r="G218" s="519" t="e">
        <f>F218+E218*NDDaysInYEar</f>
        <v>#N/A</v>
      </c>
      <c r="H218" s="510" t="s">
        <v>1968</v>
      </c>
      <c r="I218" s="107" t="str">
        <f>INDEX(SignSym,MOD(B218+MATCH(H218,SignSym,FALSE)-1,12)+1)</f>
        <v>Ge</v>
      </c>
      <c r="J218" s="107" t="str">
        <f>INDEX(SignSym,MOD(B218+MATCH(I218,SignSym,FALSE)-1,12)+1)</f>
        <v>Ta</v>
      </c>
      <c r="K218" s="107" t="str">
        <f>INDEX(SignSym,MOD(B218+MATCH(J218,SignSym,FALSE)-1,12)+1)</f>
        <v>Ar</v>
      </c>
      <c r="L218" s="107" t="str">
        <f>INDEX(SignSym,MOD(B218+MATCH(K218,SignSym,FALSE)-1,12)+1)</f>
        <v>Pi</v>
      </c>
      <c r="M218" s="107" t="str">
        <f>INDEX(SignSym,MOD(B218+MATCH(L218,SignSym,FALSE)-1,12)+1)</f>
        <v>Aq</v>
      </c>
      <c r="N218" s="107" t="str">
        <f>INDEX(SignSym,MOD(B218+MATCH(M218,SignSym,FALSE)-1,12)+1)</f>
        <v>Cp</v>
      </c>
      <c r="O218" s="107" t="str">
        <f>INDEX(SignSym,MOD(B218+MATCH(N218,SignSym,FALSE)-1,12)+1)</f>
        <v>Sg</v>
      </c>
      <c r="P218" s="107" t="str">
        <f>INDEX(SignSym,MOD(B218+MATCH(O218,SignSym,FALSE)-1,12)+1)</f>
        <v>Sc</v>
      </c>
      <c r="Q218" s="107" t="str">
        <f>INDEX(SignSym,MOD(B218+MATCH(P218,SignSym,FALSE)-1,12)+1)</f>
        <v>Li</v>
      </c>
      <c r="R218" s="107" t="str">
        <f>INDEX(SignSym,MOD(B218+MATCH(Q218,SignSym,FALSE)-1,12)+1)</f>
        <v>Vi</v>
      </c>
      <c r="S218" s="107" t="str">
        <f>INDEX(SignSym,MOD(B218+MATCH(R218,SignSym,FALSE)-1,12)+1)</f>
        <v>Le</v>
      </c>
    </row>
    <row r="219" spans="1:19" s="107" customFormat="1" x14ac:dyDescent="0.2">
      <c r="C219" s="518"/>
      <c r="D219" s="518"/>
      <c r="F219" s="519"/>
      <c r="G219" s="519"/>
      <c r="H219" s="519" t="e">
        <f>F218</f>
        <v>#N/A</v>
      </c>
      <c r="I219" s="519" t="e">
        <f>H219+(E218*NDDaysInYEar/12)</f>
        <v>#N/A</v>
      </c>
      <c r="J219" s="523" t="e">
        <f>I219+(E218*NDDaysInYEar/12)</f>
        <v>#N/A</v>
      </c>
      <c r="K219" s="519" t="e">
        <f>J219+(E218*NDDaysInYEar/12)</f>
        <v>#N/A</v>
      </c>
      <c r="L219" s="519" t="e">
        <f>K219+(E218*NDDaysInYEar/12)</f>
        <v>#N/A</v>
      </c>
      <c r="M219" s="519" t="e">
        <f>L219+(E218*NDDaysInYEar/12)</f>
        <v>#N/A</v>
      </c>
      <c r="N219" s="519" t="e">
        <f>M219+(E218*NDDaysInYEar/12)</f>
        <v>#N/A</v>
      </c>
      <c r="O219" s="519" t="e">
        <f>N219+(E218*NDDaysInYEar/12)</f>
        <v>#N/A</v>
      </c>
      <c r="P219" s="519" t="e">
        <f>O219+(E218*NDDaysInYEar/12)</f>
        <v>#N/A</v>
      </c>
      <c r="Q219" s="519" t="e">
        <f>P219+(E218*NDDaysInYEar/12)</f>
        <v>#N/A</v>
      </c>
      <c r="R219" s="519" t="e">
        <f>Q219+(E218*NDDaysInYEar/12)</f>
        <v>#N/A</v>
      </c>
      <c r="S219" s="523" t="e">
        <f>R219+(E218*NDDaysInYEar/12)</f>
        <v>#N/A</v>
      </c>
    </row>
    <row r="220" spans="1:19" s="107" customFormat="1" x14ac:dyDescent="0.2">
      <c r="A220" s="107" t="s">
        <v>1949</v>
      </c>
      <c r="B220" s="107">
        <v>-1</v>
      </c>
      <c r="C220" s="518" t="e">
        <f>IF(MATCH(VLOOKUP(IF((A220="Aq"),VLOOKUP("AqLord",DivCharts,D206,FALSE),IF((A220="Sc"),VLOOKUP("ScLord",DivCharts,D206,FALSE),VLOOKUP(A220,RsInfo,9,FALSE))),DivCharts,D206,FALSE),RsTbl,0)=MATCH(VLOOKUP(IF((A220="Aq"),VLOOKUP("AqLord",DivCharts,D206,FALSE),IF((A220="Sc"),VLOOKUP("ScLord",DivCharts,D206,FALSE),VLOOKUP(A220,RsInfo,9,FALSE))),PlanetData,8,FALSE),RsTbl,0),1,IF(MATCH(VLOOKUP(IF((A220="Aq"),VLOOKUP("AqLord",DivCharts,D206,FALSE),IF((A220="Sc"),VLOOKUP("ScLord",DivCharts,D206,FALSE),VLOOKUP(A220,RsInfo,9,FALSE))),DivCharts,D206,FALSE),RsTbl,0)=MOD(MATCH(VLOOKUP(IF((A220="Aq"),VLOOKUP("AqLord",DivCharts,D206,FALSE),IF((A220="Sc"),VLOOKUP("ScLord",DivCharts,D206,FALSE),VLOOKUP(A220,RsInfo,9,FALSE))),PlanetData,8,FALSE),RsTbl,0)+6,12),-1,0))</f>
        <v>#N/A</v>
      </c>
      <c r="D220" s="518">
        <f>MOD((MATCH(VLOOKUP(IF((A220="Aq"),VLOOKUP("AqLord",DivCharts,D206,FALSE),IF((A220="Sc"),VLOOKUP("ScLord",DivCharts,D206,FALSE),VLOOKUP(A220,RsInfo,9,FALSE))),DivCharts,D206,FALSE),RsTbl,0)*B220)-(B220*MATCH(A220,RsTbl,0))+12,12)</f>
        <v>1</v>
      </c>
      <c r="E220" s="107" t="e">
        <f>IF(ISNA(MATCH((D220+C220),,0)),(D220+C220),12)</f>
        <v>#N/A</v>
      </c>
      <c r="F220" s="519" t="e">
        <f>G218</f>
        <v>#N/A</v>
      </c>
      <c r="G220" s="519" t="e">
        <f>F220+E220*NDDaysInYEar</f>
        <v>#N/A</v>
      </c>
      <c r="H220" s="510" t="s">
        <v>1968</v>
      </c>
      <c r="I220" s="107" t="str">
        <f>INDEX(SignSym,MOD(B220+MATCH(H220,SignSym,FALSE)-1,12)+1)</f>
        <v>Ge</v>
      </c>
      <c r="J220" s="107" t="str">
        <f>INDEX(SignSym,MOD(B220+MATCH(I220,SignSym,FALSE)-1,12)+1)</f>
        <v>Ta</v>
      </c>
      <c r="K220" s="107" t="str">
        <f>INDEX(SignSym,MOD(B220+MATCH(J220,SignSym,FALSE)-1,12)+1)</f>
        <v>Ar</v>
      </c>
      <c r="L220" s="107" t="str">
        <f>INDEX(SignSym,MOD(B220+MATCH(K220,SignSym,FALSE)-1,12)+1)</f>
        <v>Pi</v>
      </c>
      <c r="M220" s="107" t="str">
        <f>INDEX(SignSym,MOD(B220+MATCH(L220,SignSym,FALSE)-1,12)+1)</f>
        <v>Aq</v>
      </c>
      <c r="N220" s="107" t="str">
        <f>INDEX(SignSym,MOD(B220+MATCH(M220,SignSym,FALSE)-1,12)+1)</f>
        <v>Cp</v>
      </c>
      <c r="O220" s="107" t="str">
        <f>INDEX(SignSym,MOD(B220+MATCH(N220,SignSym,FALSE)-1,12)+1)</f>
        <v>Sg</v>
      </c>
      <c r="P220" s="107" t="str">
        <f>INDEX(SignSym,MOD(B220+MATCH(O220,SignSym,FALSE)-1,12)+1)</f>
        <v>Sc</v>
      </c>
      <c r="Q220" s="107" t="str">
        <f>INDEX(SignSym,MOD(B220+MATCH(P220,SignSym,FALSE)-1,12)+1)</f>
        <v>Li</v>
      </c>
      <c r="R220" s="107" t="str">
        <f>INDEX(SignSym,MOD(B220+MATCH(Q220,SignSym,FALSE)-1,12)+1)</f>
        <v>Vi</v>
      </c>
      <c r="S220" s="107" t="str">
        <f>INDEX(SignSym,MOD(B220+MATCH(R220,SignSym,FALSE)-1,12)+1)</f>
        <v>Le</v>
      </c>
    </row>
    <row r="221" spans="1:19" s="107" customFormat="1" x14ac:dyDescent="0.2">
      <c r="C221" s="518"/>
      <c r="D221" s="518"/>
      <c r="F221" s="519"/>
      <c r="G221" s="519"/>
      <c r="H221" s="523" t="e">
        <f>F220</f>
        <v>#N/A</v>
      </c>
      <c r="I221" s="519" t="e">
        <f>H221+(E220*NDDaysInYEar/12)</f>
        <v>#N/A</v>
      </c>
      <c r="J221" s="519" t="e">
        <f>I221+(E220*NDDaysInYEar/12)</f>
        <v>#N/A</v>
      </c>
      <c r="K221" s="519" t="e">
        <f>J221+(E220*NDDaysInYEar/12)</f>
        <v>#N/A</v>
      </c>
      <c r="L221" s="523" t="e">
        <f>K221+(E220*NDDaysInYEar/12)</f>
        <v>#N/A</v>
      </c>
      <c r="M221" s="519" t="e">
        <f>L221+(E220*NDDaysInYEar/12)</f>
        <v>#N/A</v>
      </c>
      <c r="N221" s="519" t="e">
        <f>M221+(E220*NDDaysInYEar/12)</f>
        <v>#N/A</v>
      </c>
      <c r="O221" s="519" t="e">
        <f>N221+(E220*NDDaysInYEar/12)</f>
        <v>#N/A</v>
      </c>
      <c r="P221" s="519" t="e">
        <f>O221+(E220*NDDaysInYEar/12)</f>
        <v>#N/A</v>
      </c>
      <c r="Q221" s="519" t="e">
        <f>P221+(E220*NDDaysInYEar/12)</f>
        <v>#N/A</v>
      </c>
      <c r="R221" s="519" t="e">
        <f>Q221+(E220*NDDaysInYEar/12)</f>
        <v>#N/A</v>
      </c>
      <c r="S221" s="519" t="e">
        <f>R221+(E220*NDDaysInYEar/12)</f>
        <v>#N/A</v>
      </c>
    </row>
    <row r="222" spans="1:19" s="107" customFormat="1" x14ac:dyDescent="0.2">
      <c r="A222" s="107" t="s">
        <v>1959</v>
      </c>
      <c r="B222" s="107">
        <f>VLOOKUP(A222,NDasaC,3,FALSE)</f>
        <v>-1</v>
      </c>
      <c r="C222" s="518" t="e">
        <f>IF(MATCH(VLOOKUP(IF((A222="Aq"),VLOOKUP("AqLord",DivCharts,D206,FALSE),IF((A222="Sc"),VLOOKUP("ScLord",DivCharts,D206,FALSE),VLOOKUP(A222,RsInfo,9,FALSE))),DivCharts,D206,FALSE),RsTbl,0)=MATCH(VLOOKUP(IF((A222="Aq"),VLOOKUP("AqLord",DivCharts,D206,FALSE),IF((A222="Sc"),VLOOKUP("ScLord",DivCharts,D206,FALSE),VLOOKUP(A222,RsInfo,9,FALSE))),PlanetData,8,FALSE),RsTbl,0),1,IF(MATCH(VLOOKUP(IF((A222="Aq"),VLOOKUP("AqLord",DivCharts,D206,FALSE),IF((A222="Sc"),VLOOKUP("ScLord",DivCharts,D206,FALSE),VLOOKUP(A222,RsInfo,9,FALSE))),DivCharts,D206,FALSE),RsTbl,0)=MOD(MATCH(VLOOKUP(IF((A222="Aq"),VLOOKUP("AqLord",DivCharts,D206,FALSE),IF((A222="Sc"),VLOOKUP("ScLord",DivCharts,D206,FALSE),VLOOKUP(A222,RsInfo,9,FALSE))),PlanetData,8,FALSE),RsTbl,0)+6,12),-1,0))</f>
        <v>#N/A</v>
      </c>
      <c r="D222" s="518">
        <f>MOD((MATCH(VLOOKUP(IF((A222="Aq"),VLOOKUP("AqLord",DivCharts,D206,FALSE),IF((A222="Sc"),VLOOKUP("ScLord",DivCharts,D206,FALSE),VLOOKUP(A222,RsInfo,9,FALSE))),DivCharts,D206,FALSE),RsTbl,0)*B222)-(B222*MATCH(A222,RsTbl,0))+12,12)</f>
        <v>6</v>
      </c>
      <c r="E222" s="107" t="e">
        <f>IF(ISNA(MATCH((D222+C222),,0)),(D222+C222),12)</f>
        <v>#N/A</v>
      </c>
      <c r="F222" s="519" t="e">
        <f>G220</f>
        <v>#N/A</v>
      </c>
      <c r="G222" s="519" t="e">
        <f>F222+E222*NDDaysInYEar</f>
        <v>#N/A</v>
      </c>
      <c r="H222" s="510" t="s">
        <v>1974</v>
      </c>
      <c r="I222" s="107" t="str">
        <f>INDEX(SignSym,MOD(B222+MATCH(H222,SignSym,FALSE)-1,12)+1)</f>
        <v>Cp</v>
      </c>
      <c r="J222" s="107" t="str">
        <f>INDEX(SignSym,MOD(B222+MATCH(I222,SignSym,FALSE)-1,12)+1)</f>
        <v>Sg</v>
      </c>
      <c r="K222" s="107" t="str">
        <f>INDEX(SignSym,MOD(B222+MATCH(J222,SignSym,FALSE)-1,12)+1)</f>
        <v>Sc</v>
      </c>
      <c r="L222" s="107" t="str">
        <f>INDEX(SignSym,MOD(B222+MATCH(K222,SignSym,FALSE)-1,12)+1)</f>
        <v>Li</v>
      </c>
      <c r="M222" s="107" t="str">
        <f>INDEX(SignSym,MOD(B222+MATCH(L222,SignSym,FALSE)-1,12)+1)</f>
        <v>Vi</v>
      </c>
      <c r="N222" s="107" t="str">
        <f>INDEX(SignSym,MOD(B222+MATCH(M222,SignSym,FALSE)-1,12)+1)</f>
        <v>Le</v>
      </c>
      <c r="O222" s="107" t="str">
        <f>INDEX(SignSym,MOD(B222+MATCH(N222,SignSym,FALSE)-1,12)+1)</f>
        <v>Cn</v>
      </c>
      <c r="P222" s="107" t="str">
        <f>INDEX(SignSym,MOD(B222+MATCH(O222,SignSym,FALSE)-1,12)+1)</f>
        <v>Ge</v>
      </c>
      <c r="Q222" s="107" t="str">
        <f>INDEX(SignSym,MOD(B222+MATCH(P222,SignSym,FALSE)-1,12)+1)</f>
        <v>Ta</v>
      </c>
      <c r="R222" s="107" t="str">
        <f>INDEX(SignSym,MOD(B222+MATCH(Q222,SignSym,FALSE)-1,12)+1)</f>
        <v>Ar</v>
      </c>
      <c r="S222" s="107" t="str">
        <f>INDEX(SignSym,MOD(B222+MATCH(R222,SignSym,FALSE)-1,12)+1)</f>
        <v>Pi</v>
      </c>
    </row>
    <row r="223" spans="1:19" s="107" customFormat="1" hidden="1" x14ac:dyDescent="0.2">
      <c r="C223" s="518"/>
      <c r="D223" s="518"/>
      <c r="F223" s="519"/>
      <c r="G223" s="519"/>
      <c r="H223" s="519" t="e">
        <f>F222</f>
        <v>#N/A</v>
      </c>
      <c r="I223" s="519" t="e">
        <f>H223+(E222*NDDaysInYEar/12)</f>
        <v>#N/A</v>
      </c>
      <c r="J223" s="519" t="e">
        <f>I223+(E222*NDDaysInYEar/12)</f>
        <v>#N/A</v>
      </c>
      <c r="K223" s="519" t="e">
        <f>J223+(E222*NDDaysInYEar/12)</f>
        <v>#N/A</v>
      </c>
      <c r="L223" s="519" t="e">
        <f>K223+(E222*NDDaysInYEar/12)</f>
        <v>#N/A</v>
      </c>
      <c r="M223" s="519" t="e">
        <f>L223+(E222*NDDaysInYEar/12)</f>
        <v>#N/A</v>
      </c>
      <c r="N223" s="519" t="e">
        <f>M223+(E222*NDDaysInYEar/12)</f>
        <v>#N/A</v>
      </c>
      <c r="O223" s="519" t="e">
        <f>N223+(E222*NDDaysInYEar/12)</f>
        <v>#N/A</v>
      </c>
      <c r="P223" s="519" t="e">
        <f>O223+(E222*NDDaysInYEar/12)</f>
        <v>#N/A</v>
      </c>
      <c r="Q223" s="519" t="e">
        <f>P223+(E222*NDDaysInYEar/12)</f>
        <v>#N/A</v>
      </c>
      <c r="R223" s="519" t="e">
        <f>Q223+(E222*NDDaysInYEar/12)</f>
        <v>#N/A</v>
      </c>
      <c r="S223" s="519" t="e">
        <f>R223+(E222*NDDaysInYEar/12)</f>
        <v>#N/A</v>
      </c>
    </row>
    <row r="224" spans="1:19" s="107" customFormat="1" x14ac:dyDescent="0.2">
      <c r="A224" s="107" t="s">
        <v>1971</v>
      </c>
      <c r="B224" s="107">
        <f>VLOOKUP(A224,NDasaC,3,FALSE)</f>
        <v>1</v>
      </c>
      <c r="C224" s="518" t="e">
        <f>IF(MATCH(VLOOKUP(IF((A224="Aq"),VLOOKUP("AqLord",DivCharts,D206,FALSE),IF((A224="Sc"),VLOOKUP("ScLord",DivCharts,D206,FALSE),VLOOKUP(A224,RsInfo,9,FALSE))),DivCharts,D206,FALSE),RsTbl,0)=MATCH(VLOOKUP(IF((A224="Aq"),VLOOKUP("AqLord",DivCharts,D206,FALSE),IF((A224="Sc"),VLOOKUP("ScLord",DivCharts,D206,FALSE),VLOOKUP(A224,RsInfo,9,FALSE))),PlanetData,8,FALSE),RsTbl,0),1,IF(MATCH(VLOOKUP(IF((A224="Aq"),VLOOKUP("AqLord",DivCharts,D206,FALSE),IF((A224="Sc"),VLOOKUP("ScLord",DivCharts,D206,FALSE),VLOOKUP(A224,RsInfo,9,FALSE))),DivCharts,D206,FALSE),RsTbl,0)=MOD(MATCH(VLOOKUP(IF((A224="Aq"),VLOOKUP("AqLord",DivCharts,D206,FALSE),IF((A224="Sc"),VLOOKUP("ScLord",DivCharts,D206,FALSE),VLOOKUP(A224,RsInfo,9,FALSE))),PlanetData,8,FALSE),RsTbl,0)+6,12),-1,0))</f>
        <v>#N/A</v>
      </c>
      <c r="D224" s="518">
        <f>MOD((MATCH(VLOOKUP(IF((A224="Aq"),VLOOKUP("AqLord",DivCharts,D206,FALSE),IF((A224="Sc"),VLOOKUP("ScLord",DivCharts,D206,FALSE),VLOOKUP(A224,RsInfo,9,FALSE))),DivCharts,D206,FALSE),RsTbl,0)*B224)-(B224*MATCH(A224,RsTbl,0))+12,12)</f>
        <v>6</v>
      </c>
      <c r="E224" s="107" t="e">
        <f>IF(ISNA(MATCH((D224+C224),,0)),(D224+C224),12)</f>
        <v>#N/A</v>
      </c>
      <c r="F224" s="519" t="e">
        <f>G222</f>
        <v>#N/A</v>
      </c>
      <c r="G224" s="519" t="e">
        <f>F224+E224*NDDaysInYEar</f>
        <v>#N/A</v>
      </c>
      <c r="H224" s="510" t="s">
        <v>1968</v>
      </c>
      <c r="I224" s="107" t="str">
        <f>INDEX(SignSym,MOD(B224+MATCH(H224,SignSym,FALSE)-1,12)+1)</f>
        <v>Le</v>
      </c>
      <c r="J224" s="107" t="str">
        <f>INDEX(SignSym,MOD(B224+MATCH(I224,SignSym,FALSE)-1,12)+1)</f>
        <v>Vi</v>
      </c>
      <c r="K224" s="107" t="str">
        <f>INDEX(SignSym,MOD(B224+MATCH(J224,SignSym,FALSE)-1,12)+1)</f>
        <v>Li</v>
      </c>
      <c r="L224" s="107" t="str">
        <f>INDEX(SignSym,MOD(B224+MATCH(K224,SignSym,FALSE)-1,12)+1)</f>
        <v>Sc</v>
      </c>
      <c r="M224" s="107" t="str">
        <f>INDEX(SignSym,MOD(B224+MATCH(L224,SignSym,FALSE)-1,12)+1)</f>
        <v>Sg</v>
      </c>
      <c r="N224" s="107" t="str">
        <f>INDEX(SignSym,MOD(B224+MATCH(M224,SignSym,FALSE)-1,12)+1)</f>
        <v>Cp</v>
      </c>
      <c r="O224" s="107" t="str">
        <f>INDEX(SignSym,MOD(B224+MATCH(N224,SignSym,FALSE)-1,12)+1)</f>
        <v>Aq</v>
      </c>
      <c r="P224" s="107" t="str">
        <f>INDEX(SignSym,MOD(B224+MATCH(O224,SignSym,FALSE)-1,12)+1)</f>
        <v>Pi</v>
      </c>
      <c r="Q224" s="107" t="str">
        <f>INDEX(SignSym,MOD(B224+MATCH(P224,SignSym,FALSE)-1,12)+1)</f>
        <v>Ar</v>
      </c>
      <c r="R224" s="107" t="str">
        <f>INDEX(SignSym,MOD(B224+MATCH(Q224,SignSym,FALSE)-1,12)+1)</f>
        <v>Ta</v>
      </c>
      <c r="S224" s="107" t="str">
        <f>INDEX(SignSym,MOD(B224+MATCH(R224,SignSym,FALSE)-1,12)+1)</f>
        <v>Ge</v>
      </c>
    </row>
    <row r="225" spans="1:19" s="107" customFormat="1" hidden="1" x14ac:dyDescent="0.2">
      <c r="C225" s="518"/>
      <c r="D225" s="518"/>
      <c r="F225" s="519"/>
      <c r="G225" s="519"/>
      <c r="H225" s="519" t="e">
        <f>F224</f>
        <v>#N/A</v>
      </c>
      <c r="I225" s="519" t="e">
        <f>H225+(E224*NDDaysInYEar/12)</f>
        <v>#N/A</v>
      </c>
      <c r="J225" s="519" t="e">
        <f>I225+(E224*NDDaysInYEar/12)</f>
        <v>#N/A</v>
      </c>
      <c r="K225" s="519" t="e">
        <f>J225+(E224*NDDaysInYEar/12)</f>
        <v>#N/A</v>
      </c>
      <c r="L225" s="519" t="e">
        <f>K225+(E224*NDDaysInYEar/12)</f>
        <v>#N/A</v>
      </c>
      <c r="M225" s="519" t="e">
        <f>L225+(E224*NDDaysInYEar/12)</f>
        <v>#N/A</v>
      </c>
      <c r="N225" s="519" t="e">
        <f>M225+(E224*NDDaysInYEar/12)</f>
        <v>#N/A</v>
      </c>
      <c r="O225" s="519" t="e">
        <f>N225+(E224*NDDaysInYEar/12)</f>
        <v>#N/A</v>
      </c>
      <c r="P225" s="519" t="e">
        <f>O225+(E224*NDDaysInYEar/12)</f>
        <v>#N/A</v>
      </c>
      <c r="Q225" s="519" t="e">
        <f>P225+(E224*NDDaysInYEar/12)</f>
        <v>#N/A</v>
      </c>
      <c r="R225" s="519" t="e">
        <f>Q225+(E224*NDDaysInYEar/12)</f>
        <v>#N/A</v>
      </c>
      <c r="S225" s="519" t="e">
        <f>R225+(E224*NDDaysInYEar/12)</f>
        <v>#N/A</v>
      </c>
    </row>
    <row r="226" spans="1:19" s="107" customFormat="1" x14ac:dyDescent="0.2">
      <c r="A226" s="107" t="s">
        <v>2007</v>
      </c>
      <c r="B226" s="107">
        <f>VLOOKUP(A226,NDasaC,3,FALSE)</f>
        <v>1</v>
      </c>
      <c r="C226" s="518" t="e">
        <f>IF(MATCH(VLOOKUP(IF((A226="Aq"),VLOOKUP("AqLord",DivCharts,D206,FALSE),IF((A226="Sc"),VLOOKUP("ScLord",DivCharts,D206,FALSE),VLOOKUP(A226,RsInfo,9,FALSE))),DivCharts,D206,FALSE),RsTbl,0)=MATCH(VLOOKUP(IF((A226="Aq"),VLOOKUP("AqLord",DivCharts,D206,FALSE),IF((A226="Sc"),VLOOKUP("ScLord",DivCharts,D206,FALSE),VLOOKUP(A226,RsInfo,9,FALSE))),PlanetData,8,FALSE),RsTbl,0),1,IF(MATCH(VLOOKUP(IF((A226="Aq"),VLOOKUP("AqLord",DivCharts,D206,FALSE),IF((A226="Sc"),VLOOKUP("ScLord",DivCharts,D206,FALSE),VLOOKUP(A226,RsInfo,9,FALSE))),DivCharts,D206,FALSE),RsTbl,0)=MOD(MATCH(VLOOKUP(IF((A226="Aq"),VLOOKUP("AqLord",DivCharts,D206,FALSE),IF((A226="Sc"),VLOOKUP("ScLord",DivCharts,D206,FALSE),VLOOKUP(A226,RsInfo,9,FALSE))),PlanetData,8,FALSE),RsTbl,0)+6,12),-1,0))</f>
        <v>#N/A</v>
      </c>
      <c r="D226" s="518">
        <f>MOD((MATCH(VLOOKUP(IF((A226="Aq"),VLOOKUP("AqLord",DivCharts,D206,FALSE),IF((A226="Sc"),VLOOKUP("ScLord",DivCharts,D206,FALSE),VLOOKUP(A226,RsInfo,9,FALSE))),DivCharts,D206,FALSE),RsTbl,0)*B226)-(B226*MATCH(A226,RsTbl,0))+12,12)</f>
        <v>10</v>
      </c>
      <c r="E226" s="107" t="e">
        <f>IF(ISNA(MATCH((D226+C226),,0)),(D226+C226),12)</f>
        <v>#N/A</v>
      </c>
      <c r="F226" s="519" t="e">
        <f>G224</f>
        <v>#N/A</v>
      </c>
      <c r="G226" s="519" t="e">
        <f>F226+E226*NDDaysInYEar</f>
        <v>#N/A</v>
      </c>
      <c r="H226" s="510" t="str">
        <f>A226</f>
        <v>Sc</v>
      </c>
      <c r="I226" s="107" t="str">
        <f>INDEX(SignSym,MOD(B226+MATCH(H226,SignSym,FALSE)-1,12)+1)</f>
        <v>Sg</v>
      </c>
      <c r="J226" s="107" t="str">
        <f>INDEX(SignSym,MOD(B226+MATCH(I226,SignSym,FALSE)-1,12)+1)</f>
        <v>Cp</v>
      </c>
      <c r="K226" s="107" t="str">
        <f>INDEX(SignSym,MOD(B226+MATCH(J226,SignSym,FALSE)-1,12)+1)</f>
        <v>Aq</v>
      </c>
      <c r="L226" s="107" t="str">
        <f>INDEX(SignSym,MOD(B226+MATCH(K226,SignSym,FALSE)-1,12)+1)</f>
        <v>Pi</v>
      </c>
      <c r="M226" s="107" t="str">
        <f>INDEX(SignSym,MOD(B226+MATCH(L226,SignSym,FALSE)-1,12)+1)</f>
        <v>Ar</v>
      </c>
      <c r="N226" s="107" t="str">
        <f>INDEX(SignSym,MOD(B226+MATCH(M226,SignSym,FALSE)-1,12)+1)</f>
        <v>Ta</v>
      </c>
      <c r="O226" s="107" t="str">
        <f>INDEX(SignSym,MOD(B226+MATCH(N226,SignSym,FALSE)-1,12)+1)</f>
        <v>Ge</v>
      </c>
      <c r="P226" s="107" t="str">
        <f>INDEX(SignSym,MOD(B226+MATCH(O226,SignSym,FALSE)-1,12)+1)</f>
        <v>Cn</v>
      </c>
      <c r="Q226" s="107" t="str">
        <f>INDEX(SignSym,MOD(B226+MATCH(P226,SignSym,FALSE)-1,12)+1)</f>
        <v>Le</v>
      </c>
      <c r="R226" s="107" t="str">
        <f>INDEX(SignSym,MOD(B226+MATCH(Q226,SignSym,FALSE)-1,12)+1)</f>
        <v>Vi</v>
      </c>
      <c r="S226" s="107" t="str">
        <f>INDEX(SignSym,MOD(B226+MATCH(R226,SignSym,FALSE)-1,12)+1)</f>
        <v>Li</v>
      </c>
    </row>
    <row r="227" spans="1:19" s="107" customFormat="1" ht="12.75" hidden="1" customHeight="1" x14ac:dyDescent="0.2">
      <c r="C227" s="518"/>
      <c r="D227" s="518"/>
      <c r="F227" s="519"/>
      <c r="G227" s="519"/>
      <c r="H227" s="519" t="e">
        <f>F226</f>
        <v>#N/A</v>
      </c>
      <c r="I227" s="519" t="e">
        <f>H227+(E226*NDDaysInYEar/12)</f>
        <v>#N/A</v>
      </c>
      <c r="J227" s="519" t="e">
        <f>I227+(E226*NDDaysInYEar/12)</f>
        <v>#N/A</v>
      </c>
      <c r="K227" s="519" t="e">
        <f>J227+(E226*NDDaysInYEar/12)</f>
        <v>#N/A</v>
      </c>
      <c r="L227" s="519" t="e">
        <f>K227+(E226*NDDaysInYEar/12)</f>
        <v>#N/A</v>
      </c>
      <c r="M227" s="519" t="e">
        <f>L227+(E226*NDDaysInYEar/12)</f>
        <v>#N/A</v>
      </c>
      <c r="N227" s="519" t="e">
        <f>M227+(E226*NDDaysInYEar/12)</f>
        <v>#N/A</v>
      </c>
      <c r="O227" s="519" t="e">
        <f>N227+(E226*NDDaysInYEar/12)</f>
        <v>#N/A</v>
      </c>
      <c r="P227" s="519" t="e">
        <f>O227+(E226*NDDaysInYEar/12)</f>
        <v>#N/A</v>
      </c>
      <c r="Q227" s="519" t="e">
        <f>P227+(E226*NDDaysInYEar/12)</f>
        <v>#N/A</v>
      </c>
      <c r="R227" s="519" t="e">
        <f>Q227+(E226*NDDaysInYEar/12)</f>
        <v>#N/A</v>
      </c>
      <c r="S227" s="519" t="e">
        <f>R227+(E226*NDDaysInYEar/12)</f>
        <v>#N/A</v>
      </c>
    </row>
    <row r="228" spans="1:19" s="107" customFormat="1" x14ac:dyDescent="0.2">
      <c r="A228" s="107" t="s">
        <v>1948</v>
      </c>
      <c r="B228" s="107">
        <f>VLOOKUP(A228,NDasaC,3,FALSE)</f>
        <v>1</v>
      </c>
      <c r="C228" s="518" t="e">
        <f>IF(MATCH(VLOOKUP(IF((A228="Aq"),VLOOKUP("AqLord",DivCharts,D206,FALSE),IF((A228="Sc"),VLOOKUP("ScLord",DivCharts,D206,FALSE),VLOOKUP(A228,RsInfo,9,FALSE))),DivCharts,D206,FALSE),RsTbl,0)=MATCH(VLOOKUP(IF((A228="Aq"),VLOOKUP("AqLord",DivCharts,D206,FALSE),IF((A228="Sc"),VLOOKUP("ScLord",DivCharts,D206,FALSE),VLOOKUP(A228,RsInfo,9,FALSE))),PlanetData,8,FALSE),RsTbl,0),1,IF(MATCH(VLOOKUP(IF((A228="Aq"),VLOOKUP("AqLord",DivCharts,D206,FALSE),IF((A228="Sc"),VLOOKUP("ScLord",DivCharts,D206,FALSE),VLOOKUP(A228,RsInfo,9,FALSE))),DivCharts,D206,FALSE),RsTbl,0)=MOD(MATCH(VLOOKUP(IF((A228="Aq"),VLOOKUP("AqLord",DivCharts,D206,FALSE),IF((A228="Sc"),VLOOKUP("ScLord",DivCharts,D206,FALSE),VLOOKUP(A228,RsInfo,9,FALSE))),PlanetData,8,FALSE),RsTbl,0)+6,12),-1,0))</f>
        <v>#N/A</v>
      </c>
      <c r="D228" s="518">
        <f>MOD((MATCH(VLOOKUP(IF((A228="Aq"),VLOOKUP("AqLord",DivCharts,D206,FALSE),IF((A228="Sc"),VLOOKUP("ScLord",DivCharts,D206,FALSE),VLOOKUP(A228,RsInfo,9,FALSE))),DivCharts,D206,FALSE),RsTbl,0)*B228)-(B228*MATCH(A228,RsTbl,0))+12,12)</f>
        <v>7</v>
      </c>
      <c r="E228" s="107" t="e">
        <f>IF(ISNA(MATCH((D228+C228),,0)),(D228+C228),12)</f>
        <v>#N/A</v>
      </c>
      <c r="F228" s="519" t="e">
        <f>G226</f>
        <v>#N/A</v>
      </c>
      <c r="G228" s="519" t="e">
        <f>F228+E228*NDDaysInYEar</f>
        <v>#N/A</v>
      </c>
      <c r="H228" s="510" t="str">
        <f>A228</f>
        <v>Sg</v>
      </c>
      <c r="I228" s="107" t="str">
        <f>INDEX(SignSym,MOD(B228+MATCH(H228,SignSym,FALSE)-1,12)+1)</f>
        <v>Cp</v>
      </c>
      <c r="J228" s="107" t="str">
        <f>INDEX(SignSym,MOD(B228+MATCH(I228,SignSym,FALSE)-1,12)+1)</f>
        <v>Aq</v>
      </c>
      <c r="K228" s="107" t="str">
        <f>INDEX(SignSym,MOD(B228+MATCH(J228,SignSym,FALSE)-1,12)+1)</f>
        <v>Pi</v>
      </c>
      <c r="L228" s="107" t="str">
        <f>INDEX(SignSym,MOD(B228+MATCH(K228,SignSym,FALSE)-1,12)+1)</f>
        <v>Ar</v>
      </c>
      <c r="M228" s="107" t="str">
        <f>INDEX(SignSym,MOD(B228+MATCH(L228,SignSym,FALSE)-1,12)+1)</f>
        <v>Ta</v>
      </c>
      <c r="N228" s="107" t="str">
        <f>INDEX(SignSym,MOD(B228+MATCH(M228,SignSym,FALSE)-1,12)+1)</f>
        <v>Ge</v>
      </c>
      <c r="O228" s="107" t="str">
        <f>INDEX(SignSym,MOD(B228+MATCH(N228,SignSym,FALSE)-1,12)+1)</f>
        <v>Cn</v>
      </c>
      <c r="P228" s="107" t="str">
        <f>INDEX(SignSym,MOD(B228+MATCH(O228,SignSym,FALSE)-1,12)+1)</f>
        <v>Le</v>
      </c>
      <c r="Q228" s="107" t="str">
        <f>INDEX(SignSym,MOD(B228+MATCH(P228,SignSym,FALSE)-1,12)+1)</f>
        <v>Vi</v>
      </c>
      <c r="R228" s="107" t="str">
        <f>INDEX(SignSym,MOD(B228+MATCH(Q228,SignSym,FALSE)-1,12)+1)</f>
        <v>Li</v>
      </c>
      <c r="S228" s="107" t="str">
        <f>INDEX(SignSym,MOD(B228+MATCH(R228,SignSym,FALSE)-1,12)+1)</f>
        <v>Sc</v>
      </c>
    </row>
    <row r="229" spans="1:19" s="107" customFormat="1" ht="12.75" hidden="1" customHeight="1" x14ac:dyDescent="0.2">
      <c r="C229" s="518"/>
      <c r="D229" s="518"/>
      <c r="F229" s="519"/>
      <c r="G229" s="519"/>
      <c r="H229" s="519" t="e">
        <f>F228</f>
        <v>#N/A</v>
      </c>
      <c r="I229" s="519" t="e">
        <f>H229+(E228*NDDaysInYEar/12)</f>
        <v>#N/A</v>
      </c>
      <c r="J229" s="519" t="e">
        <f>I229+(E228*NDDaysInYEar/12)</f>
        <v>#N/A</v>
      </c>
      <c r="K229" s="519" t="e">
        <f>J229+(E228*NDDaysInYEar/12)</f>
        <v>#N/A</v>
      </c>
      <c r="L229" s="519" t="e">
        <f>K229+(E228*NDDaysInYEar/12)</f>
        <v>#N/A</v>
      </c>
      <c r="M229" s="519" t="e">
        <f>L229+(E228*NDDaysInYEar/12)</f>
        <v>#N/A</v>
      </c>
      <c r="N229" s="519" t="e">
        <f>M229+(E228*NDDaysInYEar/12)</f>
        <v>#N/A</v>
      </c>
      <c r="O229" s="519" t="e">
        <f>N229+(E228*NDDaysInYEar/12)</f>
        <v>#N/A</v>
      </c>
      <c r="P229" s="519" t="e">
        <f>O229+(E228*NDDaysInYEar/12)</f>
        <v>#N/A</v>
      </c>
      <c r="Q229" s="519" t="e">
        <f>P229+(E228*NDDaysInYEar/12)</f>
        <v>#N/A</v>
      </c>
      <c r="R229" s="519" t="e">
        <f>Q229+(E228*NDDaysInYEar/12)</f>
        <v>#N/A</v>
      </c>
      <c r="S229" s="519" t="e">
        <f>R229+(E228*NDDaysInYEar/12)</f>
        <v>#N/A</v>
      </c>
    </row>
    <row r="230" spans="1:19" s="107" customFormat="1" x14ac:dyDescent="0.2">
      <c r="A230" s="107" t="s">
        <v>1962</v>
      </c>
      <c r="B230" s="107">
        <f>VLOOKUP(A230,NDasaC,3,FALSE)</f>
        <v>-1</v>
      </c>
      <c r="C230" s="518" t="e">
        <f>IF(MATCH(VLOOKUP(IF((A230="Aq"),VLOOKUP("AqLord",DivCharts,D206,FALSE),IF((A230="Sc"),VLOOKUP("ScLord",DivCharts,D206,FALSE),VLOOKUP(A230,RsInfo,9,FALSE))),DivCharts,D206,FALSE),RsTbl,0)=MATCH(VLOOKUP(IF((A230="Aq"),VLOOKUP("AqLord",DivCharts,D206,FALSE),IF((A230="Sc"),VLOOKUP("ScLord",DivCharts,D206,FALSE),VLOOKUP(A230,RsInfo,9,FALSE))),PlanetData,8,FALSE),RsTbl,0),1,IF(MATCH(VLOOKUP(IF((A230="Aq"),VLOOKUP("AqLord",DivCharts,D206,FALSE),IF((A230="Sc"),VLOOKUP("ScLord",DivCharts,D206,FALSE),VLOOKUP(A230,RsInfo,9,FALSE))),DivCharts,D206,FALSE),RsTbl,0)=MOD(MATCH(VLOOKUP(IF((A230="Aq"),VLOOKUP("AqLord",DivCharts,D206,FALSE),IF((A230="Sc"),VLOOKUP("ScLord",DivCharts,D206,FALSE),VLOOKUP(A230,RsInfo,9,FALSE))),PlanetData,8,FALSE),RsTbl,0)+6,12),-1,0))</f>
        <v>#N/A</v>
      </c>
      <c r="D230" s="518">
        <f>MOD((MATCH(VLOOKUP(IF((A230="Aq"),VLOOKUP("AqLord",DivCharts,D206,FALSE),IF((A230="Sc"),VLOOKUP("ScLord",DivCharts,D206,FALSE),VLOOKUP(A230,RsInfo,9,FALSE))),DivCharts,D206,FALSE),RsTbl,0)*B230)-(B230*MATCH(A230,RsTbl,0))+12,12)</f>
        <v>10</v>
      </c>
      <c r="E230" s="107" t="e">
        <f>IF(ISNA(MATCH((D230+C230),,0)),(D230+C230),12)</f>
        <v>#N/A</v>
      </c>
      <c r="F230" s="519" t="e">
        <f>G228</f>
        <v>#N/A</v>
      </c>
      <c r="G230" s="519" t="e">
        <f>F230+E230*NDDaysInYEar</f>
        <v>#N/A</v>
      </c>
      <c r="H230" s="510" t="str">
        <f>A230</f>
        <v>Cp</v>
      </c>
      <c r="I230" s="107" t="str">
        <f>INDEX(SignSym,MOD(B230+MATCH(H230,SignSym,FALSE)-1,12)+1)</f>
        <v>Sg</v>
      </c>
      <c r="J230" s="107" t="str">
        <f>INDEX(SignSym,MOD(B230+MATCH(I230,SignSym,FALSE)-1,12)+1)</f>
        <v>Sc</v>
      </c>
      <c r="K230" s="107" t="str">
        <f>INDEX(SignSym,MOD(B230+MATCH(J230,SignSym,FALSE)-1,12)+1)</f>
        <v>Li</v>
      </c>
      <c r="L230" s="107" t="str">
        <f>INDEX(SignSym,MOD(B230+MATCH(K230,SignSym,FALSE)-1,12)+1)</f>
        <v>Vi</v>
      </c>
      <c r="M230" s="107" t="str">
        <f>INDEX(SignSym,MOD(B230+MATCH(L230,SignSym,FALSE)-1,12)+1)</f>
        <v>Le</v>
      </c>
      <c r="N230" s="107" t="str">
        <f>INDEX(SignSym,MOD(B230+MATCH(M230,SignSym,FALSE)-1,12)+1)</f>
        <v>Cn</v>
      </c>
      <c r="O230" s="107" t="str">
        <f>INDEX(SignSym,MOD(B230+MATCH(N230,SignSym,FALSE)-1,12)+1)</f>
        <v>Ge</v>
      </c>
      <c r="P230" s="107" t="str">
        <f>INDEX(SignSym,MOD(B230+MATCH(O230,SignSym,FALSE)-1,12)+1)</f>
        <v>Ta</v>
      </c>
      <c r="Q230" s="107" t="str">
        <f>INDEX(SignSym,MOD(B230+MATCH(P230,SignSym,FALSE)-1,12)+1)</f>
        <v>Ar</v>
      </c>
      <c r="R230" s="107" t="str">
        <f>INDEX(SignSym,MOD(B230+MATCH(Q230,SignSym,FALSE)-1,12)+1)</f>
        <v>Pi</v>
      </c>
      <c r="S230" s="107" t="str">
        <f>INDEX(SignSym,MOD(B230+MATCH(R230,SignSym,FALSE)-1,12)+1)</f>
        <v>Aq</v>
      </c>
    </row>
    <row r="231" spans="1:19" s="107" customFormat="1" ht="12.75" hidden="1" customHeight="1" x14ac:dyDescent="0.2">
      <c r="C231" s="518"/>
      <c r="D231" s="518"/>
      <c r="F231" s="519"/>
      <c r="G231" s="519"/>
      <c r="H231" s="519" t="e">
        <f>F230</f>
        <v>#N/A</v>
      </c>
      <c r="I231" s="519" t="e">
        <f>H231+(E230*NDDaysInYEar/12)</f>
        <v>#N/A</v>
      </c>
      <c r="J231" s="519" t="e">
        <f>I231+(E230*NDDaysInYEar/12)</f>
        <v>#N/A</v>
      </c>
      <c r="K231" s="519" t="e">
        <f>J231+(E230*NDDaysInYEar/12)</f>
        <v>#N/A</v>
      </c>
      <c r="L231" s="519" t="e">
        <f>K231+(E230*NDDaysInYEar/12)</f>
        <v>#N/A</v>
      </c>
      <c r="M231" s="519" t="e">
        <f>L231+(E230*NDDaysInYEar/12)</f>
        <v>#N/A</v>
      </c>
      <c r="N231" s="519" t="e">
        <f>M231+(E230*NDDaysInYEar/12)</f>
        <v>#N/A</v>
      </c>
      <c r="O231" s="519" t="e">
        <f>N231+(E230*NDDaysInYEar/12)</f>
        <v>#N/A</v>
      </c>
      <c r="P231" s="519" t="e">
        <f>O231+(E230*NDDaysInYEar/12)</f>
        <v>#N/A</v>
      </c>
      <c r="Q231" s="519" t="e">
        <f>P231+(E230*NDDaysInYEar/12)</f>
        <v>#N/A</v>
      </c>
      <c r="R231" s="519" t="e">
        <f>Q231+(E230*NDDaysInYEar/12)</f>
        <v>#N/A</v>
      </c>
      <c r="S231" s="519" t="e">
        <f>R231+(E230*NDDaysInYEar/12)</f>
        <v>#N/A</v>
      </c>
    </row>
    <row r="232" spans="1:19" s="107" customFormat="1" x14ac:dyDescent="0.2">
      <c r="A232" s="107" t="str">
        <f>VLOOKUP(C207,NDasaSeq,18,FALSE)</f>
        <v>Aq</v>
      </c>
      <c r="B232" s="107">
        <f>VLOOKUP(A232,NDasaC,3,FALSE)</f>
        <v>-1</v>
      </c>
      <c r="C232" s="518" t="e">
        <f>IF(MATCH(VLOOKUP(IF((A232="Aq"),VLOOKUP("AqLord",DivCharts,D206,FALSE),IF((A232="Sc"),VLOOKUP("ScLord",DivCharts,D206,FALSE),VLOOKUP(A232,RsInfo,9,FALSE))),DivCharts,D206,FALSE),RsTbl,0)=MATCH(VLOOKUP(IF((A232="Aq"),VLOOKUP("AqLord",DivCharts,D206,FALSE),IF((A232="Sc"),VLOOKUP("ScLord",DivCharts,D206,FALSE),VLOOKUP(A232,RsInfo,9,FALSE))),PlanetData,8,FALSE),RsTbl,0),1,IF(MATCH(VLOOKUP(IF((A232="Aq"),VLOOKUP("AqLord",DivCharts,D206,FALSE),IF((A232="Sc"),VLOOKUP("ScLord",DivCharts,D206,FALSE),VLOOKUP(A232,RsInfo,9,FALSE))),DivCharts,D206,FALSE),RsTbl,0)=MOD(MATCH(VLOOKUP(IF((A232="Aq"),VLOOKUP("AqLord",DivCharts,D206,FALSE),IF((A232="Sc"),VLOOKUP("ScLord",DivCharts,D206,FALSE),VLOOKUP(A232,RsInfo,9,FALSE))),PlanetData,8,FALSE),RsTbl,0)+6,12),-1,0))</f>
        <v>#N/A</v>
      </c>
      <c r="D232" s="518">
        <f>MOD((MATCH(VLOOKUP(IF((A232="Aq"),VLOOKUP("AqLord",DivCharts,D206,FALSE),IF((A232="Sc"),VLOOKUP("ScLord",DivCharts,D206,FALSE),VLOOKUP(A232,RsInfo,9,FALSE))),DivCharts,D206,FALSE),RsTbl,0)*B232)-(B232*MATCH(A232,RsTbl,0))+12,12)</f>
        <v>7</v>
      </c>
      <c r="E232" s="107" t="e">
        <f>IF(ISNA(MATCH((D232+C232),,0)),(D232+C232),12)</f>
        <v>#N/A</v>
      </c>
      <c r="F232" s="519" t="e">
        <f>G230</f>
        <v>#N/A</v>
      </c>
      <c r="G232" s="519" t="e">
        <f>F232+E232*NDDaysInYEar</f>
        <v>#N/A</v>
      </c>
      <c r="H232" s="510" t="str">
        <f>A232</f>
        <v>Aq</v>
      </c>
      <c r="I232" s="107" t="str">
        <f>INDEX(SignSym,MOD(B232+MATCH(H232,SignSym,FALSE)-1,12)+1)</f>
        <v>Cp</v>
      </c>
      <c r="J232" s="107" t="str">
        <f>INDEX(SignSym,MOD(B232+MATCH(I232,SignSym,FALSE)-1,12)+1)</f>
        <v>Sg</v>
      </c>
      <c r="K232" s="107" t="str">
        <f>INDEX(SignSym,MOD(B232+MATCH(J232,SignSym,FALSE)-1,12)+1)</f>
        <v>Sc</v>
      </c>
      <c r="L232" s="107" t="str">
        <f>INDEX(SignSym,MOD(B232+MATCH(K232,SignSym,FALSE)-1,12)+1)</f>
        <v>Li</v>
      </c>
      <c r="M232" s="107" t="str">
        <f>INDEX(SignSym,MOD(B232+MATCH(L232,SignSym,FALSE)-1,12)+1)</f>
        <v>Vi</v>
      </c>
      <c r="N232" s="107" t="str">
        <f>INDEX(SignSym,MOD(B232+MATCH(M232,SignSym,FALSE)-1,12)+1)</f>
        <v>Le</v>
      </c>
      <c r="O232" s="107" t="str">
        <f>INDEX(SignSym,MOD(B232+MATCH(N232,SignSym,FALSE)-1,12)+1)</f>
        <v>Cn</v>
      </c>
      <c r="P232" s="107" t="str">
        <f>INDEX(SignSym,MOD(B232+MATCH(O232,SignSym,FALSE)-1,12)+1)</f>
        <v>Ge</v>
      </c>
      <c r="Q232" s="107" t="str">
        <f>INDEX(SignSym,MOD(B232+MATCH(P232,SignSym,FALSE)-1,12)+1)</f>
        <v>Ta</v>
      </c>
      <c r="R232" s="107" t="str">
        <f>INDEX(SignSym,MOD(B232+MATCH(Q232,SignSym,FALSE)-1,12)+1)</f>
        <v>Ar</v>
      </c>
      <c r="S232" s="107" t="str">
        <f>INDEX(SignSym,MOD(B232+MATCH(R232,SignSym,FALSE)-1,12)+1)</f>
        <v>Pi</v>
      </c>
    </row>
    <row r="233" spans="1:19" s="107" customFormat="1" hidden="1" x14ac:dyDescent="0.2">
      <c r="D233" s="518"/>
      <c r="H233" s="519" t="e">
        <f>F232</f>
        <v>#N/A</v>
      </c>
      <c r="I233" s="519" t="e">
        <f>H233+(E232*NDDaysInYEar/12)</f>
        <v>#N/A</v>
      </c>
      <c r="J233" s="519" t="e">
        <f>I233+(E232*NDDaysInYEar/12)</f>
        <v>#N/A</v>
      </c>
      <c r="K233" s="519" t="e">
        <f>J233+(E232*NDDaysInYEar/12)</f>
        <v>#N/A</v>
      </c>
      <c r="L233" s="519" t="e">
        <f>K233+(E232*NDDaysInYEar/12)</f>
        <v>#N/A</v>
      </c>
      <c r="M233" s="519" t="e">
        <f>L233+(E232*NDDaysInYEar/12)</f>
        <v>#N/A</v>
      </c>
      <c r="N233" s="519" t="e">
        <f>M233+(E232*NDDaysInYEar/12)</f>
        <v>#N/A</v>
      </c>
      <c r="O233" s="519" t="e">
        <f>N233+(E232*NDDaysInYEar/12)</f>
        <v>#N/A</v>
      </c>
      <c r="P233" s="519" t="e">
        <f>O233+(E232*NDDaysInYEar/12)</f>
        <v>#N/A</v>
      </c>
      <c r="Q233" s="519" t="e">
        <f>P233+(E232*NDDaysInYEar/12)</f>
        <v>#N/A</v>
      </c>
      <c r="R233" s="519" t="e">
        <f>Q233+(E232*NDDaysInYEar/12)</f>
        <v>#N/A</v>
      </c>
      <c r="S233" s="519" t="e">
        <f>R233+(E232*NDDaysInYEar/12)</f>
        <v>#N/A</v>
      </c>
    </row>
    <row r="234" spans="1:19" s="107" customFormat="1" x14ac:dyDescent="0.2">
      <c r="A234" s="520"/>
      <c r="B234" s="520"/>
      <c r="C234" s="520"/>
      <c r="D234" s="520"/>
      <c r="E234" s="520"/>
      <c r="F234" s="520"/>
      <c r="G234" s="520"/>
      <c r="H234" s="520"/>
      <c r="I234" s="520"/>
      <c r="J234" s="520"/>
      <c r="K234" s="520"/>
      <c r="L234" s="520"/>
      <c r="M234" s="520"/>
      <c r="N234" s="520"/>
      <c r="O234" s="520"/>
      <c r="P234" s="520"/>
      <c r="Q234" s="520"/>
      <c r="R234" s="520"/>
      <c r="S234" s="520"/>
    </row>
    <row r="235" spans="1:19" s="107" customFormat="1" hidden="1" x14ac:dyDescent="0.2">
      <c r="H235" s="519"/>
      <c r="I235" s="519"/>
      <c r="J235" s="519"/>
      <c r="K235" s="519"/>
      <c r="L235" s="519"/>
      <c r="M235" s="519"/>
      <c r="N235" s="519"/>
      <c r="O235" s="519"/>
      <c r="P235" s="519"/>
      <c r="Q235" s="519"/>
      <c r="R235" s="519"/>
      <c r="S235" s="519"/>
    </row>
    <row r="236" spans="1:19" s="107" customFormat="1" x14ac:dyDescent="0.2"/>
    <row r="240" spans="1:19" x14ac:dyDescent="0.2">
      <c r="A240" s="504" t="s">
        <v>1437</v>
      </c>
      <c r="B240" s="505"/>
      <c r="C240" s="505"/>
      <c r="D240" s="505"/>
      <c r="E240" s="505"/>
      <c r="F240" s="505"/>
      <c r="G240" s="505"/>
      <c r="H240" s="505"/>
      <c r="I240" s="505"/>
      <c r="J240" s="505"/>
      <c r="K240" s="505"/>
      <c r="L240" s="506"/>
      <c r="M240" s="505"/>
      <c r="N240" s="505"/>
      <c r="O240" s="505"/>
      <c r="P240" s="505"/>
      <c r="Q240" s="505"/>
      <c r="R240" s="505"/>
      <c r="S240" s="505"/>
    </row>
    <row r="241" spans="1:19" s="107" customFormat="1" x14ac:dyDescent="0.2">
      <c r="A241" s="1574" t="s">
        <v>1429</v>
      </c>
      <c r="B241" s="1574"/>
      <c r="C241" s="507">
        <v>16</v>
      </c>
      <c r="D241" s="508">
        <f>MATCH(C241,$18:$18,1)</f>
        <v>9</v>
      </c>
      <c r="I241" s="509"/>
      <c r="N241" s="509"/>
    </row>
    <row r="242" spans="1:19" s="107" customFormat="1" x14ac:dyDescent="0.2">
      <c r="A242" s="1574" t="s">
        <v>1430</v>
      </c>
      <c r="B242" s="1574"/>
      <c r="C242" s="510" t="s">
        <v>2015</v>
      </c>
      <c r="D242" s="511"/>
      <c r="E242" s="512"/>
      <c r="H242" s="513"/>
      <c r="I242" s="513"/>
      <c r="J242" s="513"/>
      <c r="O242" s="514"/>
      <c r="P242" s="515"/>
      <c r="Q242" s="514"/>
    </row>
    <row r="243" spans="1:19" s="514" customFormat="1" x14ac:dyDescent="0.2">
      <c r="B243" s="516"/>
      <c r="C243" s="515"/>
      <c r="D243" s="516"/>
      <c r="E243" s="515"/>
      <c r="F243" s="516"/>
      <c r="G243" s="516"/>
      <c r="H243" s="515"/>
      <c r="I243" s="513"/>
      <c r="J243" s="513"/>
      <c r="K243" s="107"/>
      <c r="L243" s="107"/>
      <c r="M243" s="107"/>
      <c r="N243" s="107"/>
    </row>
    <row r="244" spans="1:19" s="107" customFormat="1" x14ac:dyDescent="0.2">
      <c r="A244" s="517" t="s">
        <v>1431</v>
      </c>
      <c r="B244" s="517" t="s">
        <v>1937</v>
      </c>
      <c r="C244" s="517" t="s">
        <v>1432</v>
      </c>
      <c r="D244" s="517" t="s">
        <v>1433</v>
      </c>
      <c r="E244" s="517" t="s">
        <v>1490</v>
      </c>
      <c r="F244" s="517" t="s">
        <v>2029</v>
      </c>
      <c r="G244" s="517" t="s">
        <v>2030</v>
      </c>
      <c r="H244" s="517" t="s">
        <v>1434</v>
      </c>
      <c r="I244" s="513"/>
      <c r="J244" s="513"/>
    </row>
    <row r="245" spans="1:19" s="107" customFormat="1" x14ac:dyDescent="0.2">
      <c r="A245" s="107" t="str">
        <f>VLOOKUP(C242,NDasaSeq,7,FALSE)</f>
        <v>Pi</v>
      </c>
      <c r="B245" s="107">
        <f>VLOOKUP(A245,NDasaC,3,FALSE)</f>
        <v>-1</v>
      </c>
      <c r="C245" s="518" t="e">
        <f>IF(MATCH(VLOOKUP(IF((A245="Aq"),VLOOKUP("AqLord",DivCharts,D241,FALSE),IF((A245="Sc"),VLOOKUP("ScLord",DivCharts,D241,FALSE),VLOOKUP(A245,RsInfo,9,FALSE))),DivCharts,D241,FALSE),RsTbl,0)=MATCH(VLOOKUP(IF((A245="Aq"),VLOOKUP("AqLord",DivCharts,D241,FALSE),IF((A245="Sc"),VLOOKUP("ScLord",DivCharts,D241,FALSE),VLOOKUP(A245,RsInfo,9,FALSE))),PlanetData,8,FALSE),RsTbl,0),1,IF(MATCH(VLOOKUP(IF((A245="Aq"),VLOOKUP("AqLord",DivCharts,D241,FALSE),IF((A245="Sc"),VLOOKUP("ScLord",DivCharts,D241,FALSE),VLOOKUP(A245,RsInfo,9,FALSE))),DivCharts,D241,FALSE),RsTbl,0)=MOD(MATCH(VLOOKUP(IF((A245="Aq"),VLOOKUP("AqLord",DivCharts,D241,FALSE),IF((A245="Sc"),VLOOKUP("ScLord",DivCharts,D241,FALSE),VLOOKUP(A245,RsInfo,9,FALSE))),PlanetData,8,FALSE),RsTbl,0)+6,12),-1,0))</f>
        <v>#N/A</v>
      </c>
      <c r="D245" s="518">
        <f>MOD((MATCH(VLOOKUP(IF((A245="Aq"),VLOOKUP("AqLord",DivCharts,D241,FALSE),IF((A245="Sc"),VLOOKUP("ScLord",DivCharts,D241,FALSE),VLOOKUP(A245,RsInfo,9,FALSE))),DivCharts,D241,FALSE),RsTbl,0)*B245)-(B245*MATCH(A245,RsTbl,0))+12,12)</f>
        <v>6</v>
      </c>
      <c r="E245" s="107" t="e">
        <f>IF(ISNA(MATCH((D245+C245),,0)),(D245+C245),12)</f>
        <v>#N/A</v>
      </c>
      <c r="F245" s="519">
        <f>DoB</f>
        <v>26133.384143518517</v>
      </c>
      <c r="G245" s="519" t="e">
        <f>F245+E245*NDDaysInYEar</f>
        <v>#N/A</v>
      </c>
      <c r="H245" s="510" t="str">
        <f>A245</f>
        <v>Pi</v>
      </c>
      <c r="I245" s="107" t="str">
        <f>INDEX(SignSym,MOD(B245+MATCH(H245,SignSym,FALSE)-1,12)+1)</f>
        <v>Aq</v>
      </c>
      <c r="J245" s="107" t="str">
        <f>INDEX(SignSym,MOD(B245+MATCH(I245,SignSym,FALSE)-1,12)+1)</f>
        <v>Cp</v>
      </c>
      <c r="K245" s="107" t="str">
        <f>INDEX(SignSym,MOD(B245+MATCH(J245,SignSym,FALSE)-1,12)+1)</f>
        <v>Sg</v>
      </c>
      <c r="L245" s="107" t="str">
        <f>INDEX(SignSym,MOD(B245+MATCH(K245,SignSym,FALSE)-1,12)+1)</f>
        <v>Sc</v>
      </c>
      <c r="M245" s="107" t="str">
        <f>INDEX(SignSym,MOD(B245+MATCH(L245,SignSym,FALSE)-1,12)+1)</f>
        <v>Li</v>
      </c>
      <c r="N245" s="107" t="str">
        <f>INDEX(SignSym,MOD(B245+MATCH(M245,SignSym,FALSE)-1,12)+1)</f>
        <v>Vi</v>
      </c>
      <c r="O245" s="107" t="str">
        <f>INDEX(SignSym,MOD(B245+MATCH(N245,SignSym,FALSE)-1,12)+1)</f>
        <v>Le</v>
      </c>
      <c r="P245" s="107" t="str">
        <f>INDEX(SignSym,MOD(B245+MATCH(O245,SignSym,FALSE)-1,12)+1)</f>
        <v>Cn</v>
      </c>
      <c r="Q245" s="107" t="str">
        <f>INDEX(SignSym,MOD(B245+MATCH(P245,SignSym,FALSE)-1,12)+1)</f>
        <v>Ge</v>
      </c>
      <c r="R245" s="107" t="str">
        <f>INDEX(SignSym,MOD(B245+MATCH(Q245,SignSym,FALSE)-1,12)+1)</f>
        <v>Ta</v>
      </c>
      <c r="S245" s="107" t="str">
        <f>INDEX(SignSym,MOD(B245+MATCH(R245,SignSym,FALSE)-1,12)+1)</f>
        <v>Ar</v>
      </c>
    </row>
    <row r="246" spans="1:19" s="107" customFormat="1" ht="12.75" hidden="1" customHeight="1" x14ac:dyDescent="0.2">
      <c r="C246" s="518"/>
      <c r="D246" s="518"/>
      <c r="F246" s="519"/>
      <c r="G246" s="519"/>
      <c r="H246" s="519">
        <f>F245</f>
        <v>26133.384143518517</v>
      </c>
      <c r="I246" s="519" t="e">
        <f>H246+(E245*NDDaysInYEar/12)</f>
        <v>#N/A</v>
      </c>
      <c r="J246" s="519" t="e">
        <f>I246+(E245*NDDaysInYEar/12)</f>
        <v>#N/A</v>
      </c>
      <c r="K246" s="519" t="e">
        <f>J246+(E245*NDDaysInYEar/12)</f>
        <v>#N/A</v>
      </c>
      <c r="L246" s="519" t="e">
        <f>K246+(E245*NDDaysInYEar/12)</f>
        <v>#N/A</v>
      </c>
      <c r="M246" s="519" t="e">
        <f>L246+(E245*NDDaysInYEar/12)</f>
        <v>#N/A</v>
      </c>
      <c r="N246" s="519" t="e">
        <f>M246+(E245*NDDaysInYEar/12)</f>
        <v>#N/A</v>
      </c>
      <c r="O246" s="519" t="e">
        <f>N246+(E245*NDDaysInYEar/12)</f>
        <v>#N/A</v>
      </c>
      <c r="P246" s="519" t="e">
        <f>O246+(E245*NDDaysInYEar/12)</f>
        <v>#N/A</v>
      </c>
      <c r="Q246" s="519" t="e">
        <f>P246+(E245*NDDaysInYEar/12)</f>
        <v>#N/A</v>
      </c>
      <c r="R246" s="519" t="e">
        <f>Q246+(E245*NDDaysInYEar/12)</f>
        <v>#N/A</v>
      </c>
      <c r="S246" s="519" t="e">
        <f>R246+(E245*NDDaysInYEar/12)</f>
        <v>#N/A</v>
      </c>
    </row>
    <row r="247" spans="1:19" s="107" customFormat="1" x14ac:dyDescent="0.2">
      <c r="A247" s="107" t="str">
        <f>VLOOKUP(C242,NDasaSeq,8,FALSE)</f>
        <v>Cn</v>
      </c>
      <c r="B247" s="107">
        <f>VLOOKUP(A247,NDasaC,3,FALSE)</f>
        <v>-1</v>
      </c>
      <c r="C247" s="518" t="e">
        <f>IF(MATCH(VLOOKUP(IF((A247="Aq"),VLOOKUP("AqLord",DivCharts,D241,FALSE),IF((A247="Sc"),VLOOKUP("ScLord",DivCharts,D241,FALSE),VLOOKUP(A247,RsInfo,9,FALSE))),DivCharts,D241,FALSE),RsTbl,0)=MATCH(VLOOKUP(IF((A247="Aq"),VLOOKUP("AqLord",DivCharts,D241,FALSE),IF((A247="Sc"),VLOOKUP("ScLord",DivCharts,D241,FALSE),VLOOKUP(A247,RsInfo,9,FALSE))),PlanetData,8,FALSE),RsTbl,0),1,IF(MATCH(VLOOKUP(IF((A247="Aq"),VLOOKUP("AqLord",DivCharts,D241,FALSE),IF((A247="Sc"),VLOOKUP("ScLord",DivCharts,D241,FALSE),VLOOKUP(A247,RsInfo,9,FALSE))),DivCharts,D241,FALSE),RsTbl,0)=MOD(MATCH(VLOOKUP(IF((A247="Aq"),VLOOKUP("AqLord",DivCharts,D241,FALSE),IF((A247="Sc"),VLOOKUP("ScLord",DivCharts,D241,FALSE),VLOOKUP(A247,RsInfo,9,FALSE))),PlanetData,8,FALSE),RsTbl,0)+6,12),-1,0))</f>
        <v>#N/A</v>
      </c>
      <c r="D247" s="518">
        <f>MOD((MATCH(VLOOKUP(IF((A247="Aq"),VLOOKUP("AqLord",DivCharts,D241,FALSE),IF((A247="Sc"),VLOOKUP("ScLord",DivCharts,D241,FALSE),VLOOKUP(A247,RsInfo,9,FALSE))),DivCharts,D241,FALSE),RsTbl,0)*B247)-(B247*MATCH(A247,RsTbl,0))+12,12)</f>
        <v>11</v>
      </c>
      <c r="E247" s="107" t="e">
        <f>IF(ISNA(MATCH((D247+C247),,0)),(D247+C247),12)</f>
        <v>#N/A</v>
      </c>
      <c r="F247" s="519" t="e">
        <f>G245</f>
        <v>#N/A</v>
      </c>
      <c r="G247" s="519" t="e">
        <f>F247+E247*NDDaysInYEar</f>
        <v>#N/A</v>
      </c>
      <c r="H247" s="510" t="str">
        <f>A247</f>
        <v>Cn</v>
      </c>
      <c r="I247" s="107" t="str">
        <f>INDEX(SignSym,MOD(B247+MATCH(H247,SignSym,FALSE)-1,12)+1)</f>
        <v>Ge</v>
      </c>
      <c r="J247" s="107" t="str">
        <f>INDEX(SignSym,MOD(B247+MATCH(I247,SignSym,FALSE)-1,12)+1)</f>
        <v>Ta</v>
      </c>
      <c r="K247" s="107" t="str">
        <f>INDEX(SignSym,MOD(B247+MATCH(J247,SignSym,FALSE)-1,12)+1)</f>
        <v>Ar</v>
      </c>
      <c r="L247" s="107" t="str">
        <f>INDEX(SignSym,MOD(B247+MATCH(K247,SignSym,FALSE)-1,12)+1)</f>
        <v>Pi</v>
      </c>
      <c r="M247" s="107" t="str">
        <f>INDEX(SignSym,MOD(B247+MATCH(L247,SignSym,FALSE)-1,12)+1)</f>
        <v>Aq</v>
      </c>
      <c r="N247" s="107" t="str">
        <f>INDEX(SignSym,MOD(B247+MATCH(M247,SignSym,FALSE)-1,12)+1)</f>
        <v>Cp</v>
      </c>
      <c r="O247" s="107" t="str">
        <f>INDEX(SignSym,MOD(B247+MATCH(N247,SignSym,FALSE)-1,12)+1)</f>
        <v>Sg</v>
      </c>
      <c r="P247" s="107" t="str">
        <f>INDEX(SignSym,MOD(B247+MATCH(O247,SignSym,FALSE)-1,12)+1)</f>
        <v>Sc</v>
      </c>
      <c r="Q247" s="107" t="str">
        <f>INDEX(SignSym,MOD(B247+MATCH(P247,SignSym,FALSE)-1,12)+1)</f>
        <v>Li</v>
      </c>
      <c r="R247" s="107" t="str">
        <f>INDEX(SignSym,MOD(B247+MATCH(Q247,SignSym,FALSE)-1,12)+1)</f>
        <v>Vi</v>
      </c>
      <c r="S247" s="107" t="str">
        <f>INDEX(SignSym,MOD(B247+MATCH(R247,SignSym,FALSE)-1,12)+1)</f>
        <v>Le</v>
      </c>
    </row>
    <row r="248" spans="1:19" s="107" customFormat="1" ht="12.75" hidden="1" customHeight="1" x14ac:dyDescent="0.2">
      <c r="C248" s="518"/>
      <c r="D248" s="518"/>
      <c r="F248" s="519"/>
      <c r="G248" s="519"/>
      <c r="H248" s="519" t="e">
        <f>F247</f>
        <v>#N/A</v>
      </c>
      <c r="I248" s="519" t="e">
        <f>H248+(E247*NDDaysInYEar/12)</f>
        <v>#N/A</v>
      </c>
      <c r="J248" s="519" t="e">
        <f>I248+(E247*NDDaysInYEar/12)</f>
        <v>#N/A</v>
      </c>
      <c r="K248" s="519" t="e">
        <f>J248+(E247*NDDaysInYEar/12)</f>
        <v>#N/A</v>
      </c>
      <c r="L248" s="519" t="e">
        <f>K248+(E247*NDDaysInYEar/12)</f>
        <v>#N/A</v>
      </c>
      <c r="M248" s="519" t="e">
        <f>L248+(E247*NDDaysInYEar/12)</f>
        <v>#N/A</v>
      </c>
      <c r="N248" s="519" t="e">
        <f>M248+(E247*NDDaysInYEar/12)</f>
        <v>#N/A</v>
      </c>
      <c r="O248" s="519" t="e">
        <f>N248+(E247*NDDaysInYEar/12)</f>
        <v>#N/A</v>
      </c>
      <c r="P248" s="519" t="e">
        <f>O248+(E247*NDDaysInYEar/12)</f>
        <v>#N/A</v>
      </c>
      <c r="Q248" s="519" t="e">
        <f>P248+(E247*NDDaysInYEar/12)</f>
        <v>#N/A</v>
      </c>
      <c r="R248" s="519" t="e">
        <f>Q248+(E247*NDDaysInYEar/12)</f>
        <v>#N/A</v>
      </c>
      <c r="S248" s="519" t="e">
        <f>R248+(E247*NDDaysInYEar/12)</f>
        <v>#N/A</v>
      </c>
    </row>
    <row r="249" spans="1:19" s="107" customFormat="1" x14ac:dyDescent="0.2">
      <c r="A249" s="107" t="str">
        <f>VLOOKUP(C242,NDasaSeq,9,FALSE)</f>
        <v>Sc</v>
      </c>
      <c r="B249" s="107">
        <f>VLOOKUP(A249,NDasaC,3,FALSE)</f>
        <v>1</v>
      </c>
      <c r="C249" s="518" t="e">
        <f>IF(MATCH(VLOOKUP(IF((A249="Aq"),VLOOKUP("AqLord",DivCharts,D241,FALSE),IF((A249="Sc"),VLOOKUP("ScLord",DivCharts,D241,FALSE),VLOOKUP(A249,RsInfo,9,FALSE))),DivCharts,D241,FALSE),RsTbl,0)=MATCH(VLOOKUP(IF((A249="Aq"),VLOOKUP("AqLord",DivCharts,D241,FALSE),IF((A249="Sc"),VLOOKUP("ScLord",DivCharts,D241,FALSE),VLOOKUP(A249,RsInfo,9,FALSE))),PlanetData,8,FALSE),RsTbl,0),1,IF(MATCH(VLOOKUP(IF((A249="Aq"),VLOOKUP("AqLord",DivCharts,D241,FALSE),IF((A249="Sc"),VLOOKUP("ScLord",DivCharts,D241,FALSE),VLOOKUP(A249,RsInfo,9,FALSE))),DivCharts,D241,FALSE),RsTbl,0)=MOD(MATCH(VLOOKUP(IF((A249="Aq"),VLOOKUP("AqLord",DivCharts,D241,FALSE),IF((A249="Sc"),VLOOKUP("ScLord",DivCharts,D241,FALSE),VLOOKUP(A249,RsInfo,9,FALSE))),PlanetData,8,FALSE),RsTbl,0)+6,12),-1,0))</f>
        <v>#N/A</v>
      </c>
      <c r="D249" s="518">
        <f>MOD((MATCH(VLOOKUP(IF((A249="Aq"),VLOOKUP("AqLord",DivCharts,D241,FALSE),IF((A249="Sc"),VLOOKUP("ScLord",DivCharts,D241,FALSE),VLOOKUP(A249,RsInfo,9,FALSE))),DivCharts,D241,FALSE),RsTbl,0)*B249)-(B249*MATCH(A249,RsTbl,0))+12,12)</f>
        <v>7</v>
      </c>
      <c r="E249" s="107" t="e">
        <f>IF(ISNA(MATCH((D249+C249),,0)),(D249+C249),12)</f>
        <v>#N/A</v>
      </c>
      <c r="F249" s="519" t="e">
        <f>G247</f>
        <v>#N/A</v>
      </c>
      <c r="G249" s="519" t="e">
        <f>F249+E249*NDDaysInYEar</f>
        <v>#N/A</v>
      </c>
      <c r="H249" s="510" t="str">
        <f>A249</f>
        <v>Sc</v>
      </c>
      <c r="I249" s="107" t="str">
        <f>INDEX(SignSym,MOD(B249+MATCH(H249,SignSym,FALSE)-1,12)+1)</f>
        <v>Sg</v>
      </c>
      <c r="J249" s="107" t="str">
        <f>INDEX(SignSym,MOD(B249+MATCH(I249,SignSym,FALSE)-1,12)+1)</f>
        <v>Cp</v>
      </c>
      <c r="K249" s="107" t="str">
        <f>INDEX(SignSym,MOD(B249+MATCH(J249,SignSym,FALSE)-1,12)+1)</f>
        <v>Aq</v>
      </c>
      <c r="L249" s="107" t="str">
        <f>INDEX(SignSym,MOD(B249+MATCH(K249,SignSym,FALSE)-1,12)+1)</f>
        <v>Pi</v>
      </c>
      <c r="M249" s="107" t="str">
        <f>INDEX(SignSym,MOD(B249+MATCH(L249,SignSym,FALSE)-1,12)+1)</f>
        <v>Ar</v>
      </c>
      <c r="N249" s="107" t="str">
        <f>INDEX(SignSym,MOD(B249+MATCH(M249,SignSym,FALSE)-1,12)+1)</f>
        <v>Ta</v>
      </c>
      <c r="O249" s="107" t="str">
        <f>INDEX(SignSym,MOD(B249+MATCH(N249,SignSym,FALSE)-1,12)+1)</f>
        <v>Ge</v>
      </c>
      <c r="P249" s="107" t="str">
        <f>INDEX(SignSym,MOD(B249+MATCH(O249,SignSym,FALSE)-1,12)+1)</f>
        <v>Cn</v>
      </c>
      <c r="Q249" s="107" t="str">
        <f>INDEX(SignSym,MOD(B249+MATCH(P249,SignSym,FALSE)-1,12)+1)</f>
        <v>Le</v>
      </c>
      <c r="R249" s="107" t="str">
        <f>INDEX(SignSym,MOD(B249+MATCH(Q249,SignSym,FALSE)-1,12)+1)</f>
        <v>Vi</v>
      </c>
      <c r="S249" s="107" t="str">
        <f>INDEX(SignSym,MOD(B249+MATCH(R249,SignSym,FALSE)-1,12)+1)</f>
        <v>Li</v>
      </c>
    </row>
    <row r="250" spans="1:19" s="107" customFormat="1" ht="12.75" hidden="1" customHeight="1" x14ac:dyDescent="0.2">
      <c r="C250" s="518"/>
      <c r="D250" s="518"/>
      <c r="F250" s="519"/>
      <c r="G250" s="519"/>
      <c r="H250" s="519" t="e">
        <f>F249</f>
        <v>#N/A</v>
      </c>
      <c r="I250" s="519" t="e">
        <f>H250+(E249*NDDaysInYEar/12)</f>
        <v>#N/A</v>
      </c>
      <c r="J250" s="519" t="e">
        <f>I250+(E249*NDDaysInYEar/12)</f>
        <v>#N/A</v>
      </c>
      <c r="K250" s="519" t="e">
        <f>J250+(E249*NDDaysInYEar/12)</f>
        <v>#N/A</v>
      </c>
      <c r="L250" s="519" t="e">
        <f>K250+(E249*NDDaysInYEar/12)</f>
        <v>#N/A</v>
      </c>
      <c r="M250" s="519" t="e">
        <f>L250+(E249*NDDaysInYEar/12)</f>
        <v>#N/A</v>
      </c>
      <c r="N250" s="519" t="e">
        <f>M250+(E249*NDDaysInYEar/12)</f>
        <v>#N/A</v>
      </c>
      <c r="O250" s="519" t="e">
        <f>N250+(E249*NDDaysInYEar/12)</f>
        <v>#N/A</v>
      </c>
      <c r="P250" s="519" t="e">
        <f>O250+(E249*NDDaysInYEar/12)</f>
        <v>#N/A</v>
      </c>
      <c r="Q250" s="519" t="e">
        <f>P250+(E249*NDDaysInYEar/12)</f>
        <v>#N/A</v>
      </c>
      <c r="R250" s="519" t="e">
        <f>Q250+(E249*NDDaysInYEar/12)</f>
        <v>#N/A</v>
      </c>
      <c r="S250" s="519" t="e">
        <f>R250+(E249*NDDaysInYEar/12)</f>
        <v>#N/A</v>
      </c>
    </row>
    <row r="251" spans="1:19" s="107" customFormat="1" x14ac:dyDescent="0.2">
      <c r="A251" s="107" t="str">
        <f>VLOOKUP(C242,NDasaSeq,10,FALSE)</f>
        <v>Sg</v>
      </c>
      <c r="B251" s="107">
        <f>VLOOKUP(A251,NDasaC,3,FALSE)</f>
        <v>1</v>
      </c>
      <c r="C251" s="518" t="e">
        <f>IF(MATCH(VLOOKUP(IF((A251="Aq"),VLOOKUP("AqLord",DivCharts,D241,FALSE),IF((A251="Sc"),VLOOKUP("ScLord",DivCharts,D241,FALSE),VLOOKUP(A251,RsInfo,9,FALSE))),DivCharts,D241,FALSE),RsTbl,0)=MATCH(VLOOKUP(IF((A251="Aq"),VLOOKUP("AqLord",DivCharts,D241,FALSE),IF((A251="Sc"),VLOOKUP("ScLord",DivCharts,D241,FALSE),VLOOKUP(A251,RsInfo,9,FALSE))),PlanetData,8,FALSE),RsTbl,0),1,IF(MATCH(VLOOKUP(IF((A251="Aq"),VLOOKUP("AqLord",DivCharts,D241,FALSE),IF((A251="Sc"),VLOOKUP("ScLord",DivCharts,D241,FALSE),VLOOKUP(A251,RsInfo,9,FALSE))),DivCharts,D241,FALSE),RsTbl,0)=MOD(MATCH(VLOOKUP(IF((A251="Aq"),VLOOKUP("AqLord",DivCharts,D241,FALSE),IF((A251="Sc"),VLOOKUP("ScLord",DivCharts,D241,FALSE),VLOOKUP(A251,RsInfo,9,FALSE))),PlanetData,8,FALSE),RsTbl,0)+6,12),-1,0))</f>
        <v>#N/A</v>
      </c>
      <c r="D251" s="518">
        <f>MOD((MATCH(VLOOKUP(IF((A251="Aq"),VLOOKUP("AqLord",DivCharts,D241,FALSE),IF((A251="Sc"),VLOOKUP("ScLord",DivCharts,D241,FALSE),VLOOKUP(A251,RsInfo,9,FALSE))),DivCharts,D241,FALSE),RsTbl,0)*B251)-(B251*MATCH(A251,RsTbl,0))+12,12)</f>
        <v>9</v>
      </c>
      <c r="E251" s="107" t="e">
        <f>IF(ISNA(MATCH((D251+C251),,0)),(D251+C251),12)</f>
        <v>#N/A</v>
      </c>
      <c r="F251" s="519" t="e">
        <f>G249</f>
        <v>#N/A</v>
      </c>
      <c r="G251" s="519" t="e">
        <f>F251+E251*NDDaysInYEar</f>
        <v>#N/A</v>
      </c>
      <c r="H251" s="510" t="str">
        <f>A251</f>
        <v>Sg</v>
      </c>
      <c r="I251" s="107" t="str">
        <f>INDEX(SignSym,MOD(B251+MATCH(H251,SignSym,FALSE)-1,12)+1)</f>
        <v>Cp</v>
      </c>
      <c r="J251" s="107" t="str">
        <f>INDEX(SignSym,MOD(B251+MATCH(I251,SignSym,FALSE)-1,12)+1)</f>
        <v>Aq</v>
      </c>
      <c r="K251" s="107" t="str">
        <f>INDEX(SignSym,MOD(B251+MATCH(J251,SignSym,FALSE)-1,12)+1)</f>
        <v>Pi</v>
      </c>
      <c r="L251" s="107" t="str">
        <f>INDEX(SignSym,MOD(B251+MATCH(K251,SignSym,FALSE)-1,12)+1)</f>
        <v>Ar</v>
      </c>
      <c r="M251" s="107" t="str">
        <f>INDEX(SignSym,MOD(B251+MATCH(L251,SignSym,FALSE)-1,12)+1)</f>
        <v>Ta</v>
      </c>
      <c r="N251" s="107" t="str">
        <f>INDEX(SignSym,MOD(B251+MATCH(M251,SignSym,FALSE)-1,12)+1)</f>
        <v>Ge</v>
      </c>
      <c r="O251" s="107" t="str">
        <f>INDEX(SignSym,MOD(B251+MATCH(N251,SignSym,FALSE)-1,12)+1)</f>
        <v>Cn</v>
      </c>
      <c r="P251" s="107" t="str">
        <f>INDEX(SignSym,MOD(B251+MATCH(O251,SignSym,FALSE)-1,12)+1)</f>
        <v>Le</v>
      </c>
      <c r="Q251" s="107" t="str">
        <f>INDEX(SignSym,MOD(B251+MATCH(P251,SignSym,FALSE)-1,12)+1)</f>
        <v>Vi</v>
      </c>
      <c r="R251" s="107" t="str">
        <f>INDEX(SignSym,MOD(B251+MATCH(Q251,SignSym,FALSE)-1,12)+1)</f>
        <v>Li</v>
      </c>
      <c r="S251" s="107" t="str">
        <f>INDEX(SignSym,MOD(B251+MATCH(R251,SignSym,FALSE)-1,12)+1)</f>
        <v>Sc</v>
      </c>
    </row>
    <row r="252" spans="1:19" s="524" customFormat="1" ht="12.75" hidden="1" customHeight="1" x14ac:dyDescent="0.2">
      <c r="C252" s="525"/>
      <c r="D252" s="525"/>
      <c r="H252" s="524" t="e">
        <f>F251</f>
        <v>#N/A</v>
      </c>
      <c r="I252" s="524" t="e">
        <f>H252+(E251*NDDaysInYEar/12)</f>
        <v>#N/A</v>
      </c>
      <c r="J252" s="524" t="e">
        <f>I252+(E251*NDDaysInYEar/12)</f>
        <v>#N/A</v>
      </c>
      <c r="K252" s="524" t="e">
        <f>J252+(E251*NDDaysInYEar/12)</f>
        <v>#N/A</v>
      </c>
      <c r="L252" s="524" t="e">
        <f>K252+(E251*NDDaysInYEar/12)</f>
        <v>#N/A</v>
      </c>
      <c r="M252" s="524" t="e">
        <f>L252+(E251*NDDaysInYEar/12)</f>
        <v>#N/A</v>
      </c>
      <c r="N252" s="524" t="e">
        <f>M252+(E251*NDDaysInYEar/12)</f>
        <v>#N/A</v>
      </c>
      <c r="O252" s="524" t="e">
        <f>N252+(E251*NDDaysInYEar/12)</f>
        <v>#N/A</v>
      </c>
      <c r="P252" s="524" t="e">
        <f>O252+(E251*NDDaysInYEar/12)</f>
        <v>#N/A</v>
      </c>
      <c r="Q252" s="524" t="e">
        <f>P252+(E251*NDDaysInYEar/12)</f>
        <v>#N/A</v>
      </c>
      <c r="R252" s="524" t="e">
        <f>Q252+(E251*NDDaysInYEar/12)</f>
        <v>#N/A</v>
      </c>
      <c r="S252" s="524" t="e">
        <f>R252+(E251*NDDaysInYEar/12)</f>
        <v>#N/A</v>
      </c>
    </row>
    <row r="253" spans="1:19" s="107" customFormat="1" x14ac:dyDescent="0.2">
      <c r="A253" s="107" t="str">
        <f>VLOOKUP(C242,NDasaSeq,11,FALSE)</f>
        <v>Ar</v>
      </c>
      <c r="B253" s="107">
        <f>VLOOKUP(A253,NDasaC,3,FALSE)</f>
        <v>1</v>
      </c>
      <c r="C253" s="518" t="e">
        <f>IF(MATCH(VLOOKUP(IF((A253="Aq"),VLOOKUP("AqLord",DivCharts,D241,FALSE),IF((A253="Sc"),VLOOKUP("ScLord",DivCharts,D241,FALSE),VLOOKUP(A253,RsInfo,9,FALSE))),DivCharts,D241,FALSE),RsTbl,0)=MATCH(VLOOKUP(IF((A253="Aq"),VLOOKUP("AqLord",DivCharts,D241,FALSE),IF((A253="Sc"),VLOOKUP("ScLord",DivCharts,D241,FALSE),VLOOKUP(A253,RsInfo,9,FALSE))),PlanetData,8,FALSE),RsTbl,0),1,IF(MATCH(VLOOKUP(IF((A253="Aq"),VLOOKUP("AqLord",DivCharts,D241,FALSE),IF((A253="Sc"),VLOOKUP("ScLord",DivCharts,D241,FALSE),VLOOKUP(A253,RsInfo,9,FALSE))),DivCharts,D241,FALSE),RsTbl,0)=MOD(MATCH(VLOOKUP(IF((A253="Aq"),VLOOKUP("AqLord",DivCharts,D241,FALSE),IF((A253="Sc"),VLOOKUP("ScLord",DivCharts,D241,FALSE),VLOOKUP(A253,RsInfo,9,FALSE))),PlanetData,8,FALSE),RsTbl,0)+6,12),-1,0))</f>
        <v>#N/A</v>
      </c>
      <c r="D253" s="518">
        <f>MOD((MATCH(VLOOKUP(IF((A253="Aq"),VLOOKUP("AqLord",DivCharts,D241,FALSE),IF((A253="Sc"),VLOOKUP("ScLord",DivCharts,D241,FALSE),VLOOKUP(A253,RsInfo,9,FALSE))),DivCharts,D241,FALSE),RsTbl,0)*B253)-(B253*MATCH(A253,RsTbl,0))+12,12)</f>
        <v>2</v>
      </c>
      <c r="E253" s="107" t="e">
        <f>IF(ISNA(MATCH((D253+C253),,0)),(D253+C253),12)</f>
        <v>#N/A</v>
      </c>
      <c r="F253" s="519" t="e">
        <f>G251</f>
        <v>#N/A</v>
      </c>
      <c r="G253" s="519" t="e">
        <f>F253+E253*NDDaysInYEar</f>
        <v>#N/A</v>
      </c>
      <c r="H253" s="510" t="str">
        <f>A253</f>
        <v>Ar</v>
      </c>
      <c r="I253" s="107" t="str">
        <f>INDEX(SignSym,MOD(B253+MATCH(H253,SignSym,FALSE)-1,12)+1)</f>
        <v>Ta</v>
      </c>
      <c r="J253" s="107" t="str">
        <f>INDEX(SignSym,MOD(B253+MATCH(I253,SignSym,FALSE)-1,12)+1)</f>
        <v>Ge</v>
      </c>
      <c r="K253" s="107" t="str">
        <f>INDEX(SignSym,MOD(B253+MATCH(J253,SignSym,FALSE)-1,12)+1)</f>
        <v>Cn</v>
      </c>
      <c r="L253" s="107" t="str">
        <f>INDEX(SignSym,MOD(B253+MATCH(K253,SignSym,FALSE)-1,12)+1)</f>
        <v>Le</v>
      </c>
      <c r="M253" s="107" t="str">
        <f>INDEX(SignSym,MOD(B253+MATCH(L253,SignSym,FALSE)-1,12)+1)</f>
        <v>Vi</v>
      </c>
      <c r="N253" s="107" t="str">
        <f>INDEX(SignSym,MOD(B253+MATCH(M253,SignSym,FALSE)-1,12)+1)</f>
        <v>Li</v>
      </c>
      <c r="O253" s="107" t="str">
        <f>INDEX(SignSym,MOD(B253+MATCH(N253,SignSym,FALSE)-1,12)+1)</f>
        <v>Sc</v>
      </c>
      <c r="P253" s="107" t="str">
        <f>INDEX(SignSym,MOD(B253+MATCH(O253,SignSym,FALSE)-1,12)+1)</f>
        <v>Sg</v>
      </c>
      <c r="Q253" s="107" t="str">
        <f>INDEX(SignSym,MOD(B253+MATCH(P253,SignSym,FALSE)-1,12)+1)</f>
        <v>Cp</v>
      </c>
      <c r="R253" s="107" t="str">
        <f>INDEX(SignSym,MOD(B253+MATCH(Q253,SignSym,FALSE)-1,12)+1)</f>
        <v>Aq</v>
      </c>
      <c r="S253" s="107" t="str">
        <f>INDEX(SignSym,MOD(B253+MATCH(R253,SignSym,FALSE)-1,12)+1)</f>
        <v>Pi</v>
      </c>
    </row>
    <row r="254" spans="1:19" s="107" customFormat="1" hidden="1" x14ac:dyDescent="0.2">
      <c r="C254" s="518"/>
      <c r="D254" s="518"/>
      <c r="F254" s="519"/>
      <c r="G254" s="519"/>
      <c r="H254" s="519" t="e">
        <f>F253</f>
        <v>#N/A</v>
      </c>
      <c r="I254" s="519" t="e">
        <f>H254+(E253*NDDaysInYEar/12)</f>
        <v>#N/A</v>
      </c>
      <c r="J254" s="519" t="e">
        <f>I254+(E253*NDDaysInYEar/12)</f>
        <v>#N/A</v>
      </c>
      <c r="K254" s="519" t="e">
        <f>J254+(E253*NDDaysInYEar/12)</f>
        <v>#N/A</v>
      </c>
      <c r="L254" s="519" t="e">
        <f>K254+(E253*NDDaysInYEar/12)</f>
        <v>#N/A</v>
      </c>
      <c r="M254" s="519" t="e">
        <f>L254+(E253*NDDaysInYEar/12)</f>
        <v>#N/A</v>
      </c>
      <c r="N254" s="519" t="e">
        <f>M254+(E253*NDDaysInYEar/12)</f>
        <v>#N/A</v>
      </c>
      <c r="O254" s="519" t="e">
        <f>N254+(E253*NDDaysInYEar/12)</f>
        <v>#N/A</v>
      </c>
      <c r="P254" s="519" t="e">
        <f>O254+(E253*NDDaysInYEar/12)</f>
        <v>#N/A</v>
      </c>
      <c r="Q254" s="519" t="e">
        <f>P254+(E253*NDDaysInYEar/12)</f>
        <v>#N/A</v>
      </c>
      <c r="R254" s="519" t="e">
        <f>Q254+(E253*NDDaysInYEar/12)</f>
        <v>#N/A</v>
      </c>
      <c r="S254" s="519" t="e">
        <f>R254+(E253*NDDaysInYEar/12)</f>
        <v>#N/A</v>
      </c>
    </row>
    <row r="255" spans="1:19" s="107" customFormat="1" x14ac:dyDescent="0.2">
      <c r="A255" s="107" t="str">
        <f>VLOOKUP(C242,NDasaSeq,12,FALSE)</f>
        <v>Le</v>
      </c>
      <c r="B255" s="107">
        <v>1</v>
      </c>
      <c r="C255" s="518" t="e">
        <f>IF(MATCH(VLOOKUP(IF((A255="Aq"),VLOOKUP("AqLord",DivCharts,D241,FALSE),IF((A255="Sc"),VLOOKUP("ScLord",DivCharts,D241,FALSE),VLOOKUP(A255,RsInfo,9,FALSE))),DivCharts,D241,FALSE),RsTbl,0)=MATCH(VLOOKUP(IF((A255="Aq"),VLOOKUP("AqLord",DivCharts,D241,FALSE),IF((A255="Sc"),VLOOKUP("ScLord",DivCharts,D241,FALSE),VLOOKUP(A255,RsInfo,9,FALSE))),PlanetData,8,FALSE),RsTbl,0),1,IF(MATCH(VLOOKUP(IF((A255="Aq"),VLOOKUP("AqLord",DivCharts,D241,FALSE),IF((A255="Sc"),VLOOKUP("ScLord",DivCharts,D241,FALSE),VLOOKUP(A255,RsInfo,9,FALSE))),DivCharts,D241,FALSE),RsTbl,0)=MOD(MATCH(VLOOKUP(IF((A255="Aq"),VLOOKUP("AqLord",DivCharts,D241,FALSE),IF((A255="Sc"),VLOOKUP("ScLord",DivCharts,D241,FALSE),VLOOKUP(A255,RsInfo,9,FALSE))),PlanetData,8,FALSE),RsTbl,0)+6,12),-1,0))</f>
        <v>#N/A</v>
      </c>
      <c r="D255" s="518">
        <f>MOD((MATCH(VLOOKUP(IF((A255="Aq"),VLOOKUP("AqLord",DivCharts,D241,FALSE),IF((A255="Sc"),VLOOKUP("ScLord",DivCharts,D241,FALSE),VLOOKUP(A255,RsInfo,9,FALSE))),DivCharts,D241,FALSE),RsTbl,0)*B255)-(B255*MATCH(A255,RsTbl,0))+12,12)</f>
        <v>2</v>
      </c>
      <c r="E255" s="107" t="e">
        <f>IF(ISNA(MATCH((D255+C255),,0)),(D255+C255),12)</f>
        <v>#N/A</v>
      </c>
      <c r="F255" s="519" t="e">
        <f>G253</f>
        <v>#N/A</v>
      </c>
      <c r="G255" s="519" t="e">
        <f>F255+E255*NDDaysInYEar</f>
        <v>#N/A</v>
      </c>
      <c r="H255" s="510" t="s">
        <v>1962</v>
      </c>
      <c r="I255" s="107" t="str">
        <f>INDEX(SignSym,MOD(B255+MATCH(H255,SignSym,FALSE)-1,12)+1)</f>
        <v>Aq</v>
      </c>
      <c r="J255" s="107" t="str">
        <f>INDEX(SignSym,MOD(B255+MATCH(I255,SignSym,FALSE)-1,12)+1)</f>
        <v>Pi</v>
      </c>
      <c r="K255" s="107" t="str">
        <f>INDEX(SignSym,MOD(B255+MATCH(J255,SignSym,FALSE)-1,12)+1)</f>
        <v>Ar</v>
      </c>
      <c r="L255" s="107" t="str">
        <f>INDEX(SignSym,MOD(B255+MATCH(K255,SignSym,FALSE)-1,12)+1)</f>
        <v>Ta</v>
      </c>
      <c r="M255" s="107" t="str">
        <f>INDEX(SignSym,MOD(B255+MATCH(L255,SignSym,FALSE)-1,12)+1)</f>
        <v>Ge</v>
      </c>
      <c r="N255" s="107" t="str">
        <f>INDEX(SignSym,MOD(B255+MATCH(M255,SignSym,FALSE)-1,12)+1)</f>
        <v>Cn</v>
      </c>
      <c r="O255" s="107" t="str">
        <f>INDEX(SignSym,MOD(B255+MATCH(N255,SignSym,FALSE)-1,12)+1)</f>
        <v>Le</v>
      </c>
      <c r="P255" s="107" t="str">
        <f>INDEX(SignSym,MOD(B255+MATCH(O255,SignSym,FALSE)-1,12)+1)</f>
        <v>Vi</v>
      </c>
      <c r="Q255" s="107" t="str">
        <f>INDEX(SignSym,MOD(B255+MATCH(P255,SignSym,FALSE)-1,12)+1)</f>
        <v>Li</v>
      </c>
      <c r="R255" s="107" t="str">
        <f>INDEX(SignSym,MOD(B255+MATCH(Q255,SignSym,FALSE)-1,12)+1)</f>
        <v>Sc</v>
      </c>
      <c r="S255" s="107" t="str">
        <f>INDEX(SignSym,MOD(B255+MATCH(R255,SignSym,FALSE)-1,12)+1)</f>
        <v>Sg</v>
      </c>
    </row>
    <row r="256" spans="1:19" s="107" customFormat="1" hidden="1" x14ac:dyDescent="0.2">
      <c r="C256" s="518"/>
      <c r="D256" s="518"/>
      <c r="F256" s="519"/>
      <c r="G256" s="519"/>
      <c r="H256" s="519" t="e">
        <f>F255</f>
        <v>#N/A</v>
      </c>
      <c r="I256" s="519" t="e">
        <f>H256+(E255*NDDaysInYEar/12)</f>
        <v>#N/A</v>
      </c>
      <c r="J256" s="519" t="e">
        <f>I256+(E255*NDDaysInYEar/12)</f>
        <v>#N/A</v>
      </c>
      <c r="K256" s="519" t="e">
        <f>J256+(E255*NDDaysInYEar/12)</f>
        <v>#N/A</v>
      </c>
      <c r="L256" s="519" t="e">
        <f>K256+(E255*NDDaysInYEar/12)</f>
        <v>#N/A</v>
      </c>
      <c r="M256" s="519" t="e">
        <f>L256+(E255*NDDaysInYEar/12)</f>
        <v>#N/A</v>
      </c>
      <c r="N256" s="519" t="e">
        <f>M256+(E255*NDDaysInYEar/12)</f>
        <v>#N/A</v>
      </c>
      <c r="O256" s="519" t="e">
        <f>N256+(E255*NDDaysInYEar/12)</f>
        <v>#N/A</v>
      </c>
      <c r="P256" s="519" t="e">
        <f>O256+(E255*NDDaysInYEar/12)</f>
        <v>#N/A</v>
      </c>
      <c r="Q256" s="519" t="e">
        <f>P256+(E255*NDDaysInYEar/12)</f>
        <v>#N/A</v>
      </c>
      <c r="R256" s="519" t="e">
        <f>Q256+(E255*NDDaysInYEar/12)</f>
        <v>#N/A</v>
      </c>
      <c r="S256" s="519" t="e">
        <f>R256+(E255*NDDaysInYEar/12)</f>
        <v>#N/A</v>
      </c>
    </row>
    <row r="257" spans="1:19" s="107" customFormat="1" x14ac:dyDescent="0.2">
      <c r="A257" s="107" t="str">
        <f>VLOOKUP(C242,NDasaSeq,13,FALSE)</f>
        <v>Vi</v>
      </c>
      <c r="B257" s="107">
        <f>VLOOKUP(A257,NDasaC,3,FALSE)</f>
        <v>-1</v>
      </c>
      <c r="C257" s="518" t="e">
        <f>IF(MATCH(VLOOKUP(IF((A257="Aq"),VLOOKUP("AqLord",DivCharts,D241,FALSE),IF((A257="Sc"),VLOOKUP("ScLord",DivCharts,D241,FALSE),VLOOKUP(A257,RsInfo,9,FALSE))),DivCharts,D241,FALSE),RsTbl,0)=MATCH(VLOOKUP(IF((A257="Aq"),VLOOKUP("AqLord",DivCharts,D241,FALSE),IF((A257="Sc"),VLOOKUP("ScLord",DivCharts,D241,FALSE),VLOOKUP(A257,RsInfo,9,FALSE))),PlanetData,8,FALSE),RsTbl,0),1,IF(MATCH(VLOOKUP(IF((A257="Aq"),VLOOKUP("AqLord",DivCharts,D241,FALSE),IF((A257="Sc"),VLOOKUP("ScLord",DivCharts,D241,FALSE),VLOOKUP(A257,RsInfo,9,FALSE))),DivCharts,D241,FALSE),RsTbl,0)=MOD(MATCH(VLOOKUP(IF((A257="Aq"),VLOOKUP("AqLord",DivCharts,D241,FALSE),IF((A257="Sc"),VLOOKUP("ScLord",DivCharts,D241,FALSE),VLOOKUP(A257,RsInfo,9,FALSE))),PlanetData,8,FALSE),RsTbl,0)+6,12),-1,0))</f>
        <v>#N/A</v>
      </c>
      <c r="D257" s="518">
        <f>MOD((MATCH(VLOOKUP(IF((A257="Aq"),VLOOKUP("AqLord",DivCharts,D241,FALSE),IF((A257="Sc"),VLOOKUP("ScLord",DivCharts,D241,FALSE),VLOOKUP(A257,RsInfo,9,FALSE))),DivCharts,D241,FALSE),RsTbl,0)*B257)-(B257*MATCH(A257,RsTbl,0))+12,12)</f>
        <v>3</v>
      </c>
      <c r="E257" s="107" t="e">
        <f>IF(ISNA(MATCH((D257+C257),,0)),(D257+C257),12)</f>
        <v>#N/A</v>
      </c>
      <c r="F257" s="519" t="e">
        <f>G255</f>
        <v>#N/A</v>
      </c>
      <c r="G257" s="519" t="e">
        <f>F257+E257*NDDaysInYEar</f>
        <v>#N/A</v>
      </c>
      <c r="H257" s="510" t="s">
        <v>1974</v>
      </c>
      <c r="I257" s="107" t="str">
        <f>INDEX(SignSym,MOD(B257+MATCH(H257,SignSym,FALSE)-1,12)+1)</f>
        <v>Cp</v>
      </c>
      <c r="J257" s="107" t="str">
        <f>INDEX(SignSym,MOD(B257+MATCH(I257,SignSym,FALSE)-1,12)+1)</f>
        <v>Sg</v>
      </c>
      <c r="K257" s="107" t="str">
        <f>INDEX(SignSym,MOD(B257+MATCH(J257,SignSym,FALSE)-1,12)+1)</f>
        <v>Sc</v>
      </c>
      <c r="L257" s="107" t="str">
        <f>INDEX(SignSym,MOD(B257+MATCH(K257,SignSym,FALSE)-1,12)+1)</f>
        <v>Li</v>
      </c>
      <c r="M257" s="107" t="str">
        <f>INDEX(SignSym,MOD(B257+MATCH(L257,SignSym,FALSE)-1,12)+1)</f>
        <v>Vi</v>
      </c>
      <c r="N257" s="107" t="str">
        <f>INDEX(SignSym,MOD(B257+MATCH(M257,SignSym,FALSE)-1,12)+1)</f>
        <v>Le</v>
      </c>
      <c r="O257" s="107" t="str">
        <f>INDEX(SignSym,MOD(B257+MATCH(N257,SignSym,FALSE)-1,12)+1)</f>
        <v>Cn</v>
      </c>
      <c r="P257" s="107" t="str">
        <f>INDEX(SignSym,MOD(B257+MATCH(O257,SignSym,FALSE)-1,12)+1)</f>
        <v>Ge</v>
      </c>
      <c r="Q257" s="107" t="str">
        <f>INDEX(SignSym,MOD(B257+MATCH(P257,SignSym,FALSE)-1,12)+1)</f>
        <v>Ta</v>
      </c>
      <c r="R257" s="107" t="str">
        <f>INDEX(SignSym,MOD(B257+MATCH(Q257,SignSym,FALSE)-1,12)+1)</f>
        <v>Ar</v>
      </c>
      <c r="S257" s="107" t="str">
        <f>INDEX(SignSym,MOD(B257+MATCH(R257,SignSym,FALSE)-1,12)+1)</f>
        <v>Pi</v>
      </c>
    </row>
    <row r="258" spans="1:19" s="107" customFormat="1" hidden="1" x14ac:dyDescent="0.2">
      <c r="C258" s="518"/>
      <c r="D258" s="518"/>
      <c r="F258" s="519"/>
      <c r="G258" s="519"/>
      <c r="H258" s="519" t="e">
        <f>F257</f>
        <v>#N/A</v>
      </c>
      <c r="I258" s="519" t="e">
        <f>H258+(E257*NDDaysInYEar/12)</f>
        <v>#N/A</v>
      </c>
      <c r="J258" s="519" t="e">
        <f>I258+(E257*NDDaysInYEar/12)</f>
        <v>#N/A</v>
      </c>
      <c r="K258" s="519" t="e">
        <f>J258+(E257*NDDaysInYEar/12)</f>
        <v>#N/A</v>
      </c>
      <c r="L258" s="519" t="e">
        <f>K258+(E257*NDDaysInYEar/12)</f>
        <v>#N/A</v>
      </c>
      <c r="M258" s="519" t="e">
        <f>L258+(E257*NDDaysInYEar/12)</f>
        <v>#N/A</v>
      </c>
      <c r="N258" s="519" t="e">
        <f>M258+(E257*NDDaysInYEar/12)</f>
        <v>#N/A</v>
      </c>
      <c r="O258" s="519" t="e">
        <f>N258+(E257*NDDaysInYEar/12)</f>
        <v>#N/A</v>
      </c>
      <c r="P258" s="519" t="e">
        <f>O258+(E257*NDDaysInYEar/12)</f>
        <v>#N/A</v>
      </c>
      <c r="Q258" s="519" t="e">
        <f>P258+(E257*NDDaysInYEar/12)</f>
        <v>#N/A</v>
      </c>
      <c r="R258" s="519" t="e">
        <f>Q258+(E257*NDDaysInYEar/12)</f>
        <v>#N/A</v>
      </c>
      <c r="S258" s="519" t="e">
        <f>R258+(E257*NDDaysInYEar/12)</f>
        <v>#N/A</v>
      </c>
    </row>
    <row r="259" spans="1:19" s="107" customFormat="1" x14ac:dyDescent="0.2">
      <c r="A259" s="107" t="str">
        <f>VLOOKUP(C242,NDasaSeq,14,FALSE)</f>
        <v>Cp</v>
      </c>
      <c r="B259" s="107">
        <f>VLOOKUP(A259,NDasaC,3,FALSE)</f>
        <v>-1</v>
      </c>
      <c r="C259" s="518" t="e">
        <f>IF(MATCH(VLOOKUP(IF((A259="Aq"),VLOOKUP("AqLord",DivCharts,D241,FALSE),IF((A259="Sc"),VLOOKUP("ScLord",DivCharts,D241,FALSE),VLOOKUP(A259,RsInfo,9,FALSE))),DivCharts,D241,FALSE),RsTbl,0)=MATCH(VLOOKUP(IF((A259="Aq"),VLOOKUP("AqLord",DivCharts,D241,FALSE),IF((A259="Sc"),VLOOKUP("ScLord",DivCharts,D241,FALSE),VLOOKUP(A259,RsInfo,9,FALSE))),PlanetData,8,FALSE),RsTbl,0),1,IF(MATCH(VLOOKUP(IF((A259="Aq"),VLOOKUP("AqLord",DivCharts,D241,FALSE),IF((A259="Sc"),VLOOKUP("ScLord",DivCharts,D241,FALSE),VLOOKUP(A259,RsInfo,9,FALSE))),DivCharts,D241,FALSE),RsTbl,0)=MOD(MATCH(VLOOKUP(IF((A259="Aq"),VLOOKUP("AqLord",DivCharts,D241,FALSE),IF((A259="Sc"),VLOOKUP("ScLord",DivCharts,D241,FALSE),VLOOKUP(A259,RsInfo,9,FALSE))),PlanetData,8,FALSE),RsTbl,0)+6,12),-1,0))</f>
        <v>#N/A</v>
      </c>
      <c r="D259" s="518">
        <f>MOD((MATCH(VLOOKUP(IF((A259="Aq"),VLOOKUP("AqLord",DivCharts,D241,FALSE),IF((A259="Sc"),VLOOKUP("ScLord",DivCharts,D241,FALSE),VLOOKUP(A259,RsInfo,9,FALSE))),DivCharts,D241,FALSE),RsTbl,0)*B259)-(B259*MATCH(A259,RsTbl,0))+12,12)</f>
        <v>0</v>
      </c>
      <c r="E259" s="107" t="e">
        <f>IF(ISNA(MATCH((D259+C259),,0)),(D259+C259),12)</f>
        <v>#N/A</v>
      </c>
      <c r="F259" s="519" t="e">
        <f>G257</f>
        <v>#N/A</v>
      </c>
      <c r="G259" s="519" t="e">
        <f>F259+E259*NDDaysInYEar</f>
        <v>#N/A</v>
      </c>
      <c r="H259" s="510" t="s">
        <v>1953</v>
      </c>
      <c r="I259" s="107" t="str">
        <f>INDEX(SignSym,MOD(B259+MATCH(H259,SignSym,FALSE)-1,12)+1)</f>
        <v>Ar</v>
      </c>
      <c r="J259" s="107" t="str">
        <f>INDEX(SignSym,MOD(B259+MATCH(I259,SignSym,FALSE)-1,12)+1)</f>
        <v>Pi</v>
      </c>
      <c r="K259" s="107" t="str">
        <f>INDEX(SignSym,MOD(B259+MATCH(J259,SignSym,FALSE)-1,12)+1)</f>
        <v>Aq</v>
      </c>
      <c r="L259" s="107" t="str">
        <f>INDEX(SignSym,MOD(B259+MATCH(K259,SignSym,FALSE)-1,12)+1)</f>
        <v>Cp</v>
      </c>
      <c r="M259" s="107" t="str">
        <f>INDEX(SignSym,MOD(B259+MATCH(L259,SignSym,FALSE)-1,12)+1)</f>
        <v>Sg</v>
      </c>
      <c r="N259" s="107" t="str">
        <f>INDEX(SignSym,MOD(B259+MATCH(M259,SignSym,FALSE)-1,12)+1)</f>
        <v>Sc</v>
      </c>
      <c r="O259" s="107" t="str">
        <f>INDEX(SignSym,MOD(B259+MATCH(N259,SignSym,FALSE)-1,12)+1)</f>
        <v>Li</v>
      </c>
      <c r="P259" s="107" t="str">
        <f>INDEX(SignSym,MOD(B259+MATCH(O259,SignSym,FALSE)-1,12)+1)</f>
        <v>Vi</v>
      </c>
      <c r="Q259" s="107" t="str">
        <f>INDEX(SignSym,MOD(B259+MATCH(P259,SignSym,FALSE)-1,12)+1)</f>
        <v>Le</v>
      </c>
      <c r="R259" s="107" t="str">
        <f>INDEX(SignSym,MOD(B259+MATCH(Q259,SignSym,FALSE)-1,12)+1)</f>
        <v>Cn</v>
      </c>
      <c r="S259" s="107" t="str">
        <f>INDEX(SignSym,MOD(B259+MATCH(R259,SignSym,FALSE)-1,12)+1)</f>
        <v>Ge</v>
      </c>
    </row>
    <row r="260" spans="1:19" s="107" customFormat="1" hidden="1" x14ac:dyDescent="0.2">
      <c r="C260" s="518"/>
      <c r="D260" s="518"/>
      <c r="F260" s="519"/>
      <c r="G260" s="519"/>
      <c r="H260" s="519" t="e">
        <f>F259</f>
        <v>#N/A</v>
      </c>
      <c r="I260" s="519" t="e">
        <f>H260+(E259*NDDaysInYEar/12)</f>
        <v>#N/A</v>
      </c>
      <c r="J260" s="519" t="e">
        <f>I260+(E259*NDDaysInYEar/12)</f>
        <v>#N/A</v>
      </c>
      <c r="K260" s="519" t="e">
        <f>J260+(E259*NDDaysInYEar/12)</f>
        <v>#N/A</v>
      </c>
      <c r="L260" s="519" t="e">
        <f>K260+(E259*NDDaysInYEar/12)</f>
        <v>#N/A</v>
      </c>
      <c r="M260" s="519" t="e">
        <f>L260+(E259*NDDaysInYEar/12)</f>
        <v>#N/A</v>
      </c>
      <c r="N260" s="519" t="e">
        <f>M260+(E259*NDDaysInYEar/12)</f>
        <v>#N/A</v>
      </c>
      <c r="O260" s="519" t="e">
        <f>N260+(E259*NDDaysInYEar/12)</f>
        <v>#N/A</v>
      </c>
      <c r="P260" s="519" t="e">
        <f>O260+(E259*NDDaysInYEar/12)</f>
        <v>#N/A</v>
      </c>
      <c r="Q260" s="519" t="e">
        <f>P260+(E259*NDDaysInYEar/12)</f>
        <v>#N/A</v>
      </c>
      <c r="R260" s="519" t="e">
        <f>Q260+(E259*NDDaysInYEar/12)</f>
        <v>#N/A</v>
      </c>
      <c r="S260" s="519" t="e">
        <f>R260+(E259*NDDaysInYEar/12)</f>
        <v>#N/A</v>
      </c>
    </row>
    <row r="261" spans="1:19" s="107" customFormat="1" x14ac:dyDescent="0.2">
      <c r="A261" s="107" t="str">
        <f>VLOOKUP(C242,NDasaSeq,15,FALSE)</f>
        <v>Ta</v>
      </c>
      <c r="B261" s="107">
        <f>VLOOKUP(A261,NDasaC,3,FALSE)</f>
        <v>1</v>
      </c>
      <c r="C261" s="518" t="e">
        <f>IF(MATCH(VLOOKUP(IF((A261="Aq"),VLOOKUP("AqLord",DivCharts,D241,FALSE),IF((A261="Sc"),VLOOKUP("ScLord",DivCharts,D241,FALSE),VLOOKUP(A261,RsInfo,9,FALSE))),DivCharts,D241,FALSE),RsTbl,0)=MATCH(VLOOKUP(IF((A261="Aq"),VLOOKUP("AqLord",DivCharts,D241,FALSE),IF((A261="Sc"),VLOOKUP("ScLord",DivCharts,D241,FALSE),VLOOKUP(A261,RsInfo,9,FALSE))),PlanetData,8,FALSE),RsTbl,0),1,IF(MATCH(VLOOKUP(IF((A261="Aq"),VLOOKUP("AqLord",DivCharts,D241,FALSE),IF((A261="Sc"),VLOOKUP("ScLord",DivCharts,D241,FALSE),VLOOKUP(A261,RsInfo,9,FALSE))),DivCharts,D241,FALSE),RsTbl,0)=MOD(MATCH(VLOOKUP(IF((A261="Aq"),VLOOKUP("AqLord",DivCharts,D241,FALSE),IF((A261="Sc"),VLOOKUP("ScLord",DivCharts,D241,FALSE),VLOOKUP(A261,RsInfo,9,FALSE))),PlanetData,8,FALSE),RsTbl,0)+6,12),-1,0))</f>
        <v>#N/A</v>
      </c>
      <c r="D261" s="518">
        <f>MOD((MATCH(VLOOKUP(IF((A261="Aq"),VLOOKUP("AqLord",DivCharts,D241,FALSE),IF((A261="Sc"),VLOOKUP("ScLord",DivCharts,D241,FALSE),VLOOKUP(A261,RsInfo,9,FALSE))),DivCharts,D241,FALSE),RsTbl,0)*B261)-(B261*MATCH(A261,RsTbl,0))+12,12)</f>
        <v>6</v>
      </c>
      <c r="E261" s="107" t="e">
        <f>IF(ISNA(MATCH((D261+C261),,0)),(D261+C261),12)</f>
        <v>#N/A</v>
      </c>
      <c r="F261" s="519" t="e">
        <f>G259</f>
        <v>#N/A</v>
      </c>
      <c r="G261" s="519" t="e">
        <f>F261+E261*NDDaysInYEar</f>
        <v>#N/A</v>
      </c>
      <c r="H261" s="510" t="str">
        <f>A261</f>
        <v>Ta</v>
      </c>
      <c r="I261" s="107" t="str">
        <f>INDEX(SignSym,MOD(B261+MATCH(H261,SignSym,FALSE)-1,12)+1)</f>
        <v>Ge</v>
      </c>
      <c r="J261" s="107" t="str">
        <f>INDEX(SignSym,MOD(B261+MATCH(I261,SignSym,FALSE)-1,12)+1)</f>
        <v>Cn</v>
      </c>
      <c r="K261" s="107" t="str">
        <f>INDEX(SignSym,MOD(B261+MATCH(J261,SignSym,FALSE)-1,12)+1)</f>
        <v>Le</v>
      </c>
      <c r="L261" s="107" t="str">
        <f>INDEX(SignSym,MOD(B261+MATCH(K261,SignSym,FALSE)-1,12)+1)</f>
        <v>Vi</v>
      </c>
      <c r="M261" s="107" t="str">
        <f>INDEX(SignSym,MOD(B261+MATCH(L261,SignSym,FALSE)-1,12)+1)</f>
        <v>Li</v>
      </c>
      <c r="N261" s="107" t="str">
        <f>INDEX(SignSym,MOD(B261+MATCH(M261,SignSym,FALSE)-1,12)+1)</f>
        <v>Sc</v>
      </c>
      <c r="O261" s="107" t="str">
        <f>INDEX(SignSym,MOD(B261+MATCH(N261,SignSym,FALSE)-1,12)+1)</f>
        <v>Sg</v>
      </c>
      <c r="P261" s="107" t="str">
        <f>INDEX(SignSym,MOD(B261+MATCH(O261,SignSym,FALSE)-1,12)+1)</f>
        <v>Cp</v>
      </c>
      <c r="Q261" s="107" t="str">
        <f>INDEX(SignSym,MOD(B261+MATCH(P261,SignSym,FALSE)-1,12)+1)</f>
        <v>Aq</v>
      </c>
      <c r="R261" s="107" t="str">
        <f>INDEX(SignSym,MOD(B261+MATCH(Q261,SignSym,FALSE)-1,12)+1)</f>
        <v>Pi</v>
      </c>
      <c r="S261" s="107" t="str">
        <f>INDEX(SignSym,MOD(B261+MATCH(R261,SignSym,FALSE)-1,12)+1)</f>
        <v>Ar</v>
      </c>
    </row>
    <row r="262" spans="1:19" s="107" customFormat="1" ht="12.75" hidden="1" customHeight="1" x14ac:dyDescent="0.2">
      <c r="C262" s="518"/>
      <c r="D262" s="518"/>
      <c r="F262" s="519"/>
      <c r="G262" s="519"/>
      <c r="H262" s="519" t="e">
        <f>F261</f>
        <v>#N/A</v>
      </c>
      <c r="I262" s="519" t="e">
        <f>H262+(E261*NDDaysInYEar/12)</f>
        <v>#N/A</v>
      </c>
      <c r="J262" s="519" t="e">
        <f>I262+(E261*NDDaysInYEar/12)</f>
        <v>#N/A</v>
      </c>
      <c r="K262" s="519" t="e">
        <f>J262+(E261*NDDaysInYEar/12)</f>
        <v>#N/A</v>
      </c>
      <c r="L262" s="519" t="e">
        <f>K262+(E261*NDDaysInYEar/12)</f>
        <v>#N/A</v>
      </c>
      <c r="M262" s="519" t="e">
        <f>L262+(E261*NDDaysInYEar/12)</f>
        <v>#N/A</v>
      </c>
      <c r="N262" s="519" t="e">
        <f>M262+(E261*NDDaysInYEar/12)</f>
        <v>#N/A</v>
      </c>
      <c r="O262" s="519" t="e">
        <f>N262+(E261*NDDaysInYEar/12)</f>
        <v>#N/A</v>
      </c>
      <c r="P262" s="519" t="e">
        <f>O262+(E261*NDDaysInYEar/12)</f>
        <v>#N/A</v>
      </c>
      <c r="Q262" s="519" t="e">
        <f>P262+(E261*NDDaysInYEar/12)</f>
        <v>#N/A</v>
      </c>
      <c r="R262" s="519" t="e">
        <f>Q262+(E261*NDDaysInYEar/12)</f>
        <v>#N/A</v>
      </c>
      <c r="S262" s="519" t="e">
        <f>R262+(E261*NDDaysInYEar/12)</f>
        <v>#N/A</v>
      </c>
    </row>
    <row r="263" spans="1:19" s="107" customFormat="1" x14ac:dyDescent="0.2">
      <c r="A263" s="107" t="str">
        <f>VLOOKUP(C242,NDasaSeq,16,FALSE)</f>
        <v>Ge</v>
      </c>
      <c r="B263" s="107">
        <f>VLOOKUP(A263,NDasaC,3,FALSE)</f>
        <v>1</v>
      </c>
      <c r="C263" s="518" t="e">
        <f>IF(MATCH(VLOOKUP(IF((A263="Aq"),VLOOKUP("AqLord",DivCharts,D241,FALSE),IF((A263="Sc"),VLOOKUP("ScLord",DivCharts,D241,FALSE),VLOOKUP(A263,RsInfo,9,FALSE))),DivCharts,D241,FALSE),RsTbl,0)=MATCH(VLOOKUP(IF((A263="Aq"),VLOOKUP("AqLord",DivCharts,D241,FALSE),IF((A263="Sc"),VLOOKUP("ScLord",DivCharts,D241,FALSE),VLOOKUP(A263,RsInfo,9,FALSE))),PlanetData,8,FALSE),RsTbl,0),1,IF(MATCH(VLOOKUP(IF((A263="Aq"),VLOOKUP("AqLord",DivCharts,D241,FALSE),IF((A263="Sc"),VLOOKUP("ScLord",DivCharts,D241,FALSE),VLOOKUP(A263,RsInfo,9,FALSE))),DivCharts,D241,FALSE),RsTbl,0)=MOD(MATCH(VLOOKUP(IF((A263="Aq"),VLOOKUP("AqLord",DivCharts,D241,FALSE),IF((A263="Sc"),VLOOKUP("ScLord",DivCharts,D241,FALSE),VLOOKUP(A263,RsInfo,9,FALSE))),PlanetData,8,FALSE),RsTbl,0)+6,12),-1,0))</f>
        <v>#N/A</v>
      </c>
      <c r="D263" s="518">
        <f>MOD((MATCH(VLOOKUP(IF((A263="Aq"),VLOOKUP("AqLord",DivCharts,D241,FALSE),IF((A263="Sc"),VLOOKUP("ScLord",DivCharts,D241,FALSE),VLOOKUP(A263,RsInfo,9,FALSE))),DivCharts,D241,FALSE),RsTbl,0)*B263)-(B263*MATCH(A263,RsTbl,0))+12,12)</f>
        <v>0</v>
      </c>
      <c r="E263" s="107" t="e">
        <f>IF(ISNA(MATCH((D263+C263),,0)),(D263+C263),12)</f>
        <v>#N/A</v>
      </c>
      <c r="F263" s="519" t="e">
        <f>G261</f>
        <v>#N/A</v>
      </c>
      <c r="G263" s="519" t="e">
        <f>F263+E263*NDDaysInYEar</f>
        <v>#N/A</v>
      </c>
      <c r="H263" s="510" t="str">
        <f>A263</f>
        <v>Ge</v>
      </c>
      <c r="I263" s="107" t="str">
        <f>INDEX(SignSym,MOD(B263+MATCH(H263,SignSym,FALSE)-1,12)+1)</f>
        <v>Cn</v>
      </c>
      <c r="J263" s="107" t="str">
        <f>INDEX(SignSym,MOD(B263+MATCH(I263,SignSym,FALSE)-1,12)+1)</f>
        <v>Le</v>
      </c>
      <c r="K263" s="107" t="str">
        <f>INDEX(SignSym,MOD(B263+MATCH(J263,SignSym,FALSE)-1,12)+1)</f>
        <v>Vi</v>
      </c>
      <c r="L263" s="107" t="str">
        <f>INDEX(SignSym,MOD(B263+MATCH(K263,SignSym,FALSE)-1,12)+1)</f>
        <v>Li</v>
      </c>
      <c r="M263" s="107" t="str">
        <f>INDEX(SignSym,MOD(B263+MATCH(L263,SignSym,FALSE)-1,12)+1)</f>
        <v>Sc</v>
      </c>
      <c r="N263" s="107" t="str">
        <f>INDEX(SignSym,MOD(B263+MATCH(M263,SignSym,FALSE)-1,12)+1)</f>
        <v>Sg</v>
      </c>
      <c r="O263" s="107" t="str">
        <f>INDEX(SignSym,MOD(B263+MATCH(N263,SignSym,FALSE)-1,12)+1)</f>
        <v>Cp</v>
      </c>
      <c r="P263" s="107" t="str">
        <f>INDEX(SignSym,MOD(B263+MATCH(O263,SignSym,FALSE)-1,12)+1)</f>
        <v>Aq</v>
      </c>
      <c r="Q263" s="107" t="str">
        <f>INDEX(SignSym,MOD(B263+MATCH(P263,SignSym,FALSE)-1,12)+1)</f>
        <v>Pi</v>
      </c>
      <c r="R263" s="107" t="str">
        <f>INDEX(SignSym,MOD(B263+MATCH(Q263,SignSym,FALSE)-1,12)+1)</f>
        <v>Ar</v>
      </c>
      <c r="S263" s="107" t="str">
        <f>INDEX(SignSym,MOD(B263+MATCH(R263,SignSym,FALSE)-1,12)+1)</f>
        <v>Ta</v>
      </c>
    </row>
    <row r="264" spans="1:19" s="107" customFormat="1" ht="12.75" hidden="1" customHeight="1" x14ac:dyDescent="0.2">
      <c r="C264" s="518"/>
      <c r="D264" s="518"/>
      <c r="F264" s="519"/>
      <c r="G264" s="519"/>
      <c r="H264" s="519" t="e">
        <f>F263</f>
        <v>#N/A</v>
      </c>
      <c r="I264" s="519" t="e">
        <f>H264+(E263*NDDaysInYEar/12)</f>
        <v>#N/A</v>
      </c>
      <c r="J264" s="519" t="e">
        <f>I264+(E263*NDDaysInYEar/12)</f>
        <v>#N/A</v>
      </c>
      <c r="K264" s="519" t="e">
        <f>J264+(E263*NDDaysInYEar/12)</f>
        <v>#N/A</v>
      </c>
      <c r="L264" s="519" t="e">
        <f>K264+(E263*NDDaysInYEar/12)</f>
        <v>#N/A</v>
      </c>
      <c r="M264" s="519" t="e">
        <f>L264+(E263*NDDaysInYEar/12)</f>
        <v>#N/A</v>
      </c>
      <c r="N264" s="519" t="e">
        <f>M264+(E263*NDDaysInYEar/12)</f>
        <v>#N/A</v>
      </c>
      <c r="O264" s="519" t="e">
        <f>N264+(E263*NDDaysInYEar/12)</f>
        <v>#N/A</v>
      </c>
      <c r="P264" s="519" t="e">
        <f>O264+(E263*NDDaysInYEar/12)</f>
        <v>#N/A</v>
      </c>
      <c r="Q264" s="519" t="e">
        <f>P264+(E263*NDDaysInYEar/12)</f>
        <v>#N/A</v>
      </c>
      <c r="R264" s="519" t="e">
        <f>Q264+(E263*NDDaysInYEar/12)</f>
        <v>#N/A</v>
      </c>
      <c r="S264" s="519" t="e">
        <f>R264+(E263*NDDaysInYEar/12)</f>
        <v>#N/A</v>
      </c>
    </row>
    <row r="265" spans="1:19" s="107" customFormat="1" x14ac:dyDescent="0.2">
      <c r="A265" s="107" t="str">
        <f>VLOOKUP(C242,NDasaSeq,17,FALSE)</f>
        <v>Li</v>
      </c>
      <c r="B265" s="107">
        <f>VLOOKUP(A265,NDasaC,3,FALSE)</f>
        <v>1</v>
      </c>
      <c r="C265" s="518" t="e">
        <f>IF(MATCH(VLOOKUP(IF((A265="Aq"),VLOOKUP("AqLord",DivCharts,D241,FALSE),IF((A265="Sc"),VLOOKUP("ScLord",DivCharts,D241,FALSE),VLOOKUP(A265,RsInfo,9,FALSE))),DivCharts,D241,FALSE),RsTbl,0)=MATCH(VLOOKUP(IF((A265="Aq"),VLOOKUP("AqLord",DivCharts,D241,FALSE),IF((A265="Sc"),VLOOKUP("ScLord",DivCharts,D241,FALSE),VLOOKUP(A265,RsInfo,9,FALSE))),PlanetData,8,FALSE),RsTbl,0),1,IF(MATCH(VLOOKUP(IF((A265="Aq"),VLOOKUP("AqLord",DivCharts,D241,FALSE),IF((A265="Sc"),VLOOKUP("ScLord",DivCharts,D241,FALSE),VLOOKUP(A265,RsInfo,9,FALSE))),DivCharts,D241,FALSE),RsTbl,0)=MOD(MATCH(VLOOKUP(IF((A265="Aq"),VLOOKUP("AqLord",DivCharts,D241,FALSE),IF((A265="Sc"),VLOOKUP("ScLord",DivCharts,D241,FALSE),VLOOKUP(A265,RsInfo,9,FALSE))),PlanetData,8,FALSE),RsTbl,0)+6,12),-1,0))</f>
        <v>#N/A</v>
      </c>
      <c r="D265" s="518">
        <f>MOD((MATCH(VLOOKUP(IF((A265="Aq"),VLOOKUP("AqLord",DivCharts,D241,FALSE),IF((A265="Sc"),VLOOKUP("ScLord",DivCharts,D241,FALSE),VLOOKUP(A265,RsInfo,9,FALSE))),DivCharts,D241,FALSE),RsTbl,0)*B265)-(B265*MATCH(A265,RsTbl,0))+12,12)</f>
        <v>1</v>
      </c>
      <c r="E265" s="107" t="e">
        <f>IF(ISNA(MATCH((D265+C265),,0)),(D265+C265),12)</f>
        <v>#N/A</v>
      </c>
      <c r="F265" s="519" t="e">
        <f>G263</f>
        <v>#N/A</v>
      </c>
      <c r="G265" s="519" t="e">
        <f>F265+E265*NDDaysInYEar</f>
        <v>#N/A</v>
      </c>
      <c r="H265" s="510" t="str">
        <f>A265</f>
        <v>Li</v>
      </c>
      <c r="I265" s="107" t="str">
        <f>INDEX(SignSym,MOD(B265+MATCH(H265,SignSym,FALSE)-1,12)+1)</f>
        <v>Sc</v>
      </c>
      <c r="J265" s="107" t="str">
        <f>INDEX(SignSym,MOD(B265+MATCH(I265,SignSym,FALSE)-1,12)+1)</f>
        <v>Sg</v>
      </c>
      <c r="K265" s="107" t="str">
        <f>INDEX(SignSym,MOD(B265+MATCH(J265,SignSym,FALSE)-1,12)+1)</f>
        <v>Cp</v>
      </c>
      <c r="L265" s="107" t="str">
        <f>INDEX(SignSym,MOD(B265+MATCH(K265,SignSym,FALSE)-1,12)+1)</f>
        <v>Aq</v>
      </c>
      <c r="M265" s="107" t="str">
        <f>INDEX(SignSym,MOD(B265+MATCH(L265,SignSym,FALSE)-1,12)+1)</f>
        <v>Pi</v>
      </c>
      <c r="N265" s="107" t="str">
        <f>INDEX(SignSym,MOD(B265+MATCH(M265,SignSym,FALSE)-1,12)+1)</f>
        <v>Ar</v>
      </c>
      <c r="O265" s="107" t="str">
        <f>INDEX(SignSym,MOD(B265+MATCH(N265,SignSym,FALSE)-1,12)+1)</f>
        <v>Ta</v>
      </c>
      <c r="P265" s="107" t="str">
        <f>INDEX(SignSym,MOD(B265+MATCH(O265,SignSym,FALSE)-1,12)+1)</f>
        <v>Ge</v>
      </c>
      <c r="Q265" s="107" t="str">
        <f>INDEX(SignSym,MOD(B265+MATCH(P265,SignSym,FALSE)-1,12)+1)</f>
        <v>Cn</v>
      </c>
      <c r="R265" s="107" t="str">
        <f>INDEX(SignSym,MOD(B265+MATCH(Q265,SignSym,FALSE)-1,12)+1)</f>
        <v>Le</v>
      </c>
      <c r="S265" s="107" t="str">
        <f>INDEX(SignSym,MOD(B265+MATCH(R265,SignSym,FALSE)-1,12)+1)</f>
        <v>Vi</v>
      </c>
    </row>
    <row r="266" spans="1:19" s="107" customFormat="1" ht="12.75" hidden="1" customHeight="1" x14ac:dyDescent="0.2">
      <c r="C266" s="518"/>
      <c r="D266" s="518"/>
      <c r="F266" s="519"/>
      <c r="G266" s="519"/>
      <c r="H266" s="519" t="e">
        <f>F265</f>
        <v>#N/A</v>
      </c>
      <c r="I266" s="519" t="e">
        <f>H266+(E265*NDDaysInYEar/12)</f>
        <v>#N/A</v>
      </c>
      <c r="J266" s="519" t="e">
        <f>I266+(E265*NDDaysInYEar/12)</f>
        <v>#N/A</v>
      </c>
      <c r="K266" s="519" t="e">
        <f>J266+(E265*NDDaysInYEar/12)</f>
        <v>#N/A</v>
      </c>
      <c r="L266" s="519" t="e">
        <f>K266+(E265*NDDaysInYEar/12)</f>
        <v>#N/A</v>
      </c>
      <c r="M266" s="519" t="e">
        <f>L266+(E265*NDDaysInYEar/12)</f>
        <v>#N/A</v>
      </c>
      <c r="N266" s="519" t="e">
        <f>M266+(E265*NDDaysInYEar/12)</f>
        <v>#N/A</v>
      </c>
      <c r="O266" s="519" t="e">
        <f>N266+(E265*NDDaysInYEar/12)</f>
        <v>#N/A</v>
      </c>
      <c r="P266" s="519" t="e">
        <f>O266+(E265*NDDaysInYEar/12)</f>
        <v>#N/A</v>
      </c>
      <c r="Q266" s="519" t="e">
        <f>P266+(E265*NDDaysInYEar/12)</f>
        <v>#N/A</v>
      </c>
      <c r="R266" s="519" t="e">
        <f>Q266+(E265*NDDaysInYEar/12)</f>
        <v>#N/A</v>
      </c>
      <c r="S266" s="519" t="e">
        <f>R266+(E265*NDDaysInYEar/12)</f>
        <v>#N/A</v>
      </c>
    </row>
    <row r="267" spans="1:19" s="107" customFormat="1" x14ac:dyDescent="0.2">
      <c r="A267" s="107" t="str">
        <f>VLOOKUP(C242,NDasaSeq,18,FALSE)</f>
        <v>Aq</v>
      </c>
      <c r="B267" s="107">
        <f>VLOOKUP(A267,NDasaC,3,FALSE)</f>
        <v>-1</v>
      </c>
      <c r="C267" s="518" t="e">
        <f>IF(MATCH(VLOOKUP(IF((A267="Aq"),VLOOKUP("AqLord",DivCharts,D241,FALSE),IF((A267="Sc"),VLOOKUP("ScLord",DivCharts,D241,FALSE),VLOOKUP(A267,RsInfo,9,FALSE))),DivCharts,D241,FALSE),RsTbl,0)=MATCH(VLOOKUP(IF((A267="Aq"),VLOOKUP("AqLord",DivCharts,D241,FALSE),IF((A267="Sc"),VLOOKUP("ScLord",DivCharts,D241,FALSE),VLOOKUP(A267,RsInfo,9,FALSE))),PlanetData,8,FALSE),RsTbl,0),1,IF(MATCH(VLOOKUP(IF((A267="Aq"),VLOOKUP("AqLord",DivCharts,D241,FALSE),IF((A267="Sc"),VLOOKUP("ScLord",DivCharts,D241,FALSE),VLOOKUP(A267,RsInfo,9,FALSE))),DivCharts,D241,FALSE),RsTbl,0)=MOD(MATCH(VLOOKUP(IF((A267="Aq"),VLOOKUP("AqLord",DivCharts,D241,FALSE),IF((A267="Sc"),VLOOKUP("ScLord",DivCharts,D241,FALSE),VLOOKUP(A267,RsInfo,9,FALSE))),PlanetData,8,FALSE),RsTbl,0)+6,12),-1,0))</f>
        <v>#N/A</v>
      </c>
      <c r="D267" s="518">
        <f>MOD((MATCH(VLOOKUP(IF((A267="Aq"),VLOOKUP("AqLord",DivCharts,D241,FALSE),IF((A267="Sc"),VLOOKUP("ScLord",DivCharts,D241,FALSE),VLOOKUP(A267,RsInfo,9,FALSE))),DivCharts,D241,FALSE),RsTbl,0)*B267)-(B267*MATCH(A267,RsTbl,0))+12,12)</f>
        <v>1</v>
      </c>
      <c r="E267" s="107" t="e">
        <f>IF(ISNA(MATCH((D267+C267),,0)),(D267+C267),12)</f>
        <v>#N/A</v>
      </c>
      <c r="F267" s="519" t="e">
        <f>G265</f>
        <v>#N/A</v>
      </c>
      <c r="G267" s="519" t="e">
        <f>F267+E267*NDDaysInYEar</f>
        <v>#N/A</v>
      </c>
      <c r="H267" s="510" t="str">
        <f>A267</f>
        <v>Aq</v>
      </c>
      <c r="I267" s="107" t="str">
        <f>INDEX(SignSym,MOD(B267+MATCH(H267,SignSym,FALSE)-1,12)+1)</f>
        <v>Cp</v>
      </c>
      <c r="J267" s="107" t="str">
        <f>INDEX(SignSym,MOD(B267+MATCH(I267,SignSym,FALSE)-1,12)+1)</f>
        <v>Sg</v>
      </c>
      <c r="K267" s="107" t="str">
        <f>INDEX(SignSym,MOD(B267+MATCH(J267,SignSym,FALSE)-1,12)+1)</f>
        <v>Sc</v>
      </c>
      <c r="L267" s="107" t="str">
        <f>INDEX(SignSym,MOD(B267+MATCH(K267,SignSym,FALSE)-1,12)+1)</f>
        <v>Li</v>
      </c>
      <c r="M267" s="107" t="str">
        <f>INDEX(SignSym,MOD(B267+MATCH(L267,SignSym,FALSE)-1,12)+1)</f>
        <v>Vi</v>
      </c>
      <c r="N267" s="107" t="str">
        <f>INDEX(SignSym,MOD(B267+MATCH(M267,SignSym,FALSE)-1,12)+1)</f>
        <v>Le</v>
      </c>
      <c r="O267" s="107" t="str">
        <f>INDEX(SignSym,MOD(B267+MATCH(N267,SignSym,FALSE)-1,12)+1)</f>
        <v>Cn</v>
      </c>
      <c r="P267" s="107" t="str">
        <f>INDEX(SignSym,MOD(B267+MATCH(O267,SignSym,FALSE)-1,12)+1)</f>
        <v>Ge</v>
      </c>
      <c r="Q267" s="107" t="str">
        <f>INDEX(SignSym,MOD(B267+MATCH(P267,SignSym,FALSE)-1,12)+1)</f>
        <v>Ta</v>
      </c>
      <c r="R267" s="107" t="str">
        <f>INDEX(SignSym,MOD(B267+MATCH(Q267,SignSym,FALSE)-1,12)+1)</f>
        <v>Ar</v>
      </c>
      <c r="S267" s="107" t="str">
        <f>INDEX(SignSym,MOD(B267+MATCH(R267,SignSym,FALSE)-1,12)+1)</f>
        <v>Pi</v>
      </c>
    </row>
    <row r="268" spans="1:19" s="107" customFormat="1" hidden="1" x14ac:dyDescent="0.2">
      <c r="D268" s="518"/>
      <c r="H268" s="519" t="e">
        <f>F267</f>
        <v>#N/A</v>
      </c>
      <c r="I268" s="519" t="e">
        <f>H268+(E267*NDDaysInYEar/12)</f>
        <v>#N/A</v>
      </c>
      <c r="J268" s="519" t="e">
        <f>I268+(E267*NDDaysInYEar/12)</f>
        <v>#N/A</v>
      </c>
      <c r="K268" s="519" t="e">
        <f>J268+(E267*NDDaysInYEar/12)</f>
        <v>#N/A</v>
      </c>
      <c r="L268" s="519" t="e">
        <f>K268+(E267*NDDaysInYEar/12)</f>
        <v>#N/A</v>
      </c>
      <c r="M268" s="519" t="e">
        <f>L268+(E267*NDDaysInYEar/12)</f>
        <v>#N/A</v>
      </c>
      <c r="N268" s="519" t="e">
        <f>M268+(E267*NDDaysInYEar/12)</f>
        <v>#N/A</v>
      </c>
      <c r="O268" s="519" t="e">
        <f>N268+(E267*NDDaysInYEar/12)</f>
        <v>#N/A</v>
      </c>
      <c r="P268" s="519" t="e">
        <f>O268+(E267*NDDaysInYEar/12)</f>
        <v>#N/A</v>
      </c>
      <c r="Q268" s="519" t="e">
        <f>P268+(E267*NDDaysInYEar/12)</f>
        <v>#N/A</v>
      </c>
      <c r="R268" s="519" t="e">
        <f>Q268+(E267*NDDaysInYEar/12)</f>
        <v>#N/A</v>
      </c>
      <c r="S268" s="519" t="e">
        <f>R268+(E267*NDDaysInYEar/12)</f>
        <v>#N/A</v>
      </c>
    </row>
    <row r="269" spans="1:19" s="107" customFormat="1" x14ac:dyDescent="0.2">
      <c r="A269" s="520"/>
      <c r="B269" s="520"/>
      <c r="C269" s="520"/>
      <c r="D269" s="520"/>
      <c r="E269" s="520"/>
      <c r="F269" s="520"/>
      <c r="G269" s="520"/>
      <c r="H269" s="520"/>
      <c r="I269" s="520"/>
      <c r="J269" s="520"/>
      <c r="K269" s="520"/>
      <c r="L269" s="520"/>
      <c r="M269" s="520"/>
      <c r="N269" s="520"/>
      <c r="O269" s="520"/>
      <c r="P269" s="520"/>
      <c r="Q269" s="520"/>
      <c r="R269" s="520"/>
      <c r="S269" s="520"/>
    </row>
    <row r="270" spans="1:19" s="107" customFormat="1" hidden="1" x14ac:dyDescent="0.2">
      <c r="H270" s="519"/>
      <c r="I270" s="519"/>
      <c r="J270" s="519"/>
      <c r="K270" s="519"/>
      <c r="L270" s="519"/>
      <c r="M270" s="519"/>
      <c r="N270" s="519"/>
      <c r="O270" s="519"/>
      <c r="P270" s="519"/>
      <c r="Q270" s="519"/>
      <c r="R270" s="519"/>
      <c r="S270" s="519"/>
    </row>
    <row r="271" spans="1:19" s="107" customFormat="1" x14ac:dyDescent="0.2"/>
    <row r="272" spans="1:19" x14ac:dyDescent="0.2">
      <c r="A272" s="504" t="s">
        <v>1437</v>
      </c>
      <c r="B272" s="505"/>
      <c r="C272" s="505"/>
      <c r="D272" s="505"/>
      <c r="E272" s="505"/>
      <c r="F272" s="505"/>
      <c r="G272" s="505"/>
      <c r="H272" s="505"/>
      <c r="I272" s="505"/>
      <c r="J272" s="505"/>
      <c r="K272" s="505"/>
      <c r="L272" s="506"/>
      <c r="M272" s="505"/>
      <c r="N272" s="505"/>
      <c r="O272" s="505"/>
      <c r="P272" s="505"/>
      <c r="Q272" s="505"/>
      <c r="R272" s="505"/>
      <c r="S272" s="505"/>
    </row>
    <row r="273" spans="1:19" s="107" customFormat="1" x14ac:dyDescent="0.2">
      <c r="A273" s="1574" t="s">
        <v>1429</v>
      </c>
      <c r="B273" s="1574"/>
      <c r="C273" s="507">
        <v>16</v>
      </c>
      <c r="D273" s="508">
        <f>MATCH(C273,$18:$18,1)</f>
        <v>9</v>
      </c>
      <c r="I273" s="509"/>
      <c r="N273" s="509"/>
    </row>
    <row r="274" spans="1:19" s="107" customFormat="1" x14ac:dyDescent="0.2">
      <c r="A274" s="1574" t="s">
        <v>1430</v>
      </c>
      <c r="B274" s="1574"/>
      <c r="C274" s="510" t="s">
        <v>1993</v>
      </c>
      <c r="D274" s="511"/>
      <c r="E274" s="512"/>
      <c r="H274" s="513"/>
      <c r="I274" s="513"/>
      <c r="J274" s="513"/>
      <c r="O274" s="514"/>
      <c r="P274" s="515"/>
      <c r="Q274" s="514"/>
    </row>
    <row r="275" spans="1:19" s="514" customFormat="1" x14ac:dyDescent="0.2">
      <c r="B275" s="516"/>
      <c r="C275" s="515"/>
      <c r="D275" s="516"/>
      <c r="E275" s="515"/>
      <c r="F275" s="516"/>
      <c r="G275" s="516"/>
      <c r="H275" s="515"/>
      <c r="I275" s="513"/>
      <c r="J275" s="513"/>
      <c r="K275" s="107"/>
      <c r="L275" s="107"/>
      <c r="M275" s="107"/>
      <c r="N275" s="107"/>
    </row>
    <row r="276" spans="1:19" s="107" customFormat="1" x14ac:dyDescent="0.2">
      <c r="A276" s="517" t="s">
        <v>1431</v>
      </c>
      <c r="B276" s="517" t="s">
        <v>1937</v>
      </c>
      <c r="C276" s="517" t="s">
        <v>1432</v>
      </c>
      <c r="D276" s="517" t="s">
        <v>1433</v>
      </c>
      <c r="E276" s="517" t="s">
        <v>1490</v>
      </c>
      <c r="F276" s="517" t="s">
        <v>2029</v>
      </c>
      <c r="G276" s="517" t="s">
        <v>2030</v>
      </c>
      <c r="H276" s="517" t="s">
        <v>1434</v>
      </c>
      <c r="I276" s="513"/>
      <c r="J276" s="513"/>
    </row>
    <row r="277" spans="1:19" s="107" customFormat="1" x14ac:dyDescent="0.2">
      <c r="A277" s="107" t="str">
        <f>VLOOKUP(C274,NDasaSeq,7,FALSE)</f>
        <v>Ge</v>
      </c>
      <c r="B277" s="107">
        <f>VLOOKUP(A277,NDasaC,3,FALSE)</f>
        <v>1</v>
      </c>
      <c r="C277" s="518" t="e">
        <f>IF(MATCH(VLOOKUP(IF((A277="Aq"),VLOOKUP("AqLord",DivCharts,D273,FALSE),IF((A277="Sc"),VLOOKUP("ScLord",DivCharts,D273,FALSE),VLOOKUP(A277,RsInfo,9,FALSE))),DivCharts,D273,FALSE),RsTbl,0)=MATCH(VLOOKUP(IF((A277="Aq"),VLOOKUP("AqLord",DivCharts,D273,FALSE),IF((A277="Sc"),VLOOKUP("ScLord",DivCharts,D273,FALSE),VLOOKUP(A277,RsInfo,9,FALSE))),PlanetData,8,FALSE),RsTbl,0),1,IF(MATCH(VLOOKUP(IF((A277="Aq"),VLOOKUP("AqLord",DivCharts,D273,FALSE),IF((A277="Sc"),VLOOKUP("ScLord",DivCharts,D273,FALSE),VLOOKUP(A277,RsInfo,9,FALSE))),DivCharts,D273,FALSE),RsTbl,0)=MOD(MATCH(VLOOKUP(IF((A277="Aq"),VLOOKUP("AqLord",DivCharts,D273,FALSE),IF((A277="Sc"),VLOOKUP("ScLord",DivCharts,D273,FALSE),VLOOKUP(A277,RsInfo,9,FALSE))),PlanetData,8,FALSE),RsTbl,0)+6,12),-1,0))</f>
        <v>#N/A</v>
      </c>
      <c r="D277" s="518">
        <f>MOD((MATCH(VLOOKUP(IF((A277="Aq"),VLOOKUP("AqLord",DivCharts,D273,FALSE),IF((A277="Sc"),VLOOKUP("ScLord",DivCharts,D273,FALSE),VLOOKUP(A277,RsInfo,9,FALSE))),DivCharts,D273,FALSE),RsTbl,0)*B277)-(B277*MATCH(A277,RsTbl,0))+12,12)</f>
        <v>0</v>
      </c>
      <c r="E277" s="107" t="e">
        <f>IF(ISNA(MATCH((D277+C277),,0)),(D277+C277),12)</f>
        <v>#N/A</v>
      </c>
      <c r="F277" s="519">
        <f>DoB</f>
        <v>26133.384143518517</v>
      </c>
      <c r="G277" s="519" t="e">
        <f>F277+E277*NDDaysInYEar</f>
        <v>#N/A</v>
      </c>
      <c r="H277" s="510" t="str">
        <f>A277</f>
        <v>Ge</v>
      </c>
      <c r="I277" s="107" t="str">
        <f>INDEX(SignSym,MOD(B277+MATCH(H277,SignSym,FALSE)-1,12)+1)</f>
        <v>Cn</v>
      </c>
      <c r="J277" s="107" t="str">
        <f>INDEX(SignSym,MOD(B277+MATCH(I277,SignSym,FALSE)-1,12)+1)</f>
        <v>Le</v>
      </c>
      <c r="K277" s="107" t="str">
        <f>INDEX(SignSym,MOD(B277+MATCH(J277,SignSym,FALSE)-1,12)+1)</f>
        <v>Vi</v>
      </c>
      <c r="L277" s="107" t="str">
        <f>INDEX(SignSym,MOD(B277+MATCH(K277,SignSym,FALSE)-1,12)+1)</f>
        <v>Li</v>
      </c>
      <c r="M277" s="107" t="str">
        <f>INDEX(SignSym,MOD(B277+MATCH(L277,SignSym,FALSE)-1,12)+1)</f>
        <v>Sc</v>
      </c>
      <c r="N277" s="107" t="str">
        <f>INDEX(SignSym,MOD(B277+MATCH(M277,SignSym,FALSE)-1,12)+1)</f>
        <v>Sg</v>
      </c>
      <c r="O277" s="107" t="str">
        <f>INDEX(SignSym,MOD(B277+MATCH(N277,SignSym,FALSE)-1,12)+1)</f>
        <v>Cp</v>
      </c>
      <c r="P277" s="107" t="str">
        <f>INDEX(SignSym,MOD(B277+MATCH(O277,SignSym,FALSE)-1,12)+1)</f>
        <v>Aq</v>
      </c>
      <c r="Q277" s="107" t="str">
        <f>INDEX(SignSym,MOD(B277+MATCH(P277,SignSym,FALSE)-1,12)+1)</f>
        <v>Pi</v>
      </c>
      <c r="R277" s="107" t="str">
        <f>INDEX(SignSym,MOD(B277+MATCH(Q277,SignSym,FALSE)-1,12)+1)</f>
        <v>Ar</v>
      </c>
      <c r="S277" s="107" t="str">
        <f>INDEX(SignSym,MOD(B277+MATCH(R277,SignSym,FALSE)-1,12)+1)</f>
        <v>Ta</v>
      </c>
    </row>
    <row r="278" spans="1:19" s="107" customFormat="1" ht="12.75" hidden="1" customHeight="1" x14ac:dyDescent="0.2">
      <c r="C278" s="518"/>
      <c r="D278" s="518"/>
      <c r="F278" s="519"/>
      <c r="G278" s="519"/>
      <c r="H278" s="519">
        <f>F277</f>
        <v>26133.384143518517</v>
      </c>
      <c r="I278" s="519" t="e">
        <f>H278+(E277*NDDaysInYEar/12)</f>
        <v>#N/A</v>
      </c>
      <c r="J278" s="519" t="e">
        <f>I278+(E277*NDDaysInYEar/12)</f>
        <v>#N/A</v>
      </c>
      <c r="K278" s="519" t="e">
        <f>J278+(E277*NDDaysInYEar/12)</f>
        <v>#N/A</v>
      </c>
      <c r="L278" s="519" t="e">
        <f>K278+(E277*NDDaysInYEar/12)</f>
        <v>#N/A</v>
      </c>
      <c r="M278" s="519" t="e">
        <f>L278+(E277*NDDaysInYEar/12)</f>
        <v>#N/A</v>
      </c>
      <c r="N278" s="519" t="e">
        <f>M278+(E277*NDDaysInYEar/12)</f>
        <v>#N/A</v>
      </c>
      <c r="O278" s="519" t="e">
        <f>N278+(E277*NDDaysInYEar/12)</f>
        <v>#N/A</v>
      </c>
      <c r="P278" s="519" t="e">
        <f>O278+(E277*NDDaysInYEar/12)</f>
        <v>#N/A</v>
      </c>
      <c r="Q278" s="519" t="e">
        <f>P278+(E277*NDDaysInYEar/12)</f>
        <v>#N/A</v>
      </c>
      <c r="R278" s="519" t="e">
        <f>Q278+(E277*NDDaysInYEar/12)</f>
        <v>#N/A</v>
      </c>
      <c r="S278" s="519" t="e">
        <f>R278+(E277*NDDaysInYEar/12)</f>
        <v>#N/A</v>
      </c>
    </row>
    <row r="279" spans="1:19" s="107" customFormat="1" x14ac:dyDescent="0.2">
      <c r="A279" s="107" t="str">
        <f>VLOOKUP(C274,NDasaSeq,8,FALSE)</f>
        <v>Aq</v>
      </c>
      <c r="B279" s="107">
        <f>VLOOKUP(A279,NDasaC,3,FALSE)</f>
        <v>-1</v>
      </c>
      <c r="C279" s="518" t="e">
        <f>IF(MATCH(VLOOKUP(IF((A279="Aq"),VLOOKUP("AqLord",DivCharts,D273,FALSE),IF((A279="Sc"),VLOOKUP("ScLord",DivCharts,D273,FALSE),VLOOKUP(A279,RsInfo,9,FALSE))),DivCharts,D273,FALSE),RsTbl,0)=MATCH(VLOOKUP(IF((A279="Aq"),VLOOKUP("AqLord",DivCharts,D273,FALSE),IF((A279="Sc"),VLOOKUP("ScLord",DivCharts,D273,FALSE),VLOOKUP(A279,RsInfo,9,FALSE))),PlanetData,8,FALSE),RsTbl,0),1,IF(MATCH(VLOOKUP(IF((A279="Aq"),VLOOKUP("AqLord",DivCharts,D273,FALSE),IF((A279="Sc"),VLOOKUP("ScLord",DivCharts,D273,FALSE),VLOOKUP(A279,RsInfo,9,FALSE))),DivCharts,D273,FALSE),RsTbl,0)=MOD(MATCH(VLOOKUP(IF((A279="Aq"),VLOOKUP("AqLord",DivCharts,D273,FALSE),IF((A279="Sc"),VLOOKUP("ScLord",DivCharts,D273,FALSE),VLOOKUP(A279,RsInfo,9,FALSE))),PlanetData,8,FALSE),RsTbl,0)+6,12),-1,0))</f>
        <v>#N/A</v>
      </c>
      <c r="D279" s="518">
        <f>MOD((MATCH(VLOOKUP(IF((A279="Aq"),VLOOKUP("AqLord",DivCharts,D273,FALSE),IF((A279="Sc"),VLOOKUP("ScLord",DivCharts,D273,FALSE),VLOOKUP(A279,RsInfo,9,FALSE))),DivCharts,D273,FALSE),RsTbl,0)*B279)-(B279*MATCH(A279,RsTbl,0))+12,12)</f>
        <v>1</v>
      </c>
      <c r="E279" s="107" t="e">
        <f>IF(ISNA(MATCH((D279+C279),,0)),(D279+C279),12)</f>
        <v>#N/A</v>
      </c>
      <c r="F279" s="519" t="e">
        <f>G277</f>
        <v>#N/A</v>
      </c>
      <c r="G279" s="519" t="e">
        <f>F279+E279*NDDaysInYEar</f>
        <v>#N/A</v>
      </c>
      <c r="H279" s="510" t="str">
        <f>A279</f>
        <v>Aq</v>
      </c>
      <c r="I279" s="107" t="str">
        <f>INDEX(SignSym,MOD(B279+MATCH(H279,SignSym,FALSE)-1,12)+1)</f>
        <v>Cp</v>
      </c>
      <c r="J279" s="107" t="str">
        <f>INDEX(SignSym,MOD(B279+MATCH(I279,SignSym,FALSE)-1,12)+1)</f>
        <v>Sg</v>
      </c>
      <c r="K279" s="107" t="str">
        <f>INDEX(SignSym,MOD(B279+MATCH(J279,SignSym,FALSE)-1,12)+1)</f>
        <v>Sc</v>
      </c>
      <c r="L279" s="107" t="str">
        <f>INDEX(SignSym,MOD(B279+MATCH(K279,SignSym,FALSE)-1,12)+1)</f>
        <v>Li</v>
      </c>
      <c r="M279" s="107" t="str">
        <f>INDEX(SignSym,MOD(B279+MATCH(L279,SignSym,FALSE)-1,12)+1)</f>
        <v>Vi</v>
      </c>
      <c r="N279" s="107" t="str">
        <f>INDEX(SignSym,MOD(B279+MATCH(M279,SignSym,FALSE)-1,12)+1)</f>
        <v>Le</v>
      </c>
      <c r="O279" s="107" t="str">
        <f>INDEX(SignSym,MOD(B279+MATCH(N279,SignSym,FALSE)-1,12)+1)</f>
        <v>Cn</v>
      </c>
      <c r="P279" s="107" t="str">
        <f>INDEX(SignSym,MOD(B279+MATCH(O279,SignSym,FALSE)-1,12)+1)</f>
        <v>Ge</v>
      </c>
      <c r="Q279" s="107" t="str">
        <f>INDEX(SignSym,MOD(B279+MATCH(P279,SignSym,FALSE)-1,12)+1)</f>
        <v>Ta</v>
      </c>
      <c r="R279" s="107" t="str">
        <f>INDEX(SignSym,MOD(B279+MATCH(Q279,SignSym,FALSE)-1,12)+1)</f>
        <v>Ar</v>
      </c>
      <c r="S279" s="107" t="str">
        <f>INDEX(SignSym,MOD(B279+MATCH(R279,SignSym,FALSE)-1,12)+1)</f>
        <v>Pi</v>
      </c>
    </row>
    <row r="280" spans="1:19" s="107" customFormat="1" ht="12.75" hidden="1" customHeight="1" x14ac:dyDescent="0.2">
      <c r="C280" s="518"/>
      <c r="D280" s="518"/>
      <c r="F280" s="519"/>
      <c r="G280" s="519"/>
      <c r="H280" s="519" t="e">
        <f>F279</f>
        <v>#N/A</v>
      </c>
      <c r="I280" s="519" t="e">
        <f>H280+(E279*NDDaysInYEar/12)</f>
        <v>#N/A</v>
      </c>
      <c r="J280" s="519" t="e">
        <f>I280+(E279*NDDaysInYEar/12)</f>
        <v>#N/A</v>
      </c>
      <c r="K280" s="519" t="e">
        <f>J280+(E279*NDDaysInYEar/12)</f>
        <v>#N/A</v>
      </c>
      <c r="L280" s="519" t="e">
        <f>K280+(E279*NDDaysInYEar/12)</f>
        <v>#N/A</v>
      </c>
      <c r="M280" s="519" t="e">
        <f>L280+(E279*NDDaysInYEar/12)</f>
        <v>#N/A</v>
      </c>
      <c r="N280" s="519" t="e">
        <f>M280+(E279*NDDaysInYEar/12)</f>
        <v>#N/A</v>
      </c>
      <c r="O280" s="519" t="e">
        <f>N280+(E279*NDDaysInYEar/12)</f>
        <v>#N/A</v>
      </c>
      <c r="P280" s="519" t="e">
        <f>O280+(E279*NDDaysInYEar/12)</f>
        <v>#N/A</v>
      </c>
      <c r="Q280" s="519" t="e">
        <f>P280+(E279*NDDaysInYEar/12)</f>
        <v>#N/A</v>
      </c>
      <c r="R280" s="519" t="e">
        <f>Q280+(E279*NDDaysInYEar/12)</f>
        <v>#N/A</v>
      </c>
      <c r="S280" s="519" t="e">
        <f>R280+(E279*NDDaysInYEar/12)</f>
        <v>#N/A</v>
      </c>
    </row>
    <row r="281" spans="1:19" s="107" customFormat="1" x14ac:dyDescent="0.2">
      <c r="A281" s="107" t="str">
        <f>VLOOKUP(C274,NDasaSeq,9,FALSE)</f>
        <v>Li</v>
      </c>
      <c r="B281" s="107">
        <f>VLOOKUP(A281,NDasaC,3,FALSE)</f>
        <v>1</v>
      </c>
      <c r="C281" s="518" t="e">
        <f>IF(MATCH(VLOOKUP(IF((A281="Aq"),VLOOKUP("AqLord",DivCharts,D273,FALSE),IF((A281="Sc"),VLOOKUP("ScLord",DivCharts,D273,FALSE),VLOOKUP(A281,RsInfo,9,FALSE))),DivCharts,D273,FALSE),RsTbl,0)=MATCH(VLOOKUP(IF((A281="Aq"),VLOOKUP("AqLord",DivCharts,D273,FALSE),IF((A281="Sc"),VLOOKUP("ScLord",DivCharts,D273,FALSE),VLOOKUP(A281,RsInfo,9,FALSE))),PlanetData,8,FALSE),RsTbl,0),1,IF(MATCH(VLOOKUP(IF((A281="Aq"),VLOOKUP("AqLord",DivCharts,D273,FALSE),IF((A281="Sc"),VLOOKUP("ScLord",DivCharts,D273,FALSE),VLOOKUP(A281,RsInfo,9,FALSE))),DivCharts,D273,FALSE),RsTbl,0)=MOD(MATCH(VLOOKUP(IF((A281="Aq"),VLOOKUP("AqLord",DivCharts,D273,FALSE),IF((A281="Sc"),VLOOKUP("ScLord",DivCharts,D273,FALSE),VLOOKUP(A281,RsInfo,9,FALSE))),PlanetData,8,FALSE),RsTbl,0)+6,12),-1,0))</f>
        <v>#N/A</v>
      </c>
      <c r="D281" s="518">
        <f>MOD((MATCH(VLOOKUP(IF((A281="Aq"),VLOOKUP("AqLord",DivCharts,D273,FALSE),IF((A281="Sc"),VLOOKUP("ScLord",DivCharts,D273,FALSE),VLOOKUP(A281,RsInfo,9,FALSE))),DivCharts,D273,FALSE),RsTbl,0)*B281)-(B281*MATCH(A281,RsTbl,0))+12,12)</f>
        <v>1</v>
      </c>
      <c r="E281" s="107" t="e">
        <f>IF(ISNA(MATCH((D281+C281),,0)),(D281+C281),12)</f>
        <v>#N/A</v>
      </c>
      <c r="F281" s="519" t="e">
        <f>G279</f>
        <v>#N/A</v>
      </c>
      <c r="G281" s="519" t="e">
        <f>F281+E281*NDDaysInYEar</f>
        <v>#N/A</v>
      </c>
      <c r="H281" s="510" t="str">
        <f>A281</f>
        <v>Li</v>
      </c>
      <c r="I281" s="107" t="str">
        <f>INDEX(SignSym,MOD(B281+MATCH(H281,SignSym,FALSE)-1,12)+1)</f>
        <v>Sc</v>
      </c>
      <c r="J281" s="107" t="str">
        <f>INDEX(SignSym,MOD(B281+MATCH(I281,SignSym,FALSE)-1,12)+1)</f>
        <v>Sg</v>
      </c>
      <c r="K281" s="107" t="str">
        <f>INDEX(SignSym,MOD(B281+MATCH(J281,SignSym,FALSE)-1,12)+1)</f>
        <v>Cp</v>
      </c>
      <c r="L281" s="107" t="str">
        <f>INDEX(SignSym,MOD(B281+MATCH(K281,SignSym,FALSE)-1,12)+1)</f>
        <v>Aq</v>
      </c>
      <c r="M281" s="107" t="str">
        <f>INDEX(SignSym,MOD(B281+MATCH(L281,SignSym,FALSE)-1,12)+1)</f>
        <v>Pi</v>
      </c>
      <c r="N281" s="107" t="str">
        <f>INDEX(SignSym,MOD(B281+MATCH(M281,SignSym,FALSE)-1,12)+1)</f>
        <v>Ar</v>
      </c>
      <c r="O281" s="107" t="str">
        <f>INDEX(SignSym,MOD(B281+MATCH(N281,SignSym,FALSE)-1,12)+1)</f>
        <v>Ta</v>
      </c>
      <c r="P281" s="107" t="str">
        <f>INDEX(SignSym,MOD(B281+MATCH(O281,SignSym,FALSE)-1,12)+1)</f>
        <v>Ge</v>
      </c>
      <c r="Q281" s="107" t="str">
        <f>INDEX(SignSym,MOD(B281+MATCH(P281,SignSym,FALSE)-1,12)+1)</f>
        <v>Cn</v>
      </c>
      <c r="R281" s="107" t="str">
        <f>INDEX(SignSym,MOD(B281+MATCH(Q281,SignSym,FALSE)-1,12)+1)</f>
        <v>Le</v>
      </c>
      <c r="S281" s="107" t="str">
        <f>INDEX(SignSym,MOD(B281+MATCH(R281,SignSym,FALSE)-1,12)+1)</f>
        <v>Vi</v>
      </c>
    </row>
    <row r="282" spans="1:19" s="107" customFormat="1" ht="12.75" hidden="1" customHeight="1" x14ac:dyDescent="0.2">
      <c r="C282" s="518"/>
      <c r="D282" s="518"/>
      <c r="F282" s="519"/>
      <c r="G282" s="519"/>
      <c r="H282" s="519" t="e">
        <f>F281</f>
        <v>#N/A</v>
      </c>
      <c r="I282" s="519" t="e">
        <f>H282+(E281*NDDaysInYEar/12)</f>
        <v>#N/A</v>
      </c>
      <c r="J282" s="519" t="e">
        <f>I282+(E281*NDDaysInYEar/12)</f>
        <v>#N/A</v>
      </c>
      <c r="K282" s="519" t="e">
        <f>J282+(E281*NDDaysInYEar/12)</f>
        <v>#N/A</v>
      </c>
      <c r="L282" s="519" t="e">
        <f>K282+(E281*NDDaysInYEar/12)</f>
        <v>#N/A</v>
      </c>
      <c r="M282" s="519" t="e">
        <f>L282+(E281*NDDaysInYEar/12)</f>
        <v>#N/A</v>
      </c>
      <c r="N282" s="519" t="e">
        <f>M282+(E281*NDDaysInYEar/12)</f>
        <v>#N/A</v>
      </c>
      <c r="O282" s="519" t="e">
        <f>N282+(E281*NDDaysInYEar/12)</f>
        <v>#N/A</v>
      </c>
      <c r="P282" s="519" t="e">
        <f>O282+(E281*NDDaysInYEar/12)</f>
        <v>#N/A</v>
      </c>
      <c r="Q282" s="519" t="e">
        <f>P282+(E281*NDDaysInYEar/12)</f>
        <v>#N/A</v>
      </c>
      <c r="R282" s="519" t="e">
        <f>Q282+(E281*NDDaysInYEar/12)</f>
        <v>#N/A</v>
      </c>
      <c r="S282" s="519" t="e">
        <f>R282+(E281*NDDaysInYEar/12)</f>
        <v>#N/A</v>
      </c>
    </row>
    <row r="283" spans="1:19" s="107" customFormat="1" x14ac:dyDescent="0.2">
      <c r="A283" s="107" t="str">
        <f>VLOOKUP(C274,NDasaSeq,10,FALSE)</f>
        <v>Vi</v>
      </c>
      <c r="B283" s="107">
        <f>VLOOKUP(A283,NDasaC,3,FALSE)</f>
        <v>-1</v>
      </c>
      <c r="C283" s="518" t="e">
        <f>IF(MATCH(VLOOKUP(IF((A283="Aq"),VLOOKUP("AqLord",DivCharts,D273,FALSE),IF((A283="Sc"),VLOOKUP("ScLord",DivCharts,D273,FALSE),VLOOKUP(A283,RsInfo,9,FALSE))),DivCharts,D273,FALSE),RsTbl,0)=MATCH(VLOOKUP(IF((A283="Aq"),VLOOKUP("AqLord",DivCharts,D273,FALSE),IF((A283="Sc"),VLOOKUP("ScLord",DivCharts,D273,FALSE),VLOOKUP(A283,RsInfo,9,FALSE))),PlanetData,8,FALSE),RsTbl,0),1,IF(MATCH(VLOOKUP(IF((A283="Aq"),VLOOKUP("AqLord",DivCharts,D273,FALSE),IF((A283="Sc"),VLOOKUP("ScLord",DivCharts,D273,FALSE),VLOOKUP(A283,RsInfo,9,FALSE))),DivCharts,D273,FALSE),RsTbl,0)=MOD(MATCH(VLOOKUP(IF((A283="Aq"),VLOOKUP("AqLord",DivCharts,D273,FALSE),IF((A283="Sc"),VLOOKUP("ScLord",DivCharts,D273,FALSE),VLOOKUP(A283,RsInfo,9,FALSE))),PlanetData,8,FALSE),RsTbl,0)+6,12),-1,0))</f>
        <v>#N/A</v>
      </c>
      <c r="D283" s="518">
        <f>MOD((MATCH(VLOOKUP(IF((A283="Aq"),VLOOKUP("AqLord",DivCharts,D273,FALSE),IF((A283="Sc"),VLOOKUP("ScLord",DivCharts,D273,FALSE),VLOOKUP(A283,RsInfo,9,FALSE))),DivCharts,D273,FALSE),RsTbl,0)*B283)-(B283*MATCH(A283,RsTbl,0))+12,12)</f>
        <v>3</v>
      </c>
      <c r="E283" s="107" t="e">
        <f>IF(ISNA(MATCH((D283+C283),,0)),(D283+C283),12)</f>
        <v>#N/A</v>
      </c>
      <c r="F283" s="519" t="e">
        <f>G281</f>
        <v>#N/A</v>
      </c>
      <c r="G283" s="519" t="e">
        <f>F283+E283*NDDaysInYEar</f>
        <v>#N/A</v>
      </c>
      <c r="H283" s="510" t="str">
        <f>A283</f>
        <v>Vi</v>
      </c>
      <c r="I283" s="107" t="str">
        <f>INDEX(SignSym,MOD(B283+MATCH(H283,SignSym,FALSE)-1,12)+1)</f>
        <v>Le</v>
      </c>
      <c r="J283" s="107" t="str">
        <f>INDEX(SignSym,MOD(B283+MATCH(I283,SignSym,FALSE)-1,12)+1)</f>
        <v>Cn</v>
      </c>
      <c r="K283" s="107" t="str">
        <f>INDEX(SignSym,MOD(B283+MATCH(J283,SignSym,FALSE)-1,12)+1)</f>
        <v>Ge</v>
      </c>
      <c r="L283" s="107" t="str">
        <f>INDEX(SignSym,MOD(B283+MATCH(K283,SignSym,FALSE)-1,12)+1)</f>
        <v>Ta</v>
      </c>
      <c r="M283" s="107" t="str">
        <f>INDEX(SignSym,MOD(B283+MATCH(L283,SignSym,FALSE)-1,12)+1)</f>
        <v>Ar</v>
      </c>
      <c r="N283" s="107" t="str">
        <f>INDEX(SignSym,MOD(B283+MATCH(M283,SignSym,FALSE)-1,12)+1)</f>
        <v>Pi</v>
      </c>
      <c r="O283" s="107" t="str">
        <f>INDEX(SignSym,MOD(B283+MATCH(N283,SignSym,FALSE)-1,12)+1)</f>
        <v>Aq</v>
      </c>
      <c r="P283" s="107" t="str">
        <f>INDEX(SignSym,MOD(B283+MATCH(O283,SignSym,FALSE)-1,12)+1)</f>
        <v>Cp</v>
      </c>
      <c r="Q283" s="107" t="str">
        <f>INDEX(SignSym,MOD(B283+MATCH(P283,SignSym,FALSE)-1,12)+1)</f>
        <v>Sg</v>
      </c>
      <c r="R283" s="107" t="str">
        <f>INDEX(SignSym,MOD(B283+MATCH(Q283,SignSym,FALSE)-1,12)+1)</f>
        <v>Sc</v>
      </c>
      <c r="S283" s="107" t="str">
        <f>INDEX(SignSym,MOD(B283+MATCH(R283,SignSym,FALSE)-1,12)+1)</f>
        <v>Li</v>
      </c>
    </row>
    <row r="284" spans="1:19" s="107" customFormat="1" ht="12.75" hidden="1" customHeight="1" x14ac:dyDescent="0.2">
      <c r="C284" s="518"/>
      <c r="D284" s="518"/>
      <c r="F284" s="519"/>
      <c r="G284" s="519"/>
      <c r="H284" s="519" t="e">
        <f>F283</f>
        <v>#N/A</v>
      </c>
      <c r="I284" s="519" t="e">
        <f>H284+(E283*NDDaysInYEar/12)</f>
        <v>#N/A</v>
      </c>
      <c r="J284" s="519" t="e">
        <f>I284+(E283*NDDaysInYEar/12)</f>
        <v>#N/A</v>
      </c>
      <c r="K284" s="519" t="e">
        <f>J284+(E283*NDDaysInYEar/12)</f>
        <v>#N/A</v>
      </c>
      <c r="L284" s="519" t="e">
        <f>K284+(E283*NDDaysInYEar/12)</f>
        <v>#N/A</v>
      </c>
      <c r="M284" s="519" t="e">
        <f>L284+(E283*NDDaysInYEar/12)</f>
        <v>#N/A</v>
      </c>
      <c r="N284" s="519" t="e">
        <f>M284+(E283*NDDaysInYEar/12)</f>
        <v>#N/A</v>
      </c>
      <c r="O284" s="519" t="e">
        <f>N284+(E283*NDDaysInYEar/12)</f>
        <v>#N/A</v>
      </c>
      <c r="P284" s="519" t="e">
        <f>O284+(E283*NDDaysInYEar/12)</f>
        <v>#N/A</v>
      </c>
      <c r="Q284" s="519" t="e">
        <f>P284+(E283*NDDaysInYEar/12)</f>
        <v>#N/A</v>
      </c>
      <c r="R284" s="519" t="e">
        <f>Q284+(E283*NDDaysInYEar/12)</f>
        <v>#N/A</v>
      </c>
      <c r="S284" s="519" t="e">
        <f>R284+(E283*NDDaysInYEar/12)</f>
        <v>#N/A</v>
      </c>
    </row>
    <row r="285" spans="1:19" s="107" customFormat="1" x14ac:dyDescent="0.2">
      <c r="A285" s="107" t="str">
        <f>VLOOKUP(C274,NDasaSeq,11,FALSE)</f>
        <v>Ta</v>
      </c>
      <c r="B285" s="107">
        <f>VLOOKUP(A285,NDasaC,3,FALSE)</f>
        <v>1</v>
      </c>
      <c r="C285" s="518" t="e">
        <f>IF(MATCH(VLOOKUP(IF((A285="Aq"),VLOOKUP("AqLord",DivCharts,D273,FALSE),IF((A285="Sc"),VLOOKUP("ScLord",DivCharts,D273,FALSE),VLOOKUP(A285,RsInfo,9,FALSE))),DivCharts,D273,FALSE),RsTbl,0)=MATCH(VLOOKUP(IF((A285="Aq"),VLOOKUP("AqLord",DivCharts,D273,FALSE),IF((A285="Sc"),VLOOKUP("ScLord",DivCharts,D273,FALSE),VLOOKUP(A285,RsInfo,9,FALSE))),PlanetData,8,FALSE),RsTbl,0),1,IF(MATCH(VLOOKUP(IF((A285="Aq"),VLOOKUP("AqLord",DivCharts,D273,FALSE),IF((A285="Sc"),VLOOKUP("ScLord",DivCharts,D273,FALSE),VLOOKUP(A285,RsInfo,9,FALSE))),DivCharts,D273,FALSE),RsTbl,0)=MOD(MATCH(VLOOKUP(IF((A285="Aq"),VLOOKUP("AqLord",DivCharts,D273,FALSE),IF((A285="Sc"),VLOOKUP("ScLord",DivCharts,D273,FALSE),VLOOKUP(A285,RsInfo,9,FALSE))),PlanetData,8,FALSE),RsTbl,0)+6,12),-1,0))</f>
        <v>#N/A</v>
      </c>
      <c r="D285" s="518">
        <f>MOD((MATCH(VLOOKUP(IF((A285="Aq"),VLOOKUP("AqLord",DivCharts,D273,FALSE),IF((A285="Sc"),VLOOKUP("ScLord",DivCharts,D273,FALSE),VLOOKUP(A285,RsInfo,9,FALSE))),DivCharts,D273,FALSE),RsTbl,0)*B285)-(B285*MATCH(A285,RsTbl,0))+12,12)</f>
        <v>6</v>
      </c>
      <c r="E285" s="107" t="e">
        <f>IF(ISNA(MATCH((D285+C285),,0)),(D285+C285),12)</f>
        <v>#N/A</v>
      </c>
      <c r="F285" s="519" t="e">
        <f>G283</f>
        <v>#N/A</v>
      </c>
      <c r="G285" s="519" t="e">
        <f>F285+E285*NDDaysInYEar</f>
        <v>#N/A</v>
      </c>
      <c r="H285" s="510" t="str">
        <f>A285</f>
        <v>Ta</v>
      </c>
      <c r="I285" s="107" t="str">
        <f>INDEX(SignSym,MOD(B285+MATCH(H285,SignSym,FALSE)-1,12)+1)</f>
        <v>Ge</v>
      </c>
      <c r="J285" s="107" t="str">
        <f>INDEX(SignSym,MOD(B285+MATCH(I285,SignSym,FALSE)-1,12)+1)</f>
        <v>Cn</v>
      </c>
      <c r="K285" s="107" t="str">
        <f>INDEX(SignSym,MOD(B285+MATCH(J285,SignSym,FALSE)-1,12)+1)</f>
        <v>Le</v>
      </c>
      <c r="L285" s="107" t="str">
        <f>INDEX(SignSym,MOD(B285+MATCH(K285,SignSym,FALSE)-1,12)+1)</f>
        <v>Vi</v>
      </c>
      <c r="M285" s="107" t="str">
        <f>INDEX(SignSym,MOD(B285+MATCH(L285,SignSym,FALSE)-1,12)+1)</f>
        <v>Li</v>
      </c>
      <c r="N285" s="107" t="str">
        <f>INDEX(SignSym,MOD(B285+MATCH(M285,SignSym,FALSE)-1,12)+1)</f>
        <v>Sc</v>
      </c>
      <c r="O285" s="107" t="str">
        <f>INDEX(SignSym,MOD(B285+MATCH(N285,SignSym,FALSE)-1,12)+1)</f>
        <v>Sg</v>
      </c>
      <c r="P285" s="107" t="str">
        <f>INDEX(SignSym,MOD(B285+MATCH(O285,SignSym,FALSE)-1,12)+1)</f>
        <v>Cp</v>
      </c>
      <c r="Q285" s="107" t="str">
        <f>INDEX(SignSym,MOD(B285+MATCH(P285,SignSym,FALSE)-1,12)+1)</f>
        <v>Aq</v>
      </c>
      <c r="R285" s="107" t="str">
        <f>INDEX(SignSym,MOD(B285+MATCH(Q285,SignSym,FALSE)-1,12)+1)</f>
        <v>Pi</v>
      </c>
      <c r="S285" s="107" t="str">
        <f>INDEX(SignSym,MOD(B285+MATCH(R285,SignSym,FALSE)-1,12)+1)</f>
        <v>Ar</v>
      </c>
    </row>
    <row r="286" spans="1:19" s="107" customFormat="1" hidden="1" x14ac:dyDescent="0.2">
      <c r="C286" s="518"/>
      <c r="D286" s="518"/>
      <c r="F286" s="519"/>
      <c r="G286" s="519"/>
      <c r="H286" s="519" t="e">
        <f>F285</f>
        <v>#N/A</v>
      </c>
      <c r="I286" s="519" t="e">
        <f>H286+(E285*NDDaysInYEar/12)</f>
        <v>#N/A</v>
      </c>
      <c r="J286" s="519" t="e">
        <f>I286+(E285*NDDaysInYEar/12)</f>
        <v>#N/A</v>
      </c>
      <c r="K286" s="519" t="e">
        <f>J286+(E285*NDDaysInYEar/12)</f>
        <v>#N/A</v>
      </c>
      <c r="L286" s="519" t="e">
        <f>K286+(E285*NDDaysInYEar/12)</f>
        <v>#N/A</v>
      </c>
      <c r="M286" s="519" t="e">
        <f>L286+(E285*NDDaysInYEar/12)</f>
        <v>#N/A</v>
      </c>
      <c r="N286" s="519" t="e">
        <f>M286+(E285*NDDaysInYEar/12)</f>
        <v>#N/A</v>
      </c>
      <c r="O286" s="519" t="e">
        <f>N286+(E285*NDDaysInYEar/12)</f>
        <v>#N/A</v>
      </c>
      <c r="P286" s="519" t="e">
        <f>O286+(E285*NDDaysInYEar/12)</f>
        <v>#N/A</v>
      </c>
      <c r="Q286" s="519" t="e">
        <f>P286+(E285*NDDaysInYEar/12)</f>
        <v>#N/A</v>
      </c>
      <c r="R286" s="519" t="e">
        <f>Q286+(E285*NDDaysInYEar/12)</f>
        <v>#N/A</v>
      </c>
      <c r="S286" s="519" t="e">
        <f>R286+(E285*NDDaysInYEar/12)</f>
        <v>#N/A</v>
      </c>
    </row>
    <row r="287" spans="1:19" s="107" customFormat="1" x14ac:dyDescent="0.2">
      <c r="A287" s="107" t="str">
        <f>VLOOKUP(C274,NDasaSeq,12,FALSE)</f>
        <v>Cp</v>
      </c>
      <c r="B287" s="107">
        <v>1</v>
      </c>
      <c r="C287" s="518" t="e">
        <f>IF(MATCH(VLOOKUP(IF((A287="Aq"),VLOOKUP("AqLord",DivCharts,D273,FALSE),IF((A287="Sc"),VLOOKUP("ScLord",DivCharts,D273,FALSE),VLOOKUP(A287,RsInfo,9,FALSE))),DivCharts,D273,FALSE),RsTbl,0)=MATCH(VLOOKUP(IF((A287="Aq"),VLOOKUP("AqLord",DivCharts,D273,FALSE),IF((A287="Sc"),VLOOKUP("ScLord",DivCharts,D273,FALSE),VLOOKUP(A287,RsInfo,9,FALSE))),PlanetData,8,FALSE),RsTbl,0),1,IF(MATCH(VLOOKUP(IF((A287="Aq"),VLOOKUP("AqLord",DivCharts,D273,FALSE),IF((A287="Sc"),VLOOKUP("ScLord",DivCharts,D273,FALSE),VLOOKUP(A287,RsInfo,9,FALSE))),DivCharts,D273,FALSE),RsTbl,0)=MOD(MATCH(VLOOKUP(IF((A287="Aq"),VLOOKUP("AqLord",DivCharts,D273,FALSE),IF((A287="Sc"),VLOOKUP("ScLord",DivCharts,D273,FALSE),VLOOKUP(A287,RsInfo,9,FALSE))),PlanetData,8,FALSE),RsTbl,0)+6,12),-1,0))</f>
        <v>#N/A</v>
      </c>
      <c r="D287" s="518">
        <f>MOD((MATCH(VLOOKUP(IF((A287="Aq"),VLOOKUP("AqLord",DivCharts,D273,FALSE),IF((A287="Sc"),VLOOKUP("ScLord",DivCharts,D273,FALSE),VLOOKUP(A287,RsInfo,9,FALSE))),DivCharts,D273,FALSE),RsTbl,0)*B287)-(B287*MATCH(A287,RsTbl,0))+12,12)</f>
        <v>0</v>
      </c>
      <c r="E287" s="107" t="e">
        <f>IF(ISNA(MATCH((D287+C287),,0)),(D287+C287),12)</f>
        <v>#N/A</v>
      </c>
      <c r="F287" s="519" t="e">
        <f>G285</f>
        <v>#N/A</v>
      </c>
      <c r="G287" s="519" t="e">
        <f>F287+E287*NDDaysInYEar</f>
        <v>#N/A</v>
      </c>
      <c r="H287" s="510" t="s">
        <v>1962</v>
      </c>
      <c r="I287" s="107" t="str">
        <f>INDEX(SignSym,MOD(B287+MATCH(H287,SignSym,FALSE)-1,12)+1)</f>
        <v>Aq</v>
      </c>
      <c r="J287" s="107" t="str">
        <f>INDEX(SignSym,MOD(B287+MATCH(I287,SignSym,FALSE)-1,12)+1)</f>
        <v>Pi</v>
      </c>
      <c r="K287" s="107" t="str">
        <f>INDEX(SignSym,MOD(B287+MATCH(J287,SignSym,FALSE)-1,12)+1)</f>
        <v>Ar</v>
      </c>
      <c r="L287" s="107" t="str">
        <f>INDEX(SignSym,MOD(B287+MATCH(K287,SignSym,FALSE)-1,12)+1)</f>
        <v>Ta</v>
      </c>
      <c r="M287" s="107" t="str">
        <f>INDEX(SignSym,MOD(B287+MATCH(L287,SignSym,FALSE)-1,12)+1)</f>
        <v>Ge</v>
      </c>
      <c r="N287" s="107" t="str">
        <f>INDEX(SignSym,MOD(B287+MATCH(M287,SignSym,FALSE)-1,12)+1)</f>
        <v>Cn</v>
      </c>
      <c r="O287" s="107" t="str">
        <f>INDEX(SignSym,MOD(B287+MATCH(N287,SignSym,FALSE)-1,12)+1)</f>
        <v>Le</v>
      </c>
      <c r="P287" s="107" t="str">
        <f>INDEX(SignSym,MOD(B287+MATCH(O287,SignSym,FALSE)-1,12)+1)</f>
        <v>Vi</v>
      </c>
      <c r="Q287" s="107" t="str">
        <f>INDEX(SignSym,MOD(B287+MATCH(P287,SignSym,FALSE)-1,12)+1)</f>
        <v>Li</v>
      </c>
      <c r="R287" s="107" t="str">
        <f>INDEX(SignSym,MOD(B287+MATCH(Q287,SignSym,FALSE)-1,12)+1)</f>
        <v>Sc</v>
      </c>
      <c r="S287" s="107" t="str">
        <f>INDEX(SignSym,MOD(B287+MATCH(R287,SignSym,FALSE)-1,12)+1)</f>
        <v>Sg</v>
      </c>
    </row>
    <row r="288" spans="1:19" s="107" customFormat="1" hidden="1" x14ac:dyDescent="0.2">
      <c r="C288" s="518"/>
      <c r="D288" s="518"/>
      <c r="F288" s="519"/>
      <c r="G288" s="519"/>
      <c r="H288" s="519" t="e">
        <f>F287</f>
        <v>#N/A</v>
      </c>
      <c r="I288" s="519" t="e">
        <f>H288+(E287*NDDaysInYEar/12)</f>
        <v>#N/A</v>
      </c>
      <c r="J288" s="519" t="e">
        <f>I288+(E287*NDDaysInYEar/12)</f>
        <v>#N/A</v>
      </c>
      <c r="K288" s="519" t="e">
        <f>J288+(E287*NDDaysInYEar/12)</f>
        <v>#N/A</v>
      </c>
      <c r="L288" s="519" t="e">
        <f>K288+(E287*NDDaysInYEar/12)</f>
        <v>#N/A</v>
      </c>
      <c r="M288" s="519" t="e">
        <f>L288+(E287*NDDaysInYEar/12)</f>
        <v>#N/A</v>
      </c>
      <c r="N288" s="526" t="e">
        <f>M288+(E287*NDDaysInYEar/12)</f>
        <v>#N/A</v>
      </c>
      <c r="O288" s="526" t="e">
        <f>N288+(E287*NDDaysInYEar/12)</f>
        <v>#N/A</v>
      </c>
      <c r="P288" s="519" t="e">
        <f>O288+(E287*NDDaysInYEar/12)</f>
        <v>#N/A</v>
      </c>
      <c r="Q288" s="519" t="e">
        <f>P288+(E287*NDDaysInYEar/12)</f>
        <v>#N/A</v>
      </c>
      <c r="R288" s="519" t="e">
        <f>Q288+(E287*NDDaysInYEar/12)</f>
        <v>#N/A</v>
      </c>
      <c r="S288" s="519" t="e">
        <f>R288+(E287*NDDaysInYEar/12)</f>
        <v>#N/A</v>
      </c>
    </row>
    <row r="289" spans="1:19" s="107" customFormat="1" x14ac:dyDescent="0.2">
      <c r="A289" s="107" t="str">
        <f>VLOOKUP(C274,NDasaSeq,13,FALSE)</f>
        <v>Sg</v>
      </c>
      <c r="B289" s="107">
        <f>VLOOKUP(A289,NDasaC,3,FALSE)</f>
        <v>1</v>
      </c>
      <c r="C289" s="518" t="e">
        <f>IF(MATCH(VLOOKUP(IF((A289="Aq"),VLOOKUP("AqLord",DivCharts,D273,FALSE),IF((A289="Sc"),VLOOKUP("ScLord",DivCharts,D273,FALSE),VLOOKUP(A289,RsInfo,9,FALSE))),DivCharts,D273,FALSE),RsTbl,0)=MATCH(VLOOKUP(IF((A289="Aq"),VLOOKUP("AqLord",DivCharts,D273,FALSE),IF((A289="Sc"),VLOOKUP("ScLord",DivCharts,D273,FALSE),VLOOKUP(A289,RsInfo,9,FALSE))),PlanetData,8,FALSE),RsTbl,0),1,IF(MATCH(VLOOKUP(IF((A289="Aq"),VLOOKUP("AqLord",DivCharts,D273,FALSE),IF((A289="Sc"),VLOOKUP("ScLord",DivCharts,D273,FALSE),VLOOKUP(A289,RsInfo,9,FALSE))),DivCharts,D273,FALSE),RsTbl,0)=MOD(MATCH(VLOOKUP(IF((A289="Aq"),VLOOKUP("AqLord",DivCharts,D273,FALSE),IF((A289="Sc"),VLOOKUP("ScLord",DivCharts,D273,FALSE),VLOOKUP(A289,RsInfo,9,FALSE))),PlanetData,8,FALSE),RsTbl,0)+6,12),-1,0))</f>
        <v>#N/A</v>
      </c>
      <c r="D289" s="518">
        <f>MOD((MATCH(VLOOKUP(IF((A289="Aq"),VLOOKUP("AqLord",DivCharts,D273,FALSE),IF((A289="Sc"),VLOOKUP("ScLord",DivCharts,D273,FALSE),VLOOKUP(A289,RsInfo,9,FALSE))),DivCharts,D273,FALSE),RsTbl,0)*B289)-(B289*MATCH(A289,RsTbl,0))+12,12)</f>
        <v>9</v>
      </c>
      <c r="E289" s="107" t="e">
        <f>IF(ISNA(MATCH((D289+C289),,0)),(D289+C289),12)</f>
        <v>#N/A</v>
      </c>
      <c r="F289" s="519" t="e">
        <f>G287</f>
        <v>#N/A</v>
      </c>
      <c r="G289" s="519" t="e">
        <f>F289+E289*NDDaysInYEar</f>
        <v>#N/A</v>
      </c>
      <c r="H289" s="510" t="s">
        <v>1974</v>
      </c>
      <c r="I289" s="107" t="str">
        <f>INDEX(SignSym,MOD(B289+MATCH(H289,SignSym,FALSE)-1,12)+1)</f>
        <v>Pi</v>
      </c>
      <c r="J289" s="107" t="str">
        <f>INDEX(SignSym,MOD(B289+MATCH(I289,SignSym,FALSE)-1,12)+1)</f>
        <v>Ar</v>
      </c>
      <c r="K289" s="107" t="str">
        <f>INDEX(SignSym,MOD(B289+MATCH(J289,SignSym,FALSE)-1,12)+1)</f>
        <v>Ta</v>
      </c>
      <c r="L289" s="107" t="str">
        <f>INDEX(SignSym,MOD(B289+MATCH(K289,SignSym,FALSE)-1,12)+1)</f>
        <v>Ge</v>
      </c>
      <c r="M289" s="107" t="str">
        <f>INDEX(SignSym,MOD(B289+MATCH(L289,SignSym,FALSE)-1,12)+1)</f>
        <v>Cn</v>
      </c>
      <c r="N289" s="107" t="str">
        <f>INDEX(SignSym,MOD(B289+MATCH(M289,SignSym,FALSE)-1,12)+1)</f>
        <v>Le</v>
      </c>
      <c r="O289" s="107" t="str">
        <f>INDEX(SignSym,MOD(B289+MATCH(N289,SignSym,FALSE)-1,12)+1)</f>
        <v>Vi</v>
      </c>
      <c r="P289" s="107" t="str">
        <f>INDEX(SignSym,MOD(B289+MATCH(O289,SignSym,FALSE)-1,12)+1)</f>
        <v>Li</v>
      </c>
      <c r="Q289" s="107" t="str">
        <f>INDEX(SignSym,MOD(B289+MATCH(P289,SignSym,FALSE)-1,12)+1)</f>
        <v>Sc</v>
      </c>
      <c r="R289" s="107" t="str">
        <f>INDEX(SignSym,MOD(B289+MATCH(Q289,SignSym,FALSE)-1,12)+1)</f>
        <v>Sg</v>
      </c>
      <c r="S289" s="107" t="str">
        <f>INDEX(SignSym,MOD(B289+MATCH(R289,SignSym,FALSE)-1,12)+1)</f>
        <v>Cp</v>
      </c>
    </row>
    <row r="290" spans="1:19" s="107" customFormat="1" hidden="1" x14ac:dyDescent="0.2">
      <c r="C290" s="518"/>
      <c r="D290" s="518"/>
      <c r="F290" s="519"/>
      <c r="G290" s="519"/>
      <c r="H290" s="519" t="e">
        <f>F289</f>
        <v>#N/A</v>
      </c>
      <c r="I290" s="519" t="e">
        <f>H290+(E289*NDDaysInYEar/12)</f>
        <v>#N/A</v>
      </c>
      <c r="J290" s="519" t="e">
        <f>I290+(E289*NDDaysInYEar/12)</f>
        <v>#N/A</v>
      </c>
      <c r="K290" s="519" t="e">
        <f>J290+(E289*NDDaysInYEar/12)</f>
        <v>#N/A</v>
      </c>
      <c r="L290" s="519" t="e">
        <f>K290+(E289*NDDaysInYEar/12)</f>
        <v>#N/A</v>
      </c>
      <c r="M290" s="519" t="e">
        <f>L290+(E289*NDDaysInYEar/12)</f>
        <v>#N/A</v>
      </c>
      <c r="N290" s="519" t="e">
        <f>M290+(E289*NDDaysInYEar/12)</f>
        <v>#N/A</v>
      </c>
      <c r="O290" s="519" t="e">
        <f>N290+(E289*NDDaysInYEar/12)</f>
        <v>#N/A</v>
      </c>
      <c r="P290" s="519" t="e">
        <f>O290+(E289*NDDaysInYEar/12)</f>
        <v>#N/A</v>
      </c>
      <c r="Q290" s="519" t="e">
        <f>P290+(E289*NDDaysInYEar/12)</f>
        <v>#N/A</v>
      </c>
      <c r="R290" s="519" t="e">
        <f>Q290+(E289*NDDaysInYEar/12)</f>
        <v>#N/A</v>
      </c>
      <c r="S290" s="519" t="e">
        <f>R290+(E289*NDDaysInYEar/12)</f>
        <v>#N/A</v>
      </c>
    </row>
    <row r="291" spans="1:19" s="107" customFormat="1" x14ac:dyDescent="0.2">
      <c r="A291" s="107" t="str">
        <f>VLOOKUP(C274,NDasaSeq,14,FALSE)</f>
        <v>Le</v>
      </c>
      <c r="B291" s="107">
        <f>VLOOKUP(A291,NDasaC,3,FALSE)</f>
        <v>-1</v>
      </c>
      <c r="C291" s="518" t="e">
        <f>IF(MATCH(VLOOKUP(IF((A291="Aq"),VLOOKUP("AqLord",DivCharts,D273,FALSE),IF((A291="Sc"),VLOOKUP("ScLord",DivCharts,D273,FALSE),VLOOKUP(A291,RsInfo,9,FALSE))),DivCharts,D273,FALSE),RsTbl,0)=MATCH(VLOOKUP(IF((A291="Aq"),VLOOKUP("AqLord",DivCharts,D273,FALSE),IF((A291="Sc"),VLOOKUP("ScLord",DivCharts,D273,FALSE),VLOOKUP(A291,RsInfo,9,FALSE))),PlanetData,8,FALSE),RsTbl,0),1,IF(MATCH(VLOOKUP(IF((A291="Aq"),VLOOKUP("AqLord",DivCharts,D273,FALSE),IF((A291="Sc"),VLOOKUP("ScLord",DivCharts,D273,FALSE),VLOOKUP(A291,RsInfo,9,FALSE))),DivCharts,D273,FALSE),RsTbl,0)=MOD(MATCH(VLOOKUP(IF((A291="Aq"),VLOOKUP("AqLord",DivCharts,D273,FALSE),IF((A291="Sc"),VLOOKUP("ScLord",DivCharts,D273,FALSE),VLOOKUP(A291,RsInfo,9,FALSE))),PlanetData,8,FALSE),RsTbl,0)+6,12),-1,0))</f>
        <v>#N/A</v>
      </c>
      <c r="D291" s="518">
        <f>MOD((MATCH(VLOOKUP(IF((A291="Aq"),VLOOKUP("AqLord",DivCharts,D273,FALSE),IF((A291="Sc"),VLOOKUP("ScLord",DivCharts,D273,FALSE),VLOOKUP(A291,RsInfo,9,FALSE))),DivCharts,D273,FALSE),RsTbl,0)*B291)-(B291*MATCH(A291,RsTbl,0))+12,12)</f>
        <v>10</v>
      </c>
      <c r="E291" s="107" t="e">
        <f>IF(ISNA(MATCH((D291+C291),,0)),(D291+C291),12)</f>
        <v>#N/A</v>
      </c>
      <c r="F291" s="519" t="e">
        <f>G289</f>
        <v>#N/A</v>
      </c>
      <c r="G291" s="519" t="e">
        <f>F291+E291*NDDaysInYEar</f>
        <v>#N/A</v>
      </c>
      <c r="H291" s="510" t="s">
        <v>1953</v>
      </c>
      <c r="I291" s="107" t="str">
        <f>INDEX(SignSym,MOD(B291+MATCH(H291,SignSym,FALSE)-1,12)+1)</f>
        <v>Ar</v>
      </c>
      <c r="J291" s="107" t="str">
        <f>INDEX(SignSym,MOD(B291+MATCH(I291,SignSym,FALSE)-1,12)+1)</f>
        <v>Pi</v>
      </c>
      <c r="K291" s="107" t="str">
        <f>INDEX(SignSym,MOD(B291+MATCH(J291,SignSym,FALSE)-1,12)+1)</f>
        <v>Aq</v>
      </c>
      <c r="L291" s="107" t="str">
        <f>INDEX(SignSym,MOD(B291+MATCH(K291,SignSym,FALSE)-1,12)+1)</f>
        <v>Cp</v>
      </c>
      <c r="M291" s="107" t="str">
        <f>INDEX(SignSym,MOD(B291+MATCH(L291,SignSym,FALSE)-1,12)+1)</f>
        <v>Sg</v>
      </c>
      <c r="N291" s="107" t="str">
        <f>INDEX(SignSym,MOD(B291+MATCH(M291,SignSym,FALSE)-1,12)+1)</f>
        <v>Sc</v>
      </c>
      <c r="O291" s="107" t="str">
        <f>INDEX(SignSym,MOD(B291+MATCH(N291,SignSym,FALSE)-1,12)+1)</f>
        <v>Li</v>
      </c>
      <c r="P291" s="107" t="str">
        <f>INDEX(SignSym,MOD(B291+MATCH(O291,SignSym,FALSE)-1,12)+1)</f>
        <v>Vi</v>
      </c>
      <c r="Q291" s="107" t="str">
        <f>INDEX(SignSym,MOD(B291+MATCH(P291,SignSym,FALSE)-1,12)+1)</f>
        <v>Le</v>
      </c>
      <c r="R291" s="107" t="str">
        <f>INDEX(SignSym,MOD(B291+MATCH(Q291,SignSym,FALSE)-1,12)+1)</f>
        <v>Cn</v>
      </c>
      <c r="S291" s="107" t="str">
        <f>INDEX(SignSym,MOD(B291+MATCH(R291,SignSym,FALSE)-1,12)+1)</f>
        <v>Ge</v>
      </c>
    </row>
    <row r="292" spans="1:19" s="107" customFormat="1" hidden="1" x14ac:dyDescent="0.2">
      <c r="C292" s="518"/>
      <c r="D292" s="518"/>
      <c r="F292" s="519"/>
      <c r="G292" s="519"/>
      <c r="H292" s="519" t="e">
        <f>F291</f>
        <v>#N/A</v>
      </c>
      <c r="I292" s="519" t="e">
        <f>H292+(E291*NDDaysInYEar/12)</f>
        <v>#N/A</v>
      </c>
      <c r="J292" s="519" t="e">
        <f>I292+(E291*NDDaysInYEar/12)</f>
        <v>#N/A</v>
      </c>
      <c r="K292" s="519" t="e">
        <f>J292+(E291*NDDaysInYEar/12)</f>
        <v>#N/A</v>
      </c>
      <c r="L292" s="519" t="e">
        <f>K292+(E291*NDDaysInYEar/12)</f>
        <v>#N/A</v>
      </c>
      <c r="M292" s="519" t="e">
        <f>L292+(E291*NDDaysInYEar/12)</f>
        <v>#N/A</v>
      </c>
      <c r="N292" s="519" t="e">
        <f>M292+(E291*NDDaysInYEar/12)</f>
        <v>#N/A</v>
      </c>
      <c r="O292" s="519" t="e">
        <f>N292+(E291*NDDaysInYEar/12)</f>
        <v>#N/A</v>
      </c>
      <c r="P292" s="519" t="e">
        <f>O292+(E291*NDDaysInYEar/12)</f>
        <v>#N/A</v>
      </c>
      <c r="Q292" s="519" t="e">
        <f>P292+(E291*NDDaysInYEar/12)</f>
        <v>#N/A</v>
      </c>
      <c r="R292" s="519" t="e">
        <f>Q292+(E291*NDDaysInYEar/12)</f>
        <v>#N/A</v>
      </c>
      <c r="S292" s="519" t="e">
        <f>R292+(E291*NDDaysInYEar/12)</f>
        <v>#N/A</v>
      </c>
    </row>
    <row r="293" spans="1:19" s="107" customFormat="1" x14ac:dyDescent="0.2">
      <c r="A293" s="107" t="str">
        <f>VLOOKUP(C274,NDasaSeq,15,FALSE)</f>
        <v>Ar</v>
      </c>
      <c r="B293" s="107">
        <f>VLOOKUP(A293,NDasaC,3,FALSE)</f>
        <v>1</v>
      </c>
      <c r="C293" s="518" t="e">
        <f>IF(MATCH(VLOOKUP(IF((A293="Aq"),VLOOKUP("AqLord",DivCharts,D273,FALSE),IF((A293="Sc"),VLOOKUP("ScLord",DivCharts,D273,FALSE),VLOOKUP(A293,RsInfo,9,FALSE))),DivCharts,D273,FALSE),RsTbl,0)=MATCH(VLOOKUP(IF((A293="Aq"),VLOOKUP("AqLord",DivCharts,D273,FALSE),IF((A293="Sc"),VLOOKUP("ScLord",DivCharts,D273,FALSE),VLOOKUP(A293,RsInfo,9,FALSE))),PlanetData,8,FALSE),RsTbl,0),1,IF(MATCH(VLOOKUP(IF((A293="Aq"),VLOOKUP("AqLord",DivCharts,D273,FALSE),IF((A293="Sc"),VLOOKUP("ScLord",DivCharts,D273,FALSE),VLOOKUP(A293,RsInfo,9,FALSE))),DivCharts,D273,FALSE),RsTbl,0)=MOD(MATCH(VLOOKUP(IF((A293="Aq"),VLOOKUP("AqLord",DivCharts,D273,FALSE),IF((A293="Sc"),VLOOKUP("ScLord",DivCharts,D273,FALSE),VLOOKUP(A293,RsInfo,9,FALSE))),PlanetData,8,FALSE),RsTbl,0)+6,12),-1,0))</f>
        <v>#N/A</v>
      </c>
      <c r="D293" s="518">
        <f>MOD((MATCH(VLOOKUP(IF((A293="Aq"),VLOOKUP("AqLord",DivCharts,D273,FALSE),IF((A293="Sc"),VLOOKUP("ScLord",DivCharts,D273,FALSE),VLOOKUP(A293,RsInfo,9,FALSE))),DivCharts,D273,FALSE),RsTbl,0)*B293)-(B293*MATCH(A293,RsTbl,0))+12,12)</f>
        <v>2</v>
      </c>
      <c r="E293" s="107" t="e">
        <f>IF(ISNA(MATCH((D293+C293),,0)),(D293+C293),12)</f>
        <v>#N/A</v>
      </c>
      <c r="F293" s="519" t="e">
        <f>G291</f>
        <v>#N/A</v>
      </c>
      <c r="G293" s="519" t="e">
        <f>F293+E293*NDDaysInYEar</f>
        <v>#N/A</v>
      </c>
      <c r="H293" s="510" t="str">
        <f>A293</f>
        <v>Ar</v>
      </c>
      <c r="I293" s="107" t="str">
        <f>INDEX(SignSym,MOD(B293+MATCH(H293,SignSym,FALSE)-1,12)+1)</f>
        <v>Ta</v>
      </c>
      <c r="J293" s="107" t="str">
        <f>INDEX(SignSym,MOD(B293+MATCH(I293,SignSym,FALSE)-1,12)+1)</f>
        <v>Ge</v>
      </c>
      <c r="K293" s="107" t="str">
        <f>INDEX(SignSym,MOD(B293+MATCH(J293,SignSym,FALSE)-1,12)+1)</f>
        <v>Cn</v>
      </c>
      <c r="L293" s="107" t="str">
        <f>INDEX(SignSym,MOD(B293+MATCH(K293,SignSym,FALSE)-1,12)+1)</f>
        <v>Le</v>
      </c>
      <c r="M293" s="107" t="str">
        <f>INDEX(SignSym,MOD(B293+MATCH(L293,SignSym,FALSE)-1,12)+1)</f>
        <v>Vi</v>
      </c>
      <c r="N293" s="107" t="str">
        <f>INDEX(SignSym,MOD(B293+MATCH(M293,SignSym,FALSE)-1,12)+1)</f>
        <v>Li</v>
      </c>
      <c r="O293" s="107" t="str">
        <f>INDEX(SignSym,MOD(B293+MATCH(N293,SignSym,FALSE)-1,12)+1)</f>
        <v>Sc</v>
      </c>
      <c r="P293" s="107" t="str">
        <f>INDEX(SignSym,MOD(B293+MATCH(O293,SignSym,FALSE)-1,12)+1)</f>
        <v>Sg</v>
      </c>
      <c r="Q293" s="107" t="str">
        <f>INDEX(SignSym,MOD(B293+MATCH(P293,SignSym,FALSE)-1,12)+1)</f>
        <v>Cp</v>
      </c>
      <c r="R293" s="107" t="str">
        <f>INDEX(SignSym,MOD(B293+MATCH(Q293,SignSym,FALSE)-1,12)+1)</f>
        <v>Aq</v>
      </c>
      <c r="S293" s="107" t="str">
        <f>INDEX(SignSym,MOD(B293+MATCH(R293,SignSym,FALSE)-1,12)+1)</f>
        <v>Pi</v>
      </c>
    </row>
    <row r="294" spans="1:19" s="107" customFormat="1" ht="12.75" hidden="1" customHeight="1" x14ac:dyDescent="0.2">
      <c r="C294" s="518"/>
      <c r="D294" s="518"/>
      <c r="F294" s="519"/>
      <c r="G294" s="519"/>
      <c r="H294" s="519" t="e">
        <f>F293</f>
        <v>#N/A</v>
      </c>
      <c r="I294" s="519" t="e">
        <f>H294+(E293*NDDaysInYEar/12)</f>
        <v>#N/A</v>
      </c>
      <c r="J294" s="519" t="e">
        <f>I294+(E293*NDDaysInYEar/12)</f>
        <v>#N/A</v>
      </c>
      <c r="K294" s="519" t="e">
        <f>J294+(E293*NDDaysInYEar/12)</f>
        <v>#N/A</v>
      </c>
      <c r="L294" s="519" t="e">
        <f>K294+(E293*NDDaysInYEar/12)</f>
        <v>#N/A</v>
      </c>
      <c r="M294" s="519" t="e">
        <f>L294+(E293*NDDaysInYEar/12)</f>
        <v>#N/A</v>
      </c>
      <c r="N294" s="519" t="e">
        <f>M294+(E293*NDDaysInYEar/12)</f>
        <v>#N/A</v>
      </c>
      <c r="O294" s="519" t="e">
        <f>N294+(E293*NDDaysInYEar/12)</f>
        <v>#N/A</v>
      </c>
      <c r="P294" s="519" t="e">
        <f>O294+(E293*NDDaysInYEar/12)</f>
        <v>#N/A</v>
      </c>
      <c r="Q294" s="519" t="e">
        <f>P294+(E293*NDDaysInYEar/12)</f>
        <v>#N/A</v>
      </c>
      <c r="R294" s="519" t="e">
        <f>Q294+(E293*NDDaysInYEar/12)</f>
        <v>#N/A</v>
      </c>
      <c r="S294" s="519" t="e">
        <f>R294+(E293*NDDaysInYEar/12)</f>
        <v>#N/A</v>
      </c>
    </row>
    <row r="295" spans="1:19" s="107" customFormat="1" x14ac:dyDescent="0.2">
      <c r="A295" s="107" t="str">
        <f>VLOOKUP(C274,NDasaSeq,16,FALSE)</f>
        <v>Pi</v>
      </c>
      <c r="B295" s="107">
        <f>VLOOKUP(A295,NDasaC,3,FALSE)</f>
        <v>-1</v>
      </c>
      <c r="C295" s="518" t="e">
        <f>IF(MATCH(VLOOKUP(IF((A295="Aq"),VLOOKUP("AqLord",DivCharts,D273,FALSE),IF((A295="Sc"),VLOOKUP("ScLord",DivCharts,D273,FALSE),VLOOKUP(A295,RsInfo,9,FALSE))),DivCharts,D273,FALSE),RsTbl,0)=MATCH(VLOOKUP(IF((A295="Aq"),VLOOKUP("AqLord",DivCharts,D273,FALSE),IF((A295="Sc"),VLOOKUP("ScLord",DivCharts,D273,FALSE),VLOOKUP(A295,RsInfo,9,FALSE))),PlanetData,8,FALSE),RsTbl,0),1,IF(MATCH(VLOOKUP(IF((A295="Aq"),VLOOKUP("AqLord",DivCharts,D273,FALSE),IF((A295="Sc"),VLOOKUP("ScLord",DivCharts,D273,FALSE),VLOOKUP(A295,RsInfo,9,FALSE))),DivCharts,D273,FALSE),RsTbl,0)=MOD(MATCH(VLOOKUP(IF((A295="Aq"),VLOOKUP("AqLord",DivCharts,D273,FALSE),IF((A295="Sc"),VLOOKUP("ScLord",DivCharts,D273,FALSE),VLOOKUP(A295,RsInfo,9,FALSE))),PlanetData,8,FALSE),RsTbl,0)+6,12),-1,0))</f>
        <v>#N/A</v>
      </c>
      <c r="D295" s="518">
        <f>MOD((MATCH(VLOOKUP(IF((A295="Aq"),VLOOKUP("AqLord",DivCharts,D273,FALSE),IF((A295="Sc"),VLOOKUP("ScLord",DivCharts,D273,FALSE),VLOOKUP(A295,RsInfo,9,FALSE))),DivCharts,D273,FALSE),RsTbl,0)*B295)-(B295*MATCH(A295,RsTbl,0))+12,12)</f>
        <v>6</v>
      </c>
      <c r="E295" s="107" t="e">
        <f>IF(ISNA(MATCH((D295+C295),,0)),(D295+C295),12)</f>
        <v>#N/A</v>
      </c>
      <c r="F295" s="519" t="e">
        <f>G293</f>
        <v>#N/A</v>
      </c>
      <c r="G295" s="519" t="e">
        <f>F295+E295*NDDaysInYEar</f>
        <v>#N/A</v>
      </c>
      <c r="H295" s="510" t="str">
        <f>A295</f>
        <v>Pi</v>
      </c>
      <c r="I295" s="107" t="str">
        <f>INDEX(SignSym,MOD(B295+MATCH(H295,SignSym,FALSE)-1,12)+1)</f>
        <v>Aq</v>
      </c>
      <c r="J295" s="107" t="str">
        <f>INDEX(SignSym,MOD(B295+MATCH(I295,SignSym,FALSE)-1,12)+1)</f>
        <v>Cp</v>
      </c>
      <c r="K295" s="107" t="str">
        <f>INDEX(SignSym,MOD(B295+MATCH(J295,SignSym,FALSE)-1,12)+1)</f>
        <v>Sg</v>
      </c>
      <c r="L295" s="107" t="str">
        <f>INDEX(SignSym,MOD(B295+MATCH(K295,SignSym,FALSE)-1,12)+1)</f>
        <v>Sc</v>
      </c>
      <c r="M295" s="107" t="str">
        <f>INDEX(SignSym,MOD(B295+MATCH(L295,SignSym,FALSE)-1,12)+1)</f>
        <v>Li</v>
      </c>
      <c r="N295" s="107" t="str">
        <f>INDEX(SignSym,MOD(B295+MATCH(M295,SignSym,FALSE)-1,12)+1)</f>
        <v>Vi</v>
      </c>
      <c r="O295" s="107" t="str">
        <f>INDEX(SignSym,MOD(B295+MATCH(N295,SignSym,FALSE)-1,12)+1)</f>
        <v>Le</v>
      </c>
      <c r="P295" s="107" t="str">
        <f>INDEX(SignSym,MOD(B295+MATCH(O295,SignSym,FALSE)-1,12)+1)</f>
        <v>Cn</v>
      </c>
      <c r="Q295" s="107" t="str">
        <f>INDEX(SignSym,MOD(B295+MATCH(P295,SignSym,FALSE)-1,12)+1)</f>
        <v>Ge</v>
      </c>
      <c r="R295" s="107" t="str">
        <f>INDEX(SignSym,MOD(B295+MATCH(Q295,SignSym,FALSE)-1,12)+1)</f>
        <v>Ta</v>
      </c>
      <c r="S295" s="107" t="str">
        <f>INDEX(SignSym,MOD(B295+MATCH(R295,SignSym,FALSE)-1,12)+1)</f>
        <v>Ar</v>
      </c>
    </row>
    <row r="296" spans="1:19" s="107" customFormat="1" ht="12.75" hidden="1" customHeight="1" x14ac:dyDescent="0.2">
      <c r="C296" s="518"/>
      <c r="D296" s="518"/>
      <c r="F296" s="519"/>
      <c r="G296" s="519"/>
      <c r="H296" s="519" t="e">
        <f>F295</f>
        <v>#N/A</v>
      </c>
      <c r="I296" s="519" t="e">
        <f>H296+(E295*NDDaysInYEar/12)</f>
        <v>#N/A</v>
      </c>
      <c r="J296" s="519" t="e">
        <f>I296+(E295*NDDaysInYEar/12)</f>
        <v>#N/A</v>
      </c>
      <c r="K296" s="519" t="e">
        <f>J296+(E295*NDDaysInYEar/12)</f>
        <v>#N/A</v>
      </c>
      <c r="L296" s="519" t="e">
        <f>K296+(E295*NDDaysInYEar/12)</f>
        <v>#N/A</v>
      </c>
      <c r="M296" s="519" t="e">
        <f>L296+(E295*NDDaysInYEar/12)</f>
        <v>#N/A</v>
      </c>
      <c r="N296" s="519" t="e">
        <f>M296+(E295*NDDaysInYEar/12)</f>
        <v>#N/A</v>
      </c>
      <c r="O296" s="519" t="e">
        <f>N296+(E295*NDDaysInYEar/12)</f>
        <v>#N/A</v>
      </c>
      <c r="P296" s="519" t="e">
        <f>O296+(E295*NDDaysInYEar/12)</f>
        <v>#N/A</v>
      </c>
      <c r="Q296" s="519" t="e">
        <f>P296+(E295*NDDaysInYEar/12)</f>
        <v>#N/A</v>
      </c>
      <c r="R296" s="519" t="e">
        <f>Q296+(E295*NDDaysInYEar/12)</f>
        <v>#N/A</v>
      </c>
      <c r="S296" s="519" t="e">
        <f>R296+(E295*NDDaysInYEar/12)</f>
        <v>#N/A</v>
      </c>
    </row>
    <row r="297" spans="1:19" s="107" customFormat="1" x14ac:dyDescent="0.2">
      <c r="A297" s="107" t="str">
        <f>VLOOKUP(C274,NDasaSeq,17,FALSE)</f>
        <v>Sc</v>
      </c>
      <c r="B297" s="107">
        <f>VLOOKUP(A297,NDasaC,3,FALSE)</f>
        <v>1</v>
      </c>
      <c r="C297" s="518" t="e">
        <f>IF(MATCH(VLOOKUP(IF((A297="Aq"),VLOOKUP("AqLord",DivCharts,D273,FALSE),IF((A297="Sc"),VLOOKUP("ScLord",DivCharts,D273,FALSE),VLOOKUP(A297,RsInfo,9,FALSE))),DivCharts,D273,FALSE),RsTbl,0)=MATCH(VLOOKUP(IF((A297="Aq"),VLOOKUP("AqLord",DivCharts,D273,FALSE),IF((A297="Sc"),VLOOKUP("ScLord",DivCharts,D273,FALSE),VLOOKUP(A297,RsInfo,9,FALSE))),PlanetData,8,FALSE),RsTbl,0),1,IF(MATCH(VLOOKUP(IF((A297="Aq"),VLOOKUP("AqLord",DivCharts,D273,FALSE),IF((A297="Sc"),VLOOKUP("ScLord",DivCharts,D273,FALSE),VLOOKUP(A297,RsInfo,9,FALSE))),DivCharts,D273,FALSE),RsTbl,0)=MOD(MATCH(VLOOKUP(IF((A297="Aq"),VLOOKUP("AqLord",DivCharts,D273,FALSE),IF((A297="Sc"),VLOOKUP("ScLord",DivCharts,D273,FALSE),VLOOKUP(A297,RsInfo,9,FALSE))),PlanetData,8,FALSE),RsTbl,0)+6,12),-1,0))</f>
        <v>#N/A</v>
      </c>
      <c r="D297" s="518">
        <f>MOD((MATCH(VLOOKUP(IF((A297="Aq"),VLOOKUP("AqLord",DivCharts,D273,FALSE),IF((A297="Sc"),VLOOKUP("ScLord",DivCharts,D273,FALSE),VLOOKUP(A297,RsInfo,9,FALSE))),DivCharts,D273,FALSE),RsTbl,0)*B297)-(B297*MATCH(A297,RsTbl,0))+12,12)</f>
        <v>7</v>
      </c>
      <c r="E297" s="107" t="e">
        <f>IF(ISNA(MATCH((D297+C297),,0)),(D297+C297),12)</f>
        <v>#N/A</v>
      </c>
      <c r="F297" s="519" t="e">
        <f>G295</f>
        <v>#N/A</v>
      </c>
      <c r="G297" s="519" t="e">
        <f>F297+E297*NDDaysInYEar</f>
        <v>#N/A</v>
      </c>
      <c r="H297" s="510" t="str">
        <f>A297</f>
        <v>Sc</v>
      </c>
      <c r="I297" s="107" t="str">
        <f>INDEX(SignSym,MOD(B297+MATCH(H297,SignSym,FALSE)-1,12)+1)</f>
        <v>Sg</v>
      </c>
      <c r="J297" s="107" t="str">
        <f>INDEX(SignSym,MOD(B297+MATCH(I297,SignSym,FALSE)-1,12)+1)</f>
        <v>Cp</v>
      </c>
      <c r="K297" s="107" t="str">
        <f>INDEX(SignSym,MOD(B297+MATCH(J297,SignSym,FALSE)-1,12)+1)</f>
        <v>Aq</v>
      </c>
      <c r="L297" s="107" t="str">
        <f>INDEX(SignSym,MOD(B297+MATCH(K297,SignSym,FALSE)-1,12)+1)</f>
        <v>Pi</v>
      </c>
      <c r="M297" s="107" t="str">
        <f>INDEX(SignSym,MOD(B297+MATCH(L297,SignSym,FALSE)-1,12)+1)</f>
        <v>Ar</v>
      </c>
      <c r="N297" s="107" t="str">
        <f>INDEX(SignSym,MOD(B297+MATCH(M297,SignSym,FALSE)-1,12)+1)</f>
        <v>Ta</v>
      </c>
      <c r="O297" s="107" t="str">
        <f>INDEX(SignSym,MOD(B297+MATCH(N297,SignSym,FALSE)-1,12)+1)</f>
        <v>Ge</v>
      </c>
      <c r="P297" s="107" t="str">
        <f>INDEX(SignSym,MOD(B297+MATCH(O297,SignSym,FALSE)-1,12)+1)</f>
        <v>Cn</v>
      </c>
      <c r="Q297" s="107" t="str">
        <f>INDEX(SignSym,MOD(B297+MATCH(P297,SignSym,FALSE)-1,12)+1)</f>
        <v>Le</v>
      </c>
      <c r="R297" s="107" t="str">
        <f>INDEX(SignSym,MOD(B297+MATCH(Q297,SignSym,FALSE)-1,12)+1)</f>
        <v>Vi</v>
      </c>
      <c r="S297" s="107" t="str">
        <f>INDEX(SignSym,MOD(B297+MATCH(R297,SignSym,FALSE)-1,12)+1)</f>
        <v>Li</v>
      </c>
    </row>
    <row r="298" spans="1:19" s="107" customFormat="1" ht="12.75" hidden="1" customHeight="1" x14ac:dyDescent="0.2">
      <c r="C298" s="518"/>
      <c r="D298" s="518"/>
      <c r="F298" s="519"/>
      <c r="G298" s="519"/>
      <c r="H298" s="519" t="e">
        <f>F297</f>
        <v>#N/A</v>
      </c>
      <c r="I298" s="519" t="e">
        <f>H298+(E297*NDDaysInYEar/12)</f>
        <v>#N/A</v>
      </c>
      <c r="J298" s="519" t="e">
        <f>I298+(E297*NDDaysInYEar/12)</f>
        <v>#N/A</v>
      </c>
      <c r="K298" s="519" t="e">
        <f>J298+(E297*NDDaysInYEar/12)</f>
        <v>#N/A</v>
      </c>
      <c r="L298" s="519" t="e">
        <f>K298+(E297*NDDaysInYEar/12)</f>
        <v>#N/A</v>
      </c>
      <c r="M298" s="519" t="e">
        <f>L298+(E297*NDDaysInYEar/12)</f>
        <v>#N/A</v>
      </c>
      <c r="N298" s="519" t="e">
        <f>M298+(E297*NDDaysInYEar/12)</f>
        <v>#N/A</v>
      </c>
      <c r="O298" s="519" t="e">
        <f>N298+(E297*NDDaysInYEar/12)</f>
        <v>#N/A</v>
      </c>
      <c r="P298" s="519" t="e">
        <f>O298+(E297*NDDaysInYEar/12)</f>
        <v>#N/A</v>
      </c>
      <c r="Q298" s="519" t="e">
        <f>P298+(E297*NDDaysInYEar/12)</f>
        <v>#N/A</v>
      </c>
      <c r="R298" s="519" t="e">
        <f>Q298+(E297*NDDaysInYEar/12)</f>
        <v>#N/A</v>
      </c>
      <c r="S298" s="519" t="e">
        <f>R298+(E297*NDDaysInYEar/12)</f>
        <v>#N/A</v>
      </c>
    </row>
    <row r="299" spans="1:19" s="107" customFormat="1" x14ac:dyDescent="0.2">
      <c r="A299" s="107" t="str">
        <f>VLOOKUP(C274,NDasaSeq,18,FALSE)</f>
        <v>Cn</v>
      </c>
      <c r="B299" s="107">
        <f>VLOOKUP(A299,NDasaC,3,FALSE)</f>
        <v>-1</v>
      </c>
      <c r="C299" s="518" t="e">
        <f>IF(MATCH(VLOOKUP(IF((A299="Aq"),VLOOKUP("AqLord",DivCharts,D273,FALSE),IF((A299="Sc"),VLOOKUP("ScLord",DivCharts,D273,FALSE),VLOOKUP(A299,RsInfo,9,FALSE))),DivCharts,D273,FALSE),RsTbl,0)=MATCH(VLOOKUP(IF((A299="Aq"),VLOOKUP("AqLord",DivCharts,D273,FALSE),IF((A299="Sc"),VLOOKUP("ScLord",DivCharts,D273,FALSE),VLOOKUP(A299,RsInfo,9,FALSE))),PlanetData,8,FALSE),RsTbl,0),1,IF(MATCH(VLOOKUP(IF((A299="Aq"),VLOOKUP("AqLord",DivCharts,D273,FALSE),IF((A299="Sc"),VLOOKUP("ScLord",DivCharts,D273,FALSE),VLOOKUP(A299,RsInfo,9,FALSE))),DivCharts,D273,FALSE),RsTbl,0)=MOD(MATCH(VLOOKUP(IF((A299="Aq"),VLOOKUP("AqLord",DivCharts,D273,FALSE),IF((A299="Sc"),VLOOKUP("ScLord",DivCharts,D273,FALSE),VLOOKUP(A299,RsInfo,9,FALSE))),PlanetData,8,FALSE),RsTbl,0)+6,12),-1,0))</f>
        <v>#N/A</v>
      </c>
      <c r="D299" s="518">
        <f>MOD((MATCH(VLOOKUP(IF((A299="Aq"),VLOOKUP("AqLord",DivCharts,D273,FALSE),IF((A299="Sc"),VLOOKUP("ScLord",DivCharts,D273,FALSE),VLOOKUP(A299,RsInfo,9,FALSE))),DivCharts,D273,FALSE),RsTbl,0)*B299)-(B299*MATCH(A299,RsTbl,0))+12,12)</f>
        <v>11</v>
      </c>
      <c r="E299" s="107" t="e">
        <f>IF(ISNA(MATCH((D299+C299),,0)),(D299+C299),12)</f>
        <v>#N/A</v>
      </c>
      <c r="F299" s="519" t="e">
        <f>G297</f>
        <v>#N/A</v>
      </c>
      <c r="G299" s="519" t="e">
        <f>F299+E299*NDDaysInYEar</f>
        <v>#N/A</v>
      </c>
      <c r="H299" s="510" t="str">
        <f>A299</f>
        <v>Cn</v>
      </c>
      <c r="I299" s="107" t="str">
        <f>INDEX(SignSym,MOD(B299+MATCH(H299,SignSym,FALSE)-1,12)+1)</f>
        <v>Ge</v>
      </c>
      <c r="J299" s="107" t="str">
        <f>INDEX(SignSym,MOD(B299+MATCH(I299,SignSym,FALSE)-1,12)+1)</f>
        <v>Ta</v>
      </c>
      <c r="K299" s="107" t="str">
        <f>INDEX(SignSym,MOD(B299+MATCH(J299,SignSym,FALSE)-1,12)+1)</f>
        <v>Ar</v>
      </c>
      <c r="L299" s="107" t="str">
        <f>INDEX(SignSym,MOD(B299+MATCH(K299,SignSym,FALSE)-1,12)+1)</f>
        <v>Pi</v>
      </c>
      <c r="M299" s="107" t="str">
        <f>INDEX(SignSym,MOD(B299+MATCH(L299,SignSym,FALSE)-1,12)+1)</f>
        <v>Aq</v>
      </c>
      <c r="N299" s="107" t="str">
        <f>INDEX(SignSym,MOD(B299+MATCH(M299,SignSym,FALSE)-1,12)+1)</f>
        <v>Cp</v>
      </c>
      <c r="O299" s="107" t="str">
        <f>INDEX(SignSym,MOD(B299+MATCH(N299,SignSym,FALSE)-1,12)+1)</f>
        <v>Sg</v>
      </c>
      <c r="P299" s="107" t="str">
        <f>INDEX(SignSym,MOD(B299+MATCH(O299,SignSym,FALSE)-1,12)+1)</f>
        <v>Sc</v>
      </c>
      <c r="Q299" s="107" t="str">
        <f>INDEX(SignSym,MOD(B299+MATCH(P299,SignSym,FALSE)-1,12)+1)</f>
        <v>Li</v>
      </c>
      <c r="R299" s="107" t="str">
        <f>INDEX(SignSym,MOD(B299+MATCH(Q299,SignSym,FALSE)-1,12)+1)</f>
        <v>Vi</v>
      </c>
      <c r="S299" s="107" t="str">
        <f>INDEX(SignSym,MOD(B299+MATCH(R299,SignSym,FALSE)-1,12)+1)</f>
        <v>Le</v>
      </c>
    </row>
    <row r="300" spans="1:19" s="107" customFormat="1" hidden="1" x14ac:dyDescent="0.2">
      <c r="D300" s="518"/>
      <c r="H300" s="519" t="e">
        <f>F299</f>
        <v>#N/A</v>
      </c>
      <c r="I300" s="519" t="e">
        <f>H300+(E299*NDDaysInYEar/12)</f>
        <v>#N/A</v>
      </c>
      <c r="J300" s="519" t="e">
        <f>I300+(E299*NDDaysInYEar/12)</f>
        <v>#N/A</v>
      </c>
      <c r="K300" s="519" t="e">
        <f>J300+(E299*NDDaysInYEar/12)</f>
        <v>#N/A</v>
      </c>
      <c r="L300" s="519" t="e">
        <f>K300+(E299*NDDaysInYEar/12)</f>
        <v>#N/A</v>
      </c>
      <c r="M300" s="519" t="e">
        <f>L300+(E299*NDDaysInYEar/12)</f>
        <v>#N/A</v>
      </c>
      <c r="N300" s="519" t="e">
        <f>M300+(E299*NDDaysInYEar/12)</f>
        <v>#N/A</v>
      </c>
      <c r="O300" s="519" t="e">
        <f>N300+(E299*NDDaysInYEar/12)</f>
        <v>#N/A</v>
      </c>
      <c r="P300" s="519" t="e">
        <f>O300+(E299*NDDaysInYEar/12)</f>
        <v>#N/A</v>
      </c>
      <c r="Q300" s="519" t="e">
        <f>P300+(E299*NDDaysInYEar/12)</f>
        <v>#N/A</v>
      </c>
      <c r="R300" s="519" t="e">
        <f>Q300+(E299*NDDaysInYEar/12)</f>
        <v>#N/A</v>
      </c>
      <c r="S300" s="519" t="e">
        <f>R300+(E299*NDDaysInYEar/12)</f>
        <v>#N/A</v>
      </c>
    </row>
    <row r="301" spans="1:19" s="107" customFormat="1" x14ac:dyDescent="0.2">
      <c r="A301" s="520"/>
      <c r="B301" s="520"/>
      <c r="C301" s="520"/>
      <c r="D301" s="520"/>
      <c r="E301" s="520"/>
      <c r="F301" s="520"/>
      <c r="G301" s="520"/>
      <c r="H301" s="520"/>
      <c r="I301" s="520"/>
      <c r="J301" s="520"/>
      <c r="K301" s="520"/>
      <c r="L301" s="520"/>
      <c r="M301" s="520"/>
      <c r="N301" s="520"/>
      <c r="O301" s="520"/>
      <c r="P301" s="520"/>
      <c r="Q301" s="520"/>
      <c r="R301" s="520"/>
      <c r="S301" s="520"/>
    </row>
    <row r="303" spans="1:19" x14ac:dyDescent="0.2">
      <c r="A303" s="504" t="s">
        <v>1437</v>
      </c>
      <c r="B303" s="505"/>
      <c r="C303" s="505"/>
      <c r="D303" s="505"/>
      <c r="E303" s="505"/>
      <c r="F303" s="505"/>
      <c r="G303" s="505"/>
      <c r="H303" s="505"/>
      <c r="I303" s="505"/>
      <c r="J303" s="505"/>
      <c r="K303" s="505"/>
      <c r="L303" s="506"/>
      <c r="M303" s="505"/>
      <c r="N303" s="505"/>
      <c r="O303" s="505"/>
      <c r="P303" s="505"/>
      <c r="Q303" s="505"/>
      <c r="R303" s="505"/>
      <c r="S303" s="505"/>
    </row>
    <row r="304" spans="1:19" s="107" customFormat="1" x14ac:dyDescent="0.2">
      <c r="A304" s="1574" t="s">
        <v>1429</v>
      </c>
      <c r="B304" s="1574"/>
      <c r="C304" s="507">
        <v>12</v>
      </c>
      <c r="D304" s="508">
        <f>MATCH(C304,$18:$18,1)</f>
        <v>8</v>
      </c>
      <c r="I304" s="509"/>
      <c r="N304" s="509"/>
    </row>
    <row r="305" spans="1:19" s="107" customFormat="1" x14ac:dyDescent="0.2">
      <c r="A305" s="1574" t="s">
        <v>1430</v>
      </c>
      <c r="B305" s="1574"/>
      <c r="C305" s="510" t="s">
        <v>635</v>
      </c>
      <c r="D305" s="511"/>
      <c r="E305" s="512"/>
      <c r="H305" s="513"/>
      <c r="I305" s="513"/>
      <c r="J305" s="513"/>
      <c r="O305" s="514"/>
      <c r="P305" s="515"/>
      <c r="Q305" s="514"/>
    </row>
    <row r="306" spans="1:19" s="514" customFormat="1" x14ac:dyDescent="0.2">
      <c r="B306" s="516"/>
      <c r="C306" s="515"/>
      <c r="D306" s="516"/>
      <c r="E306" s="515"/>
      <c r="F306" s="516"/>
      <c r="G306" s="516"/>
      <c r="H306" s="515"/>
      <c r="I306" s="513"/>
      <c r="J306" s="513"/>
      <c r="K306" s="107"/>
      <c r="L306" s="107"/>
      <c r="M306" s="107"/>
      <c r="N306" s="107"/>
    </row>
    <row r="307" spans="1:19" s="107" customFormat="1" x14ac:dyDescent="0.2">
      <c r="A307" s="517" t="s">
        <v>1431</v>
      </c>
      <c r="B307" s="517" t="s">
        <v>1937</v>
      </c>
      <c r="C307" s="517" t="s">
        <v>1432</v>
      </c>
      <c r="D307" s="517" t="s">
        <v>1433</v>
      </c>
      <c r="E307" s="517" t="s">
        <v>1490</v>
      </c>
      <c r="F307" s="517" t="s">
        <v>2029</v>
      </c>
      <c r="G307" s="517" t="s">
        <v>2030</v>
      </c>
      <c r="H307" s="517" t="s">
        <v>1434</v>
      </c>
      <c r="I307" s="513"/>
      <c r="J307" s="513"/>
    </row>
    <row r="308" spans="1:19" s="107" customFormat="1" x14ac:dyDescent="0.2">
      <c r="A308" s="107" t="str">
        <f>VLOOKUP(C305,NDasaSeq,7,FALSE)</f>
        <v>Sg</v>
      </c>
      <c r="B308" s="107">
        <f>VLOOKUP(A308,NDasaC,3,FALSE)</f>
        <v>1</v>
      </c>
      <c r="C308" s="518" t="e">
        <f>IF(MATCH(VLOOKUP(IF((A308="Aq"),VLOOKUP("AqLord",DivCharts,D304,FALSE),IF((A308="Sc"),VLOOKUP("ScLord",DivCharts,D304,FALSE),VLOOKUP(A308,RsInfo,9,FALSE))),DivCharts,D304,FALSE),RsTbl,0)=MATCH(VLOOKUP(IF((A308="Aq"),VLOOKUP("AqLord",DivCharts,D304,FALSE),IF((A308="Sc"),VLOOKUP("ScLord",DivCharts,D304,FALSE),VLOOKUP(A308,RsInfo,9,FALSE))),PlanetData,8,FALSE),RsTbl,0),1,IF(MATCH(VLOOKUP(IF((A308="Aq"),VLOOKUP("AqLord",DivCharts,D304,FALSE),IF((A308="Sc"),VLOOKUP("ScLord",DivCharts,D304,FALSE),VLOOKUP(A308,RsInfo,9,FALSE))),DivCharts,D304,FALSE),RsTbl,0)=MOD(MATCH(VLOOKUP(IF((A308="Aq"),VLOOKUP("AqLord",DivCharts,D304,FALSE),IF((A308="Sc"),VLOOKUP("ScLord",DivCharts,D304,FALSE),VLOOKUP(A308,RsInfo,9,FALSE))),PlanetData,8,FALSE),RsTbl,0)+6,12),-1,0))</f>
        <v>#N/A</v>
      </c>
      <c r="D308" s="518">
        <f>MOD((MATCH(VLOOKUP(IF((A308="Aq"),VLOOKUP("AqLord",DivCharts,D304,FALSE),IF((A308="Sc"),VLOOKUP("ScLord",DivCharts,D304,FALSE),VLOOKUP(A308,RsInfo,9,FALSE))),DivCharts,D304,FALSE),RsTbl,0)*B308)-(B308*MATCH(A308,RsTbl,0))+12,12)</f>
        <v>0</v>
      </c>
      <c r="E308" s="107" t="e">
        <f>IF(ISNA(MATCH((D308+C308),,0)),(D308+C308),12)</f>
        <v>#N/A</v>
      </c>
      <c r="F308" s="519">
        <f>DoB</f>
        <v>26133.384143518517</v>
      </c>
      <c r="G308" s="519" t="e">
        <f>F308+E308*NDDaysInYEar</f>
        <v>#N/A</v>
      </c>
      <c r="H308" s="510" t="str">
        <f>A308</f>
        <v>Sg</v>
      </c>
      <c r="I308" s="107" t="str">
        <f>INDEX(SignSym,MOD(B308+MATCH(H308,SignSym,FALSE)-1,12)+1)</f>
        <v>Cp</v>
      </c>
      <c r="J308" s="107" t="str">
        <f>INDEX(SignSym,MOD(B308+MATCH(I308,SignSym,FALSE)-1,12)+1)</f>
        <v>Aq</v>
      </c>
      <c r="K308" s="107" t="str">
        <f>INDEX(SignSym,MOD(B308+MATCH(J308,SignSym,FALSE)-1,12)+1)</f>
        <v>Pi</v>
      </c>
      <c r="L308" s="107" t="str">
        <f>INDEX(SignSym,MOD(B308+MATCH(K308,SignSym,FALSE)-1,12)+1)</f>
        <v>Ar</v>
      </c>
      <c r="M308" s="107" t="str">
        <f>INDEX(SignSym,MOD(B308+MATCH(L308,SignSym,FALSE)-1,12)+1)</f>
        <v>Ta</v>
      </c>
      <c r="N308" s="107" t="str">
        <f>INDEX(SignSym,MOD(B308+MATCH(M308,SignSym,FALSE)-1,12)+1)</f>
        <v>Ge</v>
      </c>
      <c r="O308" s="107" t="str">
        <f>INDEX(SignSym,MOD(B308+MATCH(N308,SignSym,FALSE)-1,12)+1)</f>
        <v>Cn</v>
      </c>
      <c r="P308" s="107" t="str">
        <f>INDEX(SignSym,MOD(B308+MATCH(O308,SignSym,FALSE)-1,12)+1)</f>
        <v>Le</v>
      </c>
      <c r="Q308" s="107" t="str">
        <f>INDEX(SignSym,MOD(B308+MATCH(P308,SignSym,FALSE)-1,12)+1)</f>
        <v>Vi</v>
      </c>
      <c r="R308" s="107" t="str">
        <f>INDEX(SignSym,MOD(B308+MATCH(Q308,SignSym,FALSE)-1,12)+1)</f>
        <v>Li</v>
      </c>
      <c r="S308" s="107" t="str">
        <f>INDEX(SignSym,MOD(B308+MATCH(R308,SignSym,FALSE)-1,12)+1)</f>
        <v>Sc</v>
      </c>
    </row>
    <row r="309" spans="1:19" s="107" customFormat="1" ht="12.75" hidden="1" customHeight="1" x14ac:dyDescent="0.2">
      <c r="C309" s="518"/>
      <c r="D309" s="518"/>
      <c r="F309" s="519"/>
      <c r="G309" s="519"/>
      <c r="H309" s="519">
        <f>F308</f>
        <v>26133.384143518517</v>
      </c>
      <c r="I309" s="519" t="e">
        <f>H309+(E308*NDDaysInYEar/12)</f>
        <v>#N/A</v>
      </c>
      <c r="J309" s="519" t="e">
        <f>I309+(E308*NDDaysInYEar/12)</f>
        <v>#N/A</v>
      </c>
      <c r="K309" s="519" t="e">
        <f>J309+(E308*NDDaysInYEar/12)</f>
        <v>#N/A</v>
      </c>
      <c r="L309" s="519" t="e">
        <f>K309+(E308*NDDaysInYEar/12)</f>
        <v>#N/A</v>
      </c>
      <c r="M309" s="519" t="e">
        <f>L309+(E308*NDDaysInYEar/12)</f>
        <v>#N/A</v>
      </c>
      <c r="N309" s="519" t="e">
        <f>M309+(E308*NDDaysInYEar/12)</f>
        <v>#N/A</v>
      </c>
      <c r="O309" s="519" t="e">
        <f>N309+(E308*NDDaysInYEar/12)</f>
        <v>#N/A</v>
      </c>
      <c r="P309" s="519" t="e">
        <f>O309+(E308*NDDaysInYEar/12)</f>
        <v>#N/A</v>
      </c>
      <c r="Q309" s="519" t="e">
        <f>P309+(E308*NDDaysInYEar/12)</f>
        <v>#N/A</v>
      </c>
      <c r="R309" s="519" t="e">
        <f>Q309+(E308*NDDaysInYEar/12)</f>
        <v>#N/A</v>
      </c>
      <c r="S309" s="519" t="e">
        <f>R309+(E308*NDDaysInYEar/12)</f>
        <v>#N/A</v>
      </c>
    </row>
    <row r="310" spans="1:19" s="107" customFormat="1" x14ac:dyDescent="0.2">
      <c r="A310" s="107" t="str">
        <f>VLOOKUP(C305,NDasaSeq,8,FALSE)</f>
        <v>Le</v>
      </c>
      <c r="B310" s="107">
        <f>VLOOKUP(A310,NDasaC,3,FALSE)</f>
        <v>-1</v>
      </c>
      <c r="C310" s="518" t="e">
        <f>IF(MATCH(VLOOKUP(IF((A310="Aq"),VLOOKUP("AqLord",DivCharts,D304,FALSE),IF((A310="Sc"),VLOOKUP("ScLord",DivCharts,D304,FALSE),VLOOKUP(A310,RsInfo,9,FALSE))),DivCharts,D304,FALSE),RsTbl,0)=MATCH(VLOOKUP(IF((A310="Aq"),VLOOKUP("AqLord",DivCharts,D304,FALSE),IF((A310="Sc"),VLOOKUP("ScLord",DivCharts,D304,FALSE),VLOOKUP(A310,RsInfo,9,FALSE))),PlanetData,8,FALSE),RsTbl,0),1,IF(MATCH(VLOOKUP(IF((A310="Aq"),VLOOKUP("AqLord",DivCharts,D304,FALSE),IF((A310="Sc"),VLOOKUP("ScLord",DivCharts,D304,FALSE),VLOOKUP(A310,RsInfo,9,FALSE))),DivCharts,D304,FALSE),RsTbl,0)=MOD(MATCH(VLOOKUP(IF((A310="Aq"),VLOOKUP("AqLord",DivCharts,D304,FALSE),IF((A310="Sc"),VLOOKUP("ScLord",DivCharts,D304,FALSE),VLOOKUP(A310,RsInfo,9,FALSE))),PlanetData,8,FALSE),RsTbl,0)+6,12),-1,0))</f>
        <v>#N/A</v>
      </c>
      <c r="D310" s="518">
        <f>MOD((MATCH(VLOOKUP(IF((A310="Aq"),VLOOKUP("AqLord",DivCharts,D304,FALSE),IF((A310="Sc"),VLOOKUP("ScLord",DivCharts,D304,FALSE),VLOOKUP(A310,RsInfo,9,FALSE))),DivCharts,D304,FALSE),RsTbl,0)*B310)-(B310*MATCH(A310,RsTbl,0))+12,12)</f>
        <v>1</v>
      </c>
      <c r="E310" s="107" t="e">
        <f>IF(ISNA(MATCH((D310+C310),,0)),(D310+C310),12)</f>
        <v>#N/A</v>
      </c>
      <c r="F310" s="519" t="e">
        <f>G308</f>
        <v>#N/A</v>
      </c>
      <c r="G310" s="519" t="e">
        <f>F310+E310*NDDaysInYEar</f>
        <v>#N/A</v>
      </c>
      <c r="H310" s="510" t="str">
        <f>A310</f>
        <v>Le</v>
      </c>
      <c r="I310" s="107" t="str">
        <f>INDEX(SignSym,MOD(B310+MATCH(H310,SignSym,FALSE)-1,12)+1)</f>
        <v>Cn</v>
      </c>
      <c r="J310" s="107" t="str">
        <f>INDEX(SignSym,MOD(B310+MATCH(I310,SignSym,FALSE)-1,12)+1)</f>
        <v>Ge</v>
      </c>
      <c r="K310" s="107" t="str">
        <f>INDEX(SignSym,MOD(B310+MATCH(J310,SignSym,FALSE)-1,12)+1)</f>
        <v>Ta</v>
      </c>
      <c r="L310" s="107" t="str">
        <f>INDEX(SignSym,MOD(B310+MATCH(K310,SignSym,FALSE)-1,12)+1)</f>
        <v>Ar</v>
      </c>
      <c r="M310" s="107" t="str">
        <f>INDEX(SignSym,MOD(B310+MATCH(L310,SignSym,FALSE)-1,12)+1)</f>
        <v>Pi</v>
      </c>
      <c r="N310" s="107" t="str">
        <f>INDEX(SignSym,MOD(B310+MATCH(M310,SignSym,FALSE)-1,12)+1)</f>
        <v>Aq</v>
      </c>
      <c r="O310" s="107" t="str">
        <f>INDEX(SignSym,MOD(B310+MATCH(N310,SignSym,FALSE)-1,12)+1)</f>
        <v>Cp</v>
      </c>
      <c r="P310" s="107" t="str">
        <f>INDEX(SignSym,MOD(B310+MATCH(O310,SignSym,FALSE)-1,12)+1)</f>
        <v>Sg</v>
      </c>
      <c r="Q310" s="107" t="str">
        <f>INDEX(SignSym,MOD(B310+MATCH(P310,SignSym,FALSE)-1,12)+1)</f>
        <v>Sc</v>
      </c>
      <c r="R310" s="107" t="str">
        <f>INDEX(SignSym,MOD(B310+MATCH(Q310,SignSym,FALSE)-1,12)+1)</f>
        <v>Li</v>
      </c>
      <c r="S310" s="107" t="str">
        <f>INDEX(SignSym,MOD(B310+MATCH(R310,SignSym,FALSE)-1,12)+1)</f>
        <v>Vi</v>
      </c>
    </row>
    <row r="311" spans="1:19" s="107" customFormat="1" ht="12.75" hidden="1" customHeight="1" x14ac:dyDescent="0.2">
      <c r="C311" s="518"/>
      <c r="D311" s="518"/>
      <c r="F311" s="519"/>
      <c r="G311" s="519"/>
      <c r="H311" s="519" t="e">
        <f>F310</f>
        <v>#N/A</v>
      </c>
      <c r="I311" s="519" t="e">
        <f>H311+(E310*NDDaysInYEar/12)</f>
        <v>#N/A</v>
      </c>
      <c r="J311" s="519" t="e">
        <f>I311+(E310*NDDaysInYEar/12)</f>
        <v>#N/A</v>
      </c>
      <c r="K311" s="519" t="e">
        <f>J311+(E310*NDDaysInYEar/12)</f>
        <v>#N/A</v>
      </c>
      <c r="L311" s="519" t="e">
        <f>K311+(E310*NDDaysInYEar/12)</f>
        <v>#N/A</v>
      </c>
      <c r="M311" s="519" t="e">
        <f>L311+(E310*NDDaysInYEar/12)</f>
        <v>#N/A</v>
      </c>
      <c r="N311" s="519" t="e">
        <f>M311+(E310*NDDaysInYEar/12)</f>
        <v>#N/A</v>
      </c>
      <c r="O311" s="519" t="e">
        <f>N311+(E310*NDDaysInYEar/12)</f>
        <v>#N/A</v>
      </c>
      <c r="P311" s="519" t="e">
        <f>O311+(E310*NDDaysInYEar/12)</f>
        <v>#N/A</v>
      </c>
      <c r="Q311" s="519" t="e">
        <f>P311+(E310*NDDaysInYEar/12)</f>
        <v>#N/A</v>
      </c>
      <c r="R311" s="519" t="e">
        <f>Q311+(E310*NDDaysInYEar/12)</f>
        <v>#N/A</v>
      </c>
      <c r="S311" s="519" t="e">
        <f>R311+(E310*NDDaysInYEar/12)</f>
        <v>#N/A</v>
      </c>
    </row>
    <row r="312" spans="1:19" s="107" customFormat="1" x14ac:dyDescent="0.2">
      <c r="A312" s="107" t="str">
        <f>VLOOKUP(C305,NDasaSeq,9,FALSE)</f>
        <v>Ar</v>
      </c>
      <c r="B312" s="107">
        <f>VLOOKUP(A312,NDasaC,3,FALSE)</f>
        <v>1</v>
      </c>
      <c r="C312" s="518" t="e">
        <f>IF(MATCH(VLOOKUP(IF((A312="Aq"),VLOOKUP("AqLord",DivCharts,D304,FALSE),IF((A312="Sc"),VLOOKUP("ScLord",DivCharts,D304,FALSE),VLOOKUP(A312,RsInfo,9,FALSE))),DivCharts,D304,FALSE),RsTbl,0)=MATCH(VLOOKUP(IF((A312="Aq"),VLOOKUP("AqLord",DivCharts,D304,FALSE),IF((A312="Sc"),VLOOKUP("ScLord",DivCharts,D304,FALSE),VLOOKUP(A312,RsInfo,9,FALSE))),PlanetData,8,FALSE),RsTbl,0),1,IF(MATCH(VLOOKUP(IF((A312="Aq"),VLOOKUP("AqLord",DivCharts,D304,FALSE),IF((A312="Sc"),VLOOKUP("ScLord",DivCharts,D304,FALSE),VLOOKUP(A312,RsInfo,9,FALSE))),DivCharts,D304,FALSE),RsTbl,0)=MOD(MATCH(VLOOKUP(IF((A312="Aq"),VLOOKUP("AqLord",DivCharts,D304,FALSE),IF((A312="Sc"),VLOOKUP("ScLord",DivCharts,D304,FALSE),VLOOKUP(A312,RsInfo,9,FALSE))),PlanetData,8,FALSE),RsTbl,0)+6,12),-1,0))</f>
        <v>#N/A</v>
      </c>
      <c r="D312" s="518">
        <f>MOD((MATCH(VLOOKUP(IF((A312="Aq"),VLOOKUP("AqLord",DivCharts,D304,FALSE),IF((A312="Sc"),VLOOKUP("ScLord",DivCharts,D304,FALSE),VLOOKUP(A312,RsInfo,9,FALSE))),DivCharts,D304,FALSE),RsTbl,0)*B312)-(B312*MATCH(A312,RsTbl,0))+12,12)</f>
        <v>8</v>
      </c>
      <c r="E312" s="107" t="e">
        <f>IF(ISNA(MATCH((D312+C312),,0)),(D312+C312),12)</f>
        <v>#N/A</v>
      </c>
      <c r="F312" s="519" t="e">
        <f>G310</f>
        <v>#N/A</v>
      </c>
      <c r="G312" s="519" t="e">
        <f>F312+E312*NDDaysInYEar</f>
        <v>#N/A</v>
      </c>
      <c r="H312" s="510" t="str">
        <f>A312</f>
        <v>Ar</v>
      </c>
      <c r="I312" s="107" t="str">
        <f>INDEX(SignSym,MOD(B312+MATCH(H312,SignSym,FALSE)-1,12)+1)</f>
        <v>Ta</v>
      </c>
      <c r="J312" s="107" t="str">
        <f>INDEX(SignSym,MOD(B312+MATCH(I312,SignSym,FALSE)-1,12)+1)</f>
        <v>Ge</v>
      </c>
      <c r="K312" s="107" t="str">
        <f>INDEX(SignSym,MOD(B312+MATCH(J312,SignSym,FALSE)-1,12)+1)</f>
        <v>Cn</v>
      </c>
      <c r="L312" s="107" t="str">
        <f>INDEX(SignSym,MOD(B312+MATCH(K312,SignSym,FALSE)-1,12)+1)</f>
        <v>Le</v>
      </c>
      <c r="M312" s="107" t="str">
        <f>INDEX(SignSym,MOD(B312+MATCH(L312,SignSym,FALSE)-1,12)+1)</f>
        <v>Vi</v>
      </c>
      <c r="N312" s="107" t="str">
        <f>INDEX(SignSym,MOD(B312+MATCH(M312,SignSym,FALSE)-1,12)+1)</f>
        <v>Li</v>
      </c>
      <c r="O312" s="107" t="str">
        <f>INDEX(SignSym,MOD(B312+MATCH(N312,SignSym,FALSE)-1,12)+1)</f>
        <v>Sc</v>
      </c>
      <c r="P312" s="107" t="str">
        <f>INDEX(SignSym,MOD(B312+MATCH(O312,SignSym,FALSE)-1,12)+1)</f>
        <v>Sg</v>
      </c>
      <c r="Q312" s="107" t="str">
        <f>INDEX(SignSym,MOD(B312+MATCH(P312,SignSym,FALSE)-1,12)+1)</f>
        <v>Cp</v>
      </c>
      <c r="R312" s="107" t="str">
        <f>INDEX(SignSym,MOD(B312+MATCH(Q312,SignSym,FALSE)-1,12)+1)</f>
        <v>Aq</v>
      </c>
      <c r="S312" s="107" t="str">
        <f>INDEX(SignSym,MOD(B312+MATCH(R312,SignSym,FALSE)-1,12)+1)</f>
        <v>Pi</v>
      </c>
    </row>
    <row r="313" spans="1:19" s="107" customFormat="1" ht="12.75" hidden="1" customHeight="1" x14ac:dyDescent="0.2">
      <c r="C313" s="518"/>
      <c r="D313" s="518"/>
      <c r="F313" s="519"/>
      <c r="G313" s="519"/>
      <c r="H313" s="519" t="e">
        <f>F312</f>
        <v>#N/A</v>
      </c>
      <c r="I313" s="519" t="e">
        <f>H313+(E312*NDDaysInYEar/12)</f>
        <v>#N/A</v>
      </c>
      <c r="J313" s="519" t="e">
        <f>I313+(E312*NDDaysInYEar/12)</f>
        <v>#N/A</v>
      </c>
      <c r="K313" s="519" t="e">
        <f>J313+(E312*NDDaysInYEar/12)</f>
        <v>#N/A</v>
      </c>
      <c r="L313" s="519" t="e">
        <f>K313+(E312*NDDaysInYEar/12)</f>
        <v>#N/A</v>
      </c>
      <c r="M313" s="519" t="e">
        <f>L313+(E312*NDDaysInYEar/12)</f>
        <v>#N/A</v>
      </c>
      <c r="N313" s="519" t="e">
        <f>M313+(E312*NDDaysInYEar/12)</f>
        <v>#N/A</v>
      </c>
      <c r="O313" s="519" t="e">
        <f>N313+(E312*NDDaysInYEar/12)</f>
        <v>#N/A</v>
      </c>
      <c r="P313" s="519" t="e">
        <f>O313+(E312*NDDaysInYEar/12)</f>
        <v>#N/A</v>
      </c>
      <c r="Q313" s="519" t="e">
        <f>P313+(E312*NDDaysInYEar/12)</f>
        <v>#N/A</v>
      </c>
      <c r="R313" s="519" t="e">
        <f>Q313+(E312*NDDaysInYEar/12)</f>
        <v>#N/A</v>
      </c>
      <c r="S313" s="519" t="e">
        <f>R313+(E312*NDDaysInYEar/12)</f>
        <v>#N/A</v>
      </c>
    </row>
    <row r="314" spans="1:19" s="107" customFormat="1" x14ac:dyDescent="0.2">
      <c r="A314" s="107" t="str">
        <f>VLOOKUP(C305,NDasaSeq,10,FALSE)</f>
        <v>Pi</v>
      </c>
      <c r="B314" s="107">
        <f>VLOOKUP(A314,NDasaC,3,FALSE)</f>
        <v>-1</v>
      </c>
      <c r="C314" s="518" t="e">
        <f>IF(MATCH(VLOOKUP(IF((A314="Aq"),VLOOKUP("AqLord",DivCharts,D304,FALSE),IF((A314="Sc"),VLOOKUP("ScLord",DivCharts,D304,FALSE),VLOOKUP(A314,RsInfo,9,FALSE))),DivCharts,D304,FALSE),RsTbl,0)=MATCH(VLOOKUP(IF((A314="Aq"),VLOOKUP("AqLord",DivCharts,D304,FALSE),IF((A314="Sc"),VLOOKUP("ScLord",DivCharts,D304,FALSE),VLOOKUP(A314,RsInfo,9,FALSE))),PlanetData,8,FALSE),RsTbl,0),1,IF(MATCH(VLOOKUP(IF((A314="Aq"),VLOOKUP("AqLord",DivCharts,D304,FALSE),IF((A314="Sc"),VLOOKUP("ScLord",DivCharts,D304,FALSE),VLOOKUP(A314,RsInfo,9,FALSE))),DivCharts,D304,FALSE),RsTbl,0)=MOD(MATCH(VLOOKUP(IF((A314="Aq"),VLOOKUP("AqLord",DivCharts,D304,FALSE),IF((A314="Sc"),VLOOKUP("ScLord",DivCharts,D304,FALSE),VLOOKUP(A314,RsInfo,9,FALSE))),PlanetData,8,FALSE),RsTbl,0)+6,12),-1,0))</f>
        <v>#N/A</v>
      </c>
      <c r="D314" s="518">
        <f>MOD((MATCH(VLOOKUP(IF((A314="Aq"),VLOOKUP("AqLord",DivCharts,D304,FALSE),IF((A314="Sc"),VLOOKUP("ScLord",DivCharts,D304,FALSE),VLOOKUP(A314,RsInfo,9,FALSE))),DivCharts,D304,FALSE),RsTbl,0)*B314)-(B314*MATCH(A314,RsTbl,0))+12,12)</f>
        <v>3</v>
      </c>
      <c r="E314" s="107" t="e">
        <f>IF(ISNA(MATCH((D314+C314),,0)),(D314+C314),12)</f>
        <v>#N/A</v>
      </c>
      <c r="F314" s="519" t="e">
        <f>G312</f>
        <v>#N/A</v>
      </c>
      <c r="G314" s="519" t="e">
        <f>F314+E314*NDDaysInYEar</f>
        <v>#N/A</v>
      </c>
      <c r="H314" s="510" t="str">
        <f>A314</f>
        <v>Pi</v>
      </c>
      <c r="I314" s="107" t="str">
        <f>INDEX(SignSym,MOD(B314+MATCH(H314,SignSym,FALSE)-1,12)+1)</f>
        <v>Aq</v>
      </c>
      <c r="J314" s="107" t="str">
        <f>INDEX(SignSym,MOD(B314+MATCH(I314,SignSym,FALSE)-1,12)+1)</f>
        <v>Cp</v>
      </c>
      <c r="K314" s="107" t="str">
        <f>INDEX(SignSym,MOD(B314+MATCH(J314,SignSym,FALSE)-1,12)+1)</f>
        <v>Sg</v>
      </c>
      <c r="L314" s="107" t="str">
        <f>INDEX(SignSym,MOD(B314+MATCH(K314,SignSym,FALSE)-1,12)+1)</f>
        <v>Sc</v>
      </c>
      <c r="M314" s="107" t="str">
        <f>INDEX(SignSym,MOD(B314+MATCH(L314,SignSym,FALSE)-1,12)+1)</f>
        <v>Li</v>
      </c>
      <c r="N314" s="107" t="str">
        <f>INDEX(SignSym,MOD(B314+MATCH(M314,SignSym,FALSE)-1,12)+1)</f>
        <v>Vi</v>
      </c>
      <c r="O314" s="107" t="str">
        <f>INDEX(SignSym,MOD(B314+MATCH(N314,SignSym,FALSE)-1,12)+1)</f>
        <v>Le</v>
      </c>
      <c r="P314" s="107" t="str">
        <f>INDEX(SignSym,MOD(B314+MATCH(O314,SignSym,FALSE)-1,12)+1)</f>
        <v>Cn</v>
      </c>
      <c r="Q314" s="107" t="str">
        <f>INDEX(SignSym,MOD(B314+MATCH(P314,SignSym,FALSE)-1,12)+1)</f>
        <v>Ge</v>
      </c>
      <c r="R314" s="107" t="str">
        <f>INDEX(SignSym,MOD(B314+MATCH(Q314,SignSym,FALSE)-1,12)+1)</f>
        <v>Ta</v>
      </c>
      <c r="S314" s="107" t="str">
        <f>INDEX(SignSym,MOD(B314+MATCH(R314,SignSym,FALSE)-1,12)+1)</f>
        <v>Ar</v>
      </c>
    </row>
    <row r="315" spans="1:19" s="107" customFormat="1" ht="12.75" hidden="1" customHeight="1" x14ac:dyDescent="0.2">
      <c r="C315" s="518"/>
      <c r="D315" s="518"/>
      <c r="F315" s="519"/>
      <c r="G315" s="519"/>
      <c r="H315" s="519" t="e">
        <f>F314</f>
        <v>#N/A</v>
      </c>
      <c r="I315" s="519" t="e">
        <f>H315+(E314*NDDaysInYEar/12)</f>
        <v>#N/A</v>
      </c>
      <c r="J315" s="519" t="e">
        <f>I315+(E314*NDDaysInYEar/12)</f>
        <v>#N/A</v>
      </c>
      <c r="K315" s="519" t="e">
        <f>J315+(E314*NDDaysInYEar/12)</f>
        <v>#N/A</v>
      </c>
      <c r="L315" s="519" t="e">
        <f>K315+(E314*NDDaysInYEar/12)</f>
        <v>#N/A</v>
      </c>
      <c r="M315" s="519" t="e">
        <f>L315+(E314*NDDaysInYEar/12)</f>
        <v>#N/A</v>
      </c>
      <c r="N315" s="519" t="e">
        <f>M315+(E314*NDDaysInYEar/12)</f>
        <v>#N/A</v>
      </c>
      <c r="O315" s="519" t="e">
        <f>N315+(E314*NDDaysInYEar/12)</f>
        <v>#N/A</v>
      </c>
      <c r="P315" s="519" t="e">
        <f>O315+(E314*NDDaysInYEar/12)</f>
        <v>#N/A</v>
      </c>
      <c r="Q315" s="519" t="e">
        <f>P315+(E314*NDDaysInYEar/12)</f>
        <v>#N/A</v>
      </c>
      <c r="R315" s="519" t="e">
        <f>Q315+(E314*NDDaysInYEar/12)</f>
        <v>#N/A</v>
      </c>
      <c r="S315" s="519" t="e">
        <f>R315+(E314*NDDaysInYEar/12)</f>
        <v>#N/A</v>
      </c>
    </row>
    <row r="316" spans="1:19" s="107" customFormat="1" x14ac:dyDescent="0.2">
      <c r="A316" s="107" t="str">
        <f>VLOOKUP(C305,NDasaSeq,11,FALSE)</f>
        <v>Sc</v>
      </c>
      <c r="B316" s="107">
        <f>VLOOKUP(A316,NDasaC,3,FALSE)</f>
        <v>1</v>
      </c>
      <c r="C316" s="518" t="e">
        <f>IF(MATCH(VLOOKUP(IF((A316="Aq"),VLOOKUP("AqLord",DivCharts,D304,FALSE),IF((A316="Sc"),VLOOKUP("ScLord",DivCharts,D304,FALSE),VLOOKUP(A316,RsInfo,9,FALSE))),DivCharts,D304,FALSE),RsTbl,0)=MATCH(VLOOKUP(IF((A316="Aq"),VLOOKUP("AqLord",DivCharts,D304,FALSE),IF((A316="Sc"),VLOOKUP("ScLord",DivCharts,D304,FALSE),VLOOKUP(A316,RsInfo,9,FALSE))),PlanetData,8,FALSE),RsTbl,0),1,IF(MATCH(VLOOKUP(IF((A316="Aq"),VLOOKUP("AqLord",DivCharts,D304,FALSE),IF((A316="Sc"),VLOOKUP("ScLord",DivCharts,D304,FALSE),VLOOKUP(A316,RsInfo,9,FALSE))),DivCharts,D304,FALSE),RsTbl,0)=MOD(MATCH(VLOOKUP(IF((A316="Aq"),VLOOKUP("AqLord",DivCharts,D304,FALSE),IF((A316="Sc"),VLOOKUP("ScLord",DivCharts,D304,FALSE),VLOOKUP(A316,RsInfo,9,FALSE))),PlanetData,8,FALSE),RsTbl,0)+6,12),-1,0))</f>
        <v>#N/A</v>
      </c>
      <c r="D316" s="518">
        <f>MOD((MATCH(VLOOKUP(IF((A316="Aq"),VLOOKUP("AqLord",DivCharts,D304,FALSE),IF((A316="Sc"),VLOOKUP("ScLord",DivCharts,D304,FALSE),VLOOKUP(A316,RsInfo,9,FALSE))),DivCharts,D304,FALSE),RsTbl,0)*B316)-(B316*MATCH(A316,RsTbl,0))+12,12)</f>
        <v>1</v>
      </c>
      <c r="E316" s="107" t="e">
        <f>IF(ISNA(MATCH((D316+C316),,0)),(D316+C316),12)</f>
        <v>#N/A</v>
      </c>
      <c r="F316" s="519" t="e">
        <f>G314</f>
        <v>#N/A</v>
      </c>
      <c r="G316" s="519" t="e">
        <f>F316+E316*NDDaysInYEar</f>
        <v>#N/A</v>
      </c>
      <c r="H316" s="510" t="str">
        <f>A316</f>
        <v>Sc</v>
      </c>
      <c r="I316" s="107" t="str">
        <f>INDEX(SignSym,MOD(B316+MATCH(H316,SignSym,FALSE)-1,12)+1)</f>
        <v>Sg</v>
      </c>
      <c r="J316" s="107" t="str">
        <f>INDEX(SignSym,MOD(B316+MATCH(I316,SignSym,FALSE)-1,12)+1)</f>
        <v>Cp</v>
      </c>
      <c r="K316" s="107" t="str">
        <f>INDEX(SignSym,MOD(B316+MATCH(J316,SignSym,FALSE)-1,12)+1)</f>
        <v>Aq</v>
      </c>
      <c r="L316" s="107" t="str">
        <f>INDEX(SignSym,MOD(B316+MATCH(K316,SignSym,FALSE)-1,12)+1)</f>
        <v>Pi</v>
      </c>
      <c r="M316" s="107" t="str">
        <f>INDEX(SignSym,MOD(B316+MATCH(L316,SignSym,FALSE)-1,12)+1)</f>
        <v>Ar</v>
      </c>
      <c r="N316" s="107" t="str">
        <f>INDEX(SignSym,MOD(B316+MATCH(M316,SignSym,FALSE)-1,12)+1)</f>
        <v>Ta</v>
      </c>
      <c r="O316" s="107" t="str">
        <f>INDEX(SignSym,MOD(B316+MATCH(N316,SignSym,FALSE)-1,12)+1)</f>
        <v>Ge</v>
      </c>
      <c r="P316" s="107" t="str">
        <f>INDEX(SignSym,MOD(B316+MATCH(O316,SignSym,FALSE)-1,12)+1)</f>
        <v>Cn</v>
      </c>
      <c r="Q316" s="107" t="str">
        <f>INDEX(SignSym,MOD(B316+MATCH(P316,SignSym,FALSE)-1,12)+1)</f>
        <v>Le</v>
      </c>
      <c r="R316" s="107" t="str">
        <f>INDEX(SignSym,MOD(B316+MATCH(Q316,SignSym,FALSE)-1,12)+1)</f>
        <v>Vi</v>
      </c>
      <c r="S316" s="107" t="str">
        <f>INDEX(SignSym,MOD(B316+MATCH(R316,SignSym,FALSE)-1,12)+1)</f>
        <v>Li</v>
      </c>
    </row>
    <row r="317" spans="1:19" s="107" customFormat="1" hidden="1" x14ac:dyDescent="0.2">
      <c r="C317" s="518"/>
      <c r="D317" s="518"/>
      <c r="F317" s="519"/>
      <c r="G317" s="519"/>
      <c r="H317" s="519" t="e">
        <f>F316</f>
        <v>#N/A</v>
      </c>
      <c r="I317" s="519" t="e">
        <f>H317+(E316*NDDaysInYEar/12)</f>
        <v>#N/A</v>
      </c>
      <c r="J317" s="519" t="e">
        <f>I317+(E316*NDDaysInYEar/12)</f>
        <v>#N/A</v>
      </c>
      <c r="K317" s="519" t="e">
        <f>J317+(E316*NDDaysInYEar/12)</f>
        <v>#N/A</v>
      </c>
      <c r="L317" s="519" t="e">
        <f>K317+(E316*NDDaysInYEar/12)</f>
        <v>#N/A</v>
      </c>
      <c r="M317" s="519" t="e">
        <f>L317+(E316*NDDaysInYEar/12)</f>
        <v>#N/A</v>
      </c>
      <c r="N317" s="519" t="e">
        <f>M317+(E316*NDDaysInYEar/12)</f>
        <v>#N/A</v>
      </c>
      <c r="O317" s="519" t="e">
        <f>N317+(E316*NDDaysInYEar/12)</f>
        <v>#N/A</v>
      </c>
      <c r="P317" s="519" t="e">
        <f>O317+(E316*NDDaysInYEar/12)</f>
        <v>#N/A</v>
      </c>
      <c r="Q317" s="519" t="e">
        <f>P317+(E316*NDDaysInYEar/12)</f>
        <v>#N/A</v>
      </c>
      <c r="R317" s="519" t="e">
        <f>Q317+(E316*NDDaysInYEar/12)</f>
        <v>#N/A</v>
      </c>
      <c r="S317" s="519" t="e">
        <f>R317+(E316*NDDaysInYEar/12)</f>
        <v>#N/A</v>
      </c>
    </row>
    <row r="318" spans="1:19" s="107" customFormat="1" x14ac:dyDescent="0.2">
      <c r="A318" s="107" t="str">
        <f>VLOOKUP(C305,NDasaSeq,12,FALSE)</f>
        <v>Cn</v>
      </c>
      <c r="B318" s="107">
        <v>1</v>
      </c>
      <c r="C318" s="518" t="e">
        <f>IF(MATCH(VLOOKUP(IF((A318="Aq"),VLOOKUP("AqLord",DivCharts,D304,FALSE),IF((A318="Sc"),VLOOKUP("ScLord",DivCharts,D304,FALSE),VLOOKUP(A318,RsInfo,9,FALSE))),DivCharts,D304,FALSE),RsTbl,0)=MATCH(VLOOKUP(IF((A318="Aq"),VLOOKUP("AqLord",DivCharts,D304,FALSE),IF((A318="Sc"),VLOOKUP("ScLord",DivCharts,D304,FALSE),VLOOKUP(A318,RsInfo,9,FALSE))),PlanetData,8,FALSE),RsTbl,0),1,IF(MATCH(VLOOKUP(IF((A318="Aq"),VLOOKUP("AqLord",DivCharts,D304,FALSE),IF((A318="Sc"),VLOOKUP("ScLord",DivCharts,D304,FALSE),VLOOKUP(A318,RsInfo,9,FALSE))),DivCharts,D304,FALSE),RsTbl,0)=MOD(MATCH(VLOOKUP(IF((A318="Aq"),VLOOKUP("AqLord",DivCharts,D304,FALSE),IF((A318="Sc"),VLOOKUP("ScLord",DivCharts,D304,FALSE),VLOOKUP(A318,RsInfo,9,FALSE))),PlanetData,8,FALSE),RsTbl,0)+6,12),-1,0))</f>
        <v>#N/A</v>
      </c>
      <c r="D318" s="518">
        <f>MOD((MATCH(VLOOKUP(IF((A318="Aq"),VLOOKUP("AqLord",DivCharts,D304,FALSE),IF((A318="Sc"),VLOOKUP("ScLord",DivCharts,D304,FALSE),VLOOKUP(A318,RsInfo,9,FALSE))),DivCharts,D304,FALSE),RsTbl,0)*B318)-(B318*MATCH(A318,RsTbl,0))+12,12)</f>
        <v>7</v>
      </c>
      <c r="E318" s="107" t="e">
        <f>IF(ISNA(MATCH((D318+C318),,0)),(D318+C318),12)</f>
        <v>#N/A</v>
      </c>
      <c r="F318" s="519" t="e">
        <f>G316</f>
        <v>#N/A</v>
      </c>
      <c r="G318" s="519" t="e">
        <f>F318+E318*NDDaysInYEar</f>
        <v>#N/A</v>
      </c>
      <c r="H318" s="510" t="s">
        <v>1974</v>
      </c>
      <c r="I318" s="107" t="str">
        <f>INDEX(SignSym,MOD(B318+MATCH(H318,SignSym,FALSE)-1,12)+1)</f>
        <v>Pi</v>
      </c>
      <c r="J318" s="107" t="str">
        <f>INDEX(SignSym,MOD(B318+MATCH(I318,SignSym,FALSE)-1,12)+1)</f>
        <v>Ar</v>
      </c>
      <c r="K318" s="107" t="str">
        <f>INDEX(SignSym,MOD(B318+MATCH(J318,SignSym,FALSE)-1,12)+1)</f>
        <v>Ta</v>
      </c>
      <c r="L318" s="107" t="str">
        <f>INDEX(SignSym,MOD(B318+MATCH(K318,SignSym,FALSE)-1,12)+1)</f>
        <v>Ge</v>
      </c>
      <c r="M318" s="107" t="str">
        <f>INDEX(SignSym,MOD(B318+MATCH(L318,SignSym,FALSE)-1,12)+1)</f>
        <v>Cn</v>
      </c>
      <c r="N318" s="107" t="str">
        <f>INDEX(SignSym,MOD(B318+MATCH(M318,SignSym,FALSE)-1,12)+1)</f>
        <v>Le</v>
      </c>
      <c r="O318" s="107" t="str">
        <f>INDEX(SignSym,MOD(B318+MATCH(N318,SignSym,FALSE)-1,12)+1)</f>
        <v>Vi</v>
      </c>
      <c r="P318" s="107" t="str">
        <f>INDEX(SignSym,MOD(B318+MATCH(O318,SignSym,FALSE)-1,12)+1)</f>
        <v>Li</v>
      </c>
      <c r="Q318" s="107" t="str">
        <f>INDEX(SignSym,MOD(B318+MATCH(P318,SignSym,FALSE)-1,12)+1)</f>
        <v>Sc</v>
      </c>
      <c r="R318" s="107" t="str">
        <f>INDEX(SignSym,MOD(B318+MATCH(Q318,SignSym,FALSE)-1,12)+1)</f>
        <v>Sg</v>
      </c>
      <c r="S318" s="107" t="str">
        <f>INDEX(SignSym,MOD(B318+MATCH(R318,SignSym,FALSE)-1,12)+1)</f>
        <v>Cp</v>
      </c>
    </row>
    <row r="319" spans="1:19" s="107" customFormat="1" hidden="1" x14ac:dyDescent="0.2">
      <c r="C319" s="518"/>
      <c r="D319" s="518"/>
      <c r="F319" s="519"/>
      <c r="G319" s="519"/>
      <c r="H319" s="519" t="e">
        <f>F318</f>
        <v>#N/A</v>
      </c>
      <c r="I319" s="519" t="e">
        <f>H319+(E318*NDDaysInYEar/12)</f>
        <v>#N/A</v>
      </c>
      <c r="J319" s="519" t="e">
        <f>I319+(E318*NDDaysInYEar/12)</f>
        <v>#N/A</v>
      </c>
      <c r="K319" s="519" t="e">
        <f>J319+(E318*NDDaysInYEar/12)</f>
        <v>#N/A</v>
      </c>
      <c r="L319" s="519" t="e">
        <f>K319+(E318*NDDaysInYEar/12)</f>
        <v>#N/A</v>
      </c>
      <c r="M319" s="519" t="e">
        <f>L319+(E318*NDDaysInYEar/12)</f>
        <v>#N/A</v>
      </c>
      <c r="N319" s="526" t="e">
        <f>M319+(E318*NDDaysInYEar/12)</f>
        <v>#N/A</v>
      </c>
      <c r="O319" s="526" t="e">
        <f>N319+(E318*NDDaysInYEar/12)</f>
        <v>#N/A</v>
      </c>
      <c r="P319" s="519" t="e">
        <f>O319+(E318*NDDaysInYEar/12)</f>
        <v>#N/A</v>
      </c>
      <c r="Q319" s="519" t="e">
        <f>P319+(E318*NDDaysInYEar/12)</f>
        <v>#N/A</v>
      </c>
      <c r="R319" s="519" t="e">
        <f>Q319+(E318*NDDaysInYEar/12)</f>
        <v>#N/A</v>
      </c>
      <c r="S319" s="519" t="e">
        <f>R319+(E318*NDDaysInYEar/12)</f>
        <v>#N/A</v>
      </c>
    </row>
    <row r="320" spans="1:19" s="107" customFormat="1" x14ac:dyDescent="0.2">
      <c r="A320" s="107" t="str">
        <f>VLOOKUP(C305,NDasaSeq,13,FALSE)</f>
        <v>Ge</v>
      </c>
      <c r="B320" s="107">
        <f>VLOOKUP(A320,NDasaC,3,FALSE)</f>
        <v>1</v>
      </c>
      <c r="C320" s="518" t="e">
        <f>IF(MATCH(VLOOKUP(IF((A320="Aq"),VLOOKUP("AqLord",DivCharts,D304,FALSE),IF((A320="Sc"),VLOOKUP("ScLord",DivCharts,D304,FALSE),VLOOKUP(A320,RsInfo,9,FALSE))),DivCharts,D304,FALSE),RsTbl,0)=MATCH(VLOOKUP(IF((A320="Aq"),VLOOKUP("AqLord",DivCharts,D304,FALSE),IF((A320="Sc"),VLOOKUP("ScLord",DivCharts,D304,FALSE),VLOOKUP(A320,RsInfo,9,FALSE))),PlanetData,8,FALSE),RsTbl,0),1,IF(MATCH(VLOOKUP(IF((A320="Aq"),VLOOKUP("AqLord",DivCharts,D304,FALSE),IF((A320="Sc"),VLOOKUP("ScLord",DivCharts,D304,FALSE),VLOOKUP(A320,RsInfo,9,FALSE))),DivCharts,D304,FALSE),RsTbl,0)=MOD(MATCH(VLOOKUP(IF((A320="Aq"),VLOOKUP("AqLord",DivCharts,D304,FALSE),IF((A320="Sc"),VLOOKUP("ScLord",DivCharts,D304,FALSE),VLOOKUP(A320,RsInfo,9,FALSE))),PlanetData,8,FALSE),RsTbl,0)+6,12),-1,0))</f>
        <v>#N/A</v>
      </c>
      <c r="D320" s="518">
        <f>MOD((MATCH(VLOOKUP(IF((A320="Aq"),VLOOKUP("AqLord",DivCharts,D304,FALSE),IF((A320="Sc"),VLOOKUP("ScLord",DivCharts,D304,FALSE),VLOOKUP(A320,RsInfo,9,FALSE))),DivCharts,D304,FALSE),RsTbl,0)*B320)-(B320*MATCH(A320,RsTbl,0))+12,12)</f>
        <v>11</v>
      </c>
      <c r="E320" s="107" t="e">
        <f>IF(ISNA(MATCH((D320+C320),,0)),(D320+C320),12)</f>
        <v>#N/A</v>
      </c>
      <c r="F320" s="519" t="e">
        <f>G318</f>
        <v>#N/A</v>
      </c>
      <c r="G320" s="519" t="e">
        <f>F320+E320*NDDaysInYEar</f>
        <v>#N/A</v>
      </c>
      <c r="H320" s="510" t="s">
        <v>1974</v>
      </c>
      <c r="I320" s="107" t="str">
        <f>INDEX(SignSym,MOD(B320+MATCH(H320,SignSym,FALSE)-1,12)+1)</f>
        <v>Pi</v>
      </c>
      <c r="J320" s="107" t="str">
        <f>INDEX(SignSym,MOD(B320+MATCH(I320,SignSym,FALSE)-1,12)+1)</f>
        <v>Ar</v>
      </c>
      <c r="K320" s="107" t="str">
        <f>INDEX(SignSym,MOD(B320+MATCH(J320,SignSym,FALSE)-1,12)+1)</f>
        <v>Ta</v>
      </c>
      <c r="L320" s="107" t="str">
        <f>INDEX(SignSym,MOD(B320+MATCH(K320,SignSym,FALSE)-1,12)+1)</f>
        <v>Ge</v>
      </c>
      <c r="M320" s="107" t="str">
        <f>INDEX(SignSym,MOD(B320+MATCH(L320,SignSym,FALSE)-1,12)+1)</f>
        <v>Cn</v>
      </c>
      <c r="N320" s="107" t="str">
        <f>INDEX(SignSym,MOD(B320+MATCH(M320,SignSym,FALSE)-1,12)+1)</f>
        <v>Le</v>
      </c>
      <c r="O320" s="107" t="str">
        <f>INDEX(SignSym,MOD(B320+MATCH(N320,SignSym,FALSE)-1,12)+1)</f>
        <v>Vi</v>
      </c>
      <c r="P320" s="107" t="str">
        <f>INDEX(SignSym,MOD(B320+MATCH(O320,SignSym,FALSE)-1,12)+1)</f>
        <v>Li</v>
      </c>
      <c r="Q320" s="107" t="str">
        <f>INDEX(SignSym,MOD(B320+MATCH(P320,SignSym,FALSE)-1,12)+1)</f>
        <v>Sc</v>
      </c>
      <c r="R320" s="107" t="str">
        <f>INDEX(SignSym,MOD(B320+MATCH(Q320,SignSym,FALSE)-1,12)+1)</f>
        <v>Sg</v>
      </c>
      <c r="S320" s="107" t="str">
        <f>INDEX(SignSym,MOD(B320+MATCH(R320,SignSym,FALSE)-1,12)+1)</f>
        <v>Cp</v>
      </c>
    </row>
    <row r="321" spans="1:19" s="107" customFormat="1" hidden="1" x14ac:dyDescent="0.2">
      <c r="C321" s="518"/>
      <c r="D321" s="518"/>
      <c r="F321" s="519"/>
      <c r="G321" s="519"/>
      <c r="H321" s="519" t="e">
        <f>F320</f>
        <v>#N/A</v>
      </c>
      <c r="I321" s="519" t="e">
        <f>H321+(E320*NDDaysInYEar/12)</f>
        <v>#N/A</v>
      </c>
      <c r="J321" s="519" t="e">
        <f>I321+(E320*NDDaysInYEar/12)</f>
        <v>#N/A</v>
      </c>
      <c r="K321" s="519" t="e">
        <f>J321+(E320*NDDaysInYEar/12)</f>
        <v>#N/A</v>
      </c>
      <c r="L321" s="519" t="e">
        <f>K321+(E320*NDDaysInYEar/12)</f>
        <v>#N/A</v>
      </c>
      <c r="M321" s="519" t="e">
        <f>L321+(E320*NDDaysInYEar/12)</f>
        <v>#N/A</v>
      </c>
      <c r="N321" s="519" t="e">
        <f>M321+(E320*NDDaysInYEar/12)</f>
        <v>#N/A</v>
      </c>
      <c r="O321" s="519" t="e">
        <f>N321+(E320*NDDaysInYEar/12)</f>
        <v>#N/A</v>
      </c>
      <c r="P321" s="519" t="e">
        <f>O321+(E320*NDDaysInYEar/12)</f>
        <v>#N/A</v>
      </c>
      <c r="Q321" s="519" t="e">
        <f>P321+(E320*NDDaysInYEar/12)</f>
        <v>#N/A</v>
      </c>
      <c r="R321" s="519" t="e">
        <f>Q321+(E320*NDDaysInYEar/12)</f>
        <v>#N/A</v>
      </c>
      <c r="S321" s="519" t="e">
        <f>R321+(E320*NDDaysInYEar/12)</f>
        <v>#N/A</v>
      </c>
    </row>
    <row r="322" spans="1:19" s="107" customFormat="1" x14ac:dyDescent="0.2">
      <c r="A322" s="107" t="str">
        <f>VLOOKUP(C305,NDasaSeq,14,FALSE)</f>
        <v>Aq</v>
      </c>
      <c r="B322" s="107">
        <f>VLOOKUP(A322,NDasaC,3,FALSE)</f>
        <v>-1</v>
      </c>
      <c r="C322" s="518" t="e">
        <f>IF(MATCH(VLOOKUP(IF((A322="Aq"),VLOOKUP("AqLord",DivCharts,D304,FALSE),IF((A322="Sc"),VLOOKUP("ScLord",DivCharts,D304,FALSE),VLOOKUP(A322,RsInfo,9,FALSE))),DivCharts,D304,FALSE),RsTbl,0)=MATCH(VLOOKUP(IF((A322="Aq"),VLOOKUP("AqLord",DivCharts,D304,FALSE),IF((A322="Sc"),VLOOKUP("ScLord",DivCharts,D304,FALSE),VLOOKUP(A322,RsInfo,9,FALSE))),PlanetData,8,FALSE),RsTbl,0),1,IF(MATCH(VLOOKUP(IF((A322="Aq"),VLOOKUP("AqLord",DivCharts,D304,FALSE),IF((A322="Sc"),VLOOKUP("ScLord",DivCharts,D304,FALSE),VLOOKUP(A322,RsInfo,9,FALSE))),DivCharts,D304,FALSE),RsTbl,0)=MOD(MATCH(VLOOKUP(IF((A322="Aq"),VLOOKUP("AqLord",DivCharts,D304,FALSE),IF((A322="Sc"),VLOOKUP("ScLord",DivCharts,D304,FALSE),VLOOKUP(A322,RsInfo,9,FALSE))),PlanetData,8,FALSE),RsTbl,0)+6,12),-1,0))</f>
        <v>#N/A</v>
      </c>
      <c r="D322" s="518">
        <f>MOD((MATCH(VLOOKUP(IF((A322="Aq"),VLOOKUP("AqLord",DivCharts,D304,FALSE),IF((A322="Sc"),VLOOKUP("ScLord",DivCharts,D304,FALSE),VLOOKUP(A322,RsInfo,9,FALSE))),DivCharts,D304,FALSE),RsTbl,0)*B322)-(B322*MATCH(A322,RsTbl,0))+12,12)</f>
        <v>6</v>
      </c>
      <c r="E322" s="107" t="e">
        <f>IF(ISNA(MATCH((D322+C322),,0)),(D322+C322),12)</f>
        <v>#N/A</v>
      </c>
      <c r="F322" s="519" t="e">
        <f>G320</f>
        <v>#N/A</v>
      </c>
      <c r="G322" s="519" t="e">
        <f>F322+E322*NDDaysInYEar</f>
        <v>#N/A</v>
      </c>
      <c r="H322" s="510" t="s">
        <v>1953</v>
      </c>
      <c r="I322" s="107" t="str">
        <f>INDEX(SignSym,MOD(B322+MATCH(H322,SignSym,FALSE)-1,12)+1)</f>
        <v>Ar</v>
      </c>
      <c r="J322" s="107" t="str">
        <f>INDEX(SignSym,MOD(B322+MATCH(I322,SignSym,FALSE)-1,12)+1)</f>
        <v>Pi</v>
      </c>
      <c r="K322" s="107" t="str">
        <f>INDEX(SignSym,MOD(B322+MATCH(J322,SignSym,FALSE)-1,12)+1)</f>
        <v>Aq</v>
      </c>
      <c r="L322" s="107" t="str">
        <f>INDEX(SignSym,MOD(B322+MATCH(K322,SignSym,FALSE)-1,12)+1)</f>
        <v>Cp</v>
      </c>
      <c r="M322" s="107" t="str">
        <f>INDEX(SignSym,MOD(B322+MATCH(L322,SignSym,FALSE)-1,12)+1)</f>
        <v>Sg</v>
      </c>
      <c r="N322" s="107" t="str">
        <f>INDEX(SignSym,MOD(B322+MATCH(M322,SignSym,FALSE)-1,12)+1)</f>
        <v>Sc</v>
      </c>
      <c r="O322" s="107" t="str">
        <f>INDEX(SignSym,MOD(B322+MATCH(N322,SignSym,FALSE)-1,12)+1)</f>
        <v>Li</v>
      </c>
      <c r="P322" s="107" t="str">
        <f>INDEX(SignSym,MOD(B322+MATCH(O322,SignSym,FALSE)-1,12)+1)</f>
        <v>Vi</v>
      </c>
      <c r="Q322" s="107" t="str">
        <f>INDEX(SignSym,MOD(B322+MATCH(P322,SignSym,FALSE)-1,12)+1)</f>
        <v>Le</v>
      </c>
      <c r="R322" s="107" t="str">
        <f>INDEX(SignSym,MOD(B322+MATCH(Q322,SignSym,FALSE)-1,12)+1)</f>
        <v>Cn</v>
      </c>
      <c r="S322" s="107" t="str">
        <f>INDEX(SignSym,MOD(B322+MATCH(R322,SignSym,FALSE)-1,12)+1)</f>
        <v>Ge</v>
      </c>
    </row>
    <row r="323" spans="1:19" s="107" customFormat="1" hidden="1" x14ac:dyDescent="0.2">
      <c r="C323" s="518"/>
      <c r="D323" s="518"/>
      <c r="F323" s="519"/>
      <c r="G323" s="519"/>
      <c r="H323" s="519" t="e">
        <f>F322</f>
        <v>#N/A</v>
      </c>
      <c r="I323" s="519" t="e">
        <f>H323+(E322*NDDaysInYEar/12)</f>
        <v>#N/A</v>
      </c>
      <c r="J323" s="519" t="e">
        <f>I323+(E322*NDDaysInYEar/12)</f>
        <v>#N/A</v>
      </c>
      <c r="K323" s="519" t="e">
        <f>J323+(E322*NDDaysInYEar/12)</f>
        <v>#N/A</v>
      </c>
      <c r="L323" s="519" t="e">
        <f>K323+(E322*NDDaysInYEar/12)</f>
        <v>#N/A</v>
      </c>
      <c r="M323" s="519" t="e">
        <f>L323+(E322*NDDaysInYEar/12)</f>
        <v>#N/A</v>
      </c>
      <c r="N323" s="519" t="e">
        <f>M323+(E322*NDDaysInYEar/12)</f>
        <v>#N/A</v>
      </c>
      <c r="O323" s="519" t="e">
        <f>N323+(E322*NDDaysInYEar/12)</f>
        <v>#N/A</v>
      </c>
      <c r="P323" s="519" t="e">
        <f>O323+(E322*NDDaysInYEar/12)</f>
        <v>#N/A</v>
      </c>
      <c r="Q323" s="519" t="e">
        <f>P323+(E322*NDDaysInYEar/12)</f>
        <v>#N/A</v>
      </c>
      <c r="R323" s="519" t="e">
        <f>Q323+(E322*NDDaysInYEar/12)</f>
        <v>#N/A</v>
      </c>
      <c r="S323" s="519" t="e">
        <f>R323+(E322*NDDaysInYEar/12)</f>
        <v>#N/A</v>
      </c>
    </row>
    <row r="324" spans="1:19" s="107" customFormat="1" x14ac:dyDescent="0.2">
      <c r="A324" s="107" t="str">
        <f>VLOOKUP(C305,NDasaSeq,15,FALSE)</f>
        <v>Li</v>
      </c>
      <c r="B324" s="107">
        <f>VLOOKUP(A324,NDasaC,3,FALSE)</f>
        <v>1</v>
      </c>
      <c r="C324" s="518" t="e">
        <f>IF(MATCH(VLOOKUP(IF((A324="Aq"),VLOOKUP("AqLord",DivCharts,D304,FALSE),IF((A324="Sc"),VLOOKUP("ScLord",DivCharts,D304,FALSE),VLOOKUP(A324,RsInfo,9,FALSE))),DivCharts,D304,FALSE),RsTbl,0)=MATCH(VLOOKUP(IF((A324="Aq"),VLOOKUP("AqLord",DivCharts,D304,FALSE),IF((A324="Sc"),VLOOKUP("ScLord",DivCharts,D304,FALSE),VLOOKUP(A324,RsInfo,9,FALSE))),PlanetData,8,FALSE),RsTbl,0),1,IF(MATCH(VLOOKUP(IF((A324="Aq"),VLOOKUP("AqLord",DivCharts,D304,FALSE),IF((A324="Sc"),VLOOKUP("ScLord",DivCharts,D304,FALSE),VLOOKUP(A324,RsInfo,9,FALSE))),DivCharts,D304,FALSE),RsTbl,0)=MOD(MATCH(VLOOKUP(IF((A324="Aq"),VLOOKUP("AqLord",DivCharts,D304,FALSE),IF((A324="Sc"),VLOOKUP("ScLord",DivCharts,D304,FALSE),VLOOKUP(A324,RsInfo,9,FALSE))),PlanetData,8,FALSE),RsTbl,0)+6,12),-1,0))</f>
        <v>#N/A</v>
      </c>
      <c r="D324" s="518">
        <f>MOD((MATCH(VLOOKUP(IF((A324="Aq"),VLOOKUP("AqLord",DivCharts,D304,FALSE),IF((A324="Sc"),VLOOKUP("ScLord",DivCharts,D304,FALSE),VLOOKUP(A324,RsInfo,9,FALSE))),DivCharts,D304,FALSE),RsTbl,0)*B324)-(B324*MATCH(A324,RsTbl,0))+12,12)</f>
        <v>4</v>
      </c>
      <c r="E324" s="107" t="e">
        <f>IF(ISNA(MATCH((D324+C324),,0)),(D324+C324),12)</f>
        <v>#N/A</v>
      </c>
      <c r="F324" s="519" t="e">
        <f>G322</f>
        <v>#N/A</v>
      </c>
      <c r="G324" s="519" t="e">
        <f>F324+E324*NDDaysInYEar</f>
        <v>#N/A</v>
      </c>
      <c r="H324" s="510" t="str">
        <f>A324</f>
        <v>Li</v>
      </c>
      <c r="I324" s="107" t="str">
        <f>INDEX(SignSym,MOD(B324+MATCH(H324,SignSym,FALSE)-1,12)+1)</f>
        <v>Sc</v>
      </c>
      <c r="J324" s="107" t="str">
        <f>INDEX(SignSym,MOD(B324+MATCH(I324,SignSym,FALSE)-1,12)+1)</f>
        <v>Sg</v>
      </c>
      <c r="K324" s="107" t="str">
        <f>INDEX(SignSym,MOD(B324+MATCH(J324,SignSym,FALSE)-1,12)+1)</f>
        <v>Cp</v>
      </c>
      <c r="L324" s="107" t="str">
        <f>INDEX(SignSym,MOD(B324+MATCH(K324,SignSym,FALSE)-1,12)+1)</f>
        <v>Aq</v>
      </c>
      <c r="M324" s="107" t="str">
        <f>INDEX(SignSym,MOD(B324+MATCH(L324,SignSym,FALSE)-1,12)+1)</f>
        <v>Pi</v>
      </c>
      <c r="N324" s="107" t="str">
        <f>INDEX(SignSym,MOD(B324+MATCH(M324,SignSym,FALSE)-1,12)+1)</f>
        <v>Ar</v>
      </c>
      <c r="O324" s="107" t="str">
        <f>INDEX(SignSym,MOD(B324+MATCH(N324,SignSym,FALSE)-1,12)+1)</f>
        <v>Ta</v>
      </c>
      <c r="P324" s="107" t="str">
        <f>INDEX(SignSym,MOD(B324+MATCH(O324,SignSym,FALSE)-1,12)+1)</f>
        <v>Ge</v>
      </c>
      <c r="Q324" s="107" t="str">
        <f>INDEX(SignSym,MOD(B324+MATCH(P324,SignSym,FALSE)-1,12)+1)</f>
        <v>Cn</v>
      </c>
      <c r="R324" s="107" t="str">
        <f>INDEX(SignSym,MOD(B324+MATCH(Q324,SignSym,FALSE)-1,12)+1)</f>
        <v>Le</v>
      </c>
      <c r="S324" s="107" t="str">
        <f>INDEX(SignSym,MOD(B324+MATCH(R324,SignSym,FALSE)-1,12)+1)</f>
        <v>Vi</v>
      </c>
    </row>
    <row r="325" spans="1:19" s="107" customFormat="1" ht="12.75" hidden="1" customHeight="1" x14ac:dyDescent="0.2">
      <c r="C325" s="518"/>
      <c r="D325" s="518"/>
      <c r="F325" s="519"/>
      <c r="G325" s="519"/>
      <c r="H325" s="519" t="e">
        <f>F324</f>
        <v>#N/A</v>
      </c>
      <c r="I325" s="519" t="e">
        <f>H325+(E324*NDDaysInYEar/12)</f>
        <v>#N/A</v>
      </c>
      <c r="J325" s="519" t="e">
        <f>I325+(E324*NDDaysInYEar/12)</f>
        <v>#N/A</v>
      </c>
      <c r="K325" s="519" t="e">
        <f>J325+(E324*NDDaysInYEar/12)</f>
        <v>#N/A</v>
      </c>
      <c r="L325" s="519" t="e">
        <f>K325+(E324*NDDaysInYEar/12)</f>
        <v>#N/A</v>
      </c>
      <c r="M325" s="519" t="e">
        <f>L325+(E324*NDDaysInYEar/12)</f>
        <v>#N/A</v>
      </c>
      <c r="N325" s="519" t="e">
        <f>M325+(E324*NDDaysInYEar/12)</f>
        <v>#N/A</v>
      </c>
      <c r="O325" s="519" t="e">
        <f>N325+(E324*NDDaysInYEar/12)</f>
        <v>#N/A</v>
      </c>
      <c r="P325" s="519" t="e">
        <f>O325+(E324*NDDaysInYEar/12)</f>
        <v>#N/A</v>
      </c>
      <c r="Q325" s="519" t="e">
        <f>P325+(E324*NDDaysInYEar/12)</f>
        <v>#N/A</v>
      </c>
      <c r="R325" s="519" t="e">
        <f>Q325+(E324*NDDaysInYEar/12)</f>
        <v>#N/A</v>
      </c>
      <c r="S325" s="519" t="e">
        <f>R325+(E324*NDDaysInYEar/12)</f>
        <v>#N/A</v>
      </c>
    </row>
    <row r="326" spans="1:19" s="107" customFormat="1" x14ac:dyDescent="0.2">
      <c r="A326" s="107" t="str">
        <f>VLOOKUP(C305,NDasaSeq,16,FALSE)</f>
        <v>Vi</v>
      </c>
      <c r="B326" s="107">
        <f>VLOOKUP(A326,NDasaC,3,FALSE)</f>
        <v>-1</v>
      </c>
      <c r="C326" s="518" t="e">
        <f>IF(MATCH(VLOOKUP(IF((A326="Aq"),VLOOKUP("AqLord",DivCharts,D304,FALSE),IF((A326="Sc"),VLOOKUP("ScLord",DivCharts,D304,FALSE),VLOOKUP(A326,RsInfo,9,FALSE))),DivCharts,D304,FALSE),RsTbl,0)=MATCH(VLOOKUP(IF((A326="Aq"),VLOOKUP("AqLord",DivCharts,D304,FALSE),IF((A326="Sc"),VLOOKUP("ScLord",DivCharts,D304,FALSE),VLOOKUP(A326,RsInfo,9,FALSE))),PlanetData,8,FALSE),RsTbl,0),1,IF(MATCH(VLOOKUP(IF((A326="Aq"),VLOOKUP("AqLord",DivCharts,D304,FALSE),IF((A326="Sc"),VLOOKUP("ScLord",DivCharts,D304,FALSE),VLOOKUP(A326,RsInfo,9,FALSE))),DivCharts,D304,FALSE),RsTbl,0)=MOD(MATCH(VLOOKUP(IF((A326="Aq"),VLOOKUP("AqLord",DivCharts,D304,FALSE),IF((A326="Sc"),VLOOKUP("ScLord",DivCharts,D304,FALSE),VLOOKUP(A326,RsInfo,9,FALSE))),PlanetData,8,FALSE),RsTbl,0)+6,12),-1,0))</f>
        <v>#N/A</v>
      </c>
      <c r="D326" s="518">
        <f>MOD((MATCH(VLOOKUP(IF((A326="Aq"),VLOOKUP("AqLord",DivCharts,D304,FALSE),IF((A326="Sc"),VLOOKUP("ScLord",DivCharts,D304,FALSE),VLOOKUP(A326,RsInfo,9,FALSE))),DivCharts,D304,FALSE),RsTbl,0)*B326)-(B326*MATCH(A326,RsTbl,0))+12,12)</f>
        <v>4</v>
      </c>
      <c r="E326" s="107" t="e">
        <f>IF(ISNA(MATCH((D326+C326),,0)),(D326+C326),12)</f>
        <v>#N/A</v>
      </c>
      <c r="F326" s="519" t="e">
        <f>G324</f>
        <v>#N/A</v>
      </c>
      <c r="G326" s="519" t="e">
        <f>F326+E326*NDDaysInYEar</f>
        <v>#N/A</v>
      </c>
      <c r="H326" s="510" t="str">
        <f>A326</f>
        <v>Vi</v>
      </c>
      <c r="I326" s="107" t="str">
        <f>INDEX(SignSym,MOD(B326+MATCH(H326,SignSym,FALSE)-1,12)+1)</f>
        <v>Le</v>
      </c>
      <c r="J326" s="107" t="str">
        <f>INDEX(SignSym,MOD(B326+MATCH(I326,SignSym,FALSE)-1,12)+1)</f>
        <v>Cn</v>
      </c>
      <c r="K326" s="107" t="str">
        <f>INDEX(SignSym,MOD(B326+MATCH(J326,SignSym,FALSE)-1,12)+1)</f>
        <v>Ge</v>
      </c>
      <c r="L326" s="107" t="str">
        <f>INDEX(SignSym,MOD(B326+MATCH(K326,SignSym,FALSE)-1,12)+1)</f>
        <v>Ta</v>
      </c>
      <c r="M326" s="107" t="str">
        <f>INDEX(SignSym,MOD(B326+MATCH(L326,SignSym,FALSE)-1,12)+1)</f>
        <v>Ar</v>
      </c>
      <c r="N326" s="107" t="str">
        <f>INDEX(SignSym,MOD(B326+MATCH(M326,SignSym,FALSE)-1,12)+1)</f>
        <v>Pi</v>
      </c>
      <c r="O326" s="107" t="str">
        <f>INDEX(SignSym,MOD(B326+MATCH(N326,SignSym,FALSE)-1,12)+1)</f>
        <v>Aq</v>
      </c>
      <c r="P326" s="107" t="str">
        <f>INDEX(SignSym,MOD(B326+MATCH(O326,SignSym,FALSE)-1,12)+1)</f>
        <v>Cp</v>
      </c>
      <c r="Q326" s="107" t="str">
        <f>INDEX(SignSym,MOD(B326+MATCH(P326,SignSym,FALSE)-1,12)+1)</f>
        <v>Sg</v>
      </c>
      <c r="R326" s="107" t="str">
        <f>INDEX(SignSym,MOD(B326+MATCH(Q326,SignSym,FALSE)-1,12)+1)</f>
        <v>Sc</v>
      </c>
      <c r="S326" s="107" t="str">
        <f>INDEX(SignSym,MOD(B326+MATCH(R326,SignSym,FALSE)-1,12)+1)</f>
        <v>Li</v>
      </c>
    </row>
    <row r="327" spans="1:19" s="107" customFormat="1" ht="12.75" hidden="1" customHeight="1" x14ac:dyDescent="0.2">
      <c r="C327" s="518"/>
      <c r="D327" s="518"/>
      <c r="F327" s="519"/>
      <c r="G327" s="519"/>
      <c r="H327" s="519" t="e">
        <f>F326</f>
        <v>#N/A</v>
      </c>
      <c r="I327" s="519" t="e">
        <f>H327+(E326*NDDaysInYEar/12)</f>
        <v>#N/A</v>
      </c>
      <c r="J327" s="519" t="e">
        <f>I327+(E326*NDDaysInYEar/12)</f>
        <v>#N/A</v>
      </c>
      <c r="K327" s="519" t="e">
        <f>J327+(E326*NDDaysInYEar/12)</f>
        <v>#N/A</v>
      </c>
      <c r="L327" s="519" t="e">
        <f>K327+(E326*NDDaysInYEar/12)</f>
        <v>#N/A</v>
      </c>
      <c r="M327" s="519" t="e">
        <f>L327+(E326*NDDaysInYEar/12)</f>
        <v>#N/A</v>
      </c>
      <c r="N327" s="519" t="e">
        <f>M327+(E326*NDDaysInYEar/12)</f>
        <v>#N/A</v>
      </c>
      <c r="O327" s="519" t="e">
        <f>N327+(E326*NDDaysInYEar/12)</f>
        <v>#N/A</v>
      </c>
      <c r="P327" s="519" t="e">
        <f>O327+(E326*NDDaysInYEar/12)</f>
        <v>#N/A</v>
      </c>
      <c r="Q327" s="519" t="e">
        <f>P327+(E326*NDDaysInYEar/12)</f>
        <v>#N/A</v>
      </c>
      <c r="R327" s="519" t="e">
        <f>Q327+(E326*NDDaysInYEar/12)</f>
        <v>#N/A</v>
      </c>
      <c r="S327" s="519" t="e">
        <f>R327+(E326*NDDaysInYEar/12)</f>
        <v>#N/A</v>
      </c>
    </row>
    <row r="328" spans="1:19" s="107" customFormat="1" x14ac:dyDescent="0.2">
      <c r="A328" s="107" t="str">
        <f>VLOOKUP(C305,NDasaSeq,17,FALSE)</f>
        <v>Ta</v>
      </c>
      <c r="B328" s="107">
        <f>VLOOKUP(A328,NDasaC,3,FALSE)</f>
        <v>1</v>
      </c>
      <c r="C328" s="518" t="e">
        <f>IF(MATCH(VLOOKUP(IF((A328="Aq"),VLOOKUP("AqLord",DivCharts,D304,FALSE),IF((A328="Sc"),VLOOKUP("ScLord",DivCharts,D304,FALSE),VLOOKUP(A328,RsInfo,9,FALSE))),DivCharts,D304,FALSE),RsTbl,0)=MATCH(VLOOKUP(IF((A328="Aq"),VLOOKUP("AqLord",DivCharts,D304,FALSE),IF((A328="Sc"),VLOOKUP("ScLord",DivCharts,D304,FALSE),VLOOKUP(A328,RsInfo,9,FALSE))),PlanetData,8,FALSE),RsTbl,0),1,IF(MATCH(VLOOKUP(IF((A328="Aq"),VLOOKUP("AqLord",DivCharts,D304,FALSE),IF((A328="Sc"),VLOOKUP("ScLord",DivCharts,D304,FALSE),VLOOKUP(A328,RsInfo,9,FALSE))),DivCharts,D304,FALSE),RsTbl,0)=MOD(MATCH(VLOOKUP(IF((A328="Aq"),VLOOKUP("AqLord",DivCharts,D304,FALSE),IF((A328="Sc"),VLOOKUP("ScLord",DivCharts,D304,FALSE),VLOOKUP(A328,RsInfo,9,FALSE))),PlanetData,8,FALSE),RsTbl,0)+6,12),-1,0))</f>
        <v>#N/A</v>
      </c>
      <c r="D328" s="518">
        <f>MOD((MATCH(VLOOKUP(IF((A328="Aq"),VLOOKUP("AqLord",DivCharts,D304,FALSE),IF((A328="Sc"),VLOOKUP("ScLord",DivCharts,D304,FALSE),VLOOKUP(A328,RsInfo,9,FALSE))),DivCharts,D304,FALSE),RsTbl,0)*B328)-(B328*MATCH(A328,RsTbl,0))+12,12)</f>
        <v>9</v>
      </c>
      <c r="E328" s="107" t="e">
        <f>IF(ISNA(MATCH((D328+C328),,0)),(D328+C328),12)</f>
        <v>#N/A</v>
      </c>
      <c r="F328" s="519" t="e">
        <f>G326</f>
        <v>#N/A</v>
      </c>
      <c r="G328" s="519" t="e">
        <f>F328+E328*NDDaysInYEar</f>
        <v>#N/A</v>
      </c>
      <c r="H328" s="510" t="str">
        <f>A328</f>
        <v>Ta</v>
      </c>
      <c r="I328" s="107" t="str">
        <f>INDEX(SignSym,MOD(B328+MATCH(H328,SignSym,FALSE)-1,12)+1)</f>
        <v>Ge</v>
      </c>
      <c r="J328" s="107" t="str">
        <f>INDEX(SignSym,MOD(B328+MATCH(I328,SignSym,FALSE)-1,12)+1)</f>
        <v>Cn</v>
      </c>
      <c r="K328" s="107" t="str">
        <f>INDEX(SignSym,MOD(B328+MATCH(J328,SignSym,FALSE)-1,12)+1)</f>
        <v>Le</v>
      </c>
      <c r="L328" s="107" t="str">
        <f>INDEX(SignSym,MOD(B328+MATCH(K328,SignSym,FALSE)-1,12)+1)</f>
        <v>Vi</v>
      </c>
      <c r="M328" s="107" t="str">
        <f>INDEX(SignSym,MOD(B328+MATCH(L328,SignSym,FALSE)-1,12)+1)</f>
        <v>Li</v>
      </c>
      <c r="N328" s="107" t="str">
        <f>INDEX(SignSym,MOD(B328+MATCH(M328,SignSym,FALSE)-1,12)+1)</f>
        <v>Sc</v>
      </c>
      <c r="O328" s="107" t="str">
        <f>INDEX(SignSym,MOD(B328+MATCH(N328,SignSym,FALSE)-1,12)+1)</f>
        <v>Sg</v>
      </c>
      <c r="P328" s="107" t="str">
        <f>INDEX(SignSym,MOD(B328+MATCH(O328,SignSym,FALSE)-1,12)+1)</f>
        <v>Cp</v>
      </c>
      <c r="Q328" s="107" t="str">
        <f>INDEX(SignSym,MOD(B328+MATCH(P328,SignSym,FALSE)-1,12)+1)</f>
        <v>Aq</v>
      </c>
      <c r="R328" s="107" t="str">
        <f>INDEX(SignSym,MOD(B328+MATCH(Q328,SignSym,FALSE)-1,12)+1)</f>
        <v>Pi</v>
      </c>
      <c r="S328" s="107" t="str">
        <f>INDEX(SignSym,MOD(B328+MATCH(R328,SignSym,FALSE)-1,12)+1)</f>
        <v>Ar</v>
      </c>
    </row>
    <row r="329" spans="1:19" s="107" customFormat="1" ht="12.75" hidden="1" customHeight="1" x14ac:dyDescent="0.2">
      <c r="C329" s="518"/>
      <c r="D329" s="518"/>
      <c r="F329" s="519"/>
      <c r="G329" s="519"/>
      <c r="H329" s="519" t="e">
        <f>F328</f>
        <v>#N/A</v>
      </c>
      <c r="I329" s="519" t="e">
        <f>H329+(E328*NDDaysInYEar/12)</f>
        <v>#N/A</v>
      </c>
      <c r="J329" s="519" t="e">
        <f>I329+(E328*NDDaysInYEar/12)</f>
        <v>#N/A</v>
      </c>
      <c r="K329" s="519" t="e">
        <f>J329+(E328*NDDaysInYEar/12)</f>
        <v>#N/A</v>
      </c>
      <c r="L329" s="519" t="e">
        <f>K329+(E328*NDDaysInYEar/12)</f>
        <v>#N/A</v>
      </c>
      <c r="M329" s="519" t="e">
        <f>L329+(E328*NDDaysInYEar/12)</f>
        <v>#N/A</v>
      </c>
      <c r="N329" s="519" t="e">
        <f>M329+(E328*NDDaysInYEar/12)</f>
        <v>#N/A</v>
      </c>
      <c r="O329" s="519" t="e">
        <f>N329+(E328*NDDaysInYEar/12)</f>
        <v>#N/A</v>
      </c>
      <c r="P329" s="519" t="e">
        <f>O329+(E328*NDDaysInYEar/12)</f>
        <v>#N/A</v>
      </c>
      <c r="Q329" s="519" t="e">
        <f>P329+(E328*NDDaysInYEar/12)</f>
        <v>#N/A</v>
      </c>
      <c r="R329" s="519" t="e">
        <f>Q329+(E328*NDDaysInYEar/12)</f>
        <v>#N/A</v>
      </c>
      <c r="S329" s="519" t="e">
        <f>R329+(E328*NDDaysInYEar/12)</f>
        <v>#N/A</v>
      </c>
    </row>
    <row r="330" spans="1:19" s="107" customFormat="1" x14ac:dyDescent="0.2">
      <c r="A330" s="107" t="str">
        <f>VLOOKUP(C305,NDasaSeq,18,FALSE)</f>
        <v>Cp</v>
      </c>
      <c r="B330" s="107">
        <f>VLOOKUP(A330,NDasaC,3,FALSE)</f>
        <v>-1</v>
      </c>
      <c r="C330" s="518" t="e">
        <f>IF(MATCH(VLOOKUP(IF((A330="Aq"),VLOOKUP("AqLord",DivCharts,D304,FALSE),IF((A330="Sc"),VLOOKUP("ScLord",DivCharts,D304,FALSE),VLOOKUP(A330,RsInfo,9,FALSE))),DivCharts,D304,FALSE),RsTbl,0)=MATCH(VLOOKUP(IF((A330="Aq"),VLOOKUP("AqLord",DivCharts,D304,FALSE),IF((A330="Sc"),VLOOKUP("ScLord",DivCharts,D304,FALSE),VLOOKUP(A330,RsInfo,9,FALSE))),PlanetData,8,FALSE),RsTbl,0),1,IF(MATCH(VLOOKUP(IF((A330="Aq"),VLOOKUP("AqLord",DivCharts,D304,FALSE),IF((A330="Sc"),VLOOKUP("ScLord",DivCharts,D304,FALSE),VLOOKUP(A330,RsInfo,9,FALSE))),DivCharts,D304,FALSE),RsTbl,0)=MOD(MATCH(VLOOKUP(IF((A330="Aq"),VLOOKUP("AqLord",DivCharts,D304,FALSE),IF((A330="Sc"),VLOOKUP("ScLord",DivCharts,D304,FALSE),VLOOKUP(A330,RsInfo,9,FALSE))),PlanetData,8,FALSE),RsTbl,0)+6,12),-1,0))</f>
        <v>#N/A</v>
      </c>
      <c r="D330" s="518">
        <f>MOD((MATCH(VLOOKUP(IF((A330="Aq"),VLOOKUP("AqLord",DivCharts,D304,FALSE),IF((A330="Sc"),VLOOKUP("ScLord",DivCharts,D304,FALSE),VLOOKUP(A330,RsInfo,9,FALSE))),DivCharts,D304,FALSE),RsTbl,0)*B330)-(B330*MATCH(A330,RsTbl,0))+12,12)</f>
        <v>5</v>
      </c>
      <c r="E330" s="107" t="e">
        <f>IF(ISNA(MATCH((D330+C330),,0)),(D330+C330),12)</f>
        <v>#N/A</v>
      </c>
      <c r="F330" s="519" t="e">
        <f>G328</f>
        <v>#N/A</v>
      </c>
      <c r="G330" s="519" t="e">
        <f>F330+E330*NDDaysInYEar</f>
        <v>#N/A</v>
      </c>
      <c r="H330" s="510" t="str">
        <f>A330</f>
        <v>Cp</v>
      </c>
      <c r="I330" s="107" t="str">
        <f>INDEX(SignSym,MOD(B330+MATCH(H330,SignSym,FALSE)-1,12)+1)</f>
        <v>Sg</v>
      </c>
      <c r="J330" s="107" t="str">
        <f>INDEX(SignSym,MOD(B330+MATCH(I330,SignSym,FALSE)-1,12)+1)</f>
        <v>Sc</v>
      </c>
      <c r="K330" s="107" t="str">
        <f>INDEX(SignSym,MOD(B330+MATCH(J330,SignSym,FALSE)-1,12)+1)</f>
        <v>Li</v>
      </c>
      <c r="L330" s="107" t="str">
        <f>INDEX(SignSym,MOD(B330+MATCH(K330,SignSym,FALSE)-1,12)+1)</f>
        <v>Vi</v>
      </c>
      <c r="M330" s="107" t="str">
        <f>INDEX(SignSym,MOD(B330+MATCH(L330,SignSym,FALSE)-1,12)+1)</f>
        <v>Le</v>
      </c>
      <c r="N330" s="107" t="str">
        <f>INDEX(SignSym,MOD(B330+MATCH(M330,SignSym,FALSE)-1,12)+1)</f>
        <v>Cn</v>
      </c>
      <c r="O330" s="107" t="str">
        <f>INDEX(SignSym,MOD(B330+MATCH(N330,SignSym,FALSE)-1,12)+1)</f>
        <v>Ge</v>
      </c>
      <c r="P330" s="107" t="str">
        <f>INDEX(SignSym,MOD(B330+MATCH(O330,SignSym,FALSE)-1,12)+1)</f>
        <v>Ta</v>
      </c>
      <c r="Q330" s="107" t="str">
        <f>INDEX(SignSym,MOD(B330+MATCH(P330,SignSym,FALSE)-1,12)+1)</f>
        <v>Ar</v>
      </c>
      <c r="R330" s="107" t="str">
        <f>INDEX(SignSym,MOD(B330+MATCH(Q330,SignSym,FALSE)-1,12)+1)</f>
        <v>Pi</v>
      </c>
      <c r="S330" s="107" t="str">
        <f>INDEX(SignSym,MOD(B330+MATCH(R330,SignSym,FALSE)-1,12)+1)</f>
        <v>Aq</v>
      </c>
    </row>
    <row r="331" spans="1:19" s="107" customFormat="1" hidden="1" x14ac:dyDescent="0.2">
      <c r="D331" s="518"/>
      <c r="H331" s="519" t="e">
        <f>F330</f>
        <v>#N/A</v>
      </c>
      <c r="I331" s="519" t="e">
        <f>H331+(E330*NDDaysInYEar/12)</f>
        <v>#N/A</v>
      </c>
      <c r="J331" s="519" t="e">
        <f>I331+(E330*NDDaysInYEar/12)</f>
        <v>#N/A</v>
      </c>
      <c r="K331" s="519" t="e">
        <f>J331+(E330*NDDaysInYEar/12)</f>
        <v>#N/A</v>
      </c>
      <c r="L331" s="519" t="e">
        <f>K331+(E330*NDDaysInYEar/12)</f>
        <v>#N/A</v>
      </c>
      <c r="M331" s="519" t="e">
        <f>L331+(E330*NDDaysInYEar/12)</f>
        <v>#N/A</v>
      </c>
      <c r="N331" s="519" t="e">
        <f>M331+(E330*NDDaysInYEar/12)</f>
        <v>#N/A</v>
      </c>
      <c r="O331" s="519" t="e">
        <f>N331+(E330*NDDaysInYEar/12)</f>
        <v>#N/A</v>
      </c>
      <c r="P331" s="519" t="e">
        <f>O331+(E330*NDDaysInYEar/12)</f>
        <v>#N/A</v>
      </c>
      <c r="Q331" s="519" t="e">
        <f>P331+(E330*NDDaysInYEar/12)</f>
        <v>#N/A</v>
      </c>
      <c r="R331" s="519" t="e">
        <f>Q331+(E330*NDDaysInYEar/12)</f>
        <v>#N/A</v>
      </c>
      <c r="S331" s="519" t="e">
        <f>R331+(E330*NDDaysInYEar/12)</f>
        <v>#N/A</v>
      </c>
    </row>
    <row r="332" spans="1:19" s="107" customFormat="1" x14ac:dyDescent="0.2">
      <c r="A332" s="520"/>
      <c r="B332" s="520"/>
      <c r="C332" s="520"/>
      <c r="D332" s="520"/>
      <c r="E332" s="520"/>
      <c r="F332" s="520"/>
      <c r="G332" s="520"/>
      <c r="H332" s="520"/>
      <c r="I332" s="520"/>
      <c r="J332" s="520"/>
      <c r="K332" s="520"/>
      <c r="L332" s="520"/>
      <c r="M332" s="520"/>
      <c r="N332" s="520"/>
      <c r="O332" s="520"/>
      <c r="P332" s="520"/>
      <c r="Q332" s="520"/>
      <c r="R332" s="520"/>
      <c r="S332" s="520"/>
    </row>
    <row r="334" spans="1:19" x14ac:dyDescent="0.2">
      <c r="L334" s="491"/>
    </row>
    <row r="335" spans="1:19" x14ac:dyDescent="0.2">
      <c r="A335" s="504" t="s">
        <v>2123</v>
      </c>
      <c r="B335" s="505"/>
      <c r="C335" s="505"/>
      <c r="D335" s="505"/>
      <c r="E335" s="505"/>
      <c r="F335" s="505"/>
      <c r="G335" s="505"/>
      <c r="H335" s="505"/>
      <c r="I335" s="505"/>
      <c r="J335" s="505"/>
      <c r="K335" s="505"/>
      <c r="L335" s="506"/>
      <c r="M335" s="505"/>
      <c r="N335" s="505"/>
      <c r="O335" s="505"/>
      <c r="P335" s="505"/>
      <c r="Q335" s="505"/>
      <c r="R335" s="505"/>
      <c r="S335" s="505"/>
    </row>
    <row r="336" spans="1:19" s="107" customFormat="1" x14ac:dyDescent="0.2">
      <c r="A336" s="1574" t="s">
        <v>1429</v>
      </c>
      <c r="B336" s="1574"/>
      <c r="C336" s="507">
        <v>1</v>
      </c>
      <c r="D336" s="508">
        <f>MATCH(C336,$18:$18,1)</f>
        <v>2</v>
      </c>
      <c r="H336" s="107" t="s">
        <v>1558</v>
      </c>
      <c r="I336" s="509" t="s">
        <v>1580</v>
      </c>
      <c r="N336" s="509"/>
    </row>
    <row r="337" spans="1:19" s="107" customFormat="1" x14ac:dyDescent="0.2">
      <c r="A337" s="1574" t="s">
        <v>1430</v>
      </c>
      <c r="B337" s="1574"/>
      <c r="C337" s="510"/>
      <c r="D337" s="511"/>
      <c r="E337" s="512" t="s">
        <v>1557</v>
      </c>
      <c r="F337" s="107" t="b">
        <v>0</v>
      </c>
      <c r="G337" s="163"/>
      <c r="H337" s="513" t="b">
        <v>1</v>
      </c>
      <c r="I337" s="602">
        <f>0.57974537037037</f>
        <v>0.57974537037036999</v>
      </c>
      <c r="J337" s="513"/>
      <c r="O337" s="514"/>
      <c r="P337" s="515"/>
      <c r="Q337" s="514"/>
    </row>
    <row r="338" spans="1:19" s="514" customFormat="1" x14ac:dyDescent="0.2">
      <c r="B338" s="516"/>
      <c r="C338" s="515"/>
      <c r="D338" s="516"/>
      <c r="E338" s="515"/>
      <c r="F338" s="516"/>
      <c r="G338" s="516"/>
      <c r="H338" s="515"/>
      <c r="I338" s="513"/>
      <c r="J338" s="513"/>
      <c r="K338" s="107"/>
      <c r="L338" s="107"/>
      <c r="M338" s="107"/>
      <c r="N338" s="107"/>
    </row>
    <row r="339" spans="1:19" s="107" customFormat="1" ht="15.75" thickBot="1" x14ac:dyDescent="0.25">
      <c r="A339" s="517" t="s">
        <v>1431</v>
      </c>
      <c r="B339" s="517" t="s">
        <v>1937</v>
      </c>
      <c r="C339" s="517" t="s">
        <v>1432</v>
      </c>
      <c r="D339" s="517" t="s">
        <v>1433</v>
      </c>
      <c r="E339" s="517" t="s">
        <v>1490</v>
      </c>
      <c r="F339" s="517" t="s">
        <v>2029</v>
      </c>
      <c r="G339" s="517" t="s">
        <v>2030</v>
      </c>
      <c r="H339" s="517" t="s">
        <v>1434</v>
      </c>
      <c r="I339" s="513"/>
      <c r="J339" s="513"/>
    </row>
    <row r="340" spans="1:19" s="107" customFormat="1" x14ac:dyDescent="0.2">
      <c r="A340" s="610" t="s">
        <v>1953</v>
      </c>
      <c r="B340" s="107">
        <f>VLOOKUP(A340,NDasaC,3,FALSE)</f>
        <v>1</v>
      </c>
      <c r="C340" s="518" t="e">
        <f>IF(MATCH(VLOOKUP(IF((A340="Aq"),VLOOKUP("AqLord",DivCharts,D336,FALSE),IF((A340="Sc"),VLOOKUP("ScLord",DivCharts,D336,FALSE),VLOOKUP(A340,RsInfo,9,FALSE))),DivCharts,D336,FALSE),RsTbl,0)=MATCH(VLOOKUP(IF((A340="Aq"),VLOOKUP("AqLord",DivCharts,D336,FALSE),IF((A340="Sc"),VLOOKUP("ScLord",DivCharts,D336,FALSE),VLOOKUP(A340,RsInfo,9,FALSE))),PlanetData,8,FALSE),RsTbl,0),1,IF(MATCH(VLOOKUP(IF((A340="Aq"),VLOOKUP("AqLord",DivCharts,D336,FALSE),IF((A340="Sc"),VLOOKUP("ScLord",DivCharts,D336,FALSE),VLOOKUP(A340,RsInfo,9,FALSE))),DivCharts,D336,FALSE),RsTbl,0)=MOD(MATCH(VLOOKUP(IF((A340="Aq"),VLOOKUP("AqLord",DivCharts,D336,FALSE),IF((A340="Sc"),VLOOKUP("ScLord",DivCharts,D336,FALSE),VLOOKUP(A340,RsInfo,9,FALSE))),PlanetData,8,FALSE),RsTbl,0)+6,12),-1,0))</f>
        <v>#N/A</v>
      </c>
      <c r="D340" s="518">
        <f>MOD((MATCH(VLOOKUP(IF((A340="Aq"),VLOOKUP("AqLord",DivCharts,D336,FALSE),IF((A340="Sc"),VLOOKUP("ScLord",DivCharts,D336,FALSE),VLOOKUP(A340,RsInfo,9,FALSE))),DivCharts,D336,FALSE),RsTbl,0)*B340)-(B340*MATCH(A340,RsTbl,0))+12,12)</f>
        <v>1</v>
      </c>
      <c r="E340" s="107" t="e">
        <f>ABS(IF(ISNA(MATCH((D340+C340),,0)),(D340+C340),12)+IF(F337,0,-12))*IF(H337,I337,1)</f>
        <v>#N/A</v>
      </c>
      <c r="F340" s="603">
        <f>NDDoB</f>
        <v>26133.384143518517</v>
      </c>
      <c r="G340" s="603" t="e">
        <f>F340+E340*NDDaysInYEar</f>
        <v>#N/A</v>
      </c>
      <c r="H340" s="595" t="str">
        <f>A340</f>
        <v>Ta</v>
      </c>
      <c r="I340" s="596" t="str">
        <f>INDEX(SignSym,MOD(B340+MATCH(H340,SignSym,FALSE)-1,12)+1)</f>
        <v>Ge</v>
      </c>
      <c r="J340" s="596" t="str">
        <f>INDEX(SignSym,MOD(B340+MATCH(I340,SignSym,FALSE)-1,12)+1)</f>
        <v>Cn</v>
      </c>
      <c r="K340" s="597" t="str">
        <f>INDEX(SignSym,MOD(B340+MATCH(J340,SignSym,FALSE)-1,12)+1)</f>
        <v>Le</v>
      </c>
      <c r="L340" s="601" t="str">
        <f>INDEX(SignSym,MOD(B340+MATCH(K340,SignSym,FALSE)-1,12)+1)</f>
        <v>Vi</v>
      </c>
      <c r="M340" s="596" t="str">
        <f>INDEX(SignSym,MOD(B340+MATCH(L340,SignSym,FALSE)-1,12)+1)</f>
        <v>Li</v>
      </c>
      <c r="N340" s="596" t="str">
        <f>INDEX(SignSym,MOD(B340+MATCH(M340,SignSym,FALSE)-1,12)+1)</f>
        <v>Sc</v>
      </c>
      <c r="O340" s="597" t="str">
        <f>INDEX(SignSym,MOD(B340+MATCH(N340,SignSym,FALSE)-1,12)+1)</f>
        <v>Sg</v>
      </c>
      <c r="P340" s="601" t="str">
        <f>INDEX(SignSym,MOD(B340+MATCH(O340,SignSym,FALSE)-1,12)+1)</f>
        <v>Cp</v>
      </c>
      <c r="Q340" s="596" t="str">
        <f>INDEX(SignSym,MOD(B340+MATCH(P340,SignSym,FALSE)-1,12)+1)</f>
        <v>Aq</v>
      </c>
      <c r="R340" s="596" t="str">
        <f>INDEX(SignSym,MOD(B340+MATCH(Q340,SignSym,FALSE)-1,12)+1)</f>
        <v>Pi</v>
      </c>
      <c r="S340" s="597" t="str">
        <f>INDEX(SignSym,MOD(B340+MATCH(R340,SignSym,FALSE)-1,12)+1)</f>
        <v>Ar</v>
      </c>
    </row>
    <row r="341" spans="1:19" s="107" customFormat="1" ht="15.75" thickBot="1" x14ac:dyDescent="0.25">
      <c r="C341" s="518"/>
      <c r="D341" s="518"/>
      <c r="F341" s="603"/>
      <c r="G341" s="603"/>
      <c r="H341" s="598">
        <f>F340</f>
        <v>26133.384143518517</v>
      </c>
      <c r="I341" s="599" t="e">
        <f>H341+(E340*NDDaysInYEar/12)</f>
        <v>#N/A</v>
      </c>
      <c r="J341" s="599" t="e">
        <f>I341+(E340*NDDaysInYEar/12)</f>
        <v>#N/A</v>
      </c>
      <c r="K341" s="600" t="e">
        <f>J341+(E340*NDDaysInYEar/12)</f>
        <v>#N/A</v>
      </c>
      <c r="L341" s="598" t="e">
        <f>K341+(E340*NDDaysInYEar/12)</f>
        <v>#N/A</v>
      </c>
      <c r="M341" s="599" t="e">
        <f>L341+(E340*NDDaysInYEar/12)</f>
        <v>#N/A</v>
      </c>
      <c r="N341" s="599" t="e">
        <f>M341+(E340*NDDaysInYEar/12)</f>
        <v>#N/A</v>
      </c>
      <c r="O341" s="600" t="e">
        <f>N341+(E340*NDDaysInYEar/12)</f>
        <v>#N/A</v>
      </c>
      <c r="P341" s="598" t="e">
        <f>O341+(E340*NDDaysInYEar/12)</f>
        <v>#N/A</v>
      </c>
      <c r="Q341" s="599" t="e">
        <f>P341+(E340*NDDaysInYEar/12)</f>
        <v>#N/A</v>
      </c>
      <c r="R341" s="599" t="e">
        <f>Q341+(E340*NDDaysInYEar/12)</f>
        <v>#N/A</v>
      </c>
      <c r="S341" s="600" t="e">
        <f>R341+(E340*NDDaysInYEar/12)</f>
        <v>#N/A</v>
      </c>
    </row>
    <row r="342" spans="1:19" s="107" customFormat="1" x14ac:dyDescent="0.2">
      <c r="A342" s="610" t="s">
        <v>1949</v>
      </c>
      <c r="B342" s="107">
        <f>VLOOKUP(A342,NDasaC,3,FALSE)</f>
        <v>-1</v>
      </c>
      <c r="C342" s="518" t="e">
        <f>IF(MATCH(VLOOKUP(IF((A342="Aq"),VLOOKUP("AqLord",DivCharts,D336,FALSE),IF((A342="Sc"),VLOOKUP("ScLord",DivCharts,D336,FALSE),VLOOKUP(A342,RsInfo,9,FALSE))),DivCharts,D336,FALSE),RsTbl,0)=MATCH(VLOOKUP(IF((A342="Aq"),VLOOKUP("AqLord",DivCharts,D336,FALSE),IF((A342="Sc"),VLOOKUP("ScLord",DivCharts,D336,FALSE),VLOOKUP(A342,RsInfo,9,FALSE))),PlanetData,8,FALSE),RsTbl,0),1,IF(MATCH(VLOOKUP(IF((A342="Aq"),VLOOKUP("AqLord",DivCharts,D336,FALSE),IF((A342="Sc"),VLOOKUP("ScLord",DivCharts,D336,FALSE),VLOOKUP(A342,RsInfo,9,FALSE))),DivCharts,D336,FALSE),RsTbl,0)=MOD(MATCH(VLOOKUP(IF((A342="Aq"),VLOOKUP("AqLord",DivCharts,D336,FALSE),IF((A342="Sc"),VLOOKUP("ScLord",DivCharts,D336,FALSE),VLOOKUP(A342,RsInfo,9,FALSE))),PlanetData,8,FALSE),RsTbl,0)+6,12),-1,0))</f>
        <v>#N/A</v>
      </c>
      <c r="D342" s="518">
        <f>MOD((MATCH(VLOOKUP(IF((A342="Aq"),VLOOKUP("AqLord",DivCharts,D336,FALSE),IF((A342="Sc"),VLOOKUP("ScLord",DivCharts,D336,FALSE),VLOOKUP(A342,RsInfo,9,FALSE))),DivCharts,D336,FALSE),RsTbl,0)*B342)-(B342*MATCH(A342,RsTbl,0))+12,12)</f>
        <v>1</v>
      </c>
      <c r="E342" s="107" t="e">
        <f>ABS(IF(ISNA(MATCH((D342+C342),,0)),(D342+C342),12)+IF(F337,0,-12))</f>
        <v>#N/A</v>
      </c>
      <c r="F342" s="603" t="e">
        <f>G340</f>
        <v>#N/A</v>
      </c>
      <c r="G342" s="603" t="e">
        <f>F342+E342*NDDaysInYEar</f>
        <v>#N/A</v>
      </c>
      <c r="H342" s="595" t="str">
        <f>A342</f>
        <v>Le</v>
      </c>
      <c r="I342" s="596" t="str">
        <f>INDEX(SignSym,MOD(B342+MATCH(H342,SignSym,FALSE)-1,12)+1)</f>
        <v>Cn</v>
      </c>
      <c r="J342" s="596" t="str">
        <f>INDEX(SignSym,MOD(B342+MATCH(I342,SignSym,FALSE)-1,12)+1)</f>
        <v>Ge</v>
      </c>
      <c r="K342" s="597" t="str">
        <f>INDEX(SignSym,MOD(B342+MATCH(J342,SignSym,FALSE)-1,12)+1)</f>
        <v>Ta</v>
      </c>
      <c r="L342" s="601" t="str">
        <f>INDEX(SignSym,MOD(B342+MATCH(K342,SignSym,FALSE)-1,12)+1)</f>
        <v>Ar</v>
      </c>
      <c r="M342" s="596" t="str">
        <f>INDEX(SignSym,MOD(B342+MATCH(L342,SignSym,FALSE)-1,12)+1)</f>
        <v>Pi</v>
      </c>
      <c r="N342" s="596" t="str">
        <f>INDEX(SignSym,MOD(B342+MATCH(M342,SignSym,FALSE)-1,12)+1)</f>
        <v>Aq</v>
      </c>
      <c r="O342" s="597" t="str">
        <f>INDEX(SignSym,MOD(B342+MATCH(N342,SignSym,FALSE)-1,12)+1)</f>
        <v>Cp</v>
      </c>
      <c r="P342" s="601" t="str">
        <f>INDEX(SignSym,MOD(B342+MATCH(O342,SignSym,FALSE)-1,12)+1)</f>
        <v>Sg</v>
      </c>
      <c r="Q342" s="596" t="str">
        <f>INDEX(SignSym,MOD(B342+MATCH(P342,SignSym,FALSE)-1,12)+1)</f>
        <v>Sc</v>
      </c>
      <c r="R342" s="596" t="str">
        <f>INDEX(SignSym,MOD(B342+MATCH(Q342,SignSym,FALSE)-1,12)+1)</f>
        <v>Li</v>
      </c>
      <c r="S342" s="597" t="str">
        <f>INDEX(SignSym,MOD(B342+MATCH(R342,SignSym,FALSE)-1,12)+1)</f>
        <v>Vi</v>
      </c>
    </row>
    <row r="343" spans="1:19" s="107" customFormat="1" ht="15.75" thickBot="1" x14ac:dyDescent="0.25">
      <c r="C343" s="518"/>
      <c r="D343" s="518"/>
      <c r="F343" s="603"/>
      <c r="G343" s="603"/>
      <c r="H343" s="598" t="e">
        <f>F342</f>
        <v>#N/A</v>
      </c>
      <c r="I343" s="599" t="e">
        <f>H343+(E342*NDDaysInYEar/12)</f>
        <v>#N/A</v>
      </c>
      <c r="J343" s="599" t="e">
        <f>I343+(E342*NDDaysInYEar/12)</f>
        <v>#N/A</v>
      </c>
      <c r="K343" s="600" t="e">
        <f>J343+(E342*NDDaysInYEar/12)</f>
        <v>#N/A</v>
      </c>
      <c r="L343" s="598" t="e">
        <f>K343+(E342*NDDaysInYEar/12)</f>
        <v>#N/A</v>
      </c>
      <c r="M343" s="599" t="e">
        <f>L343+(E342*NDDaysInYEar/12)</f>
        <v>#N/A</v>
      </c>
      <c r="N343" s="599" t="e">
        <f>M343+(E342*NDDaysInYEar/12)</f>
        <v>#N/A</v>
      </c>
      <c r="O343" s="600" t="e">
        <f>N343+(E342*NDDaysInYEar/12)</f>
        <v>#N/A</v>
      </c>
      <c r="P343" s="598" t="e">
        <f>O343+(E342*NDDaysInYEar/12)</f>
        <v>#N/A</v>
      </c>
      <c r="Q343" s="599" t="e">
        <f>P343+(E342*NDDaysInYEar/12)</f>
        <v>#N/A</v>
      </c>
      <c r="R343" s="599" t="e">
        <f>Q343+(E342*NDDaysInYEar/12)</f>
        <v>#N/A</v>
      </c>
      <c r="S343" s="600" t="e">
        <f>R343+(E342*NDDaysInYEar/12)</f>
        <v>#N/A</v>
      </c>
    </row>
    <row r="344" spans="1:19" s="107" customFormat="1" x14ac:dyDescent="0.2">
      <c r="A344" s="107" t="s">
        <v>2007</v>
      </c>
      <c r="B344" s="107">
        <f>VLOOKUP(A344,NDasaC,3,FALSE)</f>
        <v>1</v>
      </c>
      <c r="C344" s="518" t="e">
        <f>IF(MATCH(VLOOKUP(IF((A344="Aq"),VLOOKUP("AqLord",DivCharts,D336,FALSE),IF((A344="Sc"),VLOOKUP("ScLord",DivCharts,D336,FALSE),VLOOKUP(A344,RsInfo,9,FALSE))),DivCharts,D336,FALSE),RsTbl,0)=MATCH(VLOOKUP(IF((A344="Aq"),VLOOKUP("AqLord",DivCharts,D336,FALSE),IF((A344="Sc"),VLOOKUP("ScLord",DivCharts,D336,FALSE),VLOOKUP(A344,RsInfo,9,FALSE))),PlanetData,8,FALSE),RsTbl,0),1,IF(MATCH(VLOOKUP(IF((A344="Aq"),VLOOKUP("AqLord",DivCharts,D336,FALSE),IF((A344="Sc"),VLOOKUP("ScLord",DivCharts,D336,FALSE),VLOOKUP(A344,RsInfo,9,FALSE))),DivCharts,D336,FALSE),RsTbl,0)=MOD(MATCH(VLOOKUP(IF((A344="Aq"),VLOOKUP("AqLord",DivCharts,D336,FALSE),IF((A344="Sc"),VLOOKUP("ScLord",DivCharts,D336,FALSE),VLOOKUP(A344,RsInfo,9,FALSE))),PlanetData,8,FALSE),RsTbl,0)+6,12),-1,0))</f>
        <v>#N/A</v>
      </c>
      <c r="D344" s="518">
        <f>MOD((MATCH(VLOOKUP(IF((A344="Aq"),VLOOKUP("AqLord",DivCharts,D336,FALSE),IF((A344="Sc"),VLOOKUP("ScLord",DivCharts,D336,FALSE),VLOOKUP(A344,RsInfo,9,FALSE))),DivCharts,D336,FALSE),RsTbl,0)*B344)-(B344*MATCH(A344,RsTbl,0))+12,12)</f>
        <v>8</v>
      </c>
      <c r="E344" s="107" t="e">
        <f>ABS(IF(ISNA(MATCH((D344+C344),,0)),(D344+C344),12)+IF(F337,0,-12))</f>
        <v>#N/A</v>
      </c>
      <c r="F344" s="603" t="e">
        <f>G342</f>
        <v>#N/A</v>
      </c>
      <c r="G344" s="603" t="e">
        <f>F344+E344*NDDaysInYEar</f>
        <v>#N/A</v>
      </c>
      <c r="H344" s="595" t="str">
        <f>A344</f>
        <v>Sc</v>
      </c>
      <c r="I344" s="596" t="str">
        <f>INDEX(SignSym,MOD(B344+MATCH(H344,SignSym,FALSE)-1,12)+1)</f>
        <v>Sg</v>
      </c>
      <c r="J344" s="596" t="str">
        <f>INDEX(SignSym,MOD(B344+MATCH(I344,SignSym,FALSE)-1,12)+1)</f>
        <v>Cp</v>
      </c>
      <c r="K344" s="597" t="str">
        <f>INDEX(SignSym,MOD(B344+MATCH(J344,SignSym,FALSE)-1,12)+1)</f>
        <v>Aq</v>
      </c>
      <c r="L344" s="601" t="str">
        <f>INDEX(SignSym,MOD(B344+MATCH(K344,SignSym,FALSE)-1,12)+1)</f>
        <v>Pi</v>
      </c>
      <c r="M344" s="596" t="str">
        <f>INDEX(SignSym,MOD(B344+MATCH(L344,SignSym,FALSE)-1,12)+1)</f>
        <v>Ar</v>
      </c>
      <c r="N344" s="596" t="str">
        <f>INDEX(SignSym,MOD(B344+MATCH(M344,SignSym,FALSE)-1,12)+1)</f>
        <v>Ta</v>
      </c>
      <c r="O344" s="597" t="str">
        <f>INDEX(SignSym,MOD(B344+MATCH(N344,SignSym,FALSE)-1,12)+1)</f>
        <v>Ge</v>
      </c>
      <c r="P344" s="601" t="str">
        <f>INDEX(SignSym,MOD(B344+MATCH(O344,SignSym,FALSE)-1,12)+1)</f>
        <v>Cn</v>
      </c>
      <c r="Q344" s="596" t="str">
        <f>INDEX(SignSym,MOD(B344+MATCH(P344,SignSym,FALSE)-1,12)+1)</f>
        <v>Le</v>
      </c>
      <c r="R344" s="596" t="str">
        <f>INDEX(SignSym,MOD(B344+MATCH(Q344,SignSym,FALSE)-1,12)+1)</f>
        <v>Vi</v>
      </c>
      <c r="S344" s="597" t="str">
        <f>INDEX(SignSym,MOD(B344+MATCH(R344,SignSym,FALSE)-1,12)+1)</f>
        <v>Li</v>
      </c>
    </row>
    <row r="345" spans="1:19" s="107" customFormat="1" ht="15.75" thickBot="1" x14ac:dyDescent="0.25">
      <c r="C345" s="518"/>
      <c r="D345" s="518"/>
      <c r="F345" s="603"/>
      <c r="G345" s="603"/>
      <c r="H345" s="598" t="e">
        <f>F344</f>
        <v>#N/A</v>
      </c>
      <c r="I345" s="599" t="e">
        <f>H345+(E344*NDDaysInYEar/12)</f>
        <v>#N/A</v>
      </c>
      <c r="J345" s="599" t="e">
        <f>I345+(E344*NDDaysInYEar/12)</f>
        <v>#N/A</v>
      </c>
      <c r="K345" s="600" t="e">
        <f>J345+(E344*NDDaysInYEar/12)</f>
        <v>#N/A</v>
      </c>
      <c r="L345" s="598" t="e">
        <f>K345+(E344*NDDaysInYEar/12)</f>
        <v>#N/A</v>
      </c>
      <c r="M345" s="599" t="e">
        <f>L345+(E344*NDDaysInYEar/12)</f>
        <v>#N/A</v>
      </c>
      <c r="N345" s="599" t="e">
        <f>M345+(E344*NDDaysInYEar/12)</f>
        <v>#N/A</v>
      </c>
      <c r="O345" s="600" t="e">
        <f>N345+(E344*NDDaysInYEar/12)</f>
        <v>#N/A</v>
      </c>
      <c r="P345" s="598" t="e">
        <f>O345+(E344*NDDaysInYEar/12)</f>
        <v>#N/A</v>
      </c>
      <c r="Q345" s="599" t="e">
        <f>P345+(E344*NDDaysInYEar/12)</f>
        <v>#N/A</v>
      </c>
      <c r="R345" s="599" t="e">
        <f>Q345+(E344*NDDaysInYEar/12)</f>
        <v>#N/A</v>
      </c>
      <c r="S345" s="600" t="e">
        <f>R345+(E344*NDDaysInYEar/12)</f>
        <v>#N/A</v>
      </c>
    </row>
    <row r="346" spans="1:19" s="107" customFormat="1" x14ac:dyDescent="0.2">
      <c r="A346" s="610" t="s">
        <v>1974</v>
      </c>
      <c r="B346" s="107">
        <f>VLOOKUP(A346,NDasaC,3,FALSE)</f>
        <v>-1</v>
      </c>
      <c r="C346" s="518" t="e">
        <f>IF(MATCH(VLOOKUP(IF((A346="Aq"),VLOOKUP("AqLord",DivCharts,D336,FALSE),IF((A346="Sc"),VLOOKUP("ScLord",DivCharts,D336,FALSE),VLOOKUP(A346,RsInfo,9,FALSE))),DivCharts,D336,FALSE),RsTbl,0)=MATCH(VLOOKUP(IF((A346="Aq"),VLOOKUP("AqLord",DivCharts,D336,FALSE),IF((A346="Sc"),VLOOKUP("ScLord",DivCharts,D336,FALSE),VLOOKUP(A346,RsInfo,9,FALSE))),PlanetData,8,FALSE),RsTbl,0),1,IF(MATCH(VLOOKUP(IF((A346="Aq"),VLOOKUP("AqLord",DivCharts,D336,FALSE),IF((A346="Sc"),VLOOKUP("ScLord",DivCharts,D336,FALSE),VLOOKUP(A346,RsInfo,9,FALSE))),DivCharts,D336,FALSE),RsTbl,0)=MOD(MATCH(VLOOKUP(IF((A346="Aq"),VLOOKUP("AqLord",DivCharts,D336,FALSE),IF((A346="Sc"),VLOOKUP("ScLord",DivCharts,D336,FALSE),VLOOKUP(A346,RsInfo,9,FALSE))),PlanetData,8,FALSE),RsTbl,0)+6,12),-1,0))</f>
        <v>#N/A</v>
      </c>
      <c r="D346" s="518">
        <f>MOD((MATCH(VLOOKUP(IF((A346="Aq"),VLOOKUP("AqLord",DivCharts,D336,FALSE),IF((A346="Sc"),VLOOKUP("ScLord",DivCharts,D336,FALSE),VLOOKUP(A346,RsInfo,9,FALSE))),DivCharts,D336,FALSE),RsTbl,0)*B346)-(B346*MATCH(A346,RsTbl,0))+12,12)</f>
        <v>1</v>
      </c>
      <c r="E346" s="107" t="e">
        <f>ABS(IF(ISNA(MATCH((D346+C346),,0)),(D346+C346),12)+IF(F337,0,-12))</f>
        <v>#N/A</v>
      </c>
      <c r="F346" s="603" t="e">
        <f>G344</f>
        <v>#N/A</v>
      </c>
      <c r="G346" s="603" t="e">
        <f>F346+E346*NDDaysInYEar</f>
        <v>#N/A</v>
      </c>
      <c r="H346" s="595" t="str">
        <f>A346</f>
        <v>Aq</v>
      </c>
      <c r="I346" s="596" t="str">
        <f>INDEX(SignSym,MOD(B346+MATCH(H346,SignSym,FALSE)-1,12)+1)</f>
        <v>Cp</v>
      </c>
      <c r="J346" s="596" t="str">
        <f>INDEX(SignSym,MOD(B346+MATCH(I346,SignSym,FALSE)-1,12)+1)</f>
        <v>Sg</v>
      </c>
      <c r="K346" s="597" t="str">
        <f>INDEX(SignSym,MOD(B346+MATCH(J346,SignSym,FALSE)-1,12)+1)</f>
        <v>Sc</v>
      </c>
      <c r="L346" s="601" t="str">
        <f>INDEX(SignSym,MOD(B346+MATCH(K346,SignSym,FALSE)-1,12)+1)</f>
        <v>Li</v>
      </c>
      <c r="M346" s="596" t="str">
        <f>INDEX(SignSym,MOD(B346+MATCH(L346,SignSym,FALSE)-1,12)+1)</f>
        <v>Vi</v>
      </c>
      <c r="N346" s="596" t="str">
        <f>INDEX(SignSym,MOD(B346+MATCH(M346,SignSym,FALSE)-1,12)+1)</f>
        <v>Le</v>
      </c>
      <c r="O346" s="597" t="str">
        <f>INDEX(SignSym,MOD(B346+MATCH(N346,SignSym,FALSE)-1,12)+1)</f>
        <v>Cn</v>
      </c>
      <c r="P346" s="601" t="str">
        <f>INDEX(SignSym,MOD(B346+MATCH(O346,SignSym,FALSE)-1,12)+1)</f>
        <v>Ge</v>
      </c>
      <c r="Q346" s="596" t="str">
        <f>INDEX(SignSym,MOD(B346+MATCH(P346,SignSym,FALSE)-1,12)+1)</f>
        <v>Ta</v>
      </c>
      <c r="R346" s="596" t="str">
        <f>INDEX(SignSym,MOD(B346+MATCH(Q346,SignSym,FALSE)-1,12)+1)</f>
        <v>Ar</v>
      </c>
      <c r="S346" s="597" t="str">
        <f>INDEX(SignSym,MOD(B346+MATCH(R346,SignSym,FALSE)-1,12)+1)</f>
        <v>Pi</v>
      </c>
    </row>
    <row r="347" spans="1:19" s="107" customFormat="1" ht="15.75" thickBot="1" x14ac:dyDescent="0.25">
      <c r="C347" s="518"/>
      <c r="D347" s="518"/>
      <c r="F347" s="603"/>
      <c r="G347" s="603"/>
      <c r="H347" s="598" t="e">
        <f>F346</f>
        <v>#N/A</v>
      </c>
      <c r="I347" s="599" t="e">
        <f>H347+(E346*NDDaysInYEar/12)</f>
        <v>#N/A</v>
      </c>
      <c r="J347" s="599" t="e">
        <f>I347+(E346*NDDaysInYEar/12)</f>
        <v>#N/A</v>
      </c>
      <c r="K347" s="600" t="e">
        <f>J347+(E346*NDDaysInYEar/12)</f>
        <v>#N/A</v>
      </c>
      <c r="L347" s="598" t="e">
        <f>K347+(E346*NDDaysInYEar/12)</f>
        <v>#N/A</v>
      </c>
      <c r="M347" s="599" t="e">
        <f>L347+(E346*NDDaysInYEar/12)</f>
        <v>#N/A</v>
      </c>
      <c r="N347" s="599" t="e">
        <f>M347+(E346*NDDaysInYEar/12)</f>
        <v>#N/A</v>
      </c>
      <c r="O347" s="600" t="e">
        <f>N347+(E346*NDDaysInYEar/12)</f>
        <v>#N/A</v>
      </c>
      <c r="P347" s="598" t="e">
        <f>O347+(E346*NDDaysInYEar/12)</f>
        <v>#N/A</v>
      </c>
      <c r="Q347" s="599" t="e">
        <f>P347+(E346*NDDaysInYEar/12)</f>
        <v>#N/A</v>
      </c>
      <c r="R347" s="599" t="e">
        <f>Q347+(E346*NDDaysInYEar/12)</f>
        <v>#N/A</v>
      </c>
      <c r="S347" s="600" t="e">
        <f>R347+(E346*NDDaysInYEar/12)</f>
        <v>#N/A</v>
      </c>
    </row>
    <row r="348" spans="1:19" s="107" customFormat="1" x14ac:dyDescent="0.2">
      <c r="A348" s="610" t="s">
        <v>1965</v>
      </c>
      <c r="B348" s="107">
        <f>VLOOKUP(A348,NDasaC,3,FALSE)</f>
        <v>1</v>
      </c>
      <c r="C348" s="518" t="e">
        <f>IF(MATCH(VLOOKUP(IF((A348="Aq"),VLOOKUP("AqLord",DivCharts,D336,FALSE),IF((A348="Sc"),VLOOKUP("ScLord",DivCharts,D336,FALSE),VLOOKUP(A348,RsInfo,9,FALSE))),DivCharts,D336,FALSE),RsTbl,0)=MATCH(VLOOKUP(IF((A348="Aq"),VLOOKUP("AqLord",DivCharts,D336,FALSE),IF((A348="Sc"),VLOOKUP("ScLord",DivCharts,D336,FALSE),VLOOKUP(A348,RsInfo,9,FALSE))),PlanetData,8,FALSE),RsTbl,0),1,IF(MATCH(VLOOKUP(IF((A348="Aq"),VLOOKUP("AqLord",DivCharts,D336,FALSE),IF((A348="Sc"),VLOOKUP("ScLord",DivCharts,D336,FALSE),VLOOKUP(A348,RsInfo,9,FALSE))),DivCharts,D336,FALSE),RsTbl,0)=MOD(MATCH(VLOOKUP(IF((A348="Aq"),VLOOKUP("AqLord",DivCharts,D336,FALSE),IF((A348="Sc"),VLOOKUP("ScLord",DivCharts,D336,FALSE),VLOOKUP(A348,RsInfo,9,FALSE))),PlanetData,8,FALSE),RsTbl,0)+6,12),-1,0))</f>
        <v>#N/A</v>
      </c>
      <c r="D348" s="518">
        <f>MOD((MATCH(VLOOKUP(IF((A348="Aq"),VLOOKUP("AqLord",DivCharts,D336,FALSE),IF((A348="Sc"),VLOOKUP("ScLord",DivCharts,D336,FALSE),VLOOKUP(A348,RsInfo,9,FALSE))),DivCharts,D336,FALSE),RsTbl,0)*B348)-(B348*MATCH(A348,RsTbl,0))+12,12)</f>
        <v>1</v>
      </c>
      <c r="E348" s="107" t="e">
        <f>ABS(IF(ISNA(MATCH((D348+C348),,0)),(D348+C348),12)+IF(F337,0,-12))</f>
        <v>#N/A</v>
      </c>
      <c r="F348" s="603" t="e">
        <f>G346</f>
        <v>#N/A</v>
      </c>
      <c r="G348" s="603" t="e">
        <f>F348+E348*NDDaysInYEar</f>
        <v>#N/A</v>
      </c>
      <c r="H348" s="595" t="s">
        <v>1956</v>
      </c>
      <c r="I348" s="596" t="str">
        <f>INDEX(SignSym,MOD(B348+MATCH(H348,SignSym,FALSE)-1,12)+1)</f>
        <v>Ta</v>
      </c>
      <c r="J348" s="596" t="str">
        <f>INDEX(SignSym,MOD(B348+MATCH(I348,SignSym,FALSE)-1,12)+1)</f>
        <v>Ge</v>
      </c>
      <c r="K348" s="597" t="str">
        <f>INDEX(SignSym,MOD(B348+MATCH(J348,SignSym,FALSE)-1,12)+1)</f>
        <v>Cn</v>
      </c>
      <c r="L348" s="601" t="str">
        <f>INDEX(SignSym,MOD(B348+MATCH(K348,SignSym,FALSE)-1,12)+1)</f>
        <v>Le</v>
      </c>
      <c r="M348" s="596" t="str">
        <f>INDEX(SignSym,MOD(B348+MATCH(L348,SignSym,FALSE)-1,12)+1)</f>
        <v>Vi</v>
      </c>
      <c r="N348" s="596" t="str">
        <f>INDEX(SignSym,MOD(B348+MATCH(M348,SignSym,FALSE)-1,12)+1)</f>
        <v>Li</v>
      </c>
      <c r="O348" s="597" t="str">
        <f>INDEX(SignSym,MOD(B348+MATCH(N348,SignSym,FALSE)-1,12)+1)</f>
        <v>Sc</v>
      </c>
      <c r="P348" s="601" t="str">
        <f>INDEX(SignSym,MOD(B348+MATCH(O348,SignSym,FALSE)-1,12)+1)</f>
        <v>Sg</v>
      </c>
      <c r="Q348" s="596" t="str">
        <f>INDEX(SignSym,MOD(B348+MATCH(P348,SignSym,FALSE)-1,12)+1)</f>
        <v>Cp</v>
      </c>
      <c r="R348" s="596" t="str">
        <f>INDEX(SignSym,MOD(B348+MATCH(Q348,SignSym,FALSE)-1,12)+1)</f>
        <v>Aq</v>
      </c>
      <c r="S348" s="597" t="str">
        <f>INDEX(SignSym,MOD(B348+MATCH(R348,SignSym,FALSE)-1,12)+1)</f>
        <v>Pi</v>
      </c>
    </row>
    <row r="349" spans="1:19" s="107" customFormat="1" ht="15.75" thickBot="1" x14ac:dyDescent="0.25">
      <c r="C349" s="518"/>
      <c r="D349" s="518"/>
      <c r="F349" s="603"/>
      <c r="G349" s="603"/>
      <c r="H349" s="598" t="e">
        <f>F348</f>
        <v>#N/A</v>
      </c>
      <c r="I349" s="599" t="e">
        <f>H349+(E348*NDDaysInYEar/12)</f>
        <v>#N/A</v>
      </c>
      <c r="J349" s="599" t="e">
        <f>I349+(E348*NDDaysInYEar/12)</f>
        <v>#N/A</v>
      </c>
      <c r="K349" s="600" t="e">
        <f>J349+(E348*NDDaysInYEar/12)</f>
        <v>#N/A</v>
      </c>
      <c r="L349" s="598" t="e">
        <f>K349+(E348*NDDaysInYEar/12)</f>
        <v>#N/A</v>
      </c>
      <c r="M349" s="599" t="e">
        <f>L349+(E348*NDDaysInYEar/12)</f>
        <v>#N/A</v>
      </c>
      <c r="N349" s="599" t="e">
        <f>M349+(E348*NDDaysInYEar/12)</f>
        <v>#N/A</v>
      </c>
      <c r="O349" s="600" t="e">
        <f>N349+(E348*NDDaysInYEar/12)</f>
        <v>#N/A</v>
      </c>
      <c r="P349" s="598" t="e">
        <f>O349+(E348*NDDaysInYEar/12)</f>
        <v>#N/A</v>
      </c>
      <c r="Q349" s="599" t="e">
        <f>P349+(E348*NDDaysInYEar/12)</f>
        <v>#N/A</v>
      </c>
      <c r="R349" s="599" t="e">
        <f>Q349+(E348*NDDaysInYEar/12)</f>
        <v>#N/A</v>
      </c>
      <c r="S349" s="600" t="e">
        <f>R349+(E348*NDDaysInYEar/12)</f>
        <v>#N/A</v>
      </c>
    </row>
    <row r="350" spans="1:19" s="107" customFormat="1" x14ac:dyDescent="0.2">
      <c r="A350" s="611" t="s">
        <v>1959</v>
      </c>
      <c r="B350" s="107">
        <f>VLOOKUP(A350,NDasaC,3,FALSE)</f>
        <v>-1</v>
      </c>
      <c r="C350" s="518" t="e">
        <f>IF(MATCH(VLOOKUP(IF((A350="Aq"),VLOOKUP("AqLord",DivCharts,D336,FALSE),IF((A350="Sc"),VLOOKUP("ScLord",DivCharts,D336,FALSE),VLOOKUP(A350,RsInfo,9,FALSE))),DivCharts,D336,FALSE),RsTbl,0)=MATCH(VLOOKUP(IF((A350="Aq"),VLOOKUP("AqLord",DivCharts,D336,FALSE),IF((A350="Sc"),VLOOKUP("ScLord",DivCharts,D336,FALSE),VLOOKUP(A350,RsInfo,9,FALSE))),PlanetData,8,FALSE),RsTbl,0),1,IF(MATCH(VLOOKUP(IF((A350="Aq"),VLOOKUP("AqLord",DivCharts,D336,FALSE),IF((A350="Sc"),VLOOKUP("ScLord",DivCharts,D336,FALSE),VLOOKUP(A350,RsInfo,9,FALSE))),DivCharts,D336,FALSE),RsTbl,0)=MOD(MATCH(VLOOKUP(IF((A350="Aq"),VLOOKUP("AqLord",DivCharts,D336,FALSE),IF((A350="Sc"),VLOOKUP("ScLord",DivCharts,D336,FALSE),VLOOKUP(A350,RsInfo,9,FALSE))),PlanetData,8,FALSE),RsTbl,0)+6,12),-1,0))</f>
        <v>#N/A</v>
      </c>
      <c r="D350" s="518">
        <f>MOD((MATCH(VLOOKUP(IF((A350="Aq"),VLOOKUP("AqLord",DivCharts,D336,FALSE),IF((A350="Sc"),VLOOKUP("ScLord",DivCharts,D336,FALSE),VLOOKUP(A350,RsInfo,9,FALSE))),DivCharts,D336,FALSE),RsTbl,0)*B350)-(B350*MATCH(A350,RsTbl,0))+12,12)</f>
        <v>2</v>
      </c>
      <c r="E350" s="107" t="e">
        <f>ABS(IF(ISNA(MATCH((D350+C350),,0)),(D350+C350),12)+IF(F337,0,-12))</f>
        <v>#N/A</v>
      </c>
      <c r="F350" s="603" t="e">
        <f>G348</f>
        <v>#N/A</v>
      </c>
      <c r="G350" s="603" t="e">
        <f>F350+E350*NDDaysInYEar</f>
        <v>#N/A</v>
      </c>
      <c r="H350" s="595" t="s">
        <v>1968</v>
      </c>
      <c r="I350" s="596" t="str">
        <f>INDEX(SignSym,MOD(B350+MATCH(H350,SignSym,FALSE)-1,12)+1)</f>
        <v>Ge</v>
      </c>
      <c r="J350" s="596" t="str">
        <f>INDEX(SignSym,MOD(B350+MATCH(I350,SignSym,FALSE)-1,12)+1)</f>
        <v>Ta</v>
      </c>
      <c r="K350" s="597" t="str">
        <f>INDEX(SignSym,MOD(B350+MATCH(J350,SignSym,FALSE)-1,12)+1)</f>
        <v>Ar</v>
      </c>
      <c r="L350" s="601" t="str">
        <f>INDEX(SignSym,MOD(B350+MATCH(K350,SignSym,FALSE)-1,12)+1)</f>
        <v>Pi</v>
      </c>
      <c r="M350" s="596" t="str">
        <f>INDEX(SignSym,MOD(B350+MATCH(L350,SignSym,FALSE)-1,12)+1)</f>
        <v>Aq</v>
      </c>
      <c r="N350" s="596" t="str">
        <f>INDEX(SignSym,MOD(B350+MATCH(M350,SignSym,FALSE)-1,12)+1)</f>
        <v>Cp</v>
      </c>
      <c r="O350" s="597" t="str">
        <f>INDEX(SignSym,MOD(B350+MATCH(N350,SignSym,FALSE)-1,12)+1)</f>
        <v>Sg</v>
      </c>
      <c r="P350" s="601" t="str">
        <f>INDEX(SignSym,MOD(B350+MATCH(O350,SignSym,FALSE)-1,12)+1)</f>
        <v>Sc</v>
      </c>
      <c r="Q350" s="596" t="str">
        <f>INDEX(SignSym,MOD(B350+MATCH(P350,SignSym,FALSE)-1,12)+1)</f>
        <v>Li</v>
      </c>
      <c r="R350" s="596" t="str">
        <f>INDEX(SignSym,MOD(B350+MATCH(Q350,SignSym,FALSE)-1,12)+1)</f>
        <v>Vi</v>
      </c>
      <c r="S350" s="597" t="str">
        <f>INDEX(SignSym,MOD(B350+MATCH(R350,SignSym,FALSE)-1,12)+1)</f>
        <v>Le</v>
      </c>
    </row>
    <row r="351" spans="1:19" s="107" customFormat="1" ht="15.75" thickBot="1" x14ac:dyDescent="0.25">
      <c r="C351" s="518"/>
      <c r="D351" s="518"/>
      <c r="F351" s="603"/>
      <c r="G351" s="603"/>
      <c r="H351" s="598" t="e">
        <f>F350</f>
        <v>#N/A</v>
      </c>
      <c r="I351" s="599" t="e">
        <f>H351+(E350*NDDaysInYEar/12)</f>
        <v>#N/A</v>
      </c>
      <c r="J351" s="599" t="e">
        <f>I351+(E350*NDDaysInYEar/12)</f>
        <v>#N/A</v>
      </c>
      <c r="K351" s="600" t="e">
        <f>J351+(E350*NDDaysInYEar/12)</f>
        <v>#N/A</v>
      </c>
      <c r="L351" s="598" t="e">
        <f>K351+(E350*NDDaysInYEar/12)</f>
        <v>#N/A</v>
      </c>
      <c r="M351" s="599" t="e">
        <f>L351+(E350*NDDaysInYEar/12)</f>
        <v>#N/A</v>
      </c>
      <c r="N351" s="599" t="e">
        <f>M351+(E350*NDDaysInYEar/12)</f>
        <v>#N/A</v>
      </c>
      <c r="O351" s="600" t="e">
        <f>N351+(E350*NDDaysInYEar/12)</f>
        <v>#N/A</v>
      </c>
      <c r="P351" s="598" t="e">
        <f>O351+(E350*NDDaysInYEar/12)</f>
        <v>#N/A</v>
      </c>
      <c r="Q351" s="599" t="e">
        <f>P351+(E350*NDDaysInYEar/12)</f>
        <v>#N/A</v>
      </c>
      <c r="R351" s="599" t="e">
        <f>Q351+(E350*NDDaysInYEar/12)</f>
        <v>#N/A</v>
      </c>
      <c r="S351" s="600" t="e">
        <f>R351+(E350*NDDaysInYEar/12)</f>
        <v>#N/A</v>
      </c>
    </row>
    <row r="352" spans="1:19" s="107" customFormat="1" x14ac:dyDescent="0.2">
      <c r="A352" s="611" t="s">
        <v>1948</v>
      </c>
      <c r="B352" s="107">
        <f>VLOOKUP(A352,NDasaC,3,FALSE)</f>
        <v>1</v>
      </c>
      <c r="C352" s="518" t="e">
        <f>IF(MATCH(VLOOKUP(IF((A352="Aq"),VLOOKUP("AqLord",DivCharts,D336,FALSE),IF((A352="Sc"),VLOOKUP("ScLord",DivCharts,D336,FALSE),VLOOKUP(A352,RsInfo,9,FALSE))),DivCharts,D336,FALSE),RsTbl,0)=MATCH(VLOOKUP(IF((A352="Aq"),VLOOKUP("AqLord",DivCharts,D336,FALSE),IF((A352="Sc"),VLOOKUP("ScLord",DivCharts,D336,FALSE),VLOOKUP(A352,RsInfo,9,FALSE))),PlanetData,8,FALSE),RsTbl,0),1,IF(MATCH(VLOOKUP(IF((A352="Aq"),VLOOKUP("AqLord",DivCharts,D336,FALSE),IF((A352="Sc"),VLOOKUP("ScLord",DivCharts,D336,FALSE),VLOOKUP(A352,RsInfo,9,FALSE))),DivCharts,D336,FALSE),RsTbl,0)=MOD(MATCH(VLOOKUP(IF((A352="Aq"),VLOOKUP("AqLord",DivCharts,D336,FALSE),IF((A352="Sc"),VLOOKUP("ScLord",DivCharts,D336,FALSE),VLOOKUP(A352,RsInfo,9,FALSE))),PlanetData,8,FALSE),RsTbl,0)+6,12),-1,0))</f>
        <v>#N/A</v>
      </c>
      <c r="D352" s="518">
        <f>MOD((MATCH(VLOOKUP(IF((A352="Aq"),VLOOKUP("AqLord",DivCharts,D336,FALSE),IF((A352="Sc"),VLOOKUP("ScLord",DivCharts,D336,FALSE),VLOOKUP(A352,RsInfo,9,FALSE))),DivCharts,D336,FALSE),RsTbl,0)*B352)-(B352*MATCH(A352,RsTbl,0))+12,12)</f>
        <v>11</v>
      </c>
      <c r="E352" s="107" t="e">
        <f>ABS(IF(ISNA(MATCH((D352+C352),,0)),(D352+C352),12)+IF(F337,0,-12))</f>
        <v>#N/A</v>
      </c>
      <c r="F352" s="603" t="e">
        <f>G350</f>
        <v>#N/A</v>
      </c>
      <c r="G352" s="603" t="e">
        <f>F352+E352*NDDaysInYEar</f>
        <v>#N/A</v>
      </c>
      <c r="H352" s="595" t="s">
        <v>1974</v>
      </c>
      <c r="I352" s="596" t="str">
        <f>INDEX(SignSym,MOD(B352+MATCH(H352,SignSym,FALSE)-1,12)+1)</f>
        <v>Pi</v>
      </c>
      <c r="J352" s="596" t="str">
        <f>INDEX(SignSym,MOD(B352+MATCH(I352,SignSym,FALSE)-1,12)+1)</f>
        <v>Ar</v>
      </c>
      <c r="K352" s="597" t="str">
        <f>INDEX(SignSym,MOD(B352+MATCH(J352,SignSym,FALSE)-1,12)+1)</f>
        <v>Ta</v>
      </c>
      <c r="L352" s="601" t="str">
        <f>INDEX(SignSym,MOD(B352+MATCH(K352,SignSym,FALSE)-1,12)+1)</f>
        <v>Ge</v>
      </c>
      <c r="M352" s="596" t="str">
        <f>INDEX(SignSym,MOD(B352+MATCH(L352,SignSym,FALSE)-1,12)+1)</f>
        <v>Cn</v>
      </c>
      <c r="N352" s="596" t="str">
        <f>INDEX(SignSym,MOD(B352+MATCH(M352,SignSym,FALSE)-1,12)+1)</f>
        <v>Le</v>
      </c>
      <c r="O352" s="597" t="str">
        <f>INDEX(SignSym,MOD(B352+MATCH(N352,SignSym,FALSE)-1,12)+1)</f>
        <v>Vi</v>
      </c>
      <c r="P352" s="601" t="str">
        <f>INDEX(SignSym,MOD(B352+MATCH(O352,SignSym,FALSE)-1,12)+1)</f>
        <v>Li</v>
      </c>
      <c r="Q352" s="596" t="str">
        <f>INDEX(SignSym,MOD(B352+MATCH(P352,SignSym,FALSE)-1,12)+1)</f>
        <v>Sc</v>
      </c>
      <c r="R352" s="596" t="str">
        <f>INDEX(SignSym,MOD(B352+MATCH(Q352,SignSym,FALSE)-1,12)+1)</f>
        <v>Sg</v>
      </c>
      <c r="S352" s="597" t="str">
        <f>INDEX(SignSym,MOD(B352+MATCH(R352,SignSym,FALSE)-1,12)+1)</f>
        <v>Cp</v>
      </c>
    </row>
    <row r="353" spans="1:19" s="107" customFormat="1" ht="15.75" thickBot="1" x14ac:dyDescent="0.25">
      <c r="C353" s="518"/>
      <c r="D353" s="518"/>
      <c r="F353" s="603"/>
      <c r="G353" s="603"/>
      <c r="H353" s="598" t="e">
        <f>F352</f>
        <v>#N/A</v>
      </c>
      <c r="I353" s="599" t="e">
        <f>H353+(E352*NDDaysInYEar/12)</f>
        <v>#N/A</v>
      </c>
      <c r="J353" s="599" t="e">
        <f>I353+(E352*NDDaysInYEar/12)</f>
        <v>#N/A</v>
      </c>
      <c r="K353" s="600" t="e">
        <f>J353+(E352*NDDaysInYEar/12)</f>
        <v>#N/A</v>
      </c>
      <c r="L353" s="598" t="e">
        <f>K353+(E352*NDDaysInYEar/12)</f>
        <v>#N/A</v>
      </c>
      <c r="M353" s="599" t="e">
        <f>L353+(E352*NDDaysInYEar/12)</f>
        <v>#N/A</v>
      </c>
      <c r="N353" s="599" t="e">
        <f>M353+(E352*NDDaysInYEar/12)</f>
        <v>#N/A</v>
      </c>
      <c r="O353" s="600" t="e">
        <f>N353+(E352*NDDaysInYEar/12)</f>
        <v>#N/A</v>
      </c>
      <c r="P353" s="598" t="e">
        <f>O353+(E352*NDDaysInYEar/12)</f>
        <v>#N/A</v>
      </c>
      <c r="Q353" s="599" t="e">
        <f>P353+(E352*NDDaysInYEar/12)</f>
        <v>#N/A</v>
      </c>
      <c r="R353" s="599" t="e">
        <f>Q353+(E352*NDDaysInYEar/12)</f>
        <v>#N/A</v>
      </c>
      <c r="S353" s="600" t="e">
        <f>R353+(E352*NDDaysInYEar/12)</f>
        <v>#N/A</v>
      </c>
    </row>
    <row r="354" spans="1:19" s="107" customFormat="1" x14ac:dyDescent="0.2">
      <c r="A354" s="611" t="s">
        <v>1952</v>
      </c>
      <c r="B354" s="107">
        <f>VLOOKUP(A354,NDasaC,3,FALSE)</f>
        <v>-1</v>
      </c>
      <c r="C354" s="518" t="e">
        <f>IF(MATCH(VLOOKUP(IF((A354="Aq"),VLOOKUP("AqLord",DivCharts,D336,FALSE),IF((A354="Sc"),VLOOKUP("ScLord",DivCharts,D336,FALSE),VLOOKUP(A354,RsInfo,9,FALSE))),DivCharts,D336,FALSE),RsTbl,0)=MATCH(VLOOKUP(IF((A354="Aq"),VLOOKUP("AqLord",DivCharts,D336,FALSE),IF((A354="Sc"),VLOOKUP("ScLord",DivCharts,D336,FALSE),VLOOKUP(A354,RsInfo,9,FALSE))),PlanetData,8,FALSE),RsTbl,0),1,IF(MATCH(VLOOKUP(IF((A354="Aq"),VLOOKUP("AqLord",DivCharts,D336,FALSE),IF((A354="Sc"),VLOOKUP("ScLord",DivCharts,D336,FALSE),VLOOKUP(A354,RsInfo,9,FALSE))),DivCharts,D336,FALSE),RsTbl,0)=MOD(MATCH(VLOOKUP(IF((A354="Aq"),VLOOKUP("AqLord",DivCharts,D336,FALSE),IF((A354="Sc"),VLOOKUP("ScLord",DivCharts,D336,FALSE),VLOOKUP(A354,RsInfo,9,FALSE))),PlanetData,8,FALSE),RsTbl,0)+6,12),-1,0))</f>
        <v>#N/A</v>
      </c>
      <c r="D354" s="518">
        <f>MOD((MATCH(VLOOKUP(IF((A354="Aq"),VLOOKUP("AqLord",DivCharts,D336,FALSE),IF((A354="Sc"),VLOOKUP("ScLord",DivCharts,D336,FALSE),VLOOKUP(A354,RsInfo,9,FALSE))),DivCharts,D336,FALSE),RsTbl,0)*B354)-(B354*MATCH(A354,RsTbl,0))+12,12)</f>
        <v>4</v>
      </c>
      <c r="E354" s="107" t="e">
        <f>ABS(IF(ISNA(MATCH((D354+C354),,0)),(D354+C354),12)+IF(F337,0,-12))</f>
        <v>#N/A</v>
      </c>
      <c r="F354" s="603" t="e">
        <f>G352</f>
        <v>#N/A</v>
      </c>
      <c r="G354" s="603" t="e">
        <f>F354+E354*NDDaysInYEar</f>
        <v>#N/A</v>
      </c>
      <c r="H354" s="595" t="s">
        <v>1953</v>
      </c>
      <c r="I354" s="596" t="str">
        <f>INDEX(SignSym,MOD(B354+MATCH(H354,SignSym,FALSE)-1,12)+1)</f>
        <v>Ar</v>
      </c>
      <c r="J354" s="596" t="str">
        <f>INDEX(SignSym,MOD(B354+MATCH(I354,SignSym,FALSE)-1,12)+1)</f>
        <v>Pi</v>
      </c>
      <c r="K354" s="597" t="str">
        <f>INDEX(SignSym,MOD(B354+MATCH(J354,SignSym,FALSE)-1,12)+1)</f>
        <v>Aq</v>
      </c>
      <c r="L354" s="601" t="str">
        <f>INDEX(SignSym,MOD(B354+MATCH(K354,SignSym,FALSE)-1,12)+1)</f>
        <v>Cp</v>
      </c>
      <c r="M354" s="596" t="str">
        <f>INDEX(SignSym,MOD(B354+MATCH(L354,SignSym,FALSE)-1,12)+1)</f>
        <v>Sg</v>
      </c>
      <c r="N354" s="596" t="str">
        <f>INDEX(SignSym,MOD(B354+MATCH(M354,SignSym,FALSE)-1,12)+1)</f>
        <v>Sc</v>
      </c>
      <c r="O354" s="597" t="str">
        <f>INDEX(SignSym,MOD(B354+MATCH(N354,SignSym,FALSE)-1,12)+1)</f>
        <v>Li</v>
      </c>
      <c r="P354" s="601" t="str">
        <f>INDEX(SignSym,MOD(B354+MATCH(O354,SignSym,FALSE)-1,12)+1)</f>
        <v>Vi</v>
      </c>
      <c r="Q354" s="596" t="str">
        <f>INDEX(SignSym,MOD(B354+MATCH(P354,SignSym,FALSE)-1,12)+1)</f>
        <v>Le</v>
      </c>
      <c r="R354" s="596" t="str">
        <f>INDEX(SignSym,MOD(B354+MATCH(Q354,SignSym,FALSE)-1,12)+1)</f>
        <v>Cn</v>
      </c>
      <c r="S354" s="597" t="str">
        <f>INDEX(SignSym,MOD(B354+MATCH(R354,SignSym,FALSE)-1,12)+1)</f>
        <v>Ge</v>
      </c>
    </row>
    <row r="355" spans="1:19" s="107" customFormat="1" ht="15.75" thickBot="1" x14ac:dyDescent="0.25">
      <c r="C355" s="518"/>
      <c r="D355" s="518"/>
      <c r="F355" s="603"/>
      <c r="G355" s="603"/>
      <c r="H355" s="598" t="e">
        <f>F354</f>
        <v>#N/A</v>
      </c>
      <c r="I355" s="599" t="e">
        <f>H355+(E354*NDDaysInYEar/12)</f>
        <v>#N/A</v>
      </c>
      <c r="J355" s="599" t="e">
        <f>I355+(E354*NDDaysInYEar/12)</f>
        <v>#N/A</v>
      </c>
      <c r="K355" s="600" t="e">
        <f>J355+(E354*NDDaysInYEar/12)</f>
        <v>#N/A</v>
      </c>
      <c r="L355" s="598" t="e">
        <f>K355+(E354*NDDaysInYEar/12)</f>
        <v>#N/A</v>
      </c>
      <c r="M355" s="599" t="e">
        <f>L355+(E354*NDDaysInYEar/12)</f>
        <v>#N/A</v>
      </c>
      <c r="N355" s="599" t="e">
        <f>M355+(E354*NDDaysInYEar/12)</f>
        <v>#N/A</v>
      </c>
      <c r="O355" s="600" t="e">
        <f>N355+(E354*NDDaysInYEar/12)</f>
        <v>#N/A</v>
      </c>
      <c r="P355" s="598" t="e">
        <f>O355+(E354*NDDaysInYEar/12)</f>
        <v>#N/A</v>
      </c>
      <c r="Q355" s="599" t="e">
        <f>P355+(E354*NDDaysInYEar/12)</f>
        <v>#N/A</v>
      </c>
      <c r="R355" s="599" t="e">
        <f>Q355+(E354*NDDaysInYEar/12)</f>
        <v>#N/A</v>
      </c>
      <c r="S355" s="600" t="e">
        <f>R355+(E354*NDDaysInYEar/12)</f>
        <v>#N/A</v>
      </c>
    </row>
    <row r="356" spans="1:19" s="107" customFormat="1" x14ac:dyDescent="0.2">
      <c r="A356" s="107" t="s">
        <v>1968</v>
      </c>
      <c r="B356" s="107">
        <f>VLOOKUP(A356,NDasaC,3,FALSE)</f>
        <v>-1</v>
      </c>
      <c r="C356" s="518" t="e">
        <f>IF(MATCH(VLOOKUP(IF((A356="Aq"),VLOOKUP("AqLord",DivCharts,D336,FALSE),IF((A356="Sc"),VLOOKUP("ScLord",DivCharts,D336,FALSE),VLOOKUP(A356,RsInfo,9,FALSE))),DivCharts,D336,FALSE),RsTbl,0)=MATCH(VLOOKUP(IF((A356="Aq"),VLOOKUP("AqLord",DivCharts,D336,FALSE),IF((A356="Sc"),VLOOKUP("ScLord",DivCharts,D336,FALSE),VLOOKUP(A356,RsInfo,9,FALSE))),PlanetData,8,FALSE),RsTbl,0),1,IF(MATCH(VLOOKUP(IF((A356="Aq"),VLOOKUP("AqLord",DivCharts,D336,FALSE),IF((A356="Sc"),VLOOKUP("ScLord",DivCharts,D336,FALSE),VLOOKUP(A356,RsInfo,9,FALSE))),DivCharts,D336,FALSE),RsTbl,0)=MOD(MATCH(VLOOKUP(IF((A356="Aq"),VLOOKUP("AqLord",DivCharts,D336,FALSE),IF((A356="Sc"),VLOOKUP("ScLord",DivCharts,D336,FALSE),VLOOKUP(A356,RsInfo,9,FALSE))),PlanetData,8,FALSE),RsTbl,0)+6,12),-1,0))</f>
        <v>#N/A</v>
      </c>
      <c r="D356" s="518">
        <f>MOD((MATCH(VLOOKUP(IF((A356="Aq"),VLOOKUP("AqLord",DivCharts,D336,FALSE),IF((A356="Sc"),VLOOKUP("ScLord",DivCharts,D336,FALSE),VLOOKUP(A356,RsInfo,9,FALSE))),DivCharts,D336,FALSE),RsTbl,0)*B356)-(B356*MATCH(A356,RsTbl,0))+12,12)</f>
        <v>2</v>
      </c>
      <c r="E356" s="107" t="e">
        <f>ABS(IF(ISNA(MATCH((D356+C356),,0)),(D356+C356),12)+IF(F337,0,-12))</f>
        <v>#N/A</v>
      </c>
      <c r="F356" s="603" t="e">
        <f>G354</f>
        <v>#N/A</v>
      </c>
      <c r="G356" s="603" t="e">
        <f>F356+E356*NDDaysInYEar</f>
        <v>#N/A</v>
      </c>
      <c r="H356" s="595" t="str">
        <f>A356</f>
        <v>Cn</v>
      </c>
      <c r="I356" s="596" t="str">
        <f>INDEX(SignSym,MOD(B356+MATCH(H356,SignSym,FALSE)-1,12)+1)</f>
        <v>Ge</v>
      </c>
      <c r="J356" s="596" t="str">
        <f>INDEX(SignSym,MOD(B356+MATCH(I356,SignSym,FALSE)-1,12)+1)</f>
        <v>Ta</v>
      </c>
      <c r="K356" s="597" t="str">
        <f>INDEX(SignSym,MOD(B356+MATCH(J356,SignSym,FALSE)-1,12)+1)</f>
        <v>Ar</v>
      </c>
      <c r="L356" s="601" t="str">
        <f>INDEX(SignSym,MOD(B356+MATCH(K356,SignSym,FALSE)-1,12)+1)</f>
        <v>Pi</v>
      </c>
      <c r="M356" s="596" t="str">
        <f>INDEX(SignSym,MOD(B356+MATCH(L356,SignSym,FALSE)-1,12)+1)</f>
        <v>Aq</v>
      </c>
      <c r="N356" s="596" t="str">
        <f>INDEX(SignSym,MOD(B356+MATCH(M356,SignSym,FALSE)-1,12)+1)</f>
        <v>Cp</v>
      </c>
      <c r="O356" s="597" t="str">
        <f>INDEX(SignSym,MOD(B356+MATCH(N356,SignSym,FALSE)-1,12)+1)</f>
        <v>Sg</v>
      </c>
      <c r="P356" s="601" t="str">
        <f>INDEX(SignSym,MOD(B356+MATCH(O356,SignSym,FALSE)-1,12)+1)</f>
        <v>Sc</v>
      </c>
      <c r="Q356" s="596" t="str">
        <f>INDEX(SignSym,MOD(B356+MATCH(P356,SignSym,FALSE)-1,12)+1)</f>
        <v>Li</v>
      </c>
      <c r="R356" s="596" t="str">
        <f>INDEX(SignSym,MOD(B356+MATCH(Q356,SignSym,FALSE)-1,12)+1)</f>
        <v>Vi</v>
      </c>
      <c r="S356" s="597" t="str">
        <f>INDEX(SignSym,MOD(B356+MATCH(R356,SignSym,FALSE)-1,12)+1)</f>
        <v>Le</v>
      </c>
    </row>
    <row r="357" spans="1:19" s="107" customFormat="1" ht="15.75" thickBot="1" x14ac:dyDescent="0.25">
      <c r="C357" s="518"/>
      <c r="D357" s="518"/>
      <c r="F357" s="603"/>
      <c r="G357" s="603"/>
      <c r="H357" s="598" t="e">
        <f>F356</f>
        <v>#N/A</v>
      </c>
      <c r="I357" s="599" t="e">
        <f>H357+(E356*NDDaysInYEar/12)</f>
        <v>#N/A</v>
      </c>
      <c r="J357" s="599" t="e">
        <f>I357+(E356*NDDaysInYEar/12)</f>
        <v>#N/A</v>
      </c>
      <c r="K357" s="600" t="e">
        <f>J357+(E356*NDDaysInYEar/12)</f>
        <v>#N/A</v>
      </c>
      <c r="L357" s="598" t="e">
        <f>K357+(E356*NDDaysInYEar/12)</f>
        <v>#N/A</v>
      </c>
      <c r="M357" s="599" t="e">
        <f>L357+(E356*NDDaysInYEar/12)</f>
        <v>#N/A</v>
      </c>
      <c r="N357" s="599" t="e">
        <f>M357+(E356*NDDaysInYEar/12)</f>
        <v>#N/A</v>
      </c>
      <c r="O357" s="600" t="e">
        <f>N357+(E356*NDDaysInYEar/12)</f>
        <v>#N/A</v>
      </c>
      <c r="P357" s="598" t="e">
        <f>O357+(E356*NDDaysInYEar/12)</f>
        <v>#N/A</v>
      </c>
      <c r="Q357" s="599" t="e">
        <f>P357+(E356*NDDaysInYEar/12)</f>
        <v>#N/A</v>
      </c>
      <c r="R357" s="599" t="e">
        <f>Q357+(E356*NDDaysInYEar/12)</f>
        <v>#N/A</v>
      </c>
      <c r="S357" s="600" t="e">
        <f>R357+(E356*NDDaysInYEar/12)</f>
        <v>#N/A</v>
      </c>
    </row>
    <row r="358" spans="1:19" s="107" customFormat="1" x14ac:dyDescent="0.2">
      <c r="A358" s="610" t="s">
        <v>1971</v>
      </c>
      <c r="B358" s="107">
        <f>VLOOKUP(A358,NDasaC,3,FALSE)</f>
        <v>1</v>
      </c>
      <c r="C358" s="518" t="e">
        <f>IF(MATCH(VLOOKUP(IF((A358="Aq"),VLOOKUP("AqLord",DivCharts,D336,FALSE),IF((A358="Sc"),VLOOKUP("ScLord",DivCharts,D336,FALSE),VLOOKUP(A358,RsInfo,9,FALSE))),DivCharts,D336,FALSE),RsTbl,0)=MATCH(VLOOKUP(IF((A358="Aq"),VLOOKUP("AqLord",DivCharts,D336,FALSE),IF((A358="Sc"),VLOOKUP("ScLord",DivCharts,D336,FALSE),VLOOKUP(A358,RsInfo,9,FALSE))),PlanetData,8,FALSE),RsTbl,0),1,IF(MATCH(VLOOKUP(IF((A358="Aq"),VLOOKUP("AqLord",DivCharts,D336,FALSE),IF((A358="Sc"),VLOOKUP("ScLord",DivCharts,D336,FALSE),VLOOKUP(A358,RsInfo,9,FALSE))),DivCharts,D336,FALSE),RsTbl,0)=MOD(MATCH(VLOOKUP(IF((A358="Aq"),VLOOKUP("AqLord",DivCharts,D336,FALSE),IF((A358="Sc"),VLOOKUP("ScLord",DivCharts,D336,FALSE),VLOOKUP(A358,RsInfo,9,FALSE))),PlanetData,8,FALSE),RsTbl,0)+6,12),-1,0))</f>
        <v>#N/A</v>
      </c>
      <c r="D358" s="518">
        <f>MOD((MATCH(VLOOKUP(IF((A358="Aq"),VLOOKUP("AqLord",DivCharts,D336,FALSE),IF((A358="Sc"),VLOOKUP("ScLord",DivCharts,D336,FALSE),VLOOKUP(A358,RsInfo,9,FALSE))),DivCharts,D336,FALSE),RsTbl,0)*B358)-(B358*MATCH(A358,RsTbl,0))+12,12)</f>
        <v>8</v>
      </c>
      <c r="E358" s="107" t="e">
        <f>ABS(IF(ISNA(MATCH((D358+C358),,0)),(D358+C358),12)+IF(F337,0,-12))</f>
        <v>#N/A</v>
      </c>
      <c r="F358" s="603" t="e">
        <f>G356</f>
        <v>#N/A</v>
      </c>
      <c r="G358" s="603" t="e">
        <f>F358+E358*NDDaysInYEar</f>
        <v>#N/A</v>
      </c>
      <c r="H358" s="595" t="str">
        <f>A358</f>
        <v>Li</v>
      </c>
      <c r="I358" s="596" t="str">
        <f>INDEX(SignSym,MOD(B358+MATCH(H358,SignSym,FALSE)-1,12)+1)</f>
        <v>Sc</v>
      </c>
      <c r="J358" s="596" t="str">
        <f>INDEX(SignSym,MOD(B358+MATCH(I358,SignSym,FALSE)-1,12)+1)</f>
        <v>Sg</v>
      </c>
      <c r="K358" s="597" t="str">
        <f>INDEX(SignSym,MOD(B358+MATCH(J358,SignSym,FALSE)-1,12)+1)</f>
        <v>Cp</v>
      </c>
      <c r="L358" s="601" t="str">
        <f>INDEX(SignSym,MOD(B358+MATCH(K358,SignSym,FALSE)-1,12)+1)</f>
        <v>Aq</v>
      </c>
      <c r="M358" s="596" t="str">
        <f>INDEX(SignSym,MOD(B358+MATCH(L358,SignSym,FALSE)-1,12)+1)</f>
        <v>Pi</v>
      </c>
      <c r="N358" s="596" t="str">
        <f>INDEX(SignSym,MOD(B358+MATCH(M358,SignSym,FALSE)-1,12)+1)</f>
        <v>Ar</v>
      </c>
      <c r="O358" s="597" t="str">
        <f>INDEX(SignSym,MOD(B358+MATCH(N358,SignSym,FALSE)-1,12)+1)</f>
        <v>Ta</v>
      </c>
      <c r="P358" s="601" t="str">
        <f>INDEX(SignSym,MOD(B358+MATCH(O358,SignSym,FALSE)-1,12)+1)</f>
        <v>Ge</v>
      </c>
      <c r="Q358" s="596" t="str">
        <f>INDEX(SignSym,MOD(B358+MATCH(P358,SignSym,FALSE)-1,12)+1)</f>
        <v>Cn</v>
      </c>
      <c r="R358" s="596" t="str">
        <f>INDEX(SignSym,MOD(B358+MATCH(Q358,SignSym,FALSE)-1,12)+1)</f>
        <v>Le</v>
      </c>
      <c r="S358" s="597" t="str">
        <f>INDEX(SignSym,MOD(B358+MATCH(R358,SignSym,FALSE)-1,12)+1)</f>
        <v>Vi</v>
      </c>
    </row>
    <row r="359" spans="1:19" s="107" customFormat="1" ht="15.75" thickBot="1" x14ac:dyDescent="0.25">
      <c r="C359" s="518"/>
      <c r="D359" s="518"/>
      <c r="F359" s="603"/>
      <c r="G359" s="603"/>
      <c r="H359" s="598" t="e">
        <f>F358</f>
        <v>#N/A</v>
      </c>
      <c r="I359" s="599" t="e">
        <f>H359+(E358*NDDaysInYEar/12)</f>
        <v>#N/A</v>
      </c>
      <c r="J359" s="599" t="e">
        <f>I359+(E358*NDDaysInYEar/12)</f>
        <v>#N/A</v>
      </c>
      <c r="K359" s="600" t="e">
        <f>J359+(E358*NDDaysInYEar/12)</f>
        <v>#N/A</v>
      </c>
      <c r="L359" s="598" t="e">
        <f>K359+(E358*NDDaysInYEar/12)</f>
        <v>#N/A</v>
      </c>
      <c r="M359" s="599" t="e">
        <f>L359+(E358*NDDaysInYEar/12)</f>
        <v>#N/A</v>
      </c>
      <c r="N359" s="599" t="e">
        <f>M359+(E358*NDDaysInYEar/12)</f>
        <v>#N/A</v>
      </c>
      <c r="O359" s="600" t="e">
        <f>N359+(E358*NDDaysInYEar/12)</f>
        <v>#N/A</v>
      </c>
      <c r="P359" s="598" t="e">
        <f>O359+(E358*NDDaysInYEar/12)</f>
        <v>#N/A</v>
      </c>
      <c r="Q359" s="599" t="e">
        <f>P359+(E358*NDDaysInYEar/12)</f>
        <v>#N/A</v>
      </c>
      <c r="R359" s="599" t="e">
        <f>Q359+(E358*NDDaysInYEar/12)</f>
        <v>#N/A</v>
      </c>
      <c r="S359" s="600" t="e">
        <f>R359+(E358*NDDaysInYEar/12)</f>
        <v>#N/A</v>
      </c>
    </row>
    <row r="360" spans="1:19" s="107" customFormat="1" x14ac:dyDescent="0.2">
      <c r="A360" s="107" t="s">
        <v>1962</v>
      </c>
      <c r="B360" s="107">
        <f>VLOOKUP(A360,NDasaC,3,FALSE)</f>
        <v>-1</v>
      </c>
      <c r="C360" s="518" t="e">
        <f>IF(MATCH(VLOOKUP(IF((A360="Aq"),VLOOKUP("AqLord",DivCharts,D336,FALSE),IF((A360="Sc"),VLOOKUP("ScLord",DivCharts,D336,FALSE),VLOOKUP(A360,RsInfo,9,FALSE))),DivCharts,D336,FALSE),RsTbl,0)=MATCH(VLOOKUP(IF((A360="Aq"),VLOOKUP("AqLord",DivCharts,D336,FALSE),IF((A360="Sc"),VLOOKUP("ScLord",DivCharts,D336,FALSE),VLOOKUP(A360,RsInfo,9,FALSE))),PlanetData,8,FALSE),RsTbl,0),1,IF(MATCH(VLOOKUP(IF((A360="Aq"),VLOOKUP("AqLord",DivCharts,D336,FALSE),IF((A360="Sc"),VLOOKUP("ScLord",DivCharts,D336,FALSE),VLOOKUP(A360,RsInfo,9,FALSE))),DivCharts,D336,FALSE),RsTbl,0)=MOD(MATCH(VLOOKUP(IF((A360="Aq"),VLOOKUP("AqLord",DivCharts,D336,FALSE),IF((A360="Sc"),VLOOKUP("ScLord",DivCharts,D336,FALSE),VLOOKUP(A360,RsInfo,9,FALSE))),PlanetData,8,FALSE),RsTbl,0)+6,12),-1,0))</f>
        <v>#N/A</v>
      </c>
      <c r="D360" s="518">
        <f>MOD((MATCH(VLOOKUP(IF((A360="Aq"),VLOOKUP("AqLord",DivCharts,D336,FALSE),IF((A360="Sc"),VLOOKUP("ScLord",DivCharts,D336,FALSE),VLOOKUP(A360,RsInfo,9,FALSE))),DivCharts,D336,FALSE),RsTbl,0)*B360)-(B360*MATCH(A360,RsTbl,0))+12,12)</f>
        <v>8</v>
      </c>
      <c r="E360" s="107" t="e">
        <f>ABS(IF(ISNA(MATCH((D360+C360),,0)),(D360+C360),12)+IF(F337,0,-12))</f>
        <v>#N/A</v>
      </c>
      <c r="F360" s="603" t="e">
        <f>G358</f>
        <v>#N/A</v>
      </c>
      <c r="G360" s="603" t="e">
        <f>F360+E360*NDDaysInYEar</f>
        <v>#N/A</v>
      </c>
      <c r="H360" s="595" t="str">
        <f>A360</f>
        <v>Cp</v>
      </c>
      <c r="I360" s="596" t="str">
        <f>INDEX(SignSym,MOD(B360+MATCH(H360,SignSym,FALSE)-1,12)+1)</f>
        <v>Sg</v>
      </c>
      <c r="J360" s="596" t="str">
        <f>INDEX(SignSym,MOD(B360+MATCH(I360,SignSym,FALSE)-1,12)+1)</f>
        <v>Sc</v>
      </c>
      <c r="K360" s="597" t="str">
        <f>INDEX(SignSym,MOD(B360+MATCH(J360,SignSym,FALSE)-1,12)+1)</f>
        <v>Li</v>
      </c>
      <c r="L360" s="601" t="str">
        <f>INDEX(SignSym,MOD(B360+MATCH(K360,SignSym,FALSE)-1,12)+1)</f>
        <v>Vi</v>
      </c>
      <c r="M360" s="596" t="str">
        <f>INDEX(SignSym,MOD(B360+MATCH(L360,SignSym,FALSE)-1,12)+1)</f>
        <v>Le</v>
      </c>
      <c r="N360" s="596" t="str">
        <f>INDEX(SignSym,MOD(B360+MATCH(M360,SignSym,FALSE)-1,12)+1)</f>
        <v>Cn</v>
      </c>
      <c r="O360" s="597" t="str">
        <f>INDEX(SignSym,MOD(B360+MATCH(N360,SignSym,FALSE)-1,12)+1)</f>
        <v>Ge</v>
      </c>
      <c r="P360" s="601" t="str">
        <f>INDEX(SignSym,MOD(B360+MATCH(O360,SignSym,FALSE)-1,12)+1)</f>
        <v>Ta</v>
      </c>
      <c r="Q360" s="596" t="str">
        <f>INDEX(SignSym,MOD(B360+MATCH(P360,SignSym,FALSE)-1,12)+1)</f>
        <v>Ar</v>
      </c>
      <c r="R360" s="596" t="str">
        <f>INDEX(SignSym,MOD(B360+MATCH(Q360,SignSym,FALSE)-1,12)+1)</f>
        <v>Pi</v>
      </c>
      <c r="S360" s="597" t="str">
        <f>INDEX(SignSym,MOD(B360+MATCH(R360,SignSym,FALSE)-1,12)+1)</f>
        <v>Aq</v>
      </c>
    </row>
    <row r="361" spans="1:19" s="107" customFormat="1" ht="15.75" thickBot="1" x14ac:dyDescent="0.25">
      <c r="C361" s="518"/>
      <c r="D361" s="518"/>
      <c r="F361" s="603"/>
      <c r="G361" s="603"/>
      <c r="H361" s="598" t="e">
        <f>F360</f>
        <v>#N/A</v>
      </c>
      <c r="I361" s="599" t="e">
        <f>H361+(E360*NDDaysInYEar/12)</f>
        <v>#N/A</v>
      </c>
      <c r="J361" s="599" t="e">
        <f>I361+(E360*NDDaysInYEar/12)</f>
        <v>#N/A</v>
      </c>
      <c r="K361" s="600" t="e">
        <f>J361+(E360*NDDaysInYEar/12)</f>
        <v>#N/A</v>
      </c>
      <c r="L361" s="598" t="e">
        <f>K361+(E360*NDDaysInYEar/12)</f>
        <v>#N/A</v>
      </c>
      <c r="M361" s="599" t="e">
        <f>L361+(E360*NDDaysInYEar/12)</f>
        <v>#N/A</v>
      </c>
      <c r="N361" s="599" t="e">
        <f>M361+(E360*NDDaysInYEar/12)</f>
        <v>#N/A</v>
      </c>
      <c r="O361" s="600" t="e">
        <f>N361+(E360*NDDaysInYEar/12)</f>
        <v>#N/A</v>
      </c>
      <c r="P361" s="598" t="e">
        <f>O361+(E360*NDDaysInYEar/12)</f>
        <v>#N/A</v>
      </c>
      <c r="Q361" s="599" t="e">
        <f>P361+(E360*NDDaysInYEar/12)</f>
        <v>#N/A</v>
      </c>
      <c r="R361" s="599" t="e">
        <f>Q361+(E360*NDDaysInYEar/12)</f>
        <v>#N/A</v>
      </c>
      <c r="S361" s="600" t="e">
        <f>R361+(E360*NDDaysInYEar/12)</f>
        <v>#N/A</v>
      </c>
    </row>
    <row r="362" spans="1:19" s="107" customFormat="1" x14ac:dyDescent="0.2">
      <c r="A362" s="610" t="s">
        <v>1956</v>
      </c>
      <c r="B362" s="107">
        <f>VLOOKUP(A362,NDasaC,3,FALSE)</f>
        <v>1</v>
      </c>
      <c r="C362" s="518" t="e">
        <f>IF(MATCH(VLOOKUP(IF((A362="Aq"),VLOOKUP("AqLord",DivCharts,D336,FALSE),IF((A362="Sc"),VLOOKUP("ScLord",DivCharts,D336,FALSE),VLOOKUP(A362,RsInfo,9,FALSE))),DivCharts,D336,FALSE),RsTbl,0)=MATCH(VLOOKUP(IF((A362="Aq"),VLOOKUP("AqLord",DivCharts,D336,FALSE),IF((A362="Sc"),VLOOKUP("ScLord",DivCharts,D336,FALSE),VLOOKUP(A362,RsInfo,9,FALSE))),PlanetData,8,FALSE),RsTbl,0),1,IF(MATCH(VLOOKUP(IF((A362="Aq"),VLOOKUP("AqLord",DivCharts,D336,FALSE),IF((A362="Sc"),VLOOKUP("ScLord",DivCharts,D336,FALSE),VLOOKUP(A362,RsInfo,9,FALSE))),DivCharts,D336,FALSE),RsTbl,0)=MOD(MATCH(VLOOKUP(IF((A362="Aq"),VLOOKUP("AqLord",DivCharts,D336,FALSE),IF((A362="Sc"),VLOOKUP("ScLord",DivCharts,D336,FALSE),VLOOKUP(A362,RsInfo,9,FALSE))),PlanetData,8,FALSE),RsTbl,0)+6,12),-1,0))</f>
        <v>#N/A</v>
      </c>
      <c r="D362" s="518">
        <f>MOD((MATCH(VLOOKUP(IF((A362="Aq"),VLOOKUP("AqLord",DivCharts,D336,FALSE),IF((A362="Sc"),VLOOKUP("ScLord",DivCharts,D336,FALSE),VLOOKUP(A362,RsInfo,9,FALSE))),DivCharts,D336,FALSE),RsTbl,0)*B362)-(B362*MATCH(A362,RsTbl,0))+12,12)</f>
        <v>9</v>
      </c>
      <c r="E362" s="107" t="e">
        <f>ABS(IF(ISNA(MATCH((D362+C362),,0)),(D362+C362),12)+IF(F337,0,-12))</f>
        <v>#N/A</v>
      </c>
      <c r="F362" s="603" t="e">
        <f>G360</f>
        <v>#N/A</v>
      </c>
      <c r="G362" s="603" t="e">
        <f>F362+E362*NDDaysInYEar</f>
        <v>#N/A</v>
      </c>
      <c r="H362" s="595" t="str">
        <f>A362</f>
        <v>Ar</v>
      </c>
      <c r="I362" s="596" t="str">
        <f>INDEX(SignSym,MOD(B362+MATCH(H362,SignSym,FALSE)-1,12)+1)</f>
        <v>Ta</v>
      </c>
      <c r="J362" s="596" t="str">
        <f>INDEX(SignSym,MOD(B362+MATCH(I362,SignSym,FALSE)-1,12)+1)</f>
        <v>Ge</v>
      </c>
      <c r="K362" s="597" t="str">
        <f>INDEX(SignSym,MOD(B362+MATCH(J362,SignSym,FALSE)-1,12)+1)</f>
        <v>Cn</v>
      </c>
      <c r="L362" s="601" t="str">
        <f>INDEX(SignSym,MOD(B362+MATCH(K362,SignSym,FALSE)-1,12)+1)</f>
        <v>Le</v>
      </c>
      <c r="M362" s="596" t="str">
        <f>INDEX(SignSym,MOD(B362+MATCH(L362,SignSym,FALSE)-1,12)+1)</f>
        <v>Vi</v>
      </c>
      <c r="N362" s="596" t="str">
        <f>INDEX(SignSym,MOD(B362+MATCH(M362,SignSym,FALSE)-1,12)+1)</f>
        <v>Li</v>
      </c>
      <c r="O362" s="597" t="str">
        <f>INDEX(SignSym,MOD(B362+MATCH(N362,SignSym,FALSE)-1,12)+1)</f>
        <v>Sc</v>
      </c>
      <c r="P362" s="601" t="str">
        <f>INDEX(SignSym,MOD(B362+MATCH(O362,SignSym,FALSE)-1,12)+1)</f>
        <v>Sg</v>
      </c>
      <c r="Q362" s="596" t="str">
        <f>INDEX(SignSym,MOD(B362+MATCH(P362,SignSym,FALSE)-1,12)+1)</f>
        <v>Cp</v>
      </c>
      <c r="R362" s="596" t="str">
        <f>INDEX(SignSym,MOD(B362+MATCH(Q362,SignSym,FALSE)-1,12)+1)</f>
        <v>Aq</v>
      </c>
      <c r="S362" s="597" t="str">
        <f>INDEX(SignSym,MOD(B362+MATCH(R362,SignSym,FALSE)-1,12)+1)</f>
        <v>Pi</v>
      </c>
    </row>
    <row r="363" spans="1:19" s="107" customFormat="1" ht="15.75" thickBot="1" x14ac:dyDescent="0.25">
      <c r="D363" s="518"/>
      <c r="F363" s="603"/>
      <c r="G363" s="603"/>
      <c r="H363" s="598" t="e">
        <f>F362</f>
        <v>#N/A</v>
      </c>
      <c r="I363" s="599" t="e">
        <f>H363+(E362*NDDaysInYEar/12)</f>
        <v>#N/A</v>
      </c>
      <c r="J363" s="599" t="e">
        <f>I363+(E362*NDDaysInYEar/12)</f>
        <v>#N/A</v>
      </c>
      <c r="K363" s="600" t="e">
        <f>J363+(E362*NDDaysInYEar/12)</f>
        <v>#N/A</v>
      </c>
      <c r="L363" s="598" t="e">
        <f>K363+(E362*NDDaysInYEar/12)</f>
        <v>#N/A</v>
      </c>
      <c r="M363" s="599" t="e">
        <f>L363+(E362*NDDaysInYEar/12)</f>
        <v>#N/A</v>
      </c>
      <c r="N363" s="599" t="e">
        <f>M363+(E362*NDDaysInYEar/12)</f>
        <v>#N/A</v>
      </c>
      <c r="O363" s="600" t="e">
        <f>N363+(E362*NDDaysInYEar/12)</f>
        <v>#N/A</v>
      </c>
      <c r="P363" s="598" t="e">
        <f>O363+(E362*NDDaysInYEar/12)</f>
        <v>#N/A</v>
      </c>
      <c r="Q363" s="599" t="e">
        <f>P363+(E362*NDDaysInYEar/12)</f>
        <v>#N/A</v>
      </c>
      <c r="R363" s="599" t="e">
        <f>Q363+(E362*NDDaysInYEar/12)</f>
        <v>#N/A</v>
      </c>
      <c r="S363" s="600" t="e">
        <f>R363+(E362*NDDaysInYEar/12)</f>
        <v>#N/A</v>
      </c>
    </row>
    <row r="364" spans="1:19" s="107" customFormat="1" x14ac:dyDescent="0.2">
      <c r="A364" s="520"/>
      <c r="B364" s="520"/>
      <c r="C364" s="520"/>
      <c r="D364" s="520"/>
      <c r="E364" s="520"/>
      <c r="F364" s="520"/>
      <c r="G364" s="520"/>
      <c r="H364" s="520"/>
      <c r="I364" s="520"/>
      <c r="J364" s="520"/>
      <c r="K364" s="520"/>
      <c r="L364" s="520"/>
      <c r="M364" s="520"/>
      <c r="N364" s="520"/>
      <c r="O364" s="520"/>
      <c r="P364" s="520"/>
      <c r="Q364" s="520"/>
      <c r="R364" s="520"/>
      <c r="S364" s="520"/>
    </row>
    <row r="365" spans="1:19" s="107" customFormat="1" hidden="1" x14ac:dyDescent="0.2">
      <c r="H365" s="519"/>
      <c r="I365" s="519"/>
      <c r="J365" s="519"/>
      <c r="K365" s="519"/>
      <c r="L365" s="519"/>
      <c r="M365" s="519"/>
      <c r="N365" s="519"/>
      <c r="O365" s="519"/>
      <c r="P365" s="519"/>
      <c r="Q365" s="519"/>
      <c r="R365" s="519"/>
      <c r="S365" s="519"/>
    </row>
    <row r="366" spans="1:19" s="107" customFormat="1" x14ac:dyDescent="0.2"/>
    <row r="367" spans="1:19" s="107" customFormat="1" x14ac:dyDescent="0.2"/>
  </sheetData>
  <sheetProtection selectLockedCells="1" selectUnlockedCells="1"/>
  <mergeCells count="21">
    <mergeCell ref="A136:B136"/>
    <mergeCell ref="A71:B71"/>
    <mergeCell ref="A102:B102"/>
    <mergeCell ref="A103:B103"/>
    <mergeCell ref="A135:B135"/>
    <mergeCell ref="A32:H32"/>
    <mergeCell ref="A35:B35"/>
    <mergeCell ref="A36:B36"/>
    <mergeCell ref="A70:B70"/>
    <mergeCell ref="A337:B337"/>
    <mergeCell ref="A274:B274"/>
    <mergeCell ref="A304:B304"/>
    <mergeCell ref="A305:B305"/>
    <mergeCell ref="A171:B171"/>
    <mergeCell ref="A172:B172"/>
    <mergeCell ref="A206:B206"/>
    <mergeCell ref="A207:B207"/>
    <mergeCell ref="A241:B241"/>
    <mergeCell ref="A242:B242"/>
    <mergeCell ref="A273:B273"/>
    <mergeCell ref="A336:B336"/>
  </mergeCells>
  <phoneticPr fontId="107" type="noConversion"/>
  <pageMargins left="0.74791666666666667" right="0.74791666666666667" top="0.98402777777777772" bottom="0.98402777777777772" header="0.51180555555555551" footer="0.51180555555555551"/>
  <pageSetup scale="44" firstPageNumber="0" orientation="landscape" horizontalDpi="300" verticalDpi="300" r:id="rId1"/>
  <headerFooter alignWithMargins="0"/>
  <rowBreaks count="4" manualBreakCount="4">
    <brk id="67" max="16383" man="1"/>
    <brk id="133" max="16383" man="1"/>
    <brk id="202" max="16383" man="1"/>
    <brk id="271" max="16383" man="1"/>
  </rowBreaks>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dimension ref="A1:L36"/>
  <sheetViews>
    <sheetView topLeftCell="A26" zoomScale="80" zoomScaleNormal="80" zoomScaleSheetLayoutView="75" workbookViewId="0" xr3:uid="{274F5AE0-5452-572F-8038-C13FFDA59D49}">
      <selection activeCell="J33" sqref="J33"/>
    </sheetView>
  </sheetViews>
  <sheetFormatPr defaultRowHeight="15" x14ac:dyDescent="0.2"/>
  <cols>
    <col min="1" max="1" width="60.66796875" bestFit="1" customWidth="1"/>
    <col min="2" max="2" width="26.90234375" bestFit="1" customWidth="1"/>
    <col min="3" max="3" width="4.5703125" customWidth="1"/>
    <col min="4" max="4" width="8.203125" customWidth="1"/>
    <col min="5" max="5" width="11.1640625" customWidth="1"/>
    <col min="6" max="6" width="8.47265625" bestFit="1" customWidth="1"/>
    <col min="7" max="7" width="7.26171875" bestFit="1" customWidth="1"/>
    <col min="8" max="8" width="7.6640625" bestFit="1" customWidth="1"/>
    <col min="9" max="9" width="20.17578125" bestFit="1" customWidth="1"/>
    <col min="10" max="11" width="20.4453125" bestFit="1" customWidth="1"/>
  </cols>
  <sheetData>
    <row r="1" spans="1:12" x14ac:dyDescent="0.2">
      <c r="B1" t="s">
        <v>1672</v>
      </c>
      <c r="D1" s="629">
        <v>1</v>
      </c>
      <c r="H1">
        <f>IF(D1&gt;21,D1-1,D1)</f>
        <v>1</v>
      </c>
    </row>
    <row r="2" spans="1:12" ht="18" x14ac:dyDescent="0.2">
      <c r="A2" s="266" t="s">
        <v>1673</v>
      </c>
      <c r="B2" s="267" t="s">
        <v>1674</v>
      </c>
      <c r="C2" s="267" t="s">
        <v>1675</v>
      </c>
      <c r="D2" s="267" t="s">
        <v>1676</v>
      </c>
      <c r="E2" s="267" t="s">
        <v>1677</v>
      </c>
      <c r="F2" s="267" t="s">
        <v>1678</v>
      </c>
      <c r="G2" s="267" t="s">
        <v>1464</v>
      </c>
      <c r="H2" s="266"/>
      <c r="I2" s="267" t="s">
        <v>1679</v>
      </c>
      <c r="J2" s="267" t="s">
        <v>1678</v>
      </c>
      <c r="K2" s="267" t="s">
        <v>3958</v>
      </c>
      <c r="L2" s="1072" t="s">
        <v>2097</v>
      </c>
    </row>
    <row r="3" spans="1:12" ht="18" x14ac:dyDescent="0.2">
      <c r="A3" s="268" t="s">
        <v>1165</v>
      </c>
      <c r="B3" s="269" t="s">
        <v>1165</v>
      </c>
      <c r="C3" s="269">
        <v>1</v>
      </c>
      <c r="D3" s="269">
        <f t="shared" ref="D3:D13" si="0">MOD(C3+D$1+26,28)+1</f>
        <v>1</v>
      </c>
      <c r="E3" s="269" t="str">
        <f t="shared" ref="E3:E13" si="1">INDEX(NaxNames28,D3)</f>
        <v>Ashwini</v>
      </c>
      <c r="F3" s="269" t="str">
        <f t="shared" ref="F3:F13" si="2">INDEX(NakshatraTbl,D3,3)</f>
        <v>Ketu</v>
      </c>
      <c r="G3" s="269" t="s">
        <v>1464</v>
      </c>
      <c r="H3" s="270">
        <f t="shared" ref="H3:H8" si="3">MOD(C3+H$1+25,27)+1</f>
        <v>1</v>
      </c>
      <c r="I3" s="269" t="str">
        <f t="shared" ref="I3:I8" si="4">VLOOKUP(H3,NakshatraInfo,2)</f>
        <v>Ashvini</v>
      </c>
      <c r="J3" s="269" t="str">
        <f t="shared" ref="J3:J8" si="5">VLOOKUP(H3,NakshatraInfo,4)</f>
        <v>Ketu</v>
      </c>
      <c r="K3" s="269"/>
    </row>
    <row r="4" spans="1:12" ht="18" x14ac:dyDescent="0.2">
      <c r="A4" s="268" t="s">
        <v>1680</v>
      </c>
      <c r="B4" s="271" t="s">
        <v>1681</v>
      </c>
      <c r="C4" s="269">
        <v>4</v>
      </c>
      <c r="D4" s="269">
        <f t="shared" si="0"/>
        <v>4</v>
      </c>
      <c r="E4" s="269" t="str">
        <f t="shared" si="1"/>
        <v>Rohini</v>
      </c>
      <c r="F4" s="269" t="str">
        <f t="shared" si="2"/>
        <v>Moon</v>
      </c>
      <c r="G4" s="269" t="s">
        <v>1464</v>
      </c>
      <c r="H4" s="270">
        <f t="shared" si="3"/>
        <v>4</v>
      </c>
      <c r="I4" s="269" t="str">
        <f t="shared" si="4"/>
        <v>Rohini</v>
      </c>
      <c r="J4" s="269" t="str">
        <f t="shared" si="5"/>
        <v>Moon</v>
      </c>
      <c r="K4" s="269"/>
    </row>
    <row r="5" spans="1:12" ht="18" x14ac:dyDescent="0.2">
      <c r="A5" s="268" t="s">
        <v>1682</v>
      </c>
      <c r="B5" s="271" t="s">
        <v>1683</v>
      </c>
      <c r="C5" s="269">
        <v>7</v>
      </c>
      <c r="D5" s="269">
        <f t="shared" si="0"/>
        <v>7</v>
      </c>
      <c r="E5" s="269" t="str">
        <f t="shared" si="1"/>
        <v>Punarvasu</v>
      </c>
      <c r="F5" s="269" t="str">
        <f t="shared" si="2"/>
        <v>Jupiter</v>
      </c>
      <c r="G5" s="269" t="s">
        <v>1464</v>
      </c>
      <c r="H5" s="270">
        <f t="shared" si="3"/>
        <v>7</v>
      </c>
      <c r="I5" s="269" t="str">
        <f t="shared" si="4"/>
        <v>Punarvasu</v>
      </c>
      <c r="J5" s="269" t="str">
        <f t="shared" si="5"/>
        <v>Jupiter</v>
      </c>
      <c r="K5" s="269"/>
    </row>
    <row r="6" spans="1:12" ht="18" x14ac:dyDescent="0.2">
      <c r="A6" s="268" t="s">
        <v>3960</v>
      </c>
      <c r="B6" s="271" t="s">
        <v>1685</v>
      </c>
      <c r="C6" s="269">
        <v>8</v>
      </c>
      <c r="D6" s="269">
        <f t="shared" si="0"/>
        <v>8</v>
      </c>
      <c r="E6" s="269" t="str">
        <f t="shared" si="1"/>
        <v>Pushya</v>
      </c>
      <c r="F6" s="269" t="str">
        <f t="shared" si="2"/>
        <v>Sat</v>
      </c>
      <c r="G6" s="269" t="s">
        <v>1464</v>
      </c>
      <c r="H6" s="270">
        <f t="shared" si="3"/>
        <v>8</v>
      </c>
      <c r="I6" s="269" t="str">
        <f t="shared" si="4"/>
        <v>Pushya</v>
      </c>
      <c r="J6" s="269" t="str">
        <f t="shared" si="5"/>
        <v>Sat</v>
      </c>
      <c r="K6" s="269"/>
    </row>
    <row r="7" spans="1:12" ht="18" x14ac:dyDescent="0.2">
      <c r="A7" s="268" t="s">
        <v>1686</v>
      </c>
      <c r="B7" s="271" t="s">
        <v>1687</v>
      </c>
      <c r="C7" s="269">
        <v>10</v>
      </c>
      <c r="D7" s="269">
        <f t="shared" si="0"/>
        <v>10</v>
      </c>
      <c r="E7" s="269" t="str">
        <f t="shared" si="1"/>
        <v>Magha</v>
      </c>
      <c r="F7" s="269" t="str">
        <f t="shared" si="2"/>
        <v>Ketu</v>
      </c>
      <c r="G7" s="269" t="s">
        <v>1464</v>
      </c>
      <c r="H7" s="270">
        <f t="shared" si="3"/>
        <v>10</v>
      </c>
      <c r="I7" s="269" t="str">
        <f t="shared" si="4"/>
        <v>Magha</v>
      </c>
      <c r="J7" s="269" t="str">
        <f t="shared" si="5"/>
        <v>Ketu</v>
      </c>
      <c r="K7" s="1069">
        <v>10</v>
      </c>
    </row>
    <row r="8" spans="1:12" ht="18" x14ac:dyDescent="0.2">
      <c r="A8" s="268" t="s">
        <v>3966</v>
      </c>
      <c r="B8" s="271"/>
      <c r="C8" s="269">
        <v>11</v>
      </c>
      <c r="D8" s="269">
        <f t="shared" si="0"/>
        <v>11</v>
      </c>
      <c r="E8" s="269" t="str">
        <f t="shared" si="1"/>
        <v>P. Phalguni</v>
      </c>
      <c r="F8" s="269" t="str">
        <f>INDEX(NakshatraTbl,D8,3)</f>
        <v>Venus</v>
      </c>
      <c r="G8" s="269" t="s">
        <v>1464</v>
      </c>
      <c r="H8" s="270">
        <f t="shared" si="3"/>
        <v>11</v>
      </c>
      <c r="I8" s="269" t="str">
        <f t="shared" si="4"/>
        <v>Purva Phalguni</v>
      </c>
      <c r="J8" s="269" t="str">
        <f t="shared" si="5"/>
        <v>Venus</v>
      </c>
      <c r="K8" s="1069"/>
    </row>
    <row r="9" spans="1:12" ht="18" x14ac:dyDescent="0.2">
      <c r="A9" s="268" t="s">
        <v>1688</v>
      </c>
      <c r="B9" s="271" t="s">
        <v>1689</v>
      </c>
      <c r="C9" s="269">
        <v>12</v>
      </c>
      <c r="D9" s="269">
        <f t="shared" si="0"/>
        <v>12</v>
      </c>
      <c r="E9" s="269" t="str">
        <f t="shared" si="1"/>
        <v>U. Phalguni</v>
      </c>
      <c r="F9" s="269" t="str">
        <f t="shared" si="2"/>
        <v>Sun</v>
      </c>
      <c r="G9" s="269" t="s">
        <v>1464</v>
      </c>
      <c r="H9" s="270" t="s">
        <v>1086</v>
      </c>
      <c r="I9" s="269" t="s">
        <v>1086</v>
      </c>
      <c r="J9" s="269" t="s">
        <v>1086</v>
      </c>
      <c r="K9" s="1069">
        <v>12</v>
      </c>
    </row>
    <row r="10" spans="1:12" ht="18" x14ac:dyDescent="0.2">
      <c r="A10" s="268" t="s">
        <v>3956</v>
      </c>
      <c r="B10" s="271" t="s">
        <v>3269</v>
      </c>
      <c r="C10" s="269">
        <v>13</v>
      </c>
      <c r="D10" s="269">
        <f t="shared" si="0"/>
        <v>13</v>
      </c>
      <c r="E10" s="269" t="str">
        <f t="shared" si="1"/>
        <v>Hasta</v>
      </c>
      <c r="F10" s="269" t="str">
        <f t="shared" si="2"/>
        <v>Moon</v>
      </c>
      <c r="G10" s="269" t="s">
        <v>1464</v>
      </c>
      <c r="H10" s="270">
        <f t="shared" ref="H10:H21" si="6">MOD(C10+H$1+25,27)+1</f>
        <v>13</v>
      </c>
      <c r="I10" s="269" t="str">
        <f t="shared" ref="I10:I22" si="7">VLOOKUP(H10,NakshatraInfo,2)</f>
        <v>Hasta</v>
      </c>
      <c r="J10" s="269" t="str">
        <f t="shared" ref="J10:J19" si="8">VLOOKUP(H10,NakshatraInfo,4)</f>
        <v>Moon</v>
      </c>
      <c r="K10" s="1069">
        <v>1</v>
      </c>
    </row>
    <row r="11" spans="1:12" ht="18" x14ac:dyDescent="0.2">
      <c r="A11" s="268" t="s">
        <v>3955</v>
      </c>
      <c r="B11" s="271"/>
      <c r="C11" s="269">
        <v>14</v>
      </c>
      <c r="D11" s="269">
        <f t="shared" si="0"/>
        <v>14</v>
      </c>
      <c r="E11" s="269" t="str">
        <f t="shared" si="1"/>
        <v>Chitra</v>
      </c>
      <c r="F11" s="269" t="str">
        <f t="shared" si="2"/>
        <v>Mars</v>
      </c>
      <c r="G11" s="269" t="s">
        <v>1464</v>
      </c>
      <c r="H11" s="270">
        <f t="shared" si="6"/>
        <v>14</v>
      </c>
      <c r="I11" s="269" t="str">
        <f t="shared" si="7"/>
        <v>Chitra</v>
      </c>
      <c r="J11" s="269" t="str">
        <f t="shared" si="8"/>
        <v>Mars</v>
      </c>
      <c r="K11" s="1069"/>
    </row>
    <row r="12" spans="1:12" ht="18" x14ac:dyDescent="0.2">
      <c r="A12" s="268" t="s">
        <v>3965</v>
      </c>
      <c r="B12" s="271"/>
      <c r="C12" s="269">
        <v>15</v>
      </c>
      <c r="D12" s="269">
        <f t="shared" si="0"/>
        <v>15</v>
      </c>
      <c r="E12" s="269" t="str">
        <f t="shared" si="1"/>
        <v>Swati</v>
      </c>
      <c r="F12" s="269" t="str">
        <f t="shared" si="2"/>
        <v>Rahu</v>
      </c>
      <c r="G12" s="269" t="s">
        <v>1464</v>
      </c>
      <c r="H12" s="270">
        <f t="shared" si="6"/>
        <v>15</v>
      </c>
      <c r="I12" s="269"/>
      <c r="J12" s="269"/>
      <c r="K12" s="1069"/>
    </row>
    <row r="13" spans="1:12" ht="18" x14ac:dyDescent="0.2">
      <c r="A13" s="268" t="s">
        <v>3968</v>
      </c>
      <c r="B13" s="271" t="s">
        <v>1690</v>
      </c>
      <c r="C13" s="269">
        <v>16</v>
      </c>
      <c r="D13" s="269">
        <f t="shared" si="0"/>
        <v>16</v>
      </c>
      <c r="E13" s="269" t="str">
        <f t="shared" si="1"/>
        <v>Vishaka</v>
      </c>
      <c r="F13" s="269" t="str">
        <f t="shared" si="2"/>
        <v>Jupiter</v>
      </c>
      <c r="G13" s="269" t="s">
        <v>1464</v>
      </c>
      <c r="H13" s="270">
        <f t="shared" si="6"/>
        <v>16</v>
      </c>
      <c r="I13" s="269" t="str">
        <f t="shared" si="7"/>
        <v>Vishakha</v>
      </c>
      <c r="J13" s="269" t="str">
        <f t="shared" si="8"/>
        <v>Jupiter</v>
      </c>
      <c r="K13" s="1069">
        <v>4</v>
      </c>
    </row>
    <row r="14" spans="1:12" ht="18" x14ac:dyDescent="0.2">
      <c r="A14" s="268" t="s">
        <v>3964</v>
      </c>
      <c r="B14" s="269" t="s">
        <v>1691</v>
      </c>
      <c r="C14" s="269">
        <v>17</v>
      </c>
      <c r="D14" s="269" t="s">
        <v>1086</v>
      </c>
      <c r="E14" s="269" t="s">
        <v>1086</v>
      </c>
      <c r="F14" s="269" t="s">
        <v>1086</v>
      </c>
      <c r="G14" s="269" t="s">
        <v>1464</v>
      </c>
      <c r="H14" s="270">
        <f t="shared" si="6"/>
        <v>17</v>
      </c>
      <c r="I14" s="269" t="str">
        <f t="shared" si="7"/>
        <v>Anuradha</v>
      </c>
      <c r="J14" s="269" t="str">
        <f t="shared" si="8"/>
        <v>Sat</v>
      </c>
      <c r="K14" s="1069"/>
    </row>
    <row r="15" spans="1:12" ht="18" x14ac:dyDescent="0.2">
      <c r="A15" s="268" t="s">
        <v>1692</v>
      </c>
      <c r="B15" s="271" t="s">
        <v>1693</v>
      </c>
      <c r="C15" s="269">
        <v>18</v>
      </c>
      <c r="D15" s="269">
        <f t="shared" ref="D15:D25" si="9">MOD(C15+D$1+26,28)+1</f>
        <v>18</v>
      </c>
      <c r="E15" s="269" t="str">
        <f t="shared" ref="E15:E25" si="10">INDEX(NaxNames28,D15)</f>
        <v>Jyeshta</v>
      </c>
      <c r="F15" s="269" t="str">
        <f t="shared" ref="F15:F25" si="11">INDEX(NakshatraTbl,D15,3)</f>
        <v>Merc</v>
      </c>
      <c r="G15" s="269" t="s">
        <v>1464</v>
      </c>
      <c r="H15" s="270">
        <f t="shared" si="6"/>
        <v>18</v>
      </c>
      <c r="I15" s="269" t="str">
        <f t="shared" si="7"/>
        <v>Jyeshtha</v>
      </c>
      <c r="J15" s="269" t="str">
        <f t="shared" si="8"/>
        <v>Merc</v>
      </c>
      <c r="K15" s="1069">
        <v>6</v>
      </c>
    </row>
    <row r="16" spans="1:12" ht="18" x14ac:dyDescent="0.2">
      <c r="A16" s="268" t="s">
        <v>3957</v>
      </c>
      <c r="B16" s="271" t="s">
        <v>1694</v>
      </c>
      <c r="C16" s="269">
        <v>19</v>
      </c>
      <c r="D16" s="269">
        <f t="shared" si="9"/>
        <v>19</v>
      </c>
      <c r="E16" s="269" t="str">
        <f t="shared" si="10"/>
        <v>Moola</v>
      </c>
      <c r="F16" s="269" t="str">
        <f t="shared" si="11"/>
        <v>Ketu</v>
      </c>
      <c r="G16" s="269" t="s">
        <v>1464</v>
      </c>
      <c r="H16" s="270">
        <f t="shared" si="6"/>
        <v>19</v>
      </c>
      <c r="I16" s="269" t="str">
        <f t="shared" si="7"/>
        <v>Mula</v>
      </c>
      <c r="J16" s="269" t="str">
        <f t="shared" si="8"/>
        <v>Ketu</v>
      </c>
      <c r="K16" s="1069">
        <v>7</v>
      </c>
    </row>
    <row r="17" spans="1:11" ht="18" x14ac:dyDescent="0.2">
      <c r="A17" s="268" t="s">
        <v>3963</v>
      </c>
      <c r="B17" s="271"/>
      <c r="C17" s="269">
        <v>20</v>
      </c>
      <c r="D17" s="269">
        <f t="shared" si="9"/>
        <v>20</v>
      </c>
      <c r="E17" s="269" t="str">
        <f t="shared" si="10"/>
        <v>P. Ashada</v>
      </c>
      <c r="F17" s="269" t="str">
        <f t="shared" si="11"/>
        <v>Venus</v>
      </c>
      <c r="G17" s="269" t="s">
        <v>1464</v>
      </c>
      <c r="H17" s="270">
        <f t="shared" si="6"/>
        <v>20</v>
      </c>
      <c r="I17" s="269" t="str">
        <f t="shared" si="7"/>
        <v>Purva Ashadha</v>
      </c>
      <c r="J17" s="269" t="str">
        <f t="shared" si="8"/>
        <v>Venus</v>
      </c>
      <c r="K17" s="1069"/>
    </row>
    <row r="18" spans="1:11" ht="18" x14ac:dyDescent="0.2">
      <c r="A18" s="268" t="s">
        <v>3962</v>
      </c>
      <c r="B18" s="271"/>
      <c r="C18" s="269">
        <v>21</v>
      </c>
      <c r="D18" s="269">
        <f t="shared" si="9"/>
        <v>21</v>
      </c>
      <c r="E18" s="269" t="str">
        <f t="shared" si="10"/>
        <v>U. Ashada</v>
      </c>
      <c r="F18" s="269" t="str">
        <f t="shared" si="11"/>
        <v>Sun</v>
      </c>
      <c r="G18" s="269" t="s">
        <v>1464</v>
      </c>
      <c r="H18" s="270">
        <f t="shared" si="6"/>
        <v>21</v>
      </c>
      <c r="I18" s="269" t="str">
        <f t="shared" si="7"/>
        <v>Uttara Ashadha</v>
      </c>
      <c r="J18" s="269" t="str">
        <f t="shared" si="8"/>
        <v>Sun</v>
      </c>
      <c r="K18" s="1069"/>
    </row>
    <row r="19" spans="1:11" ht="18" x14ac:dyDescent="0.2">
      <c r="A19" s="268" t="s">
        <v>1695</v>
      </c>
      <c r="B19" s="271" t="s">
        <v>1696</v>
      </c>
      <c r="C19" s="269">
        <v>22</v>
      </c>
      <c r="D19" s="269">
        <f t="shared" si="9"/>
        <v>22</v>
      </c>
      <c r="E19" s="269" t="str">
        <f t="shared" si="10"/>
        <v>Abhjit</v>
      </c>
      <c r="F19" s="269" t="str">
        <f t="shared" si="11"/>
        <v>Sun</v>
      </c>
      <c r="G19" s="269" t="s">
        <v>1464</v>
      </c>
      <c r="H19" s="270">
        <f t="shared" si="6"/>
        <v>22</v>
      </c>
      <c r="I19" s="269" t="str">
        <f t="shared" si="7"/>
        <v>Shravan</v>
      </c>
      <c r="J19" s="269" t="str">
        <f t="shared" si="8"/>
        <v>Moon</v>
      </c>
      <c r="K19" s="1069">
        <v>10</v>
      </c>
    </row>
    <row r="20" spans="1:11" ht="18" x14ac:dyDescent="0.2">
      <c r="A20" s="268" t="s">
        <v>3967</v>
      </c>
      <c r="B20" s="271"/>
      <c r="C20" s="269">
        <v>23</v>
      </c>
      <c r="D20" s="269">
        <f t="shared" si="9"/>
        <v>23</v>
      </c>
      <c r="E20" s="269" t="str">
        <f t="shared" si="10"/>
        <v>Sravana</v>
      </c>
      <c r="F20" s="269" t="str">
        <f>INDEX(NakshatraTbl,D20,3)</f>
        <v>Moon</v>
      </c>
      <c r="G20" s="269"/>
      <c r="H20" s="270">
        <f t="shared" si="6"/>
        <v>23</v>
      </c>
      <c r="I20" s="269"/>
      <c r="J20" s="269"/>
      <c r="K20" s="1069"/>
    </row>
    <row r="21" spans="1:11" ht="18" x14ac:dyDescent="0.2">
      <c r="A21" s="268" t="s">
        <v>3969</v>
      </c>
      <c r="B21" s="271"/>
      <c r="C21" s="269">
        <v>24</v>
      </c>
      <c r="D21" s="269">
        <f t="shared" si="9"/>
        <v>24</v>
      </c>
      <c r="E21" s="269" t="str">
        <f t="shared" si="10"/>
        <v>Dhanishta</v>
      </c>
      <c r="F21" s="269" t="str">
        <f>INDEX(NakshatraTbl,D21,3)</f>
        <v>Mars</v>
      </c>
      <c r="G21" s="269"/>
      <c r="H21" s="270">
        <f t="shared" si="6"/>
        <v>24</v>
      </c>
      <c r="I21" s="269"/>
      <c r="J21" s="269"/>
      <c r="K21" s="1069"/>
    </row>
    <row r="22" spans="1:11" ht="18" x14ac:dyDescent="0.2">
      <c r="A22" s="268" t="s">
        <v>3970</v>
      </c>
      <c r="B22" s="271" t="s">
        <v>1697</v>
      </c>
      <c r="C22" s="269">
        <v>25</v>
      </c>
      <c r="D22" s="269">
        <f t="shared" si="9"/>
        <v>25</v>
      </c>
      <c r="E22" s="269" t="str">
        <f t="shared" si="10"/>
        <v>Shatabhishaj</v>
      </c>
      <c r="F22" s="269" t="str">
        <f t="shared" si="11"/>
        <v>Rahu</v>
      </c>
      <c r="G22" s="269" t="s">
        <v>1464</v>
      </c>
      <c r="H22" s="1070">
        <f>MOD(C22+H$1+25,27)+1</f>
        <v>25</v>
      </c>
      <c r="I22" s="1071" t="str">
        <f t="shared" si="7"/>
        <v>Purva Bhadrapad</v>
      </c>
      <c r="J22" s="1071" t="str">
        <f>VLOOKUP(H22,NakshatraInfo,4)</f>
        <v>Jupiter</v>
      </c>
      <c r="K22" s="1069">
        <v>1</v>
      </c>
    </row>
    <row r="23" spans="1:11" ht="18" x14ac:dyDescent="0.2">
      <c r="A23" s="268" t="s">
        <v>3971</v>
      </c>
      <c r="B23" s="271"/>
      <c r="C23" s="269">
        <v>26</v>
      </c>
      <c r="D23" s="269">
        <f t="shared" si="9"/>
        <v>26</v>
      </c>
      <c r="E23" s="269" t="str">
        <f t="shared" si="10"/>
        <v>P. Bhadra</v>
      </c>
      <c r="F23" s="269" t="str">
        <f t="shared" si="11"/>
        <v>Jupiter</v>
      </c>
      <c r="G23" s="269" t="s">
        <v>1464</v>
      </c>
      <c r="H23" s="270" t="s">
        <v>1086</v>
      </c>
      <c r="I23" s="269" t="s">
        <v>1086</v>
      </c>
      <c r="J23" s="269" t="s">
        <v>1086</v>
      </c>
      <c r="K23" s="1069"/>
    </row>
    <row r="24" spans="1:11" ht="18" x14ac:dyDescent="0.2">
      <c r="A24" s="268" t="s">
        <v>3972</v>
      </c>
      <c r="B24" s="273" t="s">
        <v>1699</v>
      </c>
      <c r="C24" s="269">
        <v>27</v>
      </c>
      <c r="D24" s="269">
        <f t="shared" si="9"/>
        <v>27</v>
      </c>
      <c r="E24" s="269" t="str">
        <f t="shared" si="10"/>
        <v>U. Bhadra</v>
      </c>
      <c r="F24" s="269" t="str">
        <f t="shared" si="11"/>
        <v>Sat</v>
      </c>
      <c r="G24" s="269" t="s">
        <v>1464</v>
      </c>
      <c r="H24" s="270">
        <f>MOD(C24+H$1+25,27)+1</f>
        <v>27</v>
      </c>
      <c r="I24" s="269" t="str">
        <f>VLOOKUP(H24,NakshatraInfo,2)</f>
        <v>Revati</v>
      </c>
      <c r="J24" s="269" t="str">
        <f>VLOOKUP(H24,NakshatraInfo,4)</f>
        <v>Merc</v>
      </c>
      <c r="K24" s="1069">
        <v>3</v>
      </c>
    </row>
    <row r="25" spans="1:11" ht="18" x14ac:dyDescent="0.2">
      <c r="A25" s="272" t="s">
        <v>1698</v>
      </c>
      <c r="B25" s="273" t="s">
        <v>1699</v>
      </c>
      <c r="C25" s="273">
        <v>28</v>
      </c>
      <c r="D25" s="269">
        <f t="shared" si="9"/>
        <v>28</v>
      </c>
      <c r="E25" s="269" t="str">
        <f t="shared" si="10"/>
        <v>Revati</v>
      </c>
      <c r="F25" s="269" t="str">
        <f t="shared" si="11"/>
        <v>Merc</v>
      </c>
      <c r="G25" s="269" t="s">
        <v>1464</v>
      </c>
      <c r="H25" s="270" t="s">
        <v>1086</v>
      </c>
      <c r="I25" s="269" t="s">
        <v>1086</v>
      </c>
      <c r="J25" s="269" t="s">
        <v>1086</v>
      </c>
      <c r="K25" s="1069">
        <v>3</v>
      </c>
    </row>
    <row r="27" spans="1:11" ht="15.75" thickBot="1" x14ac:dyDescent="0.25">
      <c r="A27" t="s">
        <v>1700</v>
      </c>
      <c r="B27">
        <v>7</v>
      </c>
      <c r="D27" t="str">
        <f>INDEX(NaxNames28,B27)</f>
        <v>Punarvasu</v>
      </c>
    </row>
    <row r="28" spans="1:11" x14ac:dyDescent="0.2">
      <c r="A28" s="274" t="s">
        <v>3959</v>
      </c>
      <c r="B28" s="274" t="s">
        <v>1718</v>
      </c>
      <c r="C28" s="274" t="s">
        <v>1675</v>
      </c>
      <c r="D28" s="274" t="s">
        <v>1701</v>
      </c>
      <c r="E28" s="274"/>
      <c r="F28" s="274" t="s">
        <v>1679</v>
      </c>
      <c r="G28" s="274" t="s">
        <v>1678</v>
      </c>
      <c r="H28" s="274"/>
      <c r="I28" s="274" t="s">
        <v>1677</v>
      </c>
    </row>
    <row r="29" spans="1:11" x14ac:dyDescent="0.2">
      <c r="A29" s="275" t="s">
        <v>1702</v>
      </c>
      <c r="B29" s="276" t="s">
        <v>1703</v>
      </c>
      <c r="C29" s="276">
        <v>5</v>
      </c>
      <c r="D29" s="276">
        <f t="shared" ref="D29:D36" si="12">MOD(C29+B$27+25,27)+1</f>
        <v>11</v>
      </c>
      <c r="E29" s="276" t="str">
        <f t="shared" ref="E29:E36" si="13">INDEX(NakshatraTbl,D29,1)</f>
        <v>Purva Phalguni</v>
      </c>
      <c r="F29" s="918"/>
      <c r="G29" s="276" t="str">
        <f t="shared" ref="G29:G36" si="14">INDEX(NakshatraTbl,D29,3)</f>
        <v>Venus</v>
      </c>
      <c r="H29" s="276">
        <f t="shared" ref="H29:H36" si="15">MOD(C29+B$27+26,28)+1</f>
        <v>11</v>
      </c>
      <c r="I29" s="276" t="str">
        <f t="shared" ref="I29:I36" si="16">INDEX(NaxNames28,H29)</f>
        <v>P. Phalguni</v>
      </c>
    </row>
    <row r="30" spans="1:11" x14ac:dyDescent="0.2">
      <c r="A30" s="275" t="s">
        <v>1704</v>
      </c>
      <c r="B30" s="276" t="s">
        <v>1705</v>
      </c>
      <c r="C30" s="276">
        <v>8</v>
      </c>
      <c r="D30" s="276">
        <f t="shared" si="12"/>
        <v>14</v>
      </c>
      <c r="E30" s="276" t="str">
        <f t="shared" si="13"/>
        <v>Chitra</v>
      </c>
      <c r="F30" s="918"/>
      <c r="G30" s="276" t="str">
        <f t="shared" si="14"/>
        <v>Mars</v>
      </c>
      <c r="H30" s="276">
        <f t="shared" si="15"/>
        <v>14</v>
      </c>
      <c r="I30" s="276" t="str">
        <f t="shared" si="16"/>
        <v>Chitra</v>
      </c>
    </row>
    <row r="31" spans="1:11" x14ac:dyDescent="0.2">
      <c r="A31" s="275" t="s">
        <v>1706</v>
      </c>
      <c r="B31" s="276" t="s">
        <v>1707</v>
      </c>
      <c r="C31" s="276">
        <v>14</v>
      </c>
      <c r="D31" s="276">
        <f t="shared" si="12"/>
        <v>20</v>
      </c>
      <c r="E31" s="276" t="str">
        <f t="shared" si="13"/>
        <v>Purva Ashadha</v>
      </c>
      <c r="F31" s="918"/>
      <c r="G31" s="276" t="str">
        <f t="shared" si="14"/>
        <v>Venus</v>
      </c>
      <c r="H31" s="276">
        <f t="shared" si="15"/>
        <v>20</v>
      </c>
      <c r="I31" s="276" t="str">
        <f t="shared" si="16"/>
        <v>P. Ashada</v>
      </c>
    </row>
    <row r="32" spans="1:11" x14ac:dyDescent="0.2">
      <c r="A32" s="275" t="s">
        <v>1518</v>
      </c>
      <c r="B32" s="276" t="s">
        <v>1708</v>
      </c>
      <c r="C32" s="276">
        <v>18</v>
      </c>
      <c r="D32" s="276">
        <f t="shared" si="12"/>
        <v>24</v>
      </c>
      <c r="E32" s="276" t="str">
        <f t="shared" si="13"/>
        <v>Dhanistha</v>
      </c>
      <c r="F32" s="918"/>
      <c r="G32" s="276" t="str">
        <f t="shared" si="14"/>
        <v>Mars</v>
      </c>
      <c r="H32" s="276">
        <f t="shared" si="15"/>
        <v>24</v>
      </c>
      <c r="I32" s="276" t="str">
        <f t="shared" si="16"/>
        <v>Dhanishta</v>
      </c>
    </row>
    <row r="33" spans="1:9" x14ac:dyDescent="0.2">
      <c r="A33" s="275" t="s">
        <v>1551</v>
      </c>
      <c r="B33" s="276" t="s">
        <v>1709</v>
      </c>
      <c r="C33" s="276">
        <v>21</v>
      </c>
      <c r="D33" s="276">
        <f t="shared" si="12"/>
        <v>27</v>
      </c>
      <c r="E33" s="276" t="str">
        <f t="shared" si="13"/>
        <v>Uttara Bhadrapad</v>
      </c>
      <c r="F33" s="918"/>
      <c r="G33" s="276" t="str">
        <f t="shared" si="14"/>
        <v>Sat</v>
      </c>
      <c r="H33" s="276">
        <f t="shared" si="15"/>
        <v>27</v>
      </c>
      <c r="I33" s="276" t="str">
        <f t="shared" si="16"/>
        <v>U. Bhadra</v>
      </c>
    </row>
    <row r="34" spans="1:9" x14ac:dyDescent="0.2">
      <c r="A34" s="275" t="s">
        <v>1710</v>
      </c>
      <c r="B34" s="276" t="s">
        <v>1711</v>
      </c>
      <c r="C34" s="276">
        <v>22</v>
      </c>
      <c r="D34" s="276">
        <f t="shared" si="12"/>
        <v>1</v>
      </c>
      <c r="E34" s="276" t="str">
        <f t="shared" si="13"/>
        <v>Ashvini</v>
      </c>
      <c r="F34" s="918"/>
      <c r="G34" s="276" t="str">
        <f t="shared" si="14"/>
        <v>Ketu</v>
      </c>
      <c r="H34" s="276">
        <f t="shared" si="15"/>
        <v>28</v>
      </c>
      <c r="I34" s="276" t="str">
        <f t="shared" si="16"/>
        <v>Revati</v>
      </c>
    </row>
    <row r="35" spans="1:9" x14ac:dyDescent="0.2">
      <c r="A35" s="275" t="s">
        <v>1712</v>
      </c>
      <c r="B35" s="276" t="s">
        <v>1713</v>
      </c>
      <c r="C35" s="276">
        <v>23</v>
      </c>
      <c r="D35" s="276">
        <f t="shared" si="12"/>
        <v>2</v>
      </c>
      <c r="E35" s="276" t="str">
        <f t="shared" si="13"/>
        <v>Bharani</v>
      </c>
      <c r="F35" s="918"/>
      <c r="G35" s="276" t="str">
        <f t="shared" si="14"/>
        <v>Venus</v>
      </c>
      <c r="H35" s="276">
        <f t="shared" si="15"/>
        <v>1</v>
      </c>
      <c r="I35" s="276" t="str">
        <f t="shared" si="16"/>
        <v>Ashwini</v>
      </c>
    </row>
    <row r="36" spans="1:9" x14ac:dyDescent="0.2">
      <c r="A36" s="275" t="s">
        <v>1714</v>
      </c>
      <c r="B36" s="276" t="s">
        <v>1715</v>
      </c>
      <c r="C36" s="276">
        <v>24</v>
      </c>
      <c r="D36" s="276">
        <f t="shared" si="12"/>
        <v>3</v>
      </c>
      <c r="E36" s="276" t="str">
        <f t="shared" si="13"/>
        <v>Kritika</v>
      </c>
      <c r="F36" s="918"/>
      <c r="G36" s="276" t="str">
        <f t="shared" si="14"/>
        <v>Sun</v>
      </c>
      <c r="H36" s="276">
        <f t="shared" si="15"/>
        <v>2</v>
      </c>
      <c r="I36" s="276" t="str">
        <f t="shared" si="16"/>
        <v>Bharani</v>
      </c>
    </row>
  </sheetData>
  <sheetProtection selectLockedCells="1" selectUnlockedCells="1"/>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1:M61"/>
  <sheetViews>
    <sheetView zoomScale="110" zoomScaleNormal="110" zoomScaleSheetLayoutView="75" workbookViewId="0" xr3:uid="{33642244-9AC9-5136-AF77-195C889548CE}">
      <pane xSplit="4" ySplit="13" topLeftCell="E14" activePane="bottomRight" state="frozen"/>
      <selection pane="bottomLeft" activeCell="A14" sqref="A14"/>
      <selection pane="topRight" activeCell="E1" sqref="E1"/>
      <selection pane="bottomRight" activeCell="G13" sqref="G13"/>
    </sheetView>
  </sheetViews>
  <sheetFormatPr defaultRowHeight="15" x14ac:dyDescent="0.2"/>
  <cols>
    <col min="1" max="1" width="4.16796875" customWidth="1"/>
    <col min="2" max="2" width="12.64453125" bestFit="1" customWidth="1"/>
    <col min="3" max="3" width="23.67578125" bestFit="1" customWidth="1"/>
    <col min="4" max="4" width="34.5703125" bestFit="1" customWidth="1"/>
    <col min="5" max="5" width="29.32421875" customWidth="1"/>
    <col min="6" max="6" width="11.1640625" style="407" customWidth="1"/>
    <col min="7" max="7" width="18.5625" style="407" customWidth="1"/>
    <col min="8" max="8" width="9.01171875" style="80" bestFit="1" customWidth="1"/>
    <col min="9" max="9" width="9.68359375" style="407" customWidth="1"/>
    <col min="10" max="10" width="10.35546875" style="277" customWidth="1"/>
    <col min="11" max="11" width="11.43359375" bestFit="1" customWidth="1"/>
    <col min="12" max="12" width="17.890625" bestFit="1" customWidth="1"/>
  </cols>
  <sheetData>
    <row r="1" spans="1:13" x14ac:dyDescent="0.2">
      <c r="A1" s="165" t="s">
        <v>1716</v>
      </c>
      <c r="B1" s="165" t="s">
        <v>1717</v>
      </c>
      <c r="C1" s="165" t="s">
        <v>1718</v>
      </c>
      <c r="D1" s="165" t="s">
        <v>3263</v>
      </c>
      <c r="E1" s="165" t="s">
        <v>1719</v>
      </c>
      <c r="F1" s="798" t="s">
        <v>3255</v>
      </c>
      <c r="G1" s="798" t="s">
        <v>4488</v>
      </c>
      <c r="H1" s="798" t="s">
        <v>4487</v>
      </c>
      <c r="I1" s="798" t="s">
        <v>4489</v>
      </c>
      <c r="J1" s="278" t="s">
        <v>1720</v>
      </c>
      <c r="K1" s="165" t="s">
        <v>1721</v>
      </c>
      <c r="L1" s="165" t="s">
        <v>1505</v>
      </c>
      <c r="M1" t="s">
        <v>3264</v>
      </c>
    </row>
    <row r="2" spans="1:13" x14ac:dyDescent="0.2">
      <c r="B2" t="s">
        <v>3243</v>
      </c>
      <c r="D2" s="281" t="s">
        <v>1511</v>
      </c>
      <c r="F2" s="799"/>
      <c r="G2" s="799"/>
      <c r="H2" s="844">
        <f t="shared" ref="H2:H13" ca="1" si="0">INDIRECT(D2)</f>
        <v>92.399202777777774</v>
      </c>
      <c r="I2" s="799">
        <f t="shared" ref="I2:I33" ca="1" si="1">MOD(H2+360,360)</f>
        <v>92.399202777777759</v>
      </c>
      <c r="J2" s="279" t="str">
        <f t="shared" ref="J2:J33" ca="1" si="2">INDEX(RasiDeg,ROUNDUP(I2/30,0),1)</f>
        <v>Cn</v>
      </c>
      <c r="K2" s="280">
        <f t="shared" ref="K2:K33" ca="1" si="3">MOD(I2,30)*0.042</f>
        <v>0.1007665166666659</v>
      </c>
      <c r="L2" s="21" t="str">
        <f t="shared" ref="L2:L33" ca="1" si="4">INDEX(NakshatraTbl,INT(I2*0.075)+1,1)</f>
        <v>Punarvasu</v>
      </c>
    </row>
    <row r="3" spans="1:13" x14ac:dyDescent="0.2">
      <c r="B3" t="s">
        <v>3244</v>
      </c>
      <c r="D3" s="281" t="s">
        <v>1517</v>
      </c>
      <c r="F3" s="799"/>
      <c r="G3" s="799"/>
      <c r="H3" s="844">
        <f t="shared" ca="1" si="0"/>
        <v>117.12978611111112</v>
      </c>
      <c r="I3" s="799">
        <f t="shared" ca="1" si="1"/>
        <v>117.12978611111112</v>
      </c>
      <c r="J3" s="279" t="str">
        <f t="shared" ca="1" si="2"/>
        <v>Cn</v>
      </c>
      <c r="K3" s="280">
        <f t="shared" ca="1" si="3"/>
        <v>1.1394510166666669</v>
      </c>
      <c r="L3" s="21" t="str">
        <f t="shared" ca="1" si="4"/>
        <v>Ashlesha</v>
      </c>
    </row>
    <row r="4" spans="1:13" x14ac:dyDescent="0.2">
      <c r="B4" t="s">
        <v>3245</v>
      </c>
      <c r="D4" s="281" t="s">
        <v>1519</v>
      </c>
      <c r="F4" s="799"/>
      <c r="G4" s="799"/>
      <c r="H4" s="844">
        <f t="shared" ca="1" si="0"/>
        <v>81.540602777777778</v>
      </c>
      <c r="I4" s="799">
        <f t="shared" ca="1" si="1"/>
        <v>81.540602777777792</v>
      </c>
      <c r="J4" s="279" t="str">
        <f t="shared" ca="1" si="2"/>
        <v>Ge</v>
      </c>
      <c r="K4" s="280">
        <f t="shared" ca="1" si="3"/>
        <v>0.90470531666666731</v>
      </c>
      <c r="L4" s="21" t="str">
        <f t="shared" ca="1" si="4"/>
        <v>Punarvasu</v>
      </c>
    </row>
    <row r="5" spans="1:13" x14ac:dyDescent="0.2">
      <c r="B5" t="s">
        <v>3246</v>
      </c>
      <c r="D5" s="281" t="s">
        <v>1518</v>
      </c>
      <c r="F5" s="799"/>
      <c r="G5" s="799"/>
      <c r="H5" s="844">
        <f t="shared" ca="1" si="0"/>
        <v>111.96723888888889</v>
      </c>
      <c r="I5" s="799">
        <f t="shared" ca="1" si="1"/>
        <v>111.96723888888891</v>
      </c>
      <c r="J5" s="279" t="str">
        <f t="shared" ca="1" si="2"/>
        <v>Cn</v>
      </c>
      <c r="K5" s="280">
        <f t="shared" ca="1" si="3"/>
        <v>0.92262403333333443</v>
      </c>
      <c r="L5" s="21" t="str">
        <f t="shared" ca="1" si="4"/>
        <v>Ashlesha</v>
      </c>
    </row>
    <row r="6" spans="1:13" x14ac:dyDescent="0.2">
      <c r="B6" t="s">
        <v>3247</v>
      </c>
      <c r="D6" s="281" t="s">
        <v>1515</v>
      </c>
      <c r="F6" s="799"/>
      <c r="G6" s="799"/>
      <c r="H6" s="844">
        <f t="shared" ca="1" si="0"/>
        <v>213.19717499999999</v>
      </c>
      <c r="I6" s="799">
        <f t="shared" ca="1" si="1"/>
        <v>213.19717500000002</v>
      </c>
      <c r="J6" s="279" t="str">
        <f t="shared" ca="1" si="2"/>
        <v>Sc</v>
      </c>
      <c r="K6" s="280">
        <f t="shared" ca="1" si="3"/>
        <v>0.13428135000000066</v>
      </c>
      <c r="L6" s="21" t="str">
        <f t="shared" ca="1" si="4"/>
        <v>Vishakha</v>
      </c>
    </row>
    <row r="7" spans="1:13" x14ac:dyDescent="0.2">
      <c r="B7" t="s">
        <v>3248</v>
      </c>
      <c r="D7" s="281" t="s">
        <v>1516</v>
      </c>
      <c r="F7" s="799"/>
      <c r="G7" s="799"/>
      <c r="H7" s="844">
        <f t="shared" ca="1" si="0"/>
        <v>39.885211111111111</v>
      </c>
      <c r="I7" s="799">
        <f t="shared" ca="1" si="1"/>
        <v>39.885211111111118</v>
      </c>
      <c r="J7" s="279" t="str">
        <f t="shared" ca="1" si="2"/>
        <v>Ta</v>
      </c>
      <c r="K7" s="280">
        <f t="shared" ca="1" si="3"/>
        <v>0.41517886666666698</v>
      </c>
      <c r="L7" s="21" t="str">
        <f t="shared" ca="1" si="4"/>
        <v>Kritika</v>
      </c>
    </row>
    <row r="8" spans="1:13" x14ac:dyDescent="0.2">
      <c r="B8" t="s">
        <v>3249</v>
      </c>
      <c r="D8" s="281" t="s">
        <v>1516</v>
      </c>
      <c r="F8" s="799"/>
      <c r="G8" s="799"/>
      <c r="H8" s="844">
        <f t="shared" ca="1" si="0"/>
        <v>39.885211111111111</v>
      </c>
      <c r="I8" s="799">
        <f t="shared" ca="1" si="1"/>
        <v>39.885211111111118</v>
      </c>
      <c r="J8" s="279" t="str">
        <f t="shared" ca="1" si="2"/>
        <v>Ta</v>
      </c>
      <c r="K8" s="280">
        <f t="shared" ca="1" si="3"/>
        <v>0.41517886666666698</v>
      </c>
      <c r="L8" s="21" t="str">
        <f t="shared" ca="1" si="4"/>
        <v>Kritika</v>
      </c>
    </row>
    <row r="9" spans="1:13" x14ac:dyDescent="0.2">
      <c r="B9" t="s">
        <v>3250</v>
      </c>
      <c r="D9" s="281" t="s">
        <v>1515</v>
      </c>
      <c r="F9" s="799"/>
      <c r="G9" s="799"/>
      <c r="H9" s="844">
        <f t="shared" ca="1" si="0"/>
        <v>213.19717499999999</v>
      </c>
      <c r="I9" s="799">
        <f t="shared" ca="1" si="1"/>
        <v>213.19717500000002</v>
      </c>
      <c r="J9" s="279" t="str">
        <f t="shared" ca="1" si="2"/>
        <v>Sc</v>
      </c>
      <c r="K9" s="280">
        <f t="shared" ca="1" si="3"/>
        <v>0.13428135000000066</v>
      </c>
      <c r="L9" s="21" t="str">
        <f t="shared" ca="1" si="4"/>
        <v>Vishakha</v>
      </c>
    </row>
    <row r="10" spans="1:13" x14ac:dyDescent="0.2">
      <c r="B10" t="s">
        <v>3251</v>
      </c>
      <c r="D10" s="281" t="s">
        <v>1513</v>
      </c>
      <c r="F10" s="799"/>
      <c r="G10" s="799"/>
      <c r="H10" s="844">
        <f t="shared" ca="1" si="0"/>
        <v>298.10866388888888</v>
      </c>
      <c r="I10" s="799">
        <f t="shared" ca="1" si="1"/>
        <v>298.10866388888894</v>
      </c>
      <c r="J10" s="279" t="str">
        <f t="shared" ca="1" si="2"/>
        <v>Cp</v>
      </c>
      <c r="K10" s="280">
        <f t="shared" ca="1" si="3"/>
        <v>1.1805638833333356</v>
      </c>
      <c r="L10" s="21" t="str">
        <f t="shared" ca="1" si="4"/>
        <v>Shravan</v>
      </c>
    </row>
    <row r="11" spans="1:13" x14ac:dyDescent="0.2">
      <c r="B11" t="s">
        <v>3252</v>
      </c>
      <c r="D11" s="281" t="s">
        <v>1519</v>
      </c>
      <c r="F11" s="799"/>
      <c r="G11" s="799"/>
      <c r="H11" s="844">
        <f t="shared" ca="1" si="0"/>
        <v>81.540602777777778</v>
      </c>
      <c r="I11" s="799">
        <f t="shared" ca="1" si="1"/>
        <v>81.540602777777792</v>
      </c>
      <c r="J11" s="279" t="str">
        <f t="shared" ca="1" si="2"/>
        <v>Ge</v>
      </c>
      <c r="K11" s="280">
        <f t="shared" ca="1" si="3"/>
        <v>0.90470531666666731</v>
      </c>
      <c r="L11" s="21" t="str">
        <f t="shared" ca="1" si="4"/>
        <v>Punarvasu</v>
      </c>
    </row>
    <row r="12" spans="1:13" x14ac:dyDescent="0.2">
      <c r="B12" t="s">
        <v>3253</v>
      </c>
      <c r="D12" s="281" t="s">
        <v>1517</v>
      </c>
      <c r="F12" s="799"/>
      <c r="G12" s="799"/>
      <c r="H12" s="844">
        <f t="shared" ca="1" si="0"/>
        <v>117.12978611111112</v>
      </c>
      <c r="I12" s="799">
        <f t="shared" ca="1" si="1"/>
        <v>117.12978611111112</v>
      </c>
      <c r="J12" s="279" t="str">
        <f t="shared" ca="1" si="2"/>
        <v>Cn</v>
      </c>
      <c r="K12" s="280">
        <f t="shared" ca="1" si="3"/>
        <v>1.1394510166666669</v>
      </c>
      <c r="L12" s="21" t="str">
        <f t="shared" ca="1" si="4"/>
        <v>Ashlesha</v>
      </c>
    </row>
    <row r="13" spans="1:13" x14ac:dyDescent="0.2">
      <c r="B13" t="s">
        <v>3254</v>
      </c>
      <c r="D13" s="281" t="s">
        <v>1512</v>
      </c>
      <c r="F13" s="799"/>
      <c r="G13" s="799"/>
      <c r="H13" s="844">
        <f t="shared" ca="1" si="0"/>
        <v>53.015944444444443</v>
      </c>
      <c r="I13" s="799">
        <f t="shared" ca="1" si="1"/>
        <v>53.015944444444472</v>
      </c>
      <c r="J13" s="279" t="str">
        <f t="shared" ca="1" si="2"/>
        <v>Ta</v>
      </c>
      <c r="K13" s="280">
        <f t="shared" ca="1" si="3"/>
        <v>0.96666966666666787</v>
      </c>
      <c r="L13" s="21" t="str">
        <f t="shared" ca="1" si="4"/>
        <v>Rohini</v>
      </c>
    </row>
    <row r="14" spans="1:13" x14ac:dyDescent="0.2">
      <c r="A14" t="s">
        <v>3261</v>
      </c>
      <c r="B14" t="s">
        <v>1723</v>
      </c>
      <c r="C14" t="s">
        <v>1724</v>
      </c>
      <c r="D14" t="s">
        <v>1725</v>
      </c>
      <c r="E14" t="s">
        <v>3256</v>
      </c>
      <c r="F14" s="799">
        <f>Moon-Sun</f>
        <v>-39.38325833333333</v>
      </c>
      <c r="G14" s="844">
        <f t="shared" ref="G14:G60" si="5">IF(NOT(DayBirth),F14+Lagna,-F14+Lagna)</f>
        <v>176.09477499999997</v>
      </c>
      <c r="H14" s="844">
        <f t="shared" ref="H14:H21" si="6">IF(DayBirth,F14+Lagna,-F14+Lagna)</f>
        <v>97.328258333333324</v>
      </c>
      <c r="I14" s="799">
        <f t="shared" si="1"/>
        <v>97.328258333333338</v>
      </c>
      <c r="J14" s="279" t="str">
        <f t="shared" si="2"/>
        <v>Cn</v>
      </c>
      <c r="K14" s="280">
        <f t="shared" si="3"/>
        <v>0.30778685000000022</v>
      </c>
      <c r="L14" s="21" t="str">
        <f t="shared" si="4"/>
        <v>Pushya</v>
      </c>
    </row>
    <row r="15" spans="1:13" x14ac:dyDescent="0.2">
      <c r="A15" t="s">
        <v>3262</v>
      </c>
      <c r="B15" t="s">
        <v>3260</v>
      </c>
      <c r="C15" t="s">
        <v>1727</v>
      </c>
      <c r="D15" t="s">
        <v>1728</v>
      </c>
      <c r="E15" t="s">
        <v>3256</v>
      </c>
      <c r="F15" s="799">
        <f>Sun-Moon</f>
        <v>39.38325833333333</v>
      </c>
      <c r="G15" s="844">
        <f t="shared" si="5"/>
        <v>97.328258333333324</v>
      </c>
      <c r="H15" s="844">
        <f t="shared" si="6"/>
        <v>176.09477499999997</v>
      </c>
      <c r="I15" s="799">
        <f t="shared" si="1"/>
        <v>176.09477500000003</v>
      </c>
      <c r="J15" s="279" t="str">
        <f t="shared" si="2"/>
        <v>Vi</v>
      </c>
      <c r="K15" s="280">
        <f t="shared" si="3"/>
        <v>1.0959805500000013</v>
      </c>
      <c r="L15" s="21" t="str">
        <f t="shared" si="4"/>
        <v>Chitra</v>
      </c>
    </row>
    <row r="16" spans="1:13" x14ac:dyDescent="0.2">
      <c r="A16">
        <v>3</v>
      </c>
      <c r="B16" t="s">
        <v>1729</v>
      </c>
      <c r="C16" t="s">
        <v>1730</v>
      </c>
      <c r="D16" t="s">
        <v>1731</v>
      </c>
      <c r="F16" s="799">
        <f>Jupiter-PunyaSaham</f>
        <v>115.86891666666665</v>
      </c>
      <c r="G16" s="844">
        <f t="shared" si="5"/>
        <v>20.842600000000004</v>
      </c>
      <c r="H16" s="844">
        <f t="shared" si="6"/>
        <v>252.5804333333333</v>
      </c>
      <c r="I16" s="799">
        <f t="shared" si="1"/>
        <v>252.5804333333333</v>
      </c>
      <c r="J16" s="279" t="str">
        <f t="shared" si="2"/>
        <v>Sg</v>
      </c>
      <c r="K16" s="280">
        <f t="shared" si="3"/>
        <v>0.5283781999999988</v>
      </c>
      <c r="L16" s="21" t="str">
        <f t="shared" si="4"/>
        <v>Mula</v>
      </c>
    </row>
    <row r="17" spans="1:12" x14ac:dyDescent="0.2">
      <c r="A17">
        <v>4</v>
      </c>
      <c r="B17" t="s">
        <v>1173</v>
      </c>
      <c r="C17" t="s">
        <v>1732</v>
      </c>
      <c r="D17" t="s">
        <v>1733</v>
      </c>
      <c r="F17" s="799">
        <v>0</v>
      </c>
      <c r="G17" s="844">
        <f t="shared" si="5"/>
        <v>136.71151666666665</v>
      </c>
      <c r="H17" s="844">
        <f t="shared" si="6"/>
        <v>136.71151666666665</v>
      </c>
      <c r="I17" s="799">
        <f t="shared" si="1"/>
        <v>136.71151666666663</v>
      </c>
      <c r="J17" s="279" t="str">
        <f t="shared" si="2"/>
        <v>Le</v>
      </c>
      <c r="K17" s="280">
        <f t="shared" si="3"/>
        <v>0.70188369999999833</v>
      </c>
      <c r="L17" s="21" t="str">
        <f t="shared" si="4"/>
        <v>Purva Phalguni</v>
      </c>
    </row>
    <row r="18" spans="1:12" x14ac:dyDescent="0.2">
      <c r="A18">
        <v>5</v>
      </c>
      <c r="B18" t="s">
        <v>1734</v>
      </c>
      <c r="C18" t="s">
        <v>1735</v>
      </c>
      <c r="D18" t="s">
        <v>1736</v>
      </c>
      <c r="F18" s="799">
        <v>0</v>
      </c>
      <c r="G18" s="844">
        <f t="shared" si="5"/>
        <v>136.71151666666665</v>
      </c>
      <c r="H18" s="844">
        <f t="shared" si="6"/>
        <v>136.71151666666665</v>
      </c>
      <c r="I18" s="799">
        <f t="shared" si="1"/>
        <v>136.71151666666663</v>
      </c>
      <c r="J18" s="279" t="str">
        <f t="shared" si="2"/>
        <v>Le</v>
      </c>
      <c r="K18" s="280">
        <f t="shared" si="3"/>
        <v>0.70188369999999833</v>
      </c>
      <c r="L18" s="21" t="str">
        <f t="shared" si="4"/>
        <v>Purva Phalguni</v>
      </c>
    </row>
    <row r="19" spans="1:12" x14ac:dyDescent="0.2">
      <c r="A19">
        <v>6</v>
      </c>
      <c r="B19" t="s">
        <v>1737</v>
      </c>
      <c r="C19" t="s">
        <v>1738</v>
      </c>
      <c r="D19" t="s">
        <v>1739</v>
      </c>
      <c r="F19" s="799">
        <f>Saturn-Mars</f>
        <v>-258.22345277777777</v>
      </c>
      <c r="G19" s="844">
        <f t="shared" si="5"/>
        <v>394.93496944444439</v>
      </c>
      <c r="H19" s="844">
        <f t="shared" si="6"/>
        <v>-121.51193611111111</v>
      </c>
      <c r="I19" s="799">
        <f t="shared" si="1"/>
        <v>238.48806388888889</v>
      </c>
      <c r="J19" s="279" t="str">
        <f t="shared" si="2"/>
        <v>Sc</v>
      </c>
      <c r="K19" s="280">
        <f t="shared" si="3"/>
        <v>1.1964986833333333</v>
      </c>
      <c r="L19" s="21" t="str">
        <f t="shared" si="4"/>
        <v>Jyeshtha</v>
      </c>
    </row>
    <row r="20" spans="1:12" x14ac:dyDescent="0.2">
      <c r="A20">
        <v>7</v>
      </c>
      <c r="B20" t="s">
        <v>1740</v>
      </c>
      <c r="C20" t="s">
        <v>1741</v>
      </c>
      <c r="D20" t="s">
        <v>1742</v>
      </c>
      <c r="E20" t="s">
        <v>1743</v>
      </c>
      <c r="F20" s="799">
        <f ca="1">Mars-LagnaLordD</f>
        <v>205.70946111111112</v>
      </c>
      <c r="G20" s="844">
        <f t="shared" ca="1" si="5"/>
        <v>-68.997944444444471</v>
      </c>
      <c r="H20" s="844">
        <f t="shared" ca="1" si="6"/>
        <v>342.42097777777781</v>
      </c>
      <c r="I20" s="799">
        <f t="shared" ca="1" si="1"/>
        <v>342.42097777777781</v>
      </c>
      <c r="J20" s="279" t="str">
        <f t="shared" ca="1" si="2"/>
        <v>Pi</v>
      </c>
      <c r="K20" s="280">
        <f t="shared" ca="1" si="3"/>
        <v>0.52168106666666791</v>
      </c>
      <c r="L20" s="21" t="str">
        <f t="shared" ca="1" si="4"/>
        <v>Purva Bhadrapad</v>
      </c>
    </row>
    <row r="21" spans="1:12" x14ac:dyDescent="0.2">
      <c r="A21">
        <v>8</v>
      </c>
      <c r="B21" t="s">
        <v>1744</v>
      </c>
      <c r="C21" t="s">
        <v>1745</v>
      </c>
      <c r="D21" t="s">
        <v>1746</v>
      </c>
      <c r="E21" t="s">
        <v>1747</v>
      </c>
      <c r="F21" s="799">
        <f>Jupiter-Saturn</f>
        <v>173.31196388888887</v>
      </c>
      <c r="G21" s="844">
        <f t="shared" si="5"/>
        <v>-36.600447222222215</v>
      </c>
      <c r="H21" s="844">
        <f t="shared" si="6"/>
        <v>310.02348055555552</v>
      </c>
      <c r="I21" s="799">
        <f t="shared" si="1"/>
        <v>310.02348055555558</v>
      </c>
      <c r="J21" s="279" t="str">
        <f t="shared" si="2"/>
        <v>Aq</v>
      </c>
      <c r="K21" s="280">
        <f t="shared" si="3"/>
        <v>0.42098618333333437</v>
      </c>
      <c r="L21" s="21" t="str">
        <f t="shared" si="4"/>
        <v>Dhanistha</v>
      </c>
    </row>
    <row r="22" spans="1:12" x14ac:dyDescent="0.2">
      <c r="A22">
        <v>9</v>
      </c>
      <c r="B22" t="s">
        <v>1748</v>
      </c>
      <c r="C22" t="s">
        <v>1749</v>
      </c>
      <c r="D22" t="s">
        <v>1750</v>
      </c>
      <c r="F22" s="799">
        <f>Jupiter-Moon</f>
        <v>160.18123055555554</v>
      </c>
      <c r="G22" s="844">
        <f t="shared" si="5"/>
        <v>-23.46971388888889</v>
      </c>
      <c r="H22" s="844">
        <f>IF(DayBirth,F22+Sun,-F22+Sun)</f>
        <v>252.5804333333333</v>
      </c>
      <c r="I22" s="799">
        <f t="shared" si="1"/>
        <v>252.5804333333333</v>
      </c>
      <c r="J22" s="279" t="str">
        <f t="shared" si="2"/>
        <v>Sg</v>
      </c>
      <c r="K22" s="280">
        <f t="shared" si="3"/>
        <v>0.5283781999999988</v>
      </c>
      <c r="L22" s="21" t="str">
        <f t="shared" si="4"/>
        <v>Mula</v>
      </c>
    </row>
    <row r="23" spans="1:12" x14ac:dyDescent="0.2">
      <c r="A23">
        <v>10</v>
      </c>
      <c r="B23" t="s">
        <v>1751</v>
      </c>
      <c r="C23" t="s">
        <v>1752</v>
      </c>
      <c r="D23" t="s">
        <v>1753</v>
      </c>
      <c r="F23" s="799">
        <f>Saturn-Sun</f>
        <v>-52.513991666666662</v>
      </c>
      <c r="G23" s="844">
        <f t="shared" si="5"/>
        <v>189.22550833333332</v>
      </c>
      <c r="H23" s="844">
        <f t="shared" ref="H23:H30" si="7">IF(DayBirth,F23+Lagna,-F23+Lagna)</f>
        <v>84.197524999999985</v>
      </c>
      <c r="I23" s="799">
        <f t="shared" si="1"/>
        <v>84.197524999999985</v>
      </c>
      <c r="J23" s="279" t="str">
        <f t="shared" si="2"/>
        <v>Ge</v>
      </c>
      <c r="K23" s="280">
        <f t="shared" si="3"/>
        <v>1.0162960499999993</v>
      </c>
      <c r="L23" s="21" t="str">
        <f t="shared" si="4"/>
        <v>Punarvasu</v>
      </c>
    </row>
    <row r="24" spans="1:12" x14ac:dyDescent="0.2">
      <c r="A24">
        <v>11</v>
      </c>
      <c r="B24" t="s">
        <v>1754</v>
      </c>
      <c r="C24" t="s">
        <v>1755</v>
      </c>
      <c r="D24" t="s">
        <v>1753</v>
      </c>
      <c r="F24" s="799">
        <f>Saturn-Sun</f>
        <v>-52.513991666666662</v>
      </c>
      <c r="G24" s="844">
        <f t="shared" si="5"/>
        <v>189.22550833333332</v>
      </c>
      <c r="H24" s="844">
        <f t="shared" si="7"/>
        <v>84.197524999999985</v>
      </c>
      <c r="I24" s="799">
        <f t="shared" si="1"/>
        <v>84.197524999999985</v>
      </c>
      <c r="J24" s="279" t="str">
        <f t="shared" si="2"/>
        <v>Ge</v>
      </c>
      <c r="K24" s="280">
        <f t="shared" si="3"/>
        <v>1.0162960499999993</v>
      </c>
      <c r="L24" s="21" t="str">
        <f t="shared" si="4"/>
        <v>Punarvasu</v>
      </c>
    </row>
    <row r="25" spans="1:12" x14ac:dyDescent="0.2">
      <c r="A25">
        <v>12</v>
      </c>
      <c r="B25" t="s">
        <v>1684</v>
      </c>
      <c r="C25" t="s">
        <v>1756</v>
      </c>
      <c r="D25" t="s">
        <v>1757</v>
      </c>
      <c r="F25" s="799">
        <f>Moon-Venus</f>
        <v>-28.524658333333335</v>
      </c>
      <c r="G25" s="844">
        <f t="shared" si="5"/>
        <v>165.236175</v>
      </c>
      <c r="H25" s="844">
        <f t="shared" si="7"/>
        <v>108.18685833333332</v>
      </c>
      <c r="I25" s="799">
        <f t="shared" si="1"/>
        <v>108.1868583333333</v>
      </c>
      <c r="J25" s="279" t="str">
        <f t="shared" si="2"/>
        <v>Cn</v>
      </c>
      <c r="K25" s="280">
        <f t="shared" si="3"/>
        <v>0.76384804999999889</v>
      </c>
      <c r="L25" s="21" t="str">
        <f t="shared" si="4"/>
        <v>Ashlesha</v>
      </c>
    </row>
    <row r="26" spans="1:12" x14ac:dyDescent="0.2">
      <c r="A26">
        <v>13</v>
      </c>
      <c r="B26" t="s">
        <v>1758</v>
      </c>
      <c r="C26" t="s">
        <v>1759</v>
      </c>
      <c r="D26" t="s">
        <v>1760</v>
      </c>
      <c r="F26" s="799">
        <f>Jupiter-Moon</f>
        <v>160.18123055555554</v>
      </c>
      <c r="G26" s="844">
        <f t="shared" si="5"/>
        <v>-23.46971388888889</v>
      </c>
      <c r="H26" s="844">
        <f t="shared" si="7"/>
        <v>296.89274722222217</v>
      </c>
      <c r="I26" s="799">
        <f t="shared" si="1"/>
        <v>296.89274722222217</v>
      </c>
      <c r="J26" s="279" t="str">
        <f t="shared" si="2"/>
        <v>Cp</v>
      </c>
      <c r="K26" s="280">
        <f t="shared" si="3"/>
        <v>1.1294953833333312</v>
      </c>
      <c r="L26" s="21" t="str">
        <f t="shared" si="4"/>
        <v>Shravan</v>
      </c>
    </row>
    <row r="27" spans="1:12" x14ac:dyDescent="0.2">
      <c r="A27">
        <v>14</v>
      </c>
      <c r="B27" t="s">
        <v>1761</v>
      </c>
      <c r="C27" t="s">
        <v>1762</v>
      </c>
      <c r="D27" t="s">
        <v>1763</v>
      </c>
      <c r="F27" s="799">
        <f>Saturn-Jupiter</f>
        <v>-173.31196388888887</v>
      </c>
      <c r="G27" s="844">
        <f t="shared" si="5"/>
        <v>310.02348055555552</v>
      </c>
      <c r="H27" s="844">
        <f t="shared" si="7"/>
        <v>-36.600447222222215</v>
      </c>
      <c r="I27" s="799">
        <f t="shared" si="1"/>
        <v>323.39955277777779</v>
      </c>
      <c r="J27" s="279" t="str">
        <f t="shared" si="2"/>
        <v>Aq</v>
      </c>
      <c r="K27" s="280">
        <f t="shared" si="3"/>
        <v>0.98278121666666707</v>
      </c>
      <c r="L27" s="21" t="str">
        <f t="shared" si="4"/>
        <v>Satabishak</v>
      </c>
    </row>
    <row r="28" spans="1:12" x14ac:dyDescent="0.2">
      <c r="A28">
        <v>15</v>
      </c>
      <c r="B28" t="s">
        <v>1764</v>
      </c>
      <c r="C28" t="s">
        <v>1765</v>
      </c>
      <c r="D28" t="s">
        <v>1766</v>
      </c>
      <c r="F28" s="799">
        <f>Mars-Mercury</f>
        <v>180.97887777777777</v>
      </c>
      <c r="G28" s="844">
        <f t="shared" si="5"/>
        <v>-44.267361111111114</v>
      </c>
      <c r="H28" s="844">
        <f t="shared" si="7"/>
        <v>317.69039444444445</v>
      </c>
      <c r="I28" s="799">
        <f t="shared" si="1"/>
        <v>317.69039444444445</v>
      </c>
      <c r="J28" s="279" t="str">
        <f t="shared" si="2"/>
        <v>Aq</v>
      </c>
      <c r="K28" s="280">
        <f t="shared" si="3"/>
        <v>0.74299656666666691</v>
      </c>
      <c r="L28" s="21" t="str">
        <f t="shared" si="4"/>
        <v>Dhanistha</v>
      </c>
    </row>
    <row r="29" spans="1:12" x14ac:dyDescent="0.2">
      <c r="A29">
        <v>16</v>
      </c>
      <c r="B29" t="s">
        <v>1767</v>
      </c>
      <c r="C29" t="s">
        <v>1768</v>
      </c>
      <c r="D29" t="s">
        <v>1769</v>
      </c>
      <c r="E29" t="s">
        <v>1747</v>
      </c>
      <c r="F29" s="799">
        <v>0</v>
      </c>
      <c r="G29" s="844">
        <f t="shared" si="5"/>
        <v>136.71151666666665</v>
      </c>
      <c r="H29" s="844">
        <f t="shared" si="7"/>
        <v>136.71151666666665</v>
      </c>
      <c r="I29" s="799">
        <f t="shared" si="1"/>
        <v>136.71151666666663</v>
      </c>
      <c r="J29" s="279" t="str">
        <f t="shared" si="2"/>
        <v>Le</v>
      </c>
      <c r="K29" s="280">
        <f t="shared" si="3"/>
        <v>0.70188369999999833</v>
      </c>
      <c r="L29" s="21" t="str">
        <f t="shared" si="4"/>
        <v>Purva Phalguni</v>
      </c>
    </row>
    <row r="30" spans="1:12" x14ac:dyDescent="0.2">
      <c r="A30">
        <v>17</v>
      </c>
      <c r="B30" t="s">
        <v>1770</v>
      </c>
      <c r="C30" t="s">
        <v>1771</v>
      </c>
      <c r="D30" t="s">
        <v>1772</v>
      </c>
      <c r="F30" s="799">
        <f>Jupiter-Mars</f>
        <v>-84.911488888888897</v>
      </c>
      <c r="G30" s="844">
        <f t="shared" si="5"/>
        <v>221.62300555555555</v>
      </c>
      <c r="H30" s="844">
        <f t="shared" si="7"/>
        <v>51.800027777777757</v>
      </c>
      <c r="I30" s="799">
        <f t="shared" si="1"/>
        <v>51.800027777777757</v>
      </c>
      <c r="J30" s="279" t="str">
        <f t="shared" si="2"/>
        <v>Ta</v>
      </c>
      <c r="K30" s="280">
        <f t="shared" si="3"/>
        <v>0.9156011666666658</v>
      </c>
      <c r="L30" s="21" t="str">
        <f t="shared" si="4"/>
        <v>Rohini</v>
      </c>
    </row>
    <row r="31" spans="1:12" x14ac:dyDescent="0.2">
      <c r="A31">
        <v>18</v>
      </c>
      <c r="B31" t="s">
        <v>1773</v>
      </c>
      <c r="C31" t="s">
        <v>1774</v>
      </c>
      <c r="D31" t="s">
        <v>1775</v>
      </c>
      <c r="F31" s="799">
        <f>Jupiter-Saturn</f>
        <v>173.31196388888887</v>
      </c>
      <c r="G31" s="844">
        <f t="shared" si="5"/>
        <v>-36.600447222222215</v>
      </c>
      <c r="H31" s="844">
        <f>IF(DayBirth,F31+Mercury,-F31+Mercury)</f>
        <v>290.44174999999996</v>
      </c>
      <c r="I31" s="799">
        <f t="shared" si="1"/>
        <v>290.44174999999996</v>
      </c>
      <c r="J31" s="279" t="str">
        <f t="shared" si="2"/>
        <v>Cp</v>
      </c>
      <c r="K31" s="280">
        <f t="shared" si="3"/>
        <v>0.85855349999999819</v>
      </c>
      <c r="L31" s="21" t="str">
        <f t="shared" si="4"/>
        <v>Abhijit</v>
      </c>
    </row>
    <row r="32" spans="1:12" x14ac:dyDescent="0.2">
      <c r="A32">
        <v>19</v>
      </c>
      <c r="B32" t="s">
        <v>1776</v>
      </c>
      <c r="C32" t="s">
        <v>1777</v>
      </c>
      <c r="D32" t="s">
        <v>1778</v>
      </c>
      <c r="F32" s="799">
        <v>0</v>
      </c>
      <c r="G32" s="844">
        <f t="shared" si="5"/>
        <v>136.71151666666665</v>
      </c>
      <c r="H32" s="844">
        <f t="shared" ref="H32:H59" si="8">IF(DayBirth,F32+Lagna,-F32+Lagna)</f>
        <v>136.71151666666665</v>
      </c>
      <c r="I32" s="799">
        <f t="shared" si="1"/>
        <v>136.71151666666663</v>
      </c>
      <c r="J32" s="279" t="str">
        <f t="shared" si="2"/>
        <v>Le</v>
      </c>
      <c r="K32" s="280">
        <f t="shared" si="3"/>
        <v>0.70188369999999833</v>
      </c>
      <c r="L32" s="21" t="str">
        <f t="shared" si="4"/>
        <v>Purva Phalguni</v>
      </c>
    </row>
    <row r="33" spans="1:12" x14ac:dyDescent="0.2">
      <c r="A33">
        <v>20</v>
      </c>
      <c r="B33" t="s">
        <v>1779</v>
      </c>
      <c r="C33" t="s">
        <v>1780</v>
      </c>
      <c r="D33" t="s">
        <v>1781</v>
      </c>
      <c r="E33" t="s">
        <v>1747</v>
      </c>
      <c r="F33" s="799">
        <v>0</v>
      </c>
      <c r="G33" s="844">
        <f t="shared" si="5"/>
        <v>136.71151666666665</v>
      </c>
      <c r="H33" s="844">
        <f t="shared" si="8"/>
        <v>136.71151666666665</v>
      </c>
      <c r="I33" s="799">
        <f t="shared" si="1"/>
        <v>136.71151666666663</v>
      </c>
      <c r="J33" s="279" t="str">
        <f t="shared" si="2"/>
        <v>Le</v>
      </c>
      <c r="K33" s="280">
        <f t="shared" si="3"/>
        <v>0.70188369999999833</v>
      </c>
      <c r="L33" s="21" t="str">
        <f t="shared" si="4"/>
        <v>Purva Phalguni</v>
      </c>
    </row>
    <row r="34" spans="1:12" x14ac:dyDescent="0.2">
      <c r="A34">
        <v>21</v>
      </c>
      <c r="B34" t="s">
        <v>1782</v>
      </c>
      <c r="C34" t="s">
        <v>1783</v>
      </c>
      <c r="D34" t="s">
        <v>1784</v>
      </c>
      <c r="E34" t="s">
        <v>1747</v>
      </c>
      <c r="F34" s="799">
        <f>Lagna+240</f>
        <v>376.71151666666663</v>
      </c>
      <c r="G34" s="844">
        <f t="shared" si="5"/>
        <v>-239.99999999999997</v>
      </c>
      <c r="H34" s="844">
        <f t="shared" si="8"/>
        <v>513.42303333333325</v>
      </c>
      <c r="I34" s="799">
        <f t="shared" ref="I34:I60" si="9">MOD(H34+360,360)</f>
        <v>153.42303333333325</v>
      </c>
      <c r="J34" s="279" t="str">
        <f t="shared" ref="J34:J60" si="10">INDEX(RasiDeg,ROUNDUP(I34/30,0),1)</f>
        <v>Vi</v>
      </c>
      <c r="K34" s="280">
        <f t="shared" ref="K34:K60" si="11">MOD(I34,30)*0.042</f>
        <v>0.14376739999999655</v>
      </c>
      <c r="L34" s="21" t="str">
        <f t="shared" ref="L34:L50" si="12">INDEX(NakshatraTbl,INT(I34*0.075)+1,1)</f>
        <v>Uttara Phalguni</v>
      </c>
    </row>
    <row r="35" spans="1:12" x14ac:dyDescent="0.2">
      <c r="A35">
        <v>22</v>
      </c>
      <c r="B35" t="s">
        <v>1785</v>
      </c>
      <c r="C35" t="s">
        <v>1786</v>
      </c>
      <c r="D35" t="s">
        <v>1787</v>
      </c>
      <c r="E35" t="s">
        <v>1747</v>
      </c>
      <c r="F35" s="799">
        <f>Lagna+30-3:3</f>
        <v>166.71151666666665</v>
      </c>
      <c r="G35" s="844">
        <f t="shared" si="5"/>
        <v>-30</v>
      </c>
      <c r="H35" s="844">
        <f t="shared" si="8"/>
        <v>303.42303333333331</v>
      </c>
      <c r="I35" s="799">
        <f t="shared" si="9"/>
        <v>303.42303333333325</v>
      </c>
      <c r="J35" s="279" t="str">
        <f t="shared" si="10"/>
        <v>Aq</v>
      </c>
      <c r="K35" s="280">
        <f t="shared" si="11"/>
        <v>0.14376739999999655</v>
      </c>
      <c r="L35" s="21" t="str">
        <f t="shared" si="12"/>
        <v>Shravan</v>
      </c>
    </row>
    <row r="36" spans="1:12" x14ac:dyDescent="0.2">
      <c r="A36">
        <v>23</v>
      </c>
      <c r="B36" t="s">
        <v>1788</v>
      </c>
      <c r="C36" t="s">
        <v>1789</v>
      </c>
      <c r="D36" t="s">
        <v>1790</v>
      </c>
      <c r="F36" s="799">
        <f>Venus-Sun</f>
        <v>-10.858599999999996</v>
      </c>
      <c r="G36" s="844">
        <f t="shared" si="5"/>
        <v>147.57011666666665</v>
      </c>
      <c r="H36" s="844">
        <f t="shared" si="8"/>
        <v>125.85291666666666</v>
      </c>
      <c r="I36" s="799">
        <f t="shared" si="9"/>
        <v>125.85291666666666</v>
      </c>
      <c r="J36" s="279" t="str">
        <f t="shared" si="10"/>
        <v>Le</v>
      </c>
      <c r="K36" s="280">
        <f t="shared" si="11"/>
        <v>0.24582249999999967</v>
      </c>
      <c r="L36" s="21" t="str">
        <f t="shared" si="12"/>
        <v>Magha</v>
      </c>
    </row>
    <row r="37" spans="1:12" x14ac:dyDescent="0.2">
      <c r="A37">
        <v>24</v>
      </c>
      <c r="B37" t="s">
        <v>1791</v>
      </c>
      <c r="C37" t="s">
        <v>1792</v>
      </c>
      <c r="D37" t="s">
        <v>1793</v>
      </c>
      <c r="F37" s="799">
        <v>0</v>
      </c>
      <c r="G37" s="844">
        <f t="shared" si="5"/>
        <v>136.71151666666665</v>
      </c>
      <c r="H37" s="844">
        <f t="shared" si="8"/>
        <v>136.71151666666665</v>
      </c>
      <c r="I37" s="799">
        <f t="shared" si="9"/>
        <v>136.71151666666663</v>
      </c>
      <c r="J37" s="279" t="str">
        <f t="shared" si="10"/>
        <v>Le</v>
      </c>
      <c r="K37" s="280">
        <f t="shared" si="11"/>
        <v>0.70188369999999833</v>
      </c>
      <c r="L37" s="21" t="str">
        <f t="shared" si="12"/>
        <v>Purva Phalguni</v>
      </c>
    </row>
    <row r="38" spans="1:12" x14ac:dyDescent="0.2">
      <c r="A38">
        <v>25</v>
      </c>
      <c r="B38" t="s">
        <v>1794</v>
      </c>
      <c r="C38" t="s">
        <v>1795</v>
      </c>
      <c r="D38" t="s">
        <v>1796</v>
      </c>
      <c r="E38" t="s">
        <v>1797</v>
      </c>
      <c r="F38" s="799">
        <v>0</v>
      </c>
      <c r="G38" s="844">
        <f t="shared" si="5"/>
        <v>136.71151666666665</v>
      </c>
      <c r="H38" s="844">
        <f t="shared" si="8"/>
        <v>136.71151666666665</v>
      </c>
      <c r="I38" s="799">
        <f t="shared" si="9"/>
        <v>136.71151666666663</v>
      </c>
      <c r="J38" s="279" t="str">
        <f t="shared" si="10"/>
        <v>Le</v>
      </c>
      <c r="K38" s="280">
        <f t="shared" si="11"/>
        <v>0.70188369999999833</v>
      </c>
      <c r="L38" s="21" t="str">
        <f t="shared" si="12"/>
        <v>Purva Phalguni</v>
      </c>
    </row>
    <row r="39" spans="1:12" x14ac:dyDescent="0.2">
      <c r="A39">
        <v>26</v>
      </c>
      <c r="B39" t="s">
        <v>1798</v>
      </c>
      <c r="C39" t="s">
        <v>1799</v>
      </c>
      <c r="D39" t="s">
        <v>1800</v>
      </c>
      <c r="F39" s="799">
        <f>Venus-Saturn</f>
        <v>41.655391666666667</v>
      </c>
      <c r="G39" s="844">
        <f t="shared" si="5"/>
        <v>95.05612499999998</v>
      </c>
      <c r="H39" s="844">
        <f t="shared" si="8"/>
        <v>178.36690833333333</v>
      </c>
      <c r="I39" s="799">
        <f t="shared" si="9"/>
        <v>178.3669083333333</v>
      </c>
      <c r="J39" s="279" t="str">
        <f t="shared" si="10"/>
        <v>Vi</v>
      </c>
      <c r="K39" s="280">
        <f t="shared" si="11"/>
        <v>1.1914101499999987</v>
      </c>
      <c r="L39" s="21" t="str">
        <f t="shared" si="12"/>
        <v>Chitra</v>
      </c>
    </row>
    <row r="40" spans="1:12" x14ac:dyDescent="0.2">
      <c r="A40">
        <v>27</v>
      </c>
      <c r="B40" t="s">
        <v>1801</v>
      </c>
      <c r="C40" t="s">
        <v>1802</v>
      </c>
      <c r="D40" t="s">
        <v>1803</v>
      </c>
      <c r="F40" s="799">
        <v>0</v>
      </c>
      <c r="G40" s="844">
        <f t="shared" si="5"/>
        <v>136.71151666666665</v>
      </c>
      <c r="H40" s="844">
        <f t="shared" si="8"/>
        <v>136.71151666666665</v>
      </c>
      <c r="I40" s="799">
        <f t="shared" si="9"/>
        <v>136.71151666666663</v>
      </c>
      <c r="J40" s="279" t="str">
        <f t="shared" si="10"/>
        <v>Le</v>
      </c>
      <c r="K40" s="280">
        <f t="shared" si="11"/>
        <v>0.70188369999999833</v>
      </c>
      <c r="L40" s="21" t="str">
        <f t="shared" si="12"/>
        <v>Purva Phalguni</v>
      </c>
    </row>
    <row r="41" spans="1:12" x14ac:dyDescent="0.2">
      <c r="A41">
        <v>28</v>
      </c>
      <c r="B41" t="s">
        <v>1804</v>
      </c>
      <c r="C41" t="s">
        <v>1805</v>
      </c>
      <c r="D41" t="s">
        <v>1806</v>
      </c>
      <c r="F41" s="799">
        <v>0</v>
      </c>
      <c r="G41" s="844">
        <f t="shared" si="5"/>
        <v>136.71151666666665</v>
      </c>
      <c r="H41" s="844">
        <f t="shared" si="8"/>
        <v>136.71151666666665</v>
      </c>
      <c r="I41" s="799">
        <f t="shared" si="9"/>
        <v>136.71151666666663</v>
      </c>
      <c r="J41" s="279" t="str">
        <f t="shared" si="10"/>
        <v>Le</v>
      </c>
      <c r="K41" s="280">
        <f t="shared" si="11"/>
        <v>0.70188369999999833</v>
      </c>
      <c r="L41" s="21" t="str">
        <f t="shared" si="12"/>
        <v>Purva Phalguni</v>
      </c>
    </row>
    <row r="42" spans="1:12" x14ac:dyDescent="0.2">
      <c r="A42">
        <v>29</v>
      </c>
      <c r="B42" t="s">
        <v>1807</v>
      </c>
      <c r="C42" t="s">
        <v>1808</v>
      </c>
      <c r="D42" t="s">
        <v>1809</v>
      </c>
      <c r="F42" s="799">
        <v>0</v>
      </c>
      <c r="G42" s="844">
        <f t="shared" si="5"/>
        <v>136.71151666666665</v>
      </c>
      <c r="H42" s="844">
        <f t="shared" si="8"/>
        <v>136.71151666666665</v>
      </c>
      <c r="I42" s="799">
        <f t="shared" si="9"/>
        <v>136.71151666666663</v>
      </c>
      <c r="J42" s="279" t="str">
        <f t="shared" si="10"/>
        <v>Le</v>
      </c>
      <c r="K42" s="280">
        <f t="shared" si="11"/>
        <v>0.70188369999999833</v>
      </c>
      <c r="L42" s="21" t="str">
        <f t="shared" si="12"/>
        <v>Purva Phalguni</v>
      </c>
    </row>
    <row r="43" spans="1:12" x14ac:dyDescent="0.2">
      <c r="A43">
        <v>30</v>
      </c>
      <c r="B43" t="s">
        <v>1810</v>
      </c>
      <c r="C43" t="s">
        <v>1811</v>
      </c>
      <c r="D43" t="s">
        <v>1812</v>
      </c>
      <c r="F43" s="799">
        <v>0</v>
      </c>
      <c r="G43" s="844">
        <f t="shared" si="5"/>
        <v>136.71151666666665</v>
      </c>
      <c r="H43" s="844">
        <f t="shared" si="8"/>
        <v>136.71151666666665</v>
      </c>
      <c r="I43" s="799">
        <f t="shared" si="9"/>
        <v>136.71151666666663</v>
      </c>
      <c r="J43" s="279" t="str">
        <f t="shared" si="10"/>
        <v>Le</v>
      </c>
      <c r="K43" s="280">
        <f t="shared" si="11"/>
        <v>0.70188369999999833</v>
      </c>
      <c r="L43" s="21" t="str">
        <f t="shared" si="12"/>
        <v>Purva Phalguni</v>
      </c>
    </row>
    <row r="44" spans="1:12" x14ac:dyDescent="0.2">
      <c r="A44">
        <v>31</v>
      </c>
      <c r="B44" t="s">
        <v>1813</v>
      </c>
      <c r="C44" t="s">
        <v>1814</v>
      </c>
      <c r="D44" t="s">
        <v>1815</v>
      </c>
      <c r="E44" t="s">
        <v>1747</v>
      </c>
      <c r="F44" s="799">
        <f>Mars-Saturn</f>
        <v>258.22345277777777</v>
      </c>
      <c r="G44" s="844">
        <f t="shared" si="5"/>
        <v>-121.51193611111111</v>
      </c>
      <c r="H44" s="844">
        <f t="shared" si="8"/>
        <v>394.93496944444439</v>
      </c>
      <c r="I44" s="799">
        <f t="shared" si="9"/>
        <v>34.934969444444391</v>
      </c>
      <c r="J44" s="279" t="str">
        <f t="shared" si="10"/>
        <v>Ta</v>
      </c>
      <c r="K44" s="280">
        <f t="shared" si="11"/>
        <v>0.20726871666666444</v>
      </c>
      <c r="L44" s="21" t="str">
        <f t="shared" si="12"/>
        <v>Kritika</v>
      </c>
    </row>
    <row r="45" spans="1:12" x14ac:dyDescent="0.2">
      <c r="A45">
        <v>32</v>
      </c>
      <c r="B45" t="s">
        <v>1816</v>
      </c>
      <c r="C45" t="s">
        <v>1817</v>
      </c>
      <c r="D45" t="s">
        <v>1815</v>
      </c>
      <c r="F45" s="799">
        <f>Mars-Saturn</f>
        <v>258.22345277777777</v>
      </c>
      <c r="G45" s="844">
        <f t="shared" si="5"/>
        <v>-121.51193611111111</v>
      </c>
      <c r="H45" s="844">
        <f t="shared" si="8"/>
        <v>394.93496944444439</v>
      </c>
      <c r="I45" s="799">
        <f t="shared" si="9"/>
        <v>34.934969444444391</v>
      </c>
      <c r="J45" s="279" t="str">
        <f t="shared" si="10"/>
        <v>Ta</v>
      </c>
      <c r="K45" s="280">
        <f t="shared" si="11"/>
        <v>0.20726871666666444</v>
      </c>
      <c r="L45" s="21" t="str">
        <f t="shared" si="12"/>
        <v>Kritika</v>
      </c>
    </row>
    <row r="46" spans="1:12" x14ac:dyDescent="0.2">
      <c r="A46">
        <v>33</v>
      </c>
      <c r="B46" t="s">
        <v>1818</v>
      </c>
      <c r="C46" t="s">
        <v>1819</v>
      </c>
      <c r="D46" t="s">
        <v>1820</v>
      </c>
      <c r="F46" s="799">
        <f>105-Saturn</f>
        <v>65.114788888888882</v>
      </c>
      <c r="G46" s="844">
        <f t="shared" si="5"/>
        <v>71.596727777777772</v>
      </c>
      <c r="H46" s="844">
        <f t="shared" si="8"/>
        <v>201.82630555555554</v>
      </c>
      <c r="I46" s="799">
        <f t="shared" si="9"/>
        <v>201.82630555555556</v>
      </c>
      <c r="J46" s="279" t="str">
        <f t="shared" si="10"/>
        <v>Li</v>
      </c>
      <c r="K46" s="280">
        <f t="shared" si="11"/>
        <v>0.91670483333333375</v>
      </c>
      <c r="L46" s="21" t="str">
        <f t="shared" si="12"/>
        <v>Vishakha</v>
      </c>
    </row>
    <row r="47" spans="1:12" x14ac:dyDescent="0.2">
      <c r="A47">
        <v>34</v>
      </c>
      <c r="B47" t="s">
        <v>1821</v>
      </c>
      <c r="C47" t="s">
        <v>1822</v>
      </c>
      <c r="D47" t="s">
        <v>1823</v>
      </c>
      <c r="F47" s="799">
        <v>0</v>
      </c>
      <c r="G47" s="844">
        <f t="shared" si="5"/>
        <v>136.71151666666665</v>
      </c>
      <c r="H47" s="844">
        <f t="shared" si="8"/>
        <v>136.71151666666665</v>
      </c>
      <c r="I47" s="799">
        <f t="shared" si="9"/>
        <v>136.71151666666663</v>
      </c>
      <c r="J47" s="279" t="str">
        <f t="shared" si="10"/>
        <v>Le</v>
      </c>
      <c r="K47" s="280">
        <f t="shared" si="11"/>
        <v>0.70188369999999833</v>
      </c>
      <c r="L47" s="21" t="str">
        <f t="shared" si="12"/>
        <v>Purva Phalguni</v>
      </c>
    </row>
    <row r="48" spans="1:12" x14ac:dyDescent="0.2">
      <c r="A48">
        <v>35</v>
      </c>
      <c r="B48" t="s">
        <v>1824</v>
      </c>
      <c r="C48" t="s">
        <v>1825</v>
      </c>
      <c r="D48" t="s">
        <v>1826</v>
      </c>
      <c r="F48" s="799">
        <v>0</v>
      </c>
      <c r="G48" s="844">
        <f t="shared" si="5"/>
        <v>136.71151666666665</v>
      </c>
      <c r="H48" s="844">
        <f t="shared" si="8"/>
        <v>136.71151666666665</v>
      </c>
      <c r="I48" s="799">
        <f t="shared" si="9"/>
        <v>136.71151666666663</v>
      </c>
      <c r="J48" s="279" t="str">
        <f t="shared" si="10"/>
        <v>Le</v>
      </c>
      <c r="K48" s="280">
        <f t="shared" si="11"/>
        <v>0.70188369999999833</v>
      </c>
      <c r="L48" s="21" t="str">
        <f t="shared" si="12"/>
        <v>Purva Phalguni</v>
      </c>
    </row>
    <row r="49" spans="1:12" x14ac:dyDescent="0.2">
      <c r="A49">
        <v>36</v>
      </c>
      <c r="B49" t="s">
        <v>1827</v>
      </c>
      <c r="C49" t="s">
        <v>1828</v>
      </c>
      <c r="D49" t="s">
        <v>1829</v>
      </c>
      <c r="E49" t="s">
        <v>1747</v>
      </c>
      <c r="F49" s="799">
        <v>0</v>
      </c>
      <c r="G49" s="844">
        <f t="shared" si="5"/>
        <v>136.71151666666665</v>
      </c>
      <c r="H49" s="844">
        <f t="shared" si="8"/>
        <v>136.71151666666665</v>
      </c>
      <c r="I49" s="799">
        <f t="shared" si="9"/>
        <v>136.71151666666663</v>
      </c>
      <c r="J49" s="279" t="str">
        <f t="shared" si="10"/>
        <v>Le</v>
      </c>
      <c r="K49" s="280">
        <f t="shared" si="11"/>
        <v>0.70188369999999833</v>
      </c>
      <c r="L49" s="21" t="str">
        <f t="shared" si="12"/>
        <v>Purva Phalguni</v>
      </c>
    </row>
    <row r="50" spans="1:12" x14ac:dyDescent="0.2">
      <c r="A50">
        <v>37</v>
      </c>
      <c r="B50" t="s">
        <v>1830</v>
      </c>
      <c r="C50" t="s">
        <v>1831</v>
      </c>
      <c r="D50" t="s">
        <v>1832</v>
      </c>
      <c r="E50" t="s">
        <v>1833</v>
      </c>
      <c r="F50" s="799">
        <f ca="1">Moon-LagnaLordD</f>
        <v>-39.38325833333333</v>
      </c>
      <c r="G50" s="844">
        <f t="shared" ca="1" si="5"/>
        <v>176.09477499999997</v>
      </c>
      <c r="H50" s="844">
        <f t="shared" ca="1" si="8"/>
        <v>97.328258333333324</v>
      </c>
      <c r="I50" s="799">
        <f t="shared" ca="1" si="9"/>
        <v>97.328258333333338</v>
      </c>
      <c r="J50" s="279" t="str">
        <f t="shared" ca="1" si="10"/>
        <v>Cn</v>
      </c>
      <c r="K50" s="280">
        <f t="shared" ca="1" si="11"/>
        <v>0.30778685000000022</v>
      </c>
      <c r="L50" s="21" t="str">
        <f t="shared" ca="1" si="12"/>
        <v>Pushya</v>
      </c>
    </row>
    <row r="51" spans="1:12" x14ac:dyDescent="0.2">
      <c r="A51">
        <v>38</v>
      </c>
      <c r="D51" t="s">
        <v>4486</v>
      </c>
      <c r="F51" s="1327"/>
      <c r="G51" s="1328"/>
      <c r="H51" s="1327">
        <f>Sun+Moon+Jupiter</f>
        <v>358.61232222222225</v>
      </c>
      <c r="I51" s="799">
        <f t="shared" si="9"/>
        <v>358.61232222222225</v>
      </c>
      <c r="J51" s="279" t="str">
        <f t="shared" si="10"/>
        <v>Pi</v>
      </c>
      <c r="K51" s="280">
        <f>MOD(H51,30)*0.042</f>
        <v>1.2017175333333345</v>
      </c>
      <c r="L51" s="21" t="str">
        <f>INDEX(NakshatraTbl,INT(H51*0.075)+1,1)</f>
        <v>Uttara Bhadrapad</v>
      </c>
    </row>
    <row r="52" spans="1:12" x14ac:dyDescent="0.2">
      <c r="A52">
        <v>39</v>
      </c>
      <c r="F52" s="1327"/>
      <c r="G52" s="1328"/>
      <c r="H52" s="1328"/>
      <c r="I52" s="1327">
        <f t="shared" ref="I52:I53" si="13">MOD(H52+360,360)</f>
        <v>0</v>
      </c>
      <c r="J52" s="279" t="e">
        <f t="shared" ref="J52:J58" si="14">INDEX(RasiDeg,ROUNDUP(I52/30,0),1)</f>
        <v>#VALUE!</v>
      </c>
      <c r="K52" s="280">
        <f t="shared" ref="K52:K53" si="15">MOD(I52,30)*0.042</f>
        <v>0</v>
      </c>
      <c r="L52" s="21" t="str">
        <f t="shared" ref="L52:L58" si="16">INDEX(NakshatraTbl,INT(I52*0.075)+1,1)</f>
        <v>Ashvini</v>
      </c>
    </row>
    <row r="53" spans="1:12" x14ac:dyDescent="0.2">
      <c r="A53">
        <v>40</v>
      </c>
      <c r="F53" s="1327"/>
      <c r="G53" s="1328"/>
      <c r="H53" s="1328"/>
      <c r="I53" s="1327">
        <f t="shared" si="13"/>
        <v>0</v>
      </c>
      <c r="J53" s="279" t="e">
        <f t="shared" si="14"/>
        <v>#VALUE!</v>
      </c>
      <c r="K53" s="280">
        <f t="shared" si="15"/>
        <v>0</v>
      </c>
      <c r="L53" s="21" t="str">
        <f t="shared" si="16"/>
        <v>Ashvini</v>
      </c>
    </row>
    <row r="54" spans="1:12" x14ac:dyDescent="0.2">
      <c r="A54">
        <v>41</v>
      </c>
      <c r="F54" s="1327"/>
      <c r="G54" s="1328"/>
      <c r="H54" s="1328"/>
      <c r="I54" s="1327">
        <f t="shared" ref="I54:I58" si="17">MOD(H54+360,360)</f>
        <v>0</v>
      </c>
      <c r="J54" s="279" t="e">
        <f t="shared" si="14"/>
        <v>#VALUE!</v>
      </c>
      <c r="K54" s="280">
        <f t="shared" ref="K54:K58" si="18">MOD(I54,30)*0.042</f>
        <v>0</v>
      </c>
      <c r="L54" s="21" t="str">
        <f t="shared" si="16"/>
        <v>Ashvini</v>
      </c>
    </row>
    <row r="55" spans="1:12" x14ac:dyDescent="0.2">
      <c r="A55">
        <v>42</v>
      </c>
      <c r="F55" s="1327"/>
      <c r="G55" s="1328"/>
      <c r="H55" s="1328"/>
      <c r="I55" s="1327">
        <f t="shared" si="17"/>
        <v>0</v>
      </c>
      <c r="J55" s="279" t="e">
        <f t="shared" si="14"/>
        <v>#VALUE!</v>
      </c>
      <c r="K55" s="280">
        <f t="shared" si="18"/>
        <v>0</v>
      </c>
      <c r="L55" s="21" t="str">
        <f t="shared" si="16"/>
        <v>Ashvini</v>
      </c>
    </row>
    <row r="56" spans="1:12" x14ac:dyDescent="0.2">
      <c r="A56">
        <v>43</v>
      </c>
      <c r="F56" s="1327"/>
      <c r="G56" s="1328"/>
      <c r="H56" s="1328"/>
      <c r="I56" s="1327">
        <f t="shared" si="17"/>
        <v>0</v>
      </c>
      <c r="J56" s="279" t="e">
        <f t="shared" si="14"/>
        <v>#VALUE!</v>
      </c>
      <c r="K56" s="280">
        <f t="shared" si="18"/>
        <v>0</v>
      </c>
      <c r="L56" s="21" t="str">
        <f t="shared" si="16"/>
        <v>Ashvini</v>
      </c>
    </row>
    <row r="57" spans="1:12" x14ac:dyDescent="0.2">
      <c r="A57">
        <v>44</v>
      </c>
      <c r="F57" s="1327"/>
      <c r="G57" s="1328"/>
      <c r="H57" s="1328"/>
      <c r="I57" s="1327">
        <f t="shared" si="17"/>
        <v>0</v>
      </c>
      <c r="J57" s="279" t="e">
        <f t="shared" si="14"/>
        <v>#VALUE!</v>
      </c>
      <c r="K57" s="280">
        <f t="shared" si="18"/>
        <v>0</v>
      </c>
      <c r="L57" s="21" t="str">
        <f t="shared" si="16"/>
        <v>Ashvini</v>
      </c>
    </row>
    <row r="58" spans="1:12" x14ac:dyDescent="0.2">
      <c r="A58">
        <v>45</v>
      </c>
      <c r="F58" s="1327"/>
      <c r="G58" s="1328"/>
      <c r="H58" s="1328"/>
      <c r="I58" s="1327">
        <f t="shared" si="17"/>
        <v>0</v>
      </c>
      <c r="J58" s="279" t="e">
        <f t="shared" si="14"/>
        <v>#VALUE!</v>
      </c>
      <c r="K58" s="280">
        <f t="shared" si="18"/>
        <v>0</v>
      </c>
      <c r="L58" s="21" t="str">
        <f t="shared" si="16"/>
        <v>Ashvini</v>
      </c>
    </row>
    <row r="59" spans="1:12" x14ac:dyDescent="0.2">
      <c r="D59" t="s">
        <v>3258</v>
      </c>
      <c r="E59" t="s">
        <v>3257</v>
      </c>
      <c r="F59" s="407">
        <f>5*Moon-5*Sun</f>
        <v>-196.91629166666661</v>
      </c>
      <c r="G59" s="844">
        <f t="shared" si="5"/>
        <v>333.62780833333329</v>
      </c>
      <c r="H59" s="844">
        <f t="shared" si="8"/>
        <v>-60.204774999999955</v>
      </c>
      <c r="I59" s="407">
        <f t="shared" si="9"/>
        <v>299.79522500000007</v>
      </c>
      <c r="J59" s="279" t="str">
        <f t="shared" si="10"/>
        <v>Cp</v>
      </c>
      <c r="K59" s="845">
        <f t="shared" si="11"/>
        <v>1.2513994500000032</v>
      </c>
    </row>
    <row r="60" spans="1:12" x14ac:dyDescent="0.2">
      <c r="E60" t="s">
        <v>3259</v>
      </c>
      <c r="F60" s="407">
        <f>5*Moon-5*Sun</f>
        <v>-196.91629166666661</v>
      </c>
      <c r="G60" s="844">
        <f t="shared" si="5"/>
        <v>333.62780833333329</v>
      </c>
      <c r="H60" s="80">
        <f>F60</f>
        <v>-196.91629166666661</v>
      </c>
      <c r="I60" s="407">
        <f t="shared" si="9"/>
        <v>163.08370833333339</v>
      </c>
      <c r="J60" s="279" t="str">
        <f t="shared" si="10"/>
        <v>Vi</v>
      </c>
      <c r="K60" s="845">
        <f t="shared" si="11"/>
        <v>0.54951575000000241</v>
      </c>
    </row>
    <row r="61" spans="1:12" x14ac:dyDescent="0.2">
      <c r="F61" s="407" t="e">
        <f>LagnaLord+Jupiter</f>
        <v>#VALUE!</v>
      </c>
      <c r="G61" s="407" t="e">
        <f>LagnaLord+Jupiter</f>
        <v>#VALUE!</v>
      </c>
    </row>
  </sheetData>
  <sheetProtection selectLockedCells="1" sort="0" autoFilter="0" pivotTables="0"/>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3"/>
  <dimension ref="C3:T12"/>
  <sheetViews>
    <sheetView topLeftCell="C7" zoomScale="80" zoomScaleNormal="80" zoomScaleSheetLayoutView="75" workbookViewId="0" xr3:uid="{D624DF06-3800-545C-AC8D-BADC89115800}">
      <selection activeCell="C14" sqref="B14:D14"/>
    </sheetView>
  </sheetViews>
  <sheetFormatPr defaultColWidth="4.70703125" defaultRowHeight="27" customHeight="1" x14ac:dyDescent="0.2"/>
  <cols>
    <col min="1" max="16384" width="4.70703125" style="282"/>
  </cols>
  <sheetData>
    <row r="3" spans="3:20" ht="27" customHeight="1" x14ac:dyDescent="0.2">
      <c r="K3" s="283">
        <v>27</v>
      </c>
      <c r="L3" s="284">
        <v>1</v>
      </c>
    </row>
    <row r="4" spans="3:20" ht="27" customHeight="1" x14ac:dyDescent="0.2">
      <c r="J4" s="285">
        <f>K3-1</f>
        <v>26</v>
      </c>
      <c r="M4" s="286">
        <f>L3+1</f>
        <v>2</v>
      </c>
    </row>
    <row r="5" spans="3:20" ht="27" customHeight="1" x14ac:dyDescent="0.2">
      <c r="I5" s="287">
        <f>J4-1</f>
        <v>25</v>
      </c>
      <c r="N5" s="288">
        <f>M4+1</f>
        <v>3</v>
      </c>
    </row>
    <row r="6" spans="3:20" ht="27" customHeight="1" x14ac:dyDescent="0.2">
      <c r="H6" s="289">
        <f>I5-1</f>
        <v>24</v>
      </c>
      <c r="O6" s="290">
        <f>N5+1</f>
        <v>4</v>
      </c>
    </row>
    <row r="7" spans="3:20" ht="27" customHeight="1" x14ac:dyDescent="0.2">
      <c r="G7" s="291">
        <f>H6-1</f>
        <v>23</v>
      </c>
      <c r="P7" s="291">
        <f>O6+1</f>
        <v>5</v>
      </c>
    </row>
    <row r="8" spans="3:20" ht="27" customHeight="1" x14ac:dyDescent="0.2">
      <c r="F8" s="292">
        <f>G7-1</f>
        <v>22</v>
      </c>
      <c r="H8" s="741"/>
      <c r="O8" s="740"/>
      <c r="Q8" s="292">
        <f>P7+1</f>
        <v>6</v>
      </c>
    </row>
    <row r="9" spans="3:20" ht="27" customHeight="1" x14ac:dyDescent="0.2">
      <c r="E9" s="293">
        <f>F8-1</f>
        <v>21</v>
      </c>
      <c r="G9" s="741"/>
      <c r="I9" s="741"/>
      <c r="N9" s="740"/>
      <c r="P9" s="740"/>
      <c r="R9" s="293">
        <f>Q8+1</f>
        <v>7</v>
      </c>
    </row>
    <row r="10" spans="3:20" ht="27" customHeight="1" x14ac:dyDescent="0.2">
      <c r="D10" s="294">
        <f>E9-1</f>
        <v>20</v>
      </c>
      <c r="F10" s="741"/>
      <c r="H10" s="741"/>
      <c r="J10" s="741"/>
      <c r="M10" s="740"/>
      <c r="O10" s="740"/>
      <c r="Q10" s="740"/>
      <c r="S10" s="294">
        <f>R9+1</f>
        <v>8</v>
      </c>
    </row>
    <row r="11" spans="3:20" ht="27" customHeight="1" x14ac:dyDescent="0.2">
      <c r="C11" s="295">
        <f>D10-1</f>
        <v>19</v>
      </c>
      <c r="E11" s="741"/>
      <c r="G11" s="741"/>
      <c r="I11" s="741"/>
      <c r="K11" s="741"/>
      <c r="L11" s="740"/>
      <c r="N11" s="740"/>
      <c r="P11" s="740"/>
      <c r="R11" s="740"/>
      <c r="T11" s="295">
        <f>S10+1</f>
        <v>9</v>
      </c>
    </row>
    <row r="12" spans="3:20" ht="27" customHeight="1" x14ac:dyDescent="0.2">
      <c r="C12" s="1575">
        <f t="shared" ref="C12:R12" si="0">E12+1</f>
        <v>18</v>
      </c>
      <c r="D12" s="1575">
        <f t="shared" si="0"/>
        <v>8</v>
      </c>
      <c r="E12" s="1576">
        <f t="shared" si="0"/>
        <v>17</v>
      </c>
      <c r="F12" s="1576">
        <f t="shared" si="0"/>
        <v>7</v>
      </c>
      <c r="G12" s="1577">
        <f t="shared" si="0"/>
        <v>16</v>
      </c>
      <c r="H12" s="1577">
        <f t="shared" si="0"/>
        <v>6</v>
      </c>
      <c r="I12" s="1578">
        <f t="shared" si="0"/>
        <v>15</v>
      </c>
      <c r="J12" s="1578">
        <f t="shared" si="0"/>
        <v>5</v>
      </c>
      <c r="K12" s="1580">
        <f t="shared" si="0"/>
        <v>14</v>
      </c>
      <c r="L12" s="1580">
        <f t="shared" si="0"/>
        <v>4</v>
      </c>
      <c r="M12" s="1581">
        <f t="shared" si="0"/>
        <v>13</v>
      </c>
      <c r="N12" s="1581">
        <f t="shared" si="0"/>
        <v>3</v>
      </c>
      <c r="O12" s="1582">
        <f t="shared" si="0"/>
        <v>12</v>
      </c>
      <c r="P12" s="1582">
        <f t="shared" si="0"/>
        <v>2</v>
      </c>
      <c r="Q12" s="1583">
        <f t="shared" si="0"/>
        <v>11</v>
      </c>
      <c r="R12" s="1583">
        <f t="shared" si="0"/>
        <v>1</v>
      </c>
      <c r="S12" s="1579">
        <v>10</v>
      </c>
      <c r="T12" s="1579"/>
    </row>
  </sheetData>
  <sheetProtection selectLockedCells="1" selectUnlockedCells="1"/>
  <mergeCells count="9">
    <mergeCell ref="C12:D12"/>
    <mergeCell ref="E12:F12"/>
    <mergeCell ref="G12:H12"/>
    <mergeCell ref="I12:J12"/>
    <mergeCell ref="S12:T12"/>
    <mergeCell ref="K12:L12"/>
    <mergeCell ref="M12:N12"/>
    <mergeCell ref="O12:P12"/>
    <mergeCell ref="Q12:R12"/>
  </mergeCells>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4">
    <pageSetUpPr fitToPage="1"/>
  </sheetPr>
  <dimension ref="A1:IV14"/>
  <sheetViews>
    <sheetView zoomScale="90" zoomScaleNormal="90" zoomScaleSheetLayoutView="75" workbookViewId="0" xr3:uid="{11A3ACCB-1F19-5AC9-A611-4158731A345D}">
      <selection activeCell="U6" sqref="U6"/>
    </sheetView>
  </sheetViews>
  <sheetFormatPr defaultColWidth="7.12890625" defaultRowHeight="15" x14ac:dyDescent="0.2"/>
  <cols>
    <col min="1" max="1" width="7.12890625" style="296" customWidth="1"/>
    <col min="2" max="2" width="2.28515625" style="296" customWidth="1"/>
    <col min="3" max="7" width="8.47265625" style="296" customWidth="1"/>
    <col min="8" max="8" width="9.28125" style="296" customWidth="1"/>
    <col min="9" max="11" width="8.47265625" style="296" customWidth="1"/>
    <col min="12" max="12" width="2.28515625" style="296" customWidth="1"/>
    <col min="13" max="16384" width="7.12890625" style="296"/>
  </cols>
  <sheetData>
    <row r="1" spans="1:256" ht="49.7" customHeight="1" x14ac:dyDescent="0.2">
      <c r="A1" s="297"/>
      <c r="B1" s="297"/>
      <c r="C1" s="297"/>
      <c r="D1" s="297" t="str">
        <f>IF(TRUNC(Basics!B67/StarDeg)=2,Basics!$A$67&amp;"/ ","")&amp;IF(TRUNC(Basics!B60/StarDeg)=2,Basics!$A$60&amp;"/ ","")&amp;IF(TRUNC(Basics!B58/StarDeg)=2,Basics!$A$58&amp;"/ ","")&amp;IF(TRUNC(Basics!B59/StarDeg)=2,Basics!$A$59&amp;"/ ","")&amp;IF(TRUNC(Basics!B66/StarDeg)=2,Basics!$A$66&amp;"/ ","")&amp;IF(TRUNC(Basics!B61/StarDeg)=2,Basics!$A$61&amp;"/ ","")&amp;IF(TRUNC(Basics!B65/StarDeg)=2,Basics!$A$65&amp;"/ ","")&amp;IF(TRUNC(Basics!B62/StarDeg)=2,Basics!$A$62&amp;"/ ","")&amp;IF(TRUNC(Basics!B63/StarDeg)=2,Basics!$A$63&amp;"/ ","")&amp;IF(TRUNC(Basics!B64/StarDeg)=2,Basics!$A$64&amp;"/ ","")</f>
        <v xml:space="preserve">Saturn/ </v>
      </c>
      <c r="E1" s="297" t="str">
        <f>IF(TRUNC(Basics!B67/StarDeg)=3,Basics!$A$67&amp;"/ ","")&amp;IF(TRUNC(Basics!B60/StarDeg)=3,Basics!$A$60&amp;"/ ","")&amp;IF(TRUNC(Basics!B58/StarDeg)=3,Basics!$A$58&amp;"/ ","")&amp;IF(TRUNC(Basics!B59/StarDeg)=3,Basics!$A$59&amp;"/ ","")&amp;IF(TRUNC(Basics!B66/StarDeg)=3,Basics!$A$66&amp;"/ ","")&amp;IF(TRUNC(Basics!B61/StarDeg)=3,Basics!$A$61&amp;"/ ","")&amp;IF(TRUNC(Basics!B65/StarDeg)=3,Basics!$A$65&amp;"/ ","")&amp;IF(TRUNC(Basics!B62/StarDeg)=3,Basics!$A$62&amp;"/ ","")&amp;IF(TRUNC(Basics!B63/StarDeg)=3,Basics!$A$63&amp;"/ ","")&amp;IF(TRUNC(Basics!B64/StarDeg)=3,Basics!$A$64&amp;"/ ","")</f>
        <v xml:space="preserve">Moon/ </v>
      </c>
      <c r="F1" s="297" t="str">
        <f>IF(TRUNC(Basics!B67/StarDeg)=4,Basics!$A$67&amp;"/ ","")&amp;IF(TRUNC(Basics!B60/StarDeg)=4,Basics!$A$60&amp;"/ ","")&amp;IF(TRUNC(Basics!B58/StarDeg)=4,Basics!$A$58&amp;"/ ","")&amp;IF(TRUNC(Basics!B59/StarDeg)=4,Basics!$A$59&amp;"/ ","")&amp;IF(TRUNC(Basics!B66/StarDeg)=4,Basics!$A$66&amp;"/ ","")&amp;IF(TRUNC(Basics!B61/StarDeg)=4,Basics!$A$61&amp;"/ ","")&amp;IF(TRUNC(Basics!B65/StarDeg)=4,Basics!$A$65&amp;"/ ","")&amp;IF(TRUNC(Basics!B62/StarDeg)=4,Basics!$A$62&amp;"/ ","")&amp;IF(TRUNC(Basics!B63/StarDeg)=4,Basics!$A$63&amp;"/ ","")&amp;IF(TRUNC(Basics!B64/StarDeg)=4,Basics!$A$64&amp;"/ ","")</f>
        <v/>
      </c>
      <c r="G1" s="297" t="str">
        <f>IF(TRUNC(Basics!B67/StarDeg)=5,Basics!$A$67&amp;"/ ","")&amp;IF(TRUNC(Basics!B60/StarDeg)=5,Basics!$A$60&amp;"/ ","")&amp;IF(TRUNC(Basics!B58/StarDeg)=5,Basics!$A$58&amp;"/ ","")&amp;IF(TRUNC(Basics!B59/StarDeg)=5,Basics!$A$59&amp;"/ ","")&amp;IF(TRUNC(Basics!B66/StarDeg)=5,Basics!$A$66&amp;"/ ","")&amp;IF(TRUNC(Basics!B61/StarDeg)=5,Basics!$A$61&amp;"/ ","")&amp;IF(TRUNC(Basics!B65/StarDeg)=5,Basics!$A$65&amp;"/ ","")&amp;IF(TRUNC(Basics!B62/StarDeg)=5,Basics!$A$62&amp;"/ ","")&amp;IF(TRUNC(Basics!B63/StarDeg)=5,Basics!$A$63&amp;"/ ","")&amp;IF(TRUNC(Basics!B64/StarDeg)=5,Basics!$A$64&amp;"/ ","")</f>
        <v/>
      </c>
      <c r="H1" s="297" t="str">
        <f>IF(TRUNC(Basics!B67/StarDeg)=6,Basics!$A$67&amp;"/ ","")&amp;IF(TRUNC(Basics!B60/StarDeg)=6,Basics!$A$60&amp;"/ ","")&amp;IF(TRUNC(Basics!B58/StarDeg)=6,Basics!$A$58&amp;"/ ","")&amp;IF(TRUNC(Basics!B59/StarDeg)=6,Basics!$A$59&amp;"/ ","")&amp;IF(TRUNC(Basics!B66/StarDeg)=6,Basics!$A$66&amp;"/ ","")&amp;IF(TRUNC(Basics!B61/StarDeg)=6,Basics!$A$61&amp;"/ ","")&amp;IF(TRUNC(Basics!B65/StarDeg)=6,Basics!$A$65&amp;"/ ","")&amp;IF(TRUNC(Basics!B62/StarDeg)=6,Basics!$A$62&amp;"/ ","")&amp;IF(TRUNC(Basics!B63/StarDeg)=6,Basics!$A$63&amp;"/ ","")&amp;IF(TRUNC(Basics!B64/StarDeg)=6,Basics!$A$64&amp;"/ ","")</f>
        <v xml:space="preserve">Sun/ Venus/ </v>
      </c>
      <c r="I1" s="297" t="str">
        <f>IF(TRUNC(Basics!B67/StarDeg)=7,Basics!$A$67&amp;"/ ","")&amp;IF(TRUNC(Basics!B60/StarDeg)=7,Basics!$A$60&amp;"/ ","")&amp;IF(TRUNC(Basics!B58/StarDeg)=7,Basics!$A$58&amp;"/ ","")&amp;IF(TRUNC(Basics!B59/StarDeg)=7,Basics!$A$59&amp;"/ ","")&amp;IF(TRUNC(Basics!B66/StarDeg)=7,Basics!$A$66&amp;"/ ","")&amp;IF(TRUNC(Basics!B61/StarDeg)=7,Basics!$A$61&amp;"/ ","")&amp;IF(TRUNC(Basics!B65/StarDeg)=7,Basics!$A$65&amp;"/ ","")&amp;IF(TRUNC(Basics!B62/StarDeg)=7,Basics!$A$62&amp;"/ ","")&amp;IF(TRUNC(Basics!B63/StarDeg)=7,Basics!$A$63&amp;"/ ","")&amp;IF(TRUNC(Basics!B64/StarDeg)=7,Basics!$A$64&amp;"/ ","")</f>
        <v/>
      </c>
      <c r="J1" s="297" t="str">
        <f>IF(TRUNC(Basics!B67/StarDeg)=8,Basics!$A$67&amp;"/ ","")&amp;IF(TRUNC(Basics!B60/StarDeg)=8,Basics!$A$60&amp;"/ ","")&amp;IF(TRUNC(Basics!B58/StarDeg)=8,Basics!$A$58&amp;"/ ","")&amp;IF(TRUNC(Basics!B59/StarDeg)=8,Basics!$A$59&amp;"/ ","")&amp;IF(TRUNC(Basics!B66/StarDeg)=8,Basics!$A$66&amp;"/ ","")&amp;IF(TRUNC(Basics!B61/StarDeg)=8,Basics!$A$61&amp;"/ ","")&amp;IF(TRUNC(Basics!B65/StarDeg)=8,Basics!$A$65&amp;"/ ","")&amp;IF(TRUNC(Basics!B62/StarDeg)=8,Basics!$A$62&amp;"/ ","")&amp;IF(TRUNC(Basics!B63/StarDeg)=8,Basics!$A$63&amp;"/ ","")&amp;IF(TRUNC(Basics!B64/StarDeg)=8,Basics!$A$64&amp;"/ ","")</f>
        <v xml:space="preserve">Ketu/ Mercury/ </v>
      </c>
      <c r="K1" s="298"/>
      <c r="L1" s="299"/>
      <c r="M1" s="300"/>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 customHeight="1" x14ac:dyDescent="0.2">
      <c r="A2" s="297"/>
      <c r="B2" s="297"/>
      <c r="C2" s="1584" t="s">
        <v>1834</v>
      </c>
      <c r="D2" s="1584"/>
      <c r="E2" s="1584"/>
      <c r="F2" s="1584"/>
      <c r="G2" s="1584"/>
      <c r="H2" s="1584"/>
      <c r="I2" s="1584"/>
      <c r="J2" s="1584"/>
      <c r="K2" s="1584"/>
      <c r="L2" s="299"/>
      <c r="M2" s="300"/>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50.25" customHeight="1" x14ac:dyDescent="0.2">
      <c r="A3" s="301"/>
      <c r="B3" s="1585" t="s">
        <v>1835</v>
      </c>
      <c r="C3" s="1263" t="s">
        <v>1836</v>
      </c>
      <c r="D3" s="302" t="s">
        <v>1837</v>
      </c>
      <c r="E3" s="303" t="s">
        <v>1584</v>
      </c>
      <c r="F3" s="302" t="s">
        <v>1838</v>
      </c>
      <c r="G3" s="303" t="s">
        <v>1528</v>
      </c>
      <c r="H3" s="302" t="s">
        <v>1586</v>
      </c>
      <c r="I3" s="303" t="s">
        <v>1839</v>
      </c>
      <c r="J3" s="302" t="s">
        <v>1840</v>
      </c>
      <c r="K3" s="1265" t="s">
        <v>1841</v>
      </c>
      <c r="L3" s="1586" t="s">
        <v>1842</v>
      </c>
      <c r="M3" s="304"/>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50.25" customHeight="1" x14ac:dyDescent="0.2">
      <c r="A4" s="301" t="str">
        <f>IF(TRUNC(Basics!B67/StarDeg)=1,Basics!$A$67&amp;"/ ","")&amp;IF(TRUNC(Basics!B60/StarDeg)=1,Basics!$A$60&amp;"/ ","")&amp;IF(TRUNC(Basics!B58/StarDeg)=1,Basics!$A$58&amp;"/ ","")&amp;IF(TRUNC(Basics!B59/StarDeg)=1,Basics!$A$59&amp;"/ ","")&amp;IF(TRUNC(Basics!B66/StarDeg)=1,Basics!$A$66&amp;"/ ","")&amp;IF(TRUNC(Basics!B61/StarDeg)=1,Basics!$A$61&amp;"/ ","")&amp;IF(TRUNC(Basics!B65/StarDeg)=1,Basics!$A$65&amp;"/ ","")&amp;IF(TRUNC(Basics!B62/StarDeg)=1,Basics!$A$62&amp;"/ ","")&amp;IF(TRUNC(Basics!B63/StarDeg)=1,Basics!$A$63&amp;"/ ","")&amp;IF(TRUNC(Basics!B64/StarDeg)=1,Basics!$A$64&amp;"/ ","")</f>
        <v/>
      </c>
      <c r="B4" s="1585"/>
      <c r="C4" s="302" t="s">
        <v>1583</v>
      </c>
      <c r="D4" s="1263" t="s">
        <v>1843</v>
      </c>
      <c r="E4" s="1264" t="s">
        <v>1836</v>
      </c>
      <c r="F4" s="1263" t="s">
        <v>1844</v>
      </c>
      <c r="G4" s="1264" t="s">
        <v>4343</v>
      </c>
      <c r="H4" s="1263" t="s">
        <v>1845</v>
      </c>
      <c r="I4" s="1264" t="s">
        <v>1846</v>
      </c>
      <c r="J4" s="1263" t="s">
        <v>1847</v>
      </c>
      <c r="K4" s="305" t="s">
        <v>1848</v>
      </c>
      <c r="L4" s="1586"/>
      <c r="M4" s="304" t="str">
        <f>IF(TRUNC(Basics!B67/StarDeg)=9,Basics!$A$67&amp;"/ ","")&amp;IF(TRUNC(Basics!B60/StarDeg)=9,Basics!$A$60&amp;"/ ","")&amp;IF(TRUNC(Basics!B58/StarDeg)=9,Basics!$A$58&amp;"/ ","")&amp;IF(TRUNC(Basics!B59/StarDeg)=9,Basics!$A$59&amp;"/ ","")&amp;IF(TRUNC(Basics!B66/StarDeg)=9,Basics!$A$66&amp;"/ ","")&amp;IF(TRUNC(Basics!B61/StarDeg)=9,Basics!$A$61&amp;"/ ","")&amp;IF(TRUNC(Basics!B65/StarDeg)=9,Basics!$A$65&amp;"/ ","")&amp;IF(TRUNC(Basics!B62/StarDeg)=9,Basics!$A$62&amp;"/ ","")&amp;IF(TRUNC(Basics!B63/StarDeg)=9,Basics!$A$63&amp;"/ ","")&amp;IF(TRUNC(Basics!B64/StarDeg)=9,Basics!$A$64&amp;"/ ","")</f>
        <v/>
      </c>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50.25" customHeight="1" x14ac:dyDescent="0.2">
      <c r="A5" s="301" t="str">
        <f>IF(TRUNC(Basics!B67/StarDeg)=0,Basics!$A$67&amp;"/ ","")&amp;IF(TRUNC(Basics!B60/StarDeg)=0,Basics!$A$60&amp;"/ ","")&amp;IF(TRUNC(Basics!B58/StarDeg)=0,Basics!$A$58&amp;"/ ","")&amp;IF(TRUNC(Basics!B59/StarDeg)=0,Basics!$A$59&amp;"/ ","")&amp;IF(TRUNC(Basics!B66/StarDeg)=0,Basics!$A$66&amp;"/ ","")&amp;IF(TRUNC(Basics!B61/StarDeg)=0,Basics!$A$61&amp;"/ ","")&amp;IF(TRUNC(Basics!B65/StarDeg)=0,Basics!$A$65&amp;"/ ","")&amp;IF(TRUNC(Basics!B62/StarDeg)=0,Basics!$A$62&amp;"/ ","")&amp;IF(TRUNC(Basics!B63/StarDeg)=0,Basics!$A$63&amp;"/ ","")&amp;IF(TRUNC(Basics!B64/StarDeg)=0,Basics!$A$64&amp;"/ ","")</f>
        <v/>
      </c>
      <c r="B5" s="1585"/>
      <c r="C5" s="303" t="s">
        <v>1541</v>
      </c>
      <c r="D5" s="1264" t="s">
        <v>1849</v>
      </c>
      <c r="E5" s="1263" t="s">
        <v>1850</v>
      </c>
      <c r="F5" s="306" t="s">
        <v>1851</v>
      </c>
      <c r="G5" s="307" t="s">
        <v>1852</v>
      </c>
      <c r="H5" s="306" t="s">
        <v>1853</v>
      </c>
      <c r="I5" s="1263" t="s">
        <v>1854</v>
      </c>
      <c r="J5" s="1264" t="s">
        <v>1855</v>
      </c>
      <c r="K5" s="308" t="s">
        <v>1856</v>
      </c>
      <c r="L5" s="1586"/>
      <c r="M5" s="304" t="str">
        <f>IF(TRUNC(Basics!B67/StarDeg)=10,Basics!$A$67&amp;"/ ","")&amp;IF(TRUNC(Basics!B60/StarDeg)=10,Basics!$A$60&amp;"/ ","")&amp;IF(TRUNC(Basics!B58/StarDeg)=10,Basics!$A$58&amp;"/ ","")&amp;IF(TRUNC(Basics!B59/StarDeg)=10,Basics!$A$59&amp;"/ ","")&amp;IF(TRUNC(Basics!B66/StarDeg)=10,Basics!$A$66&amp;"/ ","")&amp;IF(TRUNC(Basics!B61/StarDeg)=10,Basics!$A$61&amp;"/ ","")&amp;IF(TRUNC(Basics!B65/StarDeg)=10,Basics!$A$65&amp;"/ ","")&amp;IF(TRUNC(Basics!B62/StarDeg)=10,Basics!$A$62&amp;"/ ","")&amp;IF(TRUNC(Basics!B63/StarDeg)=10,Basics!$A$63&amp;"/ ","")&amp;IF(TRUNC(Basics!B64/StarDeg)=10,Basics!$A$64&amp;"/ ","")</f>
        <v xml:space="preserve">Asc/ </v>
      </c>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50.25" customHeight="1" x14ac:dyDescent="0.2">
      <c r="A6" s="301" t="str">
        <f>IF(TRUNC(Basics!B67/StarDeg)=26,Basics!$A$67&amp;"/ ","")&amp;IF(TRUNC(Basics!B60/StarDeg)=26,Basics!$A$60&amp;"/ ","")&amp;IF(TRUNC(Basics!B58/StarDeg)=26,Basics!$A$58&amp;"/ ","")&amp;IF(TRUNC(Basics!B59/StarDeg)=26,Basics!$A$59&amp;"/ ","")&amp;IF(TRUNC(Basics!B66/StarDeg)=26,Basics!$A$66&amp;"/ ","")&amp;IF(TRUNC(Basics!B61/StarDeg)=26,Basics!$A$61&amp;"/ ","")&amp;IF(TRUNC(Basics!B65/StarDeg)=26,Basics!$A$65&amp;"/ ","")&amp;IF(TRUNC(Basics!B62/StarDeg)=26,Basics!$A$62&amp;"/ ","")&amp;IF(TRUNC(Basics!B63/StarDeg)=26,Basics!$A$63&amp;"/ ","")&amp;IF(TRUNC(Basics!B64/StarDeg)=26,Basics!$A$64&amp;"/ ","")</f>
        <v/>
      </c>
      <c r="B6" s="1585"/>
      <c r="C6" s="302" t="s">
        <v>1532</v>
      </c>
      <c r="D6" s="1263" t="s">
        <v>1857</v>
      </c>
      <c r="E6" s="306" t="s">
        <v>1858</v>
      </c>
      <c r="F6" s="1263" t="s">
        <v>1859</v>
      </c>
      <c r="G6" s="302" t="s">
        <v>1860</v>
      </c>
      <c r="H6" s="1263" t="s">
        <v>1861</v>
      </c>
      <c r="I6" s="306" t="s">
        <v>1862</v>
      </c>
      <c r="J6" s="1263" t="s">
        <v>1863</v>
      </c>
      <c r="K6" s="305" t="s">
        <v>1864</v>
      </c>
      <c r="L6" s="1586"/>
      <c r="M6" s="304" t="str">
        <f>IF(TRUNC(Basics!B67/StarDeg)=11,Basics!$A$67&amp;"/ ","")&amp;IF(TRUNC(Basics!B60/StarDeg)=11,Basics!$A$60&amp;"/ ","")&amp;IF(TRUNC(Basics!B58/StarDeg)=11,Basics!$A$58&amp;"/ ","")&amp;IF(TRUNC(Basics!B59/StarDeg)=11,Basics!$A$59&amp;"/ ","")&amp;IF(TRUNC(Basics!B66/StarDeg)=11,Basics!$A$66&amp;"/ ","")&amp;IF(TRUNC(Basics!B61/StarDeg)=11,Basics!$A$61&amp;"/ ","")&amp;IF(TRUNC(Basics!B65/StarDeg)=11,Basics!$A$65&amp;"/ ","")&amp;IF(TRUNC(Basics!B62/StarDeg)=11,Basics!$A$62&amp;"/ ","")&amp;IF(TRUNC(Basics!B63/StarDeg)=11,Basics!$A$63&amp;"/ ","")&amp;IF(TRUNC(Basics!B64/StarDeg)=11,Basics!$A$64&amp;"/ ","")</f>
        <v/>
      </c>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54" customHeight="1" x14ac:dyDescent="0.2">
      <c r="A7" s="301" t="str">
        <f>IF(TRUNC(Basics!B67/StarDeg)=25,Basics!$A$67&amp;"/ ","")&amp;IF(TRUNC(Basics!B60/StarDeg)=25,Basics!$A$60&amp;"/ ","")&amp;IF(TRUNC(Basics!B58/StarDeg)=25,Basics!$A$58&amp;"/ ","")&amp;IF(TRUNC(Basics!B59/StarDeg)=25,Basics!$A$59&amp;"/ ","")&amp;IF(TRUNC(Basics!B66/StarDeg)=25,Basics!$A$66&amp;"/ ","")&amp;IF(TRUNC(Basics!B61/StarDeg)=25,Basics!$A$61&amp;"/ ","")&amp;IF(TRUNC(Basics!B65/StarDeg)=25,Basics!$A$65&amp;"/ ","")&amp;IF(TRUNC(Basics!B62/StarDeg)=25,Basics!$A$62&amp;"/ ","")&amp;IF(TRUNC(Basics!B63/StarDeg)=25,Basics!$A$63&amp;"/ ","")&amp;IF(TRUNC(Basics!B64/StarDeg)=25,Basics!$A$64&amp;"/ ","")</f>
        <v/>
      </c>
      <c r="B7" s="1585"/>
      <c r="C7" s="303" t="s">
        <v>1865</v>
      </c>
      <c r="D7" s="1264" t="s">
        <v>4345</v>
      </c>
      <c r="E7" s="307" t="s">
        <v>1866</v>
      </c>
      <c r="F7" s="302" t="s">
        <v>1867</v>
      </c>
      <c r="G7" s="303" t="s">
        <v>1868</v>
      </c>
      <c r="H7" s="302" t="s">
        <v>1869</v>
      </c>
      <c r="I7" s="307" t="s">
        <v>1870</v>
      </c>
      <c r="J7" s="1264" t="s">
        <v>4342</v>
      </c>
      <c r="K7" s="308" t="s">
        <v>1591</v>
      </c>
      <c r="L7" s="1586"/>
      <c r="M7" s="304" t="str">
        <f>IF(TRUNC(Basics!B67/StarDeg)=12,Basics!$A$67&amp;"/ ","")&amp;IF(TRUNC(Basics!B60/StarDeg)=12,Basics!$A$60&amp;"/ ","")&amp;IF(TRUNC(Basics!B58/StarDeg)=12,Basics!$A$58&amp;"/ ","")&amp;IF(TRUNC(Basics!B59/StarDeg)=12,Basics!$A$59&amp;"/ ","")&amp;IF(TRUNC(Basics!B66/StarDeg)=12,Basics!$A$66&amp;"/ ","")&amp;IF(TRUNC(Basics!B61/StarDeg)=12,Basics!$A$61&amp;"/ ","")&amp;IF(TRUNC(Basics!B65/StarDeg)=12,Basics!$A$65&amp;"/ ","")&amp;IF(TRUNC(Basics!B62/StarDeg)=12,Basics!$A$62&amp;"/ ","")&amp;IF(TRUNC(Basics!B63/StarDeg)=12,Basics!$A$63&amp;"/ ","")&amp;IF(TRUNC(Basics!B64/StarDeg)=12,Basics!$A$64&amp;"/ ","")</f>
        <v/>
      </c>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50.25" customHeight="1" x14ac:dyDescent="0.2">
      <c r="A8" s="301" t="str">
        <f>IF(TRUNC(Basics!B67/StarDeg)=24,Basics!$A$67&amp;"/ ","")&amp;IF(TRUNC(Basics!B60/StarDeg)=24,Basics!$A$60&amp;"/ ","")&amp;IF(TRUNC(Basics!B58/StarDeg)=24,Basics!$A$58&amp;"/ ","")&amp;IF(TRUNC(Basics!B59/StarDeg)=24,Basics!$A$59&amp;"/ ","")&amp;IF(TRUNC(Basics!B66/StarDeg)=24,Basics!$A$66&amp;"/ ","")&amp;IF(TRUNC(Basics!B61/StarDeg)=24,Basics!$A$61&amp;"/ ","")&amp;IF(TRUNC(Basics!B65/StarDeg)=24,Basics!$A$65&amp;"/ ","")&amp;IF(TRUNC(Basics!B62/StarDeg)=24,Basics!$A$62&amp;"/ ","")&amp;IF(TRUNC(Basics!B63/StarDeg)=24,Basics!$A$63&amp;"/ ","")&amp;IF(TRUNC(Basics!B64/StarDeg)=24,Basics!$A$64&amp;"/ ","")</f>
        <v/>
      </c>
      <c r="B8" s="1585"/>
      <c r="C8" s="302" t="s">
        <v>1871</v>
      </c>
      <c r="D8" s="1263" t="s">
        <v>1872</v>
      </c>
      <c r="E8" s="306" t="s">
        <v>1873</v>
      </c>
      <c r="F8" s="1263" t="s">
        <v>1874</v>
      </c>
      <c r="G8" s="302" t="s">
        <v>1875</v>
      </c>
      <c r="H8" s="1263" t="s">
        <v>1876</v>
      </c>
      <c r="I8" s="306" t="s">
        <v>1877</v>
      </c>
      <c r="J8" s="1263" t="s">
        <v>1878</v>
      </c>
      <c r="K8" s="305" t="s">
        <v>1592</v>
      </c>
      <c r="L8" s="1586"/>
      <c r="M8" s="304" t="str">
        <f>IF(TRUNC(Basics!B67/StarDeg)=13,Basics!$A$67&amp;"/ ","")&amp;IF(TRUNC(Basics!B60/StarDeg)=13,Basics!$A$60&amp;"/ ","")&amp;IF(TRUNC(Basics!B58/StarDeg)=13,Basics!$A$58&amp;"/ ","")&amp;IF(TRUNC(Basics!B59/StarDeg)=13,Basics!$A$59&amp;"/ ","")&amp;IF(TRUNC(Basics!B66/StarDeg)=13,Basics!$A$66&amp;"/ ","")&amp;IF(TRUNC(Basics!B61/StarDeg)=13,Basics!$A$61&amp;"/ ","")&amp;IF(TRUNC(Basics!B65/StarDeg)=13,Basics!$A$65&amp;"/ ","")&amp;IF(TRUNC(Basics!B62/StarDeg)=13,Basics!$A$62&amp;"/ ","")&amp;IF(TRUNC(Basics!B63/StarDeg)=13,Basics!$A$63&amp;"/ ","")&amp;IF(TRUNC(Basics!B64/StarDeg)=13,Basics!$A$64&amp;"/ ","")</f>
        <v/>
      </c>
      <c r="N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50.25" customHeight="1" x14ac:dyDescent="0.2">
      <c r="A9" s="301" t="str">
        <f>IF(TRUNC(Basics!B67/StarDeg)=23,Basics!$A$67&amp;"/ ","")&amp;IF(TRUNC(Basics!B60/StarDeg)=23,Basics!$A$60&amp;"/ ","")&amp;IF(TRUNC(Basics!B58/StarDeg)=23,Basics!$A$58&amp;"/ ","")&amp;IF(TRUNC(Basics!B59/StarDeg)=23,Basics!$A$59&amp;"/ ","")&amp;IF(TRUNC(Basics!B66/StarDeg)=23,Basics!$A$66&amp;"/ ","")&amp;IF(TRUNC(Basics!B61/StarDeg)=23,Basics!$A$61&amp;"/ ","")&amp;IF(TRUNC(Basics!B65/StarDeg)=23,Basics!$A$65&amp;"/ ","")&amp;IF(TRUNC(Basics!B62/StarDeg)=23,Basics!$A$62&amp;"/ ","")&amp;IF(TRUNC(Basics!B63/StarDeg)=23,Basics!$A$63&amp;"/ ","")&amp;IF(TRUNC(Basics!B64/StarDeg)=23,Basics!$A$64&amp;"/ ","")</f>
        <v/>
      </c>
      <c r="B9" s="1585"/>
      <c r="C9" s="303" t="s">
        <v>1879</v>
      </c>
      <c r="D9" s="1264" t="s">
        <v>1880</v>
      </c>
      <c r="E9" s="1263" t="s">
        <v>1881</v>
      </c>
      <c r="F9" s="306" t="s">
        <v>1882</v>
      </c>
      <c r="G9" s="307" t="s">
        <v>1883</v>
      </c>
      <c r="H9" s="306" t="s">
        <v>1884</v>
      </c>
      <c r="I9" s="1263" t="s">
        <v>1885</v>
      </c>
      <c r="J9" s="1264" t="s">
        <v>1886</v>
      </c>
      <c r="K9" s="308" t="s">
        <v>1535</v>
      </c>
      <c r="L9" s="1586"/>
      <c r="M9" s="304" t="str">
        <f>IF(TRUNC(Basics!B67/StarDeg)=14,Basics!$A$67&amp;"/ ","")&amp;IF(TRUNC(Basics!B60/StarDeg)=14,Basics!$A$60&amp;"/ ","")&amp;IF(TRUNC(Basics!B58/StarDeg)=14,Basics!$A$58&amp;"/ ","")&amp;IF(TRUNC(Basics!B59/StarDeg)=14,Basics!$A$59&amp;"/ ","")&amp;IF(TRUNC(Basics!B66/StarDeg)=14,Basics!$A$66&amp;"/ ","")&amp;IF(TRUNC(Basics!B61/StarDeg)=14,Basics!$A$61&amp;"/ ","")&amp;IF(TRUNC(Basics!B65/StarDeg)=14,Basics!$A$65&amp;"/ ","")&amp;IF(TRUNC(Basics!B62/StarDeg)=14,Basics!$A$62&amp;"/ ","")&amp;IF(TRUNC(Basics!B63/StarDeg)=14,Basics!$A$63&amp;"/ ","")&amp;IF(TRUNC(Basics!B64/StarDeg)=14,Basics!$A$64&amp;"/ ","")</f>
        <v/>
      </c>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50.25" customHeight="1" x14ac:dyDescent="0.2">
      <c r="A10" s="301" t="str">
        <f>IF(TRUNC(Basics!B67/StarDeg)=22,Basics!$A$67&amp;"/ ","")&amp;IF(TRUNC(Basics!B60/StarDeg)=22,Basics!$A$60&amp;"/ ","")&amp;IF(TRUNC(Basics!B58/StarDeg)=22,Basics!$A$58&amp;"/ ","")&amp;IF(TRUNC(Basics!B59/StarDeg)=22,Basics!$A$59&amp;"/ ","")&amp;IF(TRUNC(Basics!B66/StarDeg)=22,Basics!$A$66&amp;"/ ","")&amp;IF(TRUNC(Basics!B61/StarDeg)=22,Basics!$A$61&amp;"/ ","")&amp;IF(TRUNC(Basics!B65/StarDeg)=22,Basics!$A$65&amp;"/ ","")&amp;IF(TRUNC(Basics!B62/StarDeg)=22,Basics!$A$62&amp;"/ ","")&amp;IF(TRUNC(Basics!B63/StarDeg)=22,Basics!$A$63&amp;"/ ","")&amp;IF(TRUNC(Basics!B64/StarDeg)=22,Basics!$A$64&amp;"/ ","")</f>
        <v xml:space="preserve">Mars/ </v>
      </c>
      <c r="B10" s="1585"/>
      <c r="C10" s="302" t="s">
        <v>1887</v>
      </c>
      <c r="D10" s="1263" t="s">
        <v>1888</v>
      </c>
      <c r="E10" s="1264" t="s">
        <v>1889</v>
      </c>
      <c r="F10" s="1263" t="s">
        <v>1890</v>
      </c>
      <c r="G10" s="1264" t="s">
        <v>4344</v>
      </c>
      <c r="H10" s="1263" t="s">
        <v>1891</v>
      </c>
      <c r="I10" s="1264" t="s">
        <v>1892</v>
      </c>
      <c r="J10" s="1263" t="s">
        <v>1893</v>
      </c>
      <c r="K10" s="305" t="s">
        <v>1894</v>
      </c>
      <c r="L10" s="1586"/>
      <c r="M10" s="304" t="str">
        <f>IF(TRUNC(Basics!B67/StarDeg)=15,Basics!$A$67&amp;"/ ","")&amp;IF(TRUNC(Basics!B60/StarDeg)=15,Basics!$A$60&amp;"/ ","")&amp;IF(TRUNC(Basics!B58/StarDeg)=15,Basics!$A$58&amp;"/ ","")&amp;IF(TRUNC(Basics!B59/StarDeg)=15,Basics!$A$59&amp;"/ ","")&amp;IF(TRUNC(Basics!B66/StarDeg)=15,Basics!$A$66&amp;"/ ","")&amp;IF(TRUNC(Basics!B61/StarDeg)=15,Basics!$A$61&amp;"/ ","")&amp;IF(TRUNC(Basics!B65/StarDeg)=15,Basics!$A$65&amp;"/ ","")&amp;IF(TRUNC(Basics!B62/StarDeg)=15,Basics!$A$62&amp;"/ ","")&amp;IF(TRUNC(Basics!B63/StarDeg)=15,Basics!$A$63&amp;"/ ","")&amp;IF(TRUNC(Basics!B64/StarDeg)=15,Basics!$A$64&amp;"/ ","")</f>
        <v xml:space="preserve">Jupiter/ </v>
      </c>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50.25" customHeight="1" x14ac:dyDescent="0.2">
      <c r="A11" s="301"/>
      <c r="B11" s="1585"/>
      <c r="C11" s="1263" t="s">
        <v>1895</v>
      </c>
      <c r="D11" s="302" t="s">
        <v>1896</v>
      </c>
      <c r="E11" s="303" t="s">
        <v>1897</v>
      </c>
      <c r="F11" s="302" t="s">
        <v>1898</v>
      </c>
      <c r="G11" s="303" t="s">
        <v>1899</v>
      </c>
      <c r="H11" s="302" t="s">
        <v>1538</v>
      </c>
      <c r="I11" s="303" t="s">
        <v>1900</v>
      </c>
      <c r="J11" s="302" t="s">
        <v>1526</v>
      </c>
      <c r="K11" s="1265" t="s">
        <v>1901</v>
      </c>
      <c r="L11" s="1586"/>
      <c r="M11" s="304"/>
      <c r="N11"/>
      <c r="O11"/>
      <c r="P11" s="98"/>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x14ac:dyDescent="0.2">
      <c r="A12" s="299"/>
      <c r="B12" s="299"/>
      <c r="C12" s="1587" t="s">
        <v>1902</v>
      </c>
      <c r="D12" s="1587"/>
      <c r="E12" s="1587"/>
      <c r="F12" s="1587"/>
      <c r="G12" s="1587"/>
      <c r="H12" s="1587"/>
      <c r="I12" s="1587"/>
      <c r="J12" s="1587"/>
      <c r="K12" s="299"/>
      <c r="L12" s="299"/>
      <c r="M12" s="299"/>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48.95" customHeight="1" x14ac:dyDescent="0.2">
      <c r="A13" s="309"/>
      <c r="B13" s="309"/>
      <c r="C13" s="310"/>
      <c r="D13" s="310" t="str">
        <f>IF(TRUNC(Basics!B67/StarDeg)=21,Basics!$A$67&amp;"/ ","")&amp;IF(TRUNC(Basics!B60/StarDeg)=21,Basics!$A$60&amp;"/ ","")&amp;IF(TRUNC(Basics!B58/StarDeg)=21,Basics!$A$58&amp;"/ ","")&amp;IF(TRUNC(Basics!B59/StarDeg)=21,Basics!$A$59&amp;"/ ","")&amp;IF(TRUNC(Basics!B66/StarDeg)=21,Basics!$A$66&amp;"/ ","")&amp;IF(TRUNC(Basics!B61/StarDeg)=21,Basics!$A$61&amp;"/ ","")&amp;IF(TRUNC(Basics!B65/StarDeg)=21,Basics!$A$65&amp;"/ ","")&amp;IF(TRUNC(Basics!B62/StarDeg)=21,Basics!$A$62&amp;"/ ","")&amp;IF(TRUNC(Basics!B63/StarDeg)=21,Basics!$A$63&amp;"/ ","")&amp;IF(TRUNC(Basics!B64/StarDeg)=21,Basics!$A$64&amp;"/ ","")</f>
        <v xml:space="preserve">Rahu/ </v>
      </c>
      <c r="E13" s="311"/>
      <c r="F13" s="310" t="str">
        <f>IF(TRUNC(Basics!B67/StarDeg)=20,Basics!$A$67&amp;"/ ","")&amp;IF(TRUNC(Basics!B60/StarDeg)=20,Basics!$A$60&amp;"/ ","")&amp;IF(TRUNC(Basics!B58/StarDeg)=20,Basics!$A$58&amp;"/ ","")&amp;IF(TRUNC(Basics!B59/StarDeg)=20,Basics!$A$59&amp;"/ ","")&amp;IF(TRUNC(Basics!B66/StarDeg)=20,Basics!$A$66&amp;"/ ","")&amp;IF(TRUNC(Basics!B61/StarDeg)=20,Basics!$A$61&amp;"/ ","")&amp;IF(TRUNC(Basics!B65/StarDeg)=20,Basics!$A$65&amp;"/ ","")&amp;IF(TRUNC(Basics!B62/StarDeg)=20,Basics!$A$62&amp;"/ ","")&amp;IF(TRUNC(Basics!B63/StarDeg)=20,Basics!$A$63&amp;"/ ","")&amp;IF(TRUNC(Basics!B64/StarDeg)=20,Basics!$A$64&amp;"/ ","")</f>
        <v/>
      </c>
      <c r="G13" s="310" t="str">
        <f>IF(TRUNC(Basics!B67/StarDeg)=19,Basics!$A$67&amp;"/ ","")&amp;IF(TRUNC(Basics!B60/StarDeg)=19,Basics!$A$60&amp;"/ ","")&amp;IF(TRUNC(Basics!B58/StarDeg)=19,Basics!$A$58&amp;"/ ","")&amp;IF(TRUNC(Basics!B59/StarDeg)=19,Basics!$A$59&amp;"/ ","")&amp;IF(TRUNC(Basics!B66/StarDeg)=19,Basics!$A$66&amp;"/ ","")&amp;IF(TRUNC(Basics!B61/StarDeg)=19,Basics!$A$61&amp;"/ ","")&amp;IF(TRUNC(Basics!B65/StarDeg)=19,Basics!$A$65&amp;"/ ","")&amp;IF(TRUNC(Basics!B62/StarDeg)=19,Basics!$A$62&amp;"/ ","")&amp;IF(TRUNC(Basics!B63/StarDeg)=19,Basics!$A$63&amp;"/ ","")&amp;IF(TRUNC(Basics!B64/StarDeg)=19,Basics!$A$64&amp;"/ ","")</f>
        <v/>
      </c>
      <c r="H13" s="310" t="str">
        <f>IF(TRUNC(Basics!B67/StarDeg)=18,Basics!$A$67&amp;"/ ","")&amp;IF(TRUNC(Basics!B60/StarDeg)=18,Basics!$A$60&amp;"/ ","")&amp;IF(TRUNC(Basics!B58/StarDeg)=18,Basics!$A$58&amp;"/ ","")&amp;IF(TRUNC(Basics!B59/StarDeg)=18,Basics!$A$59&amp;"/ ","")&amp;IF(TRUNC(Basics!B66/StarDeg)=18,Basics!$A$66&amp;"/ ","")&amp;IF(TRUNC(Basics!B61/StarDeg)=18,Basics!$A$61&amp;"/ ","")&amp;IF(TRUNC(Basics!B65/StarDeg)=18,Basics!$A$65&amp;"/ ","")&amp;IF(TRUNC(Basics!B62/StarDeg)=18,Basics!$A$62&amp;"/ ","")&amp;IF(TRUNC(Basics!B63/StarDeg)=18,Basics!$A$63&amp;"/ ","")&amp;IF(TRUNC(Basics!B64/StarDeg)=18,Basics!$A$64&amp;"/ ","")</f>
        <v/>
      </c>
      <c r="I13" s="310" t="str">
        <f>IF(TRUNC(Basics!B67/StarDeg)=17,Basics!$A$67&amp;"/ ","")&amp;IF(TRUNC(Basics!B60/StarDeg)=17,Basics!$A$60&amp;"/ ","")&amp;IF(TRUNC(Basics!B58/StarDeg)=17,Basics!$A$58&amp;"/ ","")&amp;IF(TRUNC(Basics!B59/StarDeg)=17,Basics!$A$59&amp;"/ ","")&amp;IF(TRUNC(Basics!B66/StarDeg)=17,Basics!$A$66&amp;"/ ","")&amp;IF(TRUNC(Basics!B61/StarDeg)=17,Basics!$A$61&amp;"/ ","")&amp;IF(TRUNC(Basics!B65/StarDeg)=17,Basics!$A$65&amp;"/ ","")&amp;IF(TRUNC(Basics!B62/StarDeg)=17,Basics!$A$62&amp;"/ ","")&amp;IF(TRUNC(Basics!B63/StarDeg)=17,Basics!$A$63&amp;"/ ","")&amp;IF(TRUNC(Basics!B64/StarDeg)=17,Basics!$A$64&amp;"/ ","")</f>
        <v/>
      </c>
      <c r="J13" s="310" t="str">
        <f>IF(TRUNC(Basics!B67/StarDeg)=16,Basics!$A$67&amp;"/ ","")&amp;IF(TRUNC(Basics!B60/StarDeg)=16,Basics!$A$60&amp;"/ ","")&amp;IF(TRUNC(Basics!B58/StarDeg)=16,Basics!$A$58&amp;"/ ","")&amp;IF(TRUNC(Basics!B59/StarDeg)=16,Basics!$A$59&amp;"/ ","")&amp;IF(TRUNC(Basics!B66/StarDeg)=16,Basics!$A$66&amp;"/ ","")&amp;IF(TRUNC(Basics!B61/StarDeg)=16,Basics!$A$61&amp;"/ ","")&amp;IF(TRUNC(Basics!B65/StarDeg)=16,Basics!$A$65&amp;"/ ","")&amp;IF(TRUNC(Basics!B62/StarDeg)=16,Basics!$A$62&amp;"/ ","")&amp;IF(TRUNC(Basics!B63/StarDeg)=16,Basics!$A$63&amp;"/ ","")&amp;IF(TRUNC(Basics!B64/StarDeg)=16,Basics!$A$64&amp;"/ ","")</f>
        <v/>
      </c>
      <c r="K13" s="312"/>
      <c r="L13" s="299"/>
      <c r="M13" s="304"/>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x14ac:dyDescent="0.2">
      <c r="A14" s="108" t="s">
        <v>1903</v>
      </c>
      <c r="B14" s="108"/>
      <c r="C14"/>
      <c r="D14"/>
      <c r="E14"/>
      <c r="F14"/>
      <c r="G14"/>
      <c r="H14"/>
      <c r="I14"/>
      <c r="J14"/>
      <c r="K14"/>
      <c r="L14" s="313"/>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sheetData>
  <sheetProtection selectLockedCells="1" selectUnlockedCells="1"/>
  <mergeCells count="4">
    <mergeCell ref="C2:K2"/>
    <mergeCell ref="B3:B11"/>
    <mergeCell ref="L3:L11"/>
    <mergeCell ref="C12:J12"/>
  </mergeCells>
  <phoneticPr fontId="107" type="noConversion"/>
  <pageMargins left="0" right="0" top="0" bottom="0" header="0.3" footer="0.3"/>
  <pageSetup paperSize="9" firstPageNumber="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5"/>
  <dimension ref="A1:IV97"/>
  <sheetViews>
    <sheetView topLeftCell="A5" zoomScale="70" zoomScaleNormal="70" zoomScaleSheetLayoutView="75" workbookViewId="0" xr3:uid="{F1CDC194-CB96-5A2D-8E84-222F42300CFA}">
      <selection activeCell="D11" sqref="D11"/>
    </sheetView>
  </sheetViews>
  <sheetFormatPr defaultRowHeight="15" x14ac:dyDescent="0.2"/>
  <cols>
    <col min="1" max="1" width="16.41015625" customWidth="1"/>
    <col min="2" max="4" width="21.1171875" bestFit="1" customWidth="1"/>
    <col min="5" max="5" width="17.75390625" bestFit="1" customWidth="1"/>
    <col min="6" max="6" width="19.37109375" bestFit="1" customWidth="1"/>
    <col min="7" max="7" width="1.74609375" bestFit="1" customWidth="1"/>
    <col min="8" max="9" width="18.4296875" bestFit="1" customWidth="1"/>
    <col min="10" max="10" width="21.38671875" bestFit="1" customWidth="1"/>
    <col min="11" max="11" width="18.4296875" bestFit="1" customWidth="1"/>
    <col min="12" max="12" width="20.04296875" bestFit="1" customWidth="1"/>
    <col min="13" max="13" width="32.6875" customWidth="1"/>
  </cols>
  <sheetData>
    <row r="1" spans="1:256" x14ac:dyDescent="0.2">
      <c r="A1" s="1598" t="s">
        <v>976</v>
      </c>
      <c r="B1" s="1598"/>
      <c r="C1" s="1598"/>
      <c r="D1" s="1598"/>
      <c r="E1" s="1598"/>
      <c r="F1" s="1598"/>
      <c r="G1" s="1598"/>
      <c r="H1" s="1598"/>
      <c r="I1" s="1598"/>
      <c r="J1" s="1598"/>
      <c r="K1" s="1598"/>
      <c r="L1" s="1598"/>
      <c r="M1" s="1598"/>
    </row>
    <row r="2" spans="1:256" x14ac:dyDescent="0.2">
      <c r="A2" s="172"/>
      <c r="B2" s="1599" t="s">
        <v>977</v>
      </c>
      <c r="C2" s="1599"/>
      <c r="D2" s="1599"/>
      <c r="E2" s="1599"/>
      <c r="F2" s="1599"/>
      <c r="G2" s="1599"/>
      <c r="H2" s="1599"/>
      <c r="I2" s="1599"/>
      <c r="J2" s="1599"/>
      <c r="K2" s="1599"/>
      <c r="L2" s="1599"/>
      <c r="M2" s="173"/>
    </row>
    <row r="3" spans="1:256" s="282" customFormat="1" x14ac:dyDescent="0.2">
      <c r="A3" s="1603" t="s">
        <v>978</v>
      </c>
      <c r="B3" s="420" t="s">
        <v>979</v>
      </c>
      <c r="C3" s="421" t="s">
        <v>980</v>
      </c>
      <c r="D3" s="421" t="s">
        <v>981</v>
      </c>
      <c r="E3" s="421" t="s">
        <v>982</v>
      </c>
      <c r="F3" s="422" t="s">
        <v>983</v>
      </c>
      <c r="G3" s="421"/>
      <c r="H3" s="423" t="s">
        <v>984</v>
      </c>
      <c r="I3" s="421" t="s">
        <v>985</v>
      </c>
      <c r="J3" s="421" t="s">
        <v>986</v>
      </c>
      <c r="K3" s="421" t="s">
        <v>987</v>
      </c>
      <c r="L3" s="424" t="s">
        <v>988</v>
      </c>
      <c r="M3" s="1604" t="s">
        <v>989</v>
      </c>
      <c r="IV3"/>
    </row>
    <row r="4" spans="1:256" s="282" customFormat="1" x14ac:dyDescent="0.2">
      <c r="A4" s="1603"/>
      <c r="B4" s="425" t="s">
        <v>990</v>
      </c>
      <c r="C4" s="426" t="s">
        <v>991</v>
      </c>
      <c r="D4" s="426" t="s">
        <v>992</v>
      </c>
      <c r="E4" s="426" t="s">
        <v>993</v>
      </c>
      <c r="F4" s="427" t="s">
        <v>994</v>
      </c>
      <c r="G4" s="426"/>
      <c r="H4" s="428" t="s">
        <v>995</v>
      </c>
      <c r="I4" s="426" t="s">
        <v>996</v>
      </c>
      <c r="J4" s="426" t="s">
        <v>997</v>
      </c>
      <c r="K4" s="426" t="s">
        <v>998</v>
      </c>
      <c r="L4" s="429" t="s">
        <v>999</v>
      </c>
      <c r="M4" s="1604"/>
      <c r="IV4"/>
    </row>
    <row r="5" spans="1:256" s="282" customFormat="1" x14ac:dyDescent="0.2">
      <c r="A5" s="1603"/>
      <c r="B5" s="425" t="s">
        <v>1000</v>
      </c>
      <c r="C5" s="426" t="s">
        <v>1001</v>
      </c>
      <c r="D5" s="430" t="s">
        <v>1002</v>
      </c>
      <c r="E5" s="426" t="s">
        <v>1003</v>
      </c>
      <c r="F5" s="427" t="s">
        <v>1004</v>
      </c>
      <c r="G5" s="426"/>
      <c r="H5" s="428" t="s">
        <v>1005</v>
      </c>
      <c r="I5" s="426" t="s">
        <v>1006</v>
      </c>
      <c r="J5" s="430" t="s">
        <v>1007</v>
      </c>
      <c r="K5" s="426" t="s">
        <v>1008</v>
      </c>
      <c r="L5" s="429" t="s">
        <v>1009</v>
      </c>
      <c r="M5" s="1604"/>
      <c r="IV5"/>
    </row>
    <row r="6" spans="1:256" s="282" customFormat="1" x14ac:dyDescent="0.2">
      <c r="A6" s="1603"/>
      <c r="B6" s="425" t="s">
        <v>1010</v>
      </c>
      <c r="C6" s="426" t="s">
        <v>1011</v>
      </c>
      <c r="D6" s="426" t="s">
        <v>1012</v>
      </c>
      <c r="E6" s="426" t="s">
        <v>1013</v>
      </c>
      <c r="F6" s="427" t="s">
        <v>1014</v>
      </c>
      <c r="G6" s="426"/>
      <c r="H6" s="428" t="s">
        <v>1015</v>
      </c>
      <c r="I6" s="426" t="s">
        <v>1016</v>
      </c>
      <c r="J6" s="426" t="s">
        <v>1017</v>
      </c>
      <c r="K6" s="426" t="s">
        <v>1018</v>
      </c>
      <c r="L6" s="429" t="s">
        <v>1019</v>
      </c>
      <c r="M6" s="1604"/>
      <c r="IV6"/>
    </row>
    <row r="7" spans="1:256" s="282" customFormat="1" x14ac:dyDescent="0.2">
      <c r="A7" s="1603"/>
      <c r="B7" s="431" t="s">
        <v>1020</v>
      </c>
      <c r="C7" s="432" t="s">
        <v>1021</v>
      </c>
      <c r="D7" s="432" t="s">
        <v>1022</v>
      </c>
      <c r="E7" s="432" t="s">
        <v>1023</v>
      </c>
      <c r="F7" s="433" t="s">
        <v>1024</v>
      </c>
      <c r="G7" s="426"/>
      <c r="H7" s="434" t="s">
        <v>1025</v>
      </c>
      <c r="I7" s="435" t="s">
        <v>1026</v>
      </c>
      <c r="J7" s="435" t="s">
        <v>1027</v>
      </c>
      <c r="K7" s="435" t="s">
        <v>1028</v>
      </c>
      <c r="L7" s="436" t="s">
        <v>1029</v>
      </c>
      <c r="M7" s="1604"/>
      <c r="IV7"/>
    </row>
    <row r="8" spans="1:256" s="282" customFormat="1" x14ac:dyDescent="0.2">
      <c r="A8" s="1603"/>
      <c r="B8" s="425"/>
      <c r="C8" s="426"/>
      <c r="D8" s="426"/>
      <c r="E8" s="426"/>
      <c r="F8" s="426"/>
      <c r="G8" s="426"/>
      <c r="H8" s="426"/>
      <c r="I8" s="426"/>
      <c r="J8" s="426"/>
      <c r="K8" s="426"/>
      <c r="L8" s="429"/>
      <c r="M8" s="1604"/>
      <c r="IV8"/>
    </row>
    <row r="9" spans="1:256" s="282" customFormat="1" x14ac:dyDescent="0.2">
      <c r="A9" s="1603"/>
      <c r="B9" s="437" t="s">
        <v>1030</v>
      </c>
      <c r="C9" s="438" t="s">
        <v>1031</v>
      </c>
      <c r="D9" s="438" t="s">
        <v>1032</v>
      </c>
      <c r="E9" s="438" t="s">
        <v>1033</v>
      </c>
      <c r="F9" s="439" t="s">
        <v>1034</v>
      </c>
      <c r="G9" s="426"/>
      <c r="H9" s="440" t="s">
        <v>1035</v>
      </c>
      <c r="I9" s="438" t="s">
        <v>1036</v>
      </c>
      <c r="J9" s="438" t="s">
        <v>1037</v>
      </c>
      <c r="K9" s="438" t="s">
        <v>1038</v>
      </c>
      <c r="L9" s="441" t="s">
        <v>1039</v>
      </c>
      <c r="M9" s="1604"/>
      <c r="IV9"/>
    </row>
    <row r="10" spans="1:256" s="282" customFormat="1" x14ac:dyDescent="0.2">
      <c r="A10" s="1603"/>
      <c r="B10" s="425" t="s">
        <v>1040</v>
      </c>
      <c r="C10" s="426" t="s">
        <v>1041</v>
      </c>
      <c r="D10" s="426" t="s">
        <v>1042</v>
      </c>
      <c r="E10" s="426" t="s">
        <v>1043</v>
      </c>
      <c r="F10" s="442" t="s">
        <v>1044</v>
      </c>
      <c r="G10" s="426"/>
      <c r="H10" s="428" t="s">
        <v>1045</v>
      </c>
      <c r="I10" s="426" t="s">
        <v>1046</v>
      </c>
      <c r="J10" s="426" t="s">
        <v>1047</v>
      </c>
      <c r="K10" s="426" t="s">
        <v>1048</v>
      </c>
      <c r="L10" s="429" t="s">
        <v>1049</v>
      </c>
      <c r="M10" s="1604"/>
      <c r="IV10"/>
    </row>
    <row r="11" spans="1:256" s="282" customFormat="1" x14ac:dyDescent="0.2">
      <c r="A11" s="1603"/>
      <c r="B11" s="425" t="s">
        <v>1050</v>
      </c>
      <c r="C11" s="426" t="s">
        <v>1051</v>
      </c>
      <c r="D11" s="430" t="s">
        <v>1052</v>
      </c>
      <c r="E11" s="426" t="s">
        <v>1053</v>
      </c>
      <c r="F11" s="442" t="s">
        <v>1054</v>
      </c>
      <c r="G11" s="426"/>
      <c r="H11" s="428" t="s">
        <v>1055</v>
      </c>
      <c r="I11" s="426" t="s">
        <v>1056</v>
      </c>
      <c r="J11" s="430" t="s">
        <v>1057</v>
      </c>
      <c r="K11" s="426" t="s">
        <v>1058</v>
      </c>
      <c r="L11" s="429" t="s">
        <v>1174</v>
      </c>
      <c r="M11" s="1604"/>
      <c r="IV11"/>
    </row>
    <row r="12" spans="1:256" s="282" customFormat="1" x14ac:dyDescent="0.2">
      <c r="A12" s="1603"/>
      <c r="B12" s="425" t="s">
        <v>1175</v>
      </c>
      <c r="C12" s="426" t="s">
        <v>1176</v>
      </c>
      <c r="D12" s="426" t="s">
        <v>1177</v>
      </c>
      <c r="E12" s="426" t="s">
        <v>1178</v>
      </c>
      <c r="F12" s="442" t="s">
        <v>1179</v>
      </c>
      <c r="G12" s="426"/>
      <c r="H12" s="428" t="s">
        <v>1180</v>
      </c>
      <c r="I12" s="426" t="s">
        <v>1181</v>
      </c>
      <c r="J12" s="426" t="s">
        <v>1182</v>
      </c>
      <c r="K12" s="426" t="s">
        <v>1183</v>
      </c>
      <c r="L12" s="429" t="s">
        <v>1184</v>
      </c>
      <c r="M12" s="1604"/>
      <c r="IV12"/>
    </row>
    <row r="13" spans="1:256" s="282" customFormat="1" x14ac:dyDescent="0.2">
      <c r="A13" s="1603"/>
      <c r="B13" s="443" t="s">
        <v>1185</v>
      </c>
      <c r="C13" s="444" t="s">
        <v>1186</v>
      </c>
      <c r="D13" s="444" t="s">
        <v>1187</v>
      </c>
      <c r="E13" s="444" t="s">
        <v>1188</v>
      </c>
      <c r="F13" s="445" t="s">
        <v>1189</v>
      </c>
      <c r="G13" s="444"/>
      <c r="H13" s="446" t="s">
        <v>1190</v>
      </c>
      <c r="I13" s="444" t="s">
        <v>1191</v>
      </c>
      <c r="J13" s="444" t="s">
        <v>1192</v>
      </c>
      <c r="K13" s="444" t="s">
        <v>1193</v>
      </c>
      <c r="L13" s="447" t="s">
        <v>1194</v>
      </c>
      <c r="M13" s="1604"/>
      <c r="IV13"/>
    </row>
    <row r="14" spans="1:256" ht="16.5" x14ac:dyDescent="0.3">
      <c r="A14" s="194"/>
      <c r="B14" s="1590" t="s">
        <v>1195</v>
      </c>
      <c r="C14" s="1590"/>
      <c r="D14" s="1590"/>
      <c r="E14" s="1590"/>
      <c r="F14" s="1590"/>
      <c r="G14" s="1590"/>
      <c r="H14" s="1590"/>
      <c r="I14" s="1590"/>
      <c r="J14" s="1590"/>
      <c r="K14" s="1590"/>
      <c r="L14" s="1590"/>
      <c r="M14" s="196"/>
    </row>
    <row r="16" spans="1:256" x14ac:dyDescent="0.2">
      <c r="A16" s="1591" t="s">
        <v>1196</v>
      </c>
      <c r="B16" s="1591"/>
      <c r="C16" s="1591"/>
      <c r="D16" s="1591"/>
      <c r="E16" s="1591"/>
      <c r="F16" s="1591"/>
      <c r="G16" s="1591"/>
      <c r="H16" s="1591"/>
      <c r="I16" s="1591"/>
      <c r="J16" s="1591"/>
      <c r="K16" s="1591"/>
      <c r="L16" s="1591"/>
      <c r="M16" s="1591"/>
    </row>
    <row r="17" spans="1:13" ht="21" x14ac:dyDescent="0.3">
      <c r="A17" s="172"/>
      <c r="B17" s="1601" t="s">
        <v>1834</v>
      </c>
      <c r="C17" s="1601"/>
      <c r="D17" s="1601"/>
      <c r="E17" s="1601"/>
      <c r="F17" s="1601"/>
      <c r="G17" s="1601"/>
      <c r="H17" s="1601"/>
      <c r="I17" s="1601"/>
      <c r="J17" s="1601"/>
      <c r="K17" s="1601"/>
      <c r="L17" s="1601"/>
      <c r="M17" s="173"/>
    </row>
    <row r="18" spans="1:13" x14ac:dyDescent="0.2">
      <c r="A18" s="1602" t="s">
        <v>1835</v>
      </c>
      <c r="B18" s="449" t="s">
        <v>1197</v>
      </c>
      <c r="C18" s="450" t="s">
        <v>1198</v>
      </c>
      <c r="D18" s="450" t="s">
        <v>1199</v>
      </c>
      <c r="E18" s="450" t="s">
        <v>1200</v>
      </c>
      <c r="F18" s="451" t="s">
        <v>1201</v>
      </c>
      <c r="G18" s="421"/>
      <c r="H18" s="452" t="s">
        <v>1202</v>
      </c>
      <c r="I18" s="450" t="s">
        <v>1203</v>
      </c>
      <c r="J18" s="450" t="s">
        <v>1204</v>
      </c>
      <c r="K18" s="450" t="s">
        <v>1205</v>
      </c>
      <c r="L18" s="453" t="s">
        <v>1206</v>
      </c>
      <c r="M18" s="1605" t="s">
        <v>1842</v>
      </c>
    </row>
    <row r="19" spans="1:13" x14ac:dyDescent="0.2">
      <c r="A19" s="1602"/>
      <c r="B19" s="454" t="s">
        <v>1207</v>
      </c>
      <c r="C19" s="455" t="s">
        <v>1208</v>
      </c>
      <c r="D19" s="455" t="s">
        <v>1209</v>
      </c>
      <c r="E19" s="455" t="s">
        <v>1210</v>
      </c>
      <c r="F19" s="456" t="s">
        <v>1211</v>
      </c>
      <c r="G19" s="426"/>
      <c r="H19" s="457" t="s">
        <v>1212</v>
      </c>
      <c r="I19" s="455" t="s">
        <v>1213</v>
      </c>
      <c r="J19" s="455" t="s">
        <v>1214</v>
      </c>
      <c r="K19" s="455" t="s">
        <v>1215</v>
      </c>
      <c r="L19" s="458" t="s">
        <v>1216</v>
      </c>
      <c r="M19" s="1605"/>
    </row>
    <row r="20" spans="1:13" x14ac:dyDescent="0.2">
      <c r="A20" s="1602"/>
      <c r="B20" s="454" t="s">
        <v>1217</v>
      </c>
      <c r="C20" s="455" t="s">
        <v>1218</v>
      </c>
      <c r="D20" s="459" t="s">
        <v>1219</v>
      </c>
      <c r="E20" s="455" t="s">
        <v>1220</v>
      </c>
      <c r="F20" s="456" t="s">
        <v>1221</v>
      </c>
      <c r="G20" s="426"/>
      <c r="H20" s="457" t="s">
        <v>1222</v>
      </c>
      <c r="I20" s="455" t="s">
        <v>1223</v>
      </c>
      <c r="J20" s="459" t="s">
        <v>1224</v>
      </c>
      <c r="K20" s="455" t="s">
        <v>1225</v>
      </c>
      <c r="L20" s="458" t="s">
        <v>1226</v>
      </c>
      <c r="M20" s="1605"/>
    </row>
    <row r="21" spans="1:13" x14ac:dyDescent="0.2">
      <c r="A21" s="1602"/>
      <c r="B21" s="454" t="s">
        <v>1227</v>
      </c>
      <c r="C21" s="455" t="s">
        <v>1228</v>
      </c>
      <c r="D21" s="455" t="s">
        <v>1229</v>
      </c>
      <c r="E21" s="455" t="s">
        <v>1230</v>
      </c>
      <c r="F21" s="456" t="s">
        <v>1231</v>
      </c>
      <c r="G21" s="426"/>
      <c r="H21" s="457" t="s">
        <v>1232</v>
      </c>
      <c r="I21" s="455" t="s">
        <v>1233</v>
      </c>
      <c r="J21" s="455" t="s">
        <v>1234</v>
      </c>
      <c r="K21" s="455" t="s">
        <v>1235</v>
      </c>
      <c r="L21" s="458" t="s">
        <v>1236</v>
      </c>
      <c r="M21" s="1605"/>
    </row>
    <row r="22" spans="1:13" x14ac:dyDescent="0.2">
      <c r="A22" s="1602"/>
      <c r="B22" s="460" t="s">
        <v>1237</v>
      </c>
      <c r="C22" s="461" t="s">
        <v>1238</v>
      </c>
      <c r="D22" s="461" t="s">
        <v>1239</v>
      </c>
      <c r="E22" s="461" t="s">
        <v>1240</v>
      </c>
      <c r="F22" s="462" t="s">
        <v>1241</v>
      </c>
      <c r="G22" s="426"/>
      <c r="H22" s="463" t="s">
        <v>1242</v>
      </c>
      <c r="I22" s="464" t="s">
        <v>1243</v>
      </c>
      <c r="J22" s="464" t="s">
        <v>1244</v>
      </c>
      <c r="K22" s="464" t="s">
        <v>1245</v>
      </c>
      <c r="L22" s="465" t="s">
        <v>1246</v>
      </c>
      <c r="M22" s="1605"/>
    </row>
    <row r="23" spans="1:13" x14ac:dyDescent="0.2">
      <c r="A23" s="1602"/>
      <c r="B23" s="425"/>
      <c r="C23" s="426"/>
      <c r="D23" s="426"/>
      <c r="E23" s="426"/>
      <c r="F23" s="426"/>
      <c r="G23" s="426"/>
      <c r="H23" s="426"/>
      <c r="I23" s="426"/>
      <c r="J23" s="426"/>
      <c r="K23" s="426"/>
      <c r="L23" s="429"/>
      <c r="M23" s="1605"/>
    </row>
    <row r="24" spans="1:13" x14ac:dyDescent="0.2">
      <c r="A24" s="1602"/>
      <c r="B24" s="466" t="s">
        <v>1247</v>
      </c>
      <c r="C24" s="467" t="s">
        <v>1248</v>
      </c>
      <c r="D24" s="467" t="s">
        <v>1249</v>
      </c>
      <c r="E24" s="467" t="s">
        <v>1250</v>
      </c>
      <c r="F24" s="468" t="s">
        <v>1251</v>
      </c>
      <c r="G24" s="426"/>
      <c r="H24" s="469" t="s">
        <v>1252</v>
      </c>
      <c r="I24" s="467" t="s">
        <v>1253</v>
      </c>
      <c r="J24" s="467" t="s">
        <v>1254</v>
      </c>
      <c r="K24" s="467" t="s">
        <v>1255</v>
      </c>
      <c r="L24" s="470" t="s">
        <v>1256</v>
      </c>
      <c r="M24" s="1605"/>
    </row>
    <row r="25" spans="1:13" x14ac:dyDescent="0.2">
      <c r="A25" s="1602"/>
      <c r="B25" s="454" t="s">
        <v>1257</v>
      </c>
      <c r="C25" s="455" t="s">
        <v>1258</v>
      </c>
      <c r="D25" s="455" t="s">
        <v>1259</v>
      </c>
      <c r="E25" s="455" t="s">
        <v>1260</v>
      </c>
      <c r="F25" s="471" t="s">
        <v>1261</v>
      </c>
      <c r="G25" s="426"/>
      <c r="H25" s="457" t="s">
        <v>1262</v>
      </c>
      <c r="I25" s="455" t="s">
        <v>1263</v>
      </c>
      <c r="J25" s="455" t="s">
        <v>1264</v>
      </c>
      <c r="K25" s="455" t="s">
        <v>1265</v>
      </c>
      <c r="L25" s="458" t="s">
        <v>1266</v>
      </c>
      <c r="M25" s="1605"/>
    </row>
    <row r="26" spans="1:13" x14ac:dyDescent="0.2">
      <c r="A26" s="1602"/>
      <c r="B26" s="454" t="s">
        <v>1267</v>
      </c>
      <c r="C26" s="455" t="s">
        <v>1268</v>
      </c>
      <c r="D26" s="459" t="s">
        <v>1269</v>
      </c>
      <c r="E26" s="455" t="s">
        <v>1270</v>
      </c>
      <c r="F26" s="471" t="s">
        <v>1271</v>
      </c>
      <c r="G26" s="426"/>
      <c r="H26" s="457" t="s">
        <v>1272</v>
      </c>
      <c r="I26" s="455" t="s">
        <v>1273</v>
      </c>
      <c r="J26" s="459" t="s">
        <v>1274</v>
      </c>
      <c r="K26" s="455" t="s">
        <v>1275</v>
      </c>
      <c r="L26" s="458" t="s">
        <v>1276</v>
      </c>
      <c r="M26" s="1605"/>
    </row>
    <row r="27" spans="1:13" x14ac:dyDescent="0.2">
      <c r="A27" s="1602"/>
      <c r="B27" s="454" t="s">
        <v>1277</v>
      </c>
      <c r="C27" s="455" t="s">
        <v>1278</v>
      </c>
      <c r="D27" s="455" t="s">
        <v>1279</v>
      </c>
      <c r="E27" s="455" t="s">
        <v>1280</v>
      </c>
      <c r="F27" s="471" t="s">
        <v>1281</v>
      </c>
      <c r="G27" s="426"/>
      <c r="H27" s="457" t="s">
        <v>1282</v>
      </c>
      <c r="I27" s="455" t="s">
        <v>1283</v>
      </c>
      <c r="J27" s="455" t="s">
        <v>1284</v>
      </c>
      <c r="K27" s="455" t="s">
        <v>1285</v>
      </c>
      <c r="L27" s="458" t="s">
        <v>1286</v>
      </c>
      <c r="M27" s="1605"/>
    </row>
    <row r="28" spans="1:13" x14ac:dyDescent="0.2">
      <c r="A28" s="1602"/>
      <c r="B28" s="472" t="s">
        <v>1287</v>
      </c>
      <c r="C28" s="473" t="s">
        <v>1288</v>
      </c>
      <c r="D28" s="473" t="s">
        <v>1289</v>
      </c>
      <c r="E28" s="473" t="s">
        <v>1290</v>
      </c>
      <c r="F28" s="474" t="s">
        <v>1291</v>
      </c>
      <c r="G28" s="444"/>
      <c r="H28" s="475" t="s">
        <v>1292</v>
      </c>
      <c r="I28" s="473" t="s">
        <v>1293</v>
      </c>
      <c r="J28" s="473" t="s">
        <v>1294</v>
      </c>
      <c r="K28" s="473" t="s">
        <v>1295</v>
      </c>
      <c r="L28" s="476" t="s">
        <v>1296</v>
      </c>
      <c r="M28" s="1605"/>
    </row>
    <row r="29" spans="1:13" ht="26.25" x14ac:dyDescent="0.55000000000000004">
      <c r="A29" s="194"/>
      <c r="B29" s="1597" t="s">
        <v>1902</v>
      </c>
      <c r="C29" s="1597"/>
      <c r="D29" s="1597"/>
      <c r="E29" s="1597"/>
      <c r="F29" s="1597"/>
      <c r="G29" s="1597"/>
      <c r="H29" s="1597"/>
      <c r="I29" s="1597"/>
      <c r="J29" s="1597"/>
      <c r="K29" s="1597"/>
      <c r="L29" s="1597"/>
      <c r="M29" s="196"/>
    </row>
    <row r="30" spans="1:13" x14ac:dyDescent="0.2">
      <c r="A30" s="190"/>
      <c r="B30" s="191"/>
      <c r="C30" s="191"/>
      <c r="D30" s="191"/>
      <c r="E30" s="191"/>
      <c r="F30" s="1600" t="s">
        <v>1297</v>
      </c>
      <c r="G30" s="1600"/>
      <c r="H30" s="1600"/>
      <c r="I30" s="191"/>
      <c r="J30" s="191"/>
      <c r="K30" s="191"/>
      <c r="L30" s="191"/>
      <c r="M30" s="193"/>
    </row>
    <row r="31" spans="1:13" ht="21" x14ac:dyDescent="0.3">
      <c r="A31" s="172"/>
      <c r="B31" s="1601" t="s">
        <v>1834</v>
      </c>
      <c r="C31" s="1601"/>
      <c r="D31" s="1601"/>
      <c r="E31" s="1601"/>
      <c r="F31" s="1601"/>
      <c r="G31" s="1601"/>
      <c r="H31" s="1601"/>
      <c r="I31" s="1601"/>
      <c r="J31" s="1601"/>
      <c r="K31" s="1601"/>
      <c r="L31" s="1601"/>
      <c r="M31" s="173"/>
    </row>
    <row r="32" spans="1:13" x14ac:dyDescent="0.2">
      <c r="A32" s="1602" t="s">
        <v>1835</v>
      </c>
      <c r="B32" s="449" t="s">
        <v>1197</v>
      </c>
      <c r="C32" s="450" t="s">
        <v>1198</v>
      </c>
      <c r="D32" s="450" t="s">
        <v>1199</v>
      </c>
      <c r="E32" s="450" t="s">
        <v>1200</v>
      </c>
      <c r="F32" s="451" t="s">
        <v>1201</v>
      </c>
      <c r="G32" s="421"/>
      <c r="H32" s="452" t="s">
        <v>1202</v>
      </c>
      <c r="I32" s="450" t="s">
        <v>1203</v>
      </c>
      <c r="J32" s="450" t="s">
        <v>1204</v>
      </c>
      <c r="K32" s="450" t="s">
        <v>1205</v>
      </c>
      <c r="L32" s="453" t="s">
        <v>1206</v>
      </c>
      <c r="M32" s="1605" t="s">
        <v>1842</v>
      </c>
    </row>
    <row r="33" spans="1:13" x14ac:dyDescent="0.2">
      <c r="A33" s="1602"/>
      <c r="B33" s="454" t="s">
        <v>1207</v>
      </c>
      <c r="C33" s="455" t="s">
        <v>1208</v>
      </c>
      <c r="D33" s="455" t="s">
        <v>1209</v>
      </c>
      <c r="E33" s="455" t="s">
        <v>1210</v>
      </c>
      <c r="F33" s="456" t="s">
        <v>1211</v>
      </c>
      <c r="G33" s="426"/>
      <c r="H33" s="457" t="s">
        <v>1953</v>
      </c>
      <c r="I33" s="455" t="s">
        <v>1298</v>
      </c>
      <c r="J33" s="455" t="s">
        <v>1299</v>
      </c>
      <c r="K33" s="455" t="s">
        <v>1300</v>
      </c>
      <c r="L33" s="458" t="s">
        <v>1301</v>
      </c>
      <c r="M33" s="1605"/>
    </row>
    <row r="34" spans="1:13" x14ac:dyDescent="0.2">
      <c r="A34" s="1602"/>
      <c r="B34" s="454" t="s">
        <v>1217</v>
      </c>
      <c r="C34" s="455" t="s">
        <v>1218</v>
      </c>
      <c r="D34" s="459" t="s">
        <v>1302</v>
      </c>
      <c r="E34" s="455" t="s">
        <v>1220</v>
      </c>
      <c r="F34" s="456" t="s">
        <v>1221</v>
      </c>
      <c r="G34" s="426"/>
      <c r="H34" s="457" t="s">
        <v>1222</v>
      </c>
      <c r="I34" s="455" t="s">
        <v>1223</v>
      </c>
      <c r="J34" s="459" t="s">
        <v>1303</v>
      </c>
      <c r="K34" s="455" t="s">
        <v>1225</v>
      </c>
      <c r="L34" s="458" t="s">
        <v>1226</v>
      </c>
      <c r="M34" s="1605"/>
    </row>
    <row r="35" spans="1:13" x14ac:dyDescent="0.2">
      <c r="A35" s="1602"/>
      <c r="B35" s="454" t="s">
        <v>1227</v>
      </c>
      <c r="C35" s="455" t="s">
        <v>1228</v>
      </c>
      <c r="D35" s="455" t="s">
        <v>1229</v>
      </c>
      <c r="E35" s="455" t="s">
        <v>1230</v>
      </c>
      <c r="F35" s="456" t="s">
        <v>1231</v>
      </c>
      <c r="G35" s="426"/>
      <c r="H35" s="457" t="s">
        <v>1232</v>
      </c>
      <c r="I35" s="455" t="s">
        <v>1233</v>
      </c>
      <c r="J35" s="455" t="s">
        <v>1234</v>
      </c>
      <c r="K35" s="455" t="s">
        <v>1235</v>
      </c>
      <c r="L35" s="458" t="s">
        <v>1236</v>
      </c>
      <c r="M35" s="1605"/>
    </row>
    <row r="36" spans="1:13" x14ac:dyDescent="0.2">
      <c r="A36" s="1602"/>
      <c r="B36" s="460" t="s">
        <v>1304</v>
      </c>
      <c r="C36" s="461" t="s">
        <v>1305</v>
      </c>
      <c r="D36" s="461" t="s">
        <v>1306</v>
      </c>
      <c r="E36" s="461" t="s">
        <v>1307</v>
      </c>
      <c r="F36" s="462" t="s">
        <v>1308</v>
      </c>
      <c r="G36" s="426"/>
      <c r="H36" s="463" t="s">
        <v>1242</v>
      </c>
      <c r="I36" s="464" t="s">
        <v>1243</v>
      </c>
      <c r="J36" s="464" t="s">
        <v>1244</v>
      </c>
      <c r="K36" s="464" t="s">
        <v>1245</v>
      </c>
      <c r="L36" s="465" t="s">
        <v>1246</v>
      </c>
      <c r="M36" s="1605"/>
    </row>
    <row r="37" spans="1:13" x14ac:dyDescent="0.2">
      <c r="A37" s="1602"/>
      <c r="B37" s="425"/>
      <c r="C37" s="426"/>
      <c r="D37" s="426"/>
      <c r="E37" s="426"/>
      <c r="F37" s="426"/>
      <c r="G37" s="426"/>
      <c r="H37" s="426"/>
      <c r="I37" s="426"/>
      <c r="J37" s="426"/>
      <c r="K37" s="426"/>
      <c r="L37" s="429"/>
      <c r="M37" s="1605"/>
    </row>
    <row r="38" spans="1:13" x14ac:dyDescent="0.2">
      <c r="A38" s="1602"/>
      <c r="B38" s="466" t="s">
        <v>1247</v>
      </c>
      <c r="C38" s="467" t="s">
        <v>1248</v>
      </c>
      <c r="D38" s="467" t="s">
        <v>1249</v>
      </c>
      <c r="E38" s="467" t="s">
        <v>1250</v>
      </c>
      <c r="F38" s="468" t="s">
        <v>1251</v>
      </c>
      <c r="G38" s="426"/>
      <c r="H38" s="469" t="s">
        <v>1252</v>
      </c>
      <c r="I38" s="467" t="s">
        <v>1253</v>
      </c>
      <c r="J38" s="467" t="s">
        <v>1254</v>
      </c>
      <c r="K38" s="467" t="s">
        <v>1255</v>
      </c>
      <c r="L38" s="470" t="s">
        <v>1256</v>
      </c>
      <c r="M38" s="1605"/>
    </row>
    <row r="39" spans="1:13" x14ac:dyDescent="0.2">
      <c r="A39" s="1602"/>
      <c r="B39" s="454" t="s">
        <v>1257</v>
      </c>
      <c r="C39" s="455" t="s">
        <v>1258</v>
      </c>
      <c r="D39" s="455" t="s">
        <v>1259</v>
      </c>
      <c r="E39" s="455" t="s">
        <v>1260</v>
      </c>
      <c r="F39" s="471" t="s">
        <v>1261</v>
      </c>
      <c r="G39" s="426"/>
      <c r="H39" s="457" t="s">
        <v>1262</v>
      </c>
      <c r="I39" s="455" t="s">
        <v>1263</v>
      </c>
      <c r="J39" s="455" t="s">
        <v>1264</v>
      </c>
      <c r="K39" s="455" t="s">
        <v>1265</v>
      </c>
      <c r="L39" s="458" t="s">
        <v>1266</v>
      </c>
      <c r="M39" s="1605"/>
    </row>
    <row r="40" spans="1:13" x14ac:dyDescent="0.2">
      <c r="A40" s="1602"/>
      <c r="B40" s="454" t="s">
        <v>1267</v>
      </c>
      <c r="C40" s="455" t="s">
        <v>1268</v>
      </c>
      <c r="D40" s="459" t="s">
        <v>1309</v>
      </c>
      <c r="E40" s="455" t="s">
        <v>1270</v>
      </c>
      <c r="F40" s="471" t="s">
        <v>1271</v>
      </c>
      <c r="G40" s="426"/>
      <c r="H40" s="457" t="s">
        <v>1272</v>
      </c>
      <c r="I40" s="455" t="s">
        <v>1273</v>
      </c>
      <c r="J40" s="459" t="s">
        <v>1310</v>
      </c>
      <c r="K40" s="455" t="s">
        <v>1275</v>
      </c>
      <c r="L40" s="458" t="s">
        <v>1276</v>
      </c>
      <c r="M40" s="1605"/>
    </row>
    <row r="41" spans="1:13" x14ac:dyDescent="0.2">
      <c r="A41" s="1602"/>
      <c r="B41" s="454" t="s">
        <v>1277</v>
      </c>
      <c r="C41" s="455" t="s">
        <v>1278</v>
      </c>
      <c r="D41" s="455" t="s">
        <v>1279</v>
      </c>
      <c r="E41" s="455" t="s">
        <v>1280</v>
      </c>
      <c r="F41" s="471" t="s">
        <v>1281</v>
      </c>
      <c r="G41" s="426"/>
      <c r="H41" s="457" t="s">
        <v>1282</v>
      </c>
      <c r="I41" s="455" t="s">
        <v>1283</v>
      </c>
      <c r="J41" s="455" t="s">
        <v>1284</v>
      </c>
      <c r="K41" s="455" t="s">
        <v>1285</v>
      </c>
      <c r="L41" s="458" t="s">
        <v>1286</v>
      </c>
      <c r="M41" s="1605"/>
    </row>
    <row r="42" spans="1:13" x14ac:dyDescent="0.2">
      <c r="A42" s="1602"/>
      <c r="B42" s="472" t="s">
        <v>1287</v>
      </c>
      <c r="C42" s="473" t="s">
        <v>1288</v>
      </c>
      <c r="D42" s="473" t="s">
        <v>1289</v>
      </c>
      <c r="E42" s="473" t="s">
        <v>1290</v>
      </c>
      <c r="F42" s="474" t="s">
        <v>1291</v>
      </c>
      <c r="G42" s="444"/>
      <c r="H42" s="475" t="s">
        <v>1292</v>
      </c>
      <c r="I42" s="473" t="s">
        <v>1293</v>
      </c>
      <c r="J42" s="473" t="s">
        <v>1294</v>
      </c>
      <c r="K42" s="473" t="s">
        <v>1295</v>
      </c>
      <c r="L42" s="476" t="s">
        <v>1296</v>
      </c>
      <c r="M42" s="1605"/>
    </row>
    <row r="43" spans="1:13" ht="26.25" x14ac:dyDescent="0.55000000000000004">
      <c r="A43" s="194"/>
      <c r="B43" s="1597" t="s">
        <v>1902</v>
      </c>
      <c r="C43" s="1597"/>
      <c r="D43" s="1597"/>
      <c r="E43" s="1597"/>
      <c r="F43" s="1597"/>
      <c r="G43" s="1597"/>
      <c r="H43" s="1597"/>
      <c r="I43" s="1597"/>
      <c r="J43" s="1597"/>
      <c r="K43" s="1597"/>
      <c r="L43" s="1597"/>
      <c r="M43" s="196"/>
    </row>
    <row r="45" spans="1:13" x14ac:dyDescent="0.2">
      <c r="A45" s="1598" t="str">
        <f t="shared" ref="A45:M45" si="0">A1&amp;" "&amp;A16</f>
        <v xml:space="preserve">शत पथ चक्र śata patha cakra </v>
      </c>
      <c r="B45" s="1598" t="str">
        <f t="shared" si="0"/>
        <v xml:space="preserve"> </v>
      </c>
      <c r="C45" s="1598" t="str">
        <f t="shared" si="0"/>
        <v xml:space="preserve"> </v>
      </c>
      <c r="D45" s="1598" t="str">
        <f t="shared" si="0"/>
        <v xml:space="preserve"> </v>
      </c>
      <c r="E45" s="1598" t="str">
        <f t="shared" si="0"/>
        <v xml:space="preserve"> </v>
      </c>
      <c r="F45" s="1598" t="str">
        <f t="shared" si="0"/>
        <v xml:space="preserve"> </v>
      </c>
      <c r="G45" s="1598" t="str">
        <f t="shared" si="0"/>
        <v xml:space="preserve"> </v>
      </c>
      <c r="H45" s="1598" t="str">
        <f t="shared" si="0"/>
        <v xml:space="preserve"> </v>
      </c>
      <c r="I45" s="1598" t="str">
        <f t="shared" si="0"/>
        <v xml:space="preserve"> </v>
      </c>
      <c r="J45" s="1598" t="str">
        <f t="shared" si="0"/>
        <v xml:space="preserve"> </v>
      </c>
      <c r="K45" s="1598" t="str">
        <f t="shared" si="0"/>
        <v xml:space="preserve"> </v>
      </c>
      <c r="L45" s="1598" t="str">
        <f t="shared" si="0"/>
        <v xml:space="preserve"> </v>
      </c>
      <c r="M45" s="1598" t="str">
        <f t="shared" si="0"/>
        <v xml:space="preserve"> </v>
      </c>
    </row>
    <row r="46" spans="1:13" x14ac:dyDescent="0.2">
      <c r="A46" s="172" t="str">
        <f t="shared" ref="A46:M46" si="1">A2&amp;" "&amp;A17</f>
        <v xml:space="preserve"> </v>
      </c>
      <c r="B46" s="1599" t="str">
        <f t="shared" si="1"/>
        <v>इन्द्र EAST</v>
      </c>
      <c r="C46" s="1599" t="str">
        <f t="shared" si="1"/>
        <v xml:space="preserve"> </v>
      </c>
      <c r="D46" s="1599" t="str">
        <f t="shared" si="1"/>
        <v xml:space="preserve"> </v>
      </c>
      <c r="E46" s="1599" t="str">
        <f t="shared" si="1"/>
        <v xml:space="preserve"> </v>
      </c>
      <c r="F46" s="1599" t="str">
        <f t="shared" si="1"/>
        <v xml:space="preserve"> </v>
      </c>
      <c r="G46" s="1599" t="str">
        <f t="shared" si="1"/>
        <v xml:space="preserve"> </v>
      </c>
      <c r="H46" s="1599" t="str">
        <f t="shared" si="1"/>
        <v xml:space="preserve"> </v>
      </c>
      <c r="I46" s="1599" t="str">
        <f t="shared" si="1"/>
        <v xml:space="preserve"> </v>
      </c>
      <c r="J46" s="1599" t="str">
        <f t="shared" si="1"/>
        <v xml:space="preserve"> </v>
      </c>
      <c r="K46" s="1599" t="str">
        <f t="shared" si="1"/>
        <v xml:space="preserve"> </v>
      </c>
      <c r="L46" s="1599" t="str">
        <f t="shared" si="1"/>
        <v xml:space="preserve"> </v>
      </c>
      <c r="M46" s="173" t="str">
        <f t="shared" si="1"/>
        <v xml:space="preserve"> </v>
      </c>
    </row>
    <row r="47" spans="1:13" x14ac:dyDescent="0.2">
      <c r="A47" s="1588" t="str">
        <f t="shared" ref="A47:M47" si="2">A3&amp;" "&amp;A18</f>
        <v>कुबेर NORTH</v>
      </c>
      <c r="B47" s="420" t="str">
        <f t="shared" si="2"/>
        <v>अ a</v>
      </c>
      <c r="C47" s="421" t="str">
        <f t="shared" si="2"/>
        <v>इ i</v>
      </c>
      <c r="D47" s="421" t="str">
        <f t="shared" si="2"/>
        <v>उ u</v>
      </c>
      <c r="E47" s="421" t="str">
        <f t="shared" si="2"/>
        <v>ए e</v>
      </c>
      <c r="F47" s="422" t="str">
        <f t="shared" si="2"/>
        <v>ओ o</v>
      </c>
      <c r="G47" s="421" t="str">
        <f t="shared" si="2"/>
        <v xml:space="preserve"> </v>
      </c>
      <c r="H47" s="423" t="str">
        <f t="shared" si="2"/>
        <v>म ma</v>
      </c>
      <c r="I47" s="421" t="str">
        <f t="shared" si="2"/>
        <v>मि mi</v>
      </c>
      <c r="J47" s="421" t="str">
        <f t="shared" si="2"/>
        <v>मु mu</v>
      </c>
      <c r="K47" s="421" t="str">
        <f t="shared" si="2"/>
        <v>मे me</v>
      </c>
      <c r="L47" s="424" t="str">
        <f t="shared" si="2"/>
        <v>मो mo</v>
      </c>
      <c r="M47" s="1589" t="str">
        <f t="shared" si="2"/>
        <v>यम SOUTH</v>
      </c>
    </row>
    <row r="48" spans="1:13" x14ac:dyDescent="0.2">
      <c r="A48" s="1588" t="str">
        <f t="shared" ref="A48:M48" si="3">A4&amp;" "&amp;A19</f>
        <v xml:space="preserve"> </v>
      </c>
      <c r="B48" s="425" t="str">
        <f t="shared" si="3"/>
        <v>व va</v>
      </c>
      <c r="C48" s="426" t="str">
        <f t="shared" si="3"/>
        <v>वि vi</v>
      </c>
      <c r="D48" s="426" t="str">
        <f t="shared" si="3"/>
        <v>वु vu</v>
      </c>
      <c r="E48" s="426" t="str">
        <f t="shared" si="3"/>
        <v>वे ve</v>
      </c>
      <c r="F48" s="427" t="str">
        <f t="shared" si="3"/>
        <v>वो vo</v>
      </c>
      <c r="G48" s="426" t="str">
        <f t="shared" si="3"/>
        <v xml:space="preserve"> </v>
      </c>
      <c r="H48" s="428" t="str">
        <f t="shared" si="3"/>
        <v>ट ṭa</v>
      </c>
      <c r="I48" s="426" t="str">
        <f t="shared" si="3"/>
        <v>टि ṭi</v>
      </c>
      <c r="J48" s="426" t="str">
        <f t="shared" si="3"/>
        <v>टु ṭu</v>
      </c>
      <c r="K48" s="426" t="str">
        <f t="shared" si="3"/>
        <v>टे ṭe</v>
      </c>
      <c r="L48" s="429" t="str">
        <f t="shared" si="3"/>
        <v>टो ṭo</v>
      </c>
      <c r="M48" s="1589" t="str">
        <f t="shared" si="3"/>
        <v xml:space="preserve"> </v>
      </c>
    </row>
    <row r="49" spans="1:13" ht="35.25" x14ac:dyDescent="0.2">
      <c r="A49" s="1588" t="str">
        <f t="shared" ref="A49:C59" si="4">A5&amp;" "&amp;A20</f>
        <v xml:space="preserve"> </v>
      </c>
      <c r="B49" s="425" t="str">
        <f t="shared" si="4"/>
        <v>क ka</v>
      </c>
      <c r="C49" s="426" t="str">
        <f t="shared" si="4"/>
        <v>कि ki</v>
      </c>
      <c r="D49" s="478" t="str">
        <f>D5&amp;CHAR(10)&amp;" "&amp;D20</f>
        <v>कु घ ङ च
 ku gha ṅa ca</v>
      </c>
      <c r="E49" s="426" t="str">
        <f t="shared" ref="E49:I58" si="5">E5&amp;" "&amp;E20</f>
        <v>के ke</v>
      </c>
      <c r="F49" s="427" t="str">
        <f t="shared" si="5"/>
        <v>को ko</v>
      </c>
      <c r="G49" s="426" t="str">
        <f t="shared" si="5"/>
        <v xml:space="preserve"> </v>
      </c>
      <c r="H49" s="428" t="str">
        <f t="shared" si="5"/>
        <v>प pa</v>
      </c>
      <c r="I49" s="426" t="str">
        <f t="shared" si="5"/>
        <v>पि pi</v>
      </c>
      <c r="J49" s="478" t="str">
        <f>J5&amp;CHAR(10)&amp;" "&amp;J20</f>
        <v xml:space="preserve"> पु ष ण ठ
 pu ṣa ṇa ṭha</v>
      </c>
      <c r="K49" s="426" t="str">
        <f t="shared" ref="K49:M59" si="6">K5&amp;" "&amp;K20</f>
        <v>पे pe</v>
      </c>
      <c r="L49" s="429" t="str">
        <f t="shared" si="6"/>
        <v>पो po</v>
      </c>
      <c r="M49" s="1589" t="str">
        <f t="shared" si="6"/>
        <v xml:space="preserve"> </v>
      </c>
    </row>
    <row r="50" spans="1:13" x14ac:dyDescent="0.2">
      <c r="A50" s="1588" t="str">
        <f t="shared" si="4"/>
        <v xml:space="preserve"> </v>
      </c>
      <c r="B50" s="425" t="str">
        <f t="shared" si="4"/>
        <v>ह ha</v>
      </c>
      <c r="C50" s="426" t="str">
        <f t="shared" si="4"/>
        <v>हि hi</v>
      </c>
      <c r="D50" s="426" t="str">
        <f>D6&amp;" "&amp;D21</f>
        <v>हु hu</v>
      </c>
      <c r="E50" s="426" t="str">
        <f t="shared" si="5"/>
        <v>हे he</v>
      </c>
      <c r="F50" s="427" t="str">
        <f t="shared" si="5"/>
        <v>हो ho</v>
      </c>
      <c r="G50" s="426" t="str">
        <f t="shared" si="5"/>
        <v xml:space="preserve"> </v>
      </c>
      <c r="H50" s="428" t="str">
        <f t="shared" si="5"/>
        <v>र ra</v>
      </c>
      <c r="I50" s="426" t="str">
        <f t="shared" si="5"/>
        <v>रि ri</v>
      </c>
      <c r="J50" s="426" t="str">
        <f>J6&amp;" "&amp;J21</f>
        <v>रु ru</v>
      </c>
      <c r="K50" s="426" t="str">
        <f t="shared" si="6"/>
        <v>रे re</v>
      </c>
      <c r="L50" s="429" t="str">
        <f t="shared" si="6"/>
        <v>रो ro</v>
      </c>
      <c r="M50" s="1589" t="str">
        <f t="shared" si="6"/>
        <v xml:space="preserve"> </v>
      </c>
    </row>
    <row r="51" spans="1:13" x14ac:dyDescent="0.2">
      <c r="A51" s="1588" t="str">
        <f t="shared" si="4"/>
        <v xml:space="preserve"> </v>
      </c>
      <c r="B51" s="431" t="str">
        <f t="shared" si="4"/>
        <v>ड ḍa</v>
      </c>
      <c r="C51" s="432" t="str">
        <f t="shared" si="4"/>
        <v>डि ḍi</v>
      </c>
      <c r="D51" s="432" t="str">
        <f>D7&amp;" "&amp;D22</f>
        <v>डु ḍu</v>
      </c>
      <c r="E51" s="432" t="str">
        <f t="shared" si="5"/>
        <v>डे ḍe</v>
      </c>
      <c r="F51" s="433" t="str">
        <f t="shared" si="5"/>
        <v>डो ḍo</v>
      </c>
      <c r="G51" s="426" t="str">
        <f t="shared" si="5"/>
        <v xml:space="preserve"> </v>
      </c>
      <c r="H51" s="434" t="str">
        <f t="shared" si="5"/>
        <v>त ta</v>
      </c>
      <c r="I51" s="435" t="str">
        <f t="shared" si="5"/>
        <v>ति ti</v>
      </c>
      <c r="J51" s="435" t="str">
        <f>J7&amp;" "&amp;J22</f>
        <v>तु tu</v>
      </c>
      <c r="K51" s="435" t="str">
        <f t="shared" si="6"/>
        <v>ते te</v>
      </c>
      <c r="L51" s="436" t="str">
        <f t="shared" si="6"/>
        <v>तो to</v>
      </c>
      <c r="M51" s="1589" t="str">
        <f t="shared" si="6"/>
        <v xml:space="preserve"> </v>
      </c>
    </row>
    <row r="52" spans="1:13" x14ac:dyDescent="0.2">
      <c r="A52" s="1588" t="str">
        <f t="shared" si="4"/>
        <v xml:space="preserve"> </v>
      </c>
      <c r="B52" s="425" t="str">
        <f t="shared" si="4"/>
        <v xml:space="preserve"> </v>
      </c>
      <c r="C52" s="426" t="str">
        <f t="shared" si="4"/>
        <v xml:space="preserve"> </v>
      </c>
      <c r="D52" s="426" t="str">
        <f>D8&amp;" "&amp;D23</f>
        <v xml:space="preserve"> </v>
      </c>
      <c r="E52" s="426" t="str">
        <f t="shared" si="5"/>
        <v xml:space="preserve"> </v>
      </c>
      <c r="F52" s="426" t="str">
        <f t="shared" si="5"/>
        <v xml:space="preserve"> </v>
      </c>
      <c r="G52" s="426" t="str">
        <f t="shared" si="5"/>
        <v xml:space="preserve"> </v>
      </c>
      <c r="H52" s="426" t="str">
        <f t="shared" si="5"/>
        <v xml:space="preserve"> </v>
      </c>
      <c r="I52" s="426" t="str">
        <f t="shared" si="5"/>
        <v xml:space="preserve"> </v>
      </c>
      <c r="J52" s="426" t="str">
        <f>J8&amp;" "&amp;J23</f>
        <v xml:space="preserve"> </v>
      </c>
      <c r="K52" s="426" t="str">
        <f t="shared" si="6"/>
        <v xml:space="preserve"> </v>
      </c>
      <c r="L52" s="429" t="str">
        <f t="shared" si="6"/>
        <v xml:space="preserve"> </v>
      </c>
      <c r="M52" s="1589" t="str">
        <f t="shared" si="6"/>
        <v xml:space="preserve"> </v>
      </c>
    </row>
    <row r="53" spans="1:13" x14ac:dyDescent="0.2">
      <c r="A53" s="1588" t="str">
        <f t="shared" si="4"/>
        <v xml:space="preserve"> </v>
      </c>
      <c r="B53" s="437" t="str">
        <f t="shared" si="4"/>
        <v>ग ga</v>
      </c>
      <c r="C53" s="438" t="str">
        <f t="shared" si="4"/>
        <v>गि gi</v>
      </c>
      <c r="D53" s="438" t="str">
        <f>D9&amp;" "&amp;D24</f>
        <v>गु gu</v>
      </c>
      <c r="E53" s="438" t="str">
        <f t="shared" si="5"/>
        <v>गे ge</v>
      </c>
      <c r="F53" s="439" t="str">
        <f t="shared" si="5"/>
        <v>गो go</v>
      </c>
      <c r="G53" s="426" t="str">
        <f t="shared" si="5"/>
        <v xml:space="preserve"> </v>
      </c>
      <c r="H53" s="440" t="str">
        <f t="shared" si="5"/>
        <v>न na</v>
      </c>
      <c r="I53" s="438" t="str">
        <f t="shared" si="5"/>
        <v>नि ni</v>
      </c>
      <c r="J53" s="438" t="str">
        <f>J9&amp;" "&amp;J24</f>
        <v>नु nu</v>
      </c>
      <c r="K53" s="438" t="str">
        <f t="shared" si="6"/>
        <v>ने ne</v>
      </c>
      <c r="L53" s="441" t="str">
        <f t="shared" si="6"/>
        <v>नो no</v>
      </c>
      <c r="M53" s="1589" t="str">
        <f t="shared" si="6"/>
        <v xml:space="preserve"> </v>
      </c>
    </row>
    <row r="54" spans="1:13" x14ac:dyDescent="0.2">
      <c r="A54" s="1588" t="str">
        <f t="shared" si="4"/>
        <v xml:space="preserve"> </v>
      </c>
      <c r="B54" s="425" t="str">
        <f t="shared" si="4"/>
        <v>स sa</v>
      </c>
      <c r="C54" s="426" t="str">
        <f t="shared" si="4"/>
        <v>सि si</v>
      </c>
      <c r="D54" s="426" t="str">
        <f>D10&amp;" "&amp;D25</f>
        <v>सु su</v>
      </c>
      <c r="E54" s="426" t="str">
        <f t="shared" si="5"/>
        <v>से se</v>
      </c>
      <c r="F54" s="442" t="str">
        <f t="shared" si="5"/>
        <v>सो so</v>
      </c>
      <c r="G54" s="426" t="str">
        <f t="shared" si="5"/>
        <v xml:space="preserve"> </v>
      </c>
      <c r="H54" s="428" t="str">
        <f t="shared" si="5"/>
        <v>य ya</v>
      </c>
      <c r="I54" s="426" t="str">
        <f t="shared" si="5"/>
        <v>यि yi</v>
      </c>
      <c r="J54" s="426" t="str">
        <f>J10&amp;" "&amp;J25</f>
        <v>यु yu</v>
      </c>
      <c r="K54" s="426" t="str">
        <f t="shared" si="6"/>
        <v>ये ye</v>
      </c>
      <c r="L54" s="429" t="str">
        <f t="shared" si="6"/>
        <v>यो yo</v>
      </c>
      <c r="M54" s="1589" t="str">
        <f t="shared" si="6"/>
        <v xml:space="preserve"> </v>
      </c>
    </row>
    <row r="55" spans="1:13" ht="35.25" x14ac:dyDescent="0.2">
      <c r="A55" s="1588" t="str">
        <f t="shared" si="4"/>
        <v xml:space="preserve"> </v>
      </c>
      <c r="B55" s="425" t="str">
        <f t="shared" si="4"/>
        <v>द da</v>
      </c>
      <c r="C55" s="426" t="str">
        <f t="shared" si="4"/>
        <v>दि di</v>
      </c>
      <c r="D55" s="478" t="str">
        <f>D11&amp;CHAR(10)&amp;" "&amp;D26</f>
        <v>दु थ झ म
 du tha jha ma</v>
      </c>
      <c r="E55" s="426" t="str">
        <f t="shared" si="5"/>
        <v>दे de</v>
      </c>
      <c r="F55" s="442" t="str">
        <f t="shared" si="5"/>
        <v>दो do</v>
      </c>
      <c r="G55" s="426" t="str">
        <f t="shared" si="5"/>
        <v xml:space="preserve"> </v>
      </c>
      <c r="H55" s="428" t="str">
        <f t="shared" si="5"/>
        <v>भ bha</v>
      </c>
      <c r="I55" s="426" t="str">
        <f t="shared" si="5"/>
        <v>भि bhi</v>
      </c>
      <c r="J55" s="478" t="str">
        <f>J11&amp;CHAR(10)&amp;" "&amp;J26</f>
        <v>भु ध फ ट
 bhu dha pha ṭa</v>
      </c>
      <c r="K55" s="426" t="str">
        <f t="shared" si="6"/>
        <v>भे bhe</v>
      </c>
      <c r="L55" s="429" t="str">
        <f t="shared" si="6"/>
        <v>भो bho</v>
      </c>
      <c r="M55" s="1589" t="str">
        <f t="shared" si="6"/>
        <v xml:space="preserve"> </v>
      </c>
    </row>
    <row r="56" spans="1:13" x14ac:dyDescent="0.2">
      <c r="A56" s="1588" t="str">
        <f t="shared" si="4"/>
        <v xml:space="preserve"> </v>
      </c>
      <c r="B56" s="425" t="str">
        <f t="shared" si="4"/>
        <v>च ca</v>
      </c>
      <c r="C56" s="426" t="str">
        <f t="shared" si="4"/>
        <v>चि ci</v>
      </c>
      <c r="D56" s="426" t="str">
        <f>D12&amp;" "&amp;D27</f>
        <v>चु cu</v>
      </c>
      <c r="E56" s="426" t="str">
        <f t="shared" si="5"/>
        <v>चे ce</v>
      </c>
      <c r="F56" s="442" t="str">
        <f t="shared" si="5"/>
        <v>चो co</v>
      </c>
      <c r="G56" s="426" t="str">
        <f t="shared" si="5"/>
        <v xml:space="preserve"> </v>
      </c>
      <c r="H56" s="428" t="str">
        <f t="shared" si="5"/>
        <v>ज ja</v>
      </c>
      <c r="I56" s="426" t="str">
        <f t="shared" si="5"/>
        <v>जि ji</v>
      </c>
      <c r="J56" s="426" t="str">
        <f>J12&amp;" "&amp;J27</f>
        <v>जु ju</v>
      </c>
      <c r="K56" s="426" t="str">
        <f t="shared" si="6"/>
        <v>जे je</v>
      </c>
      <c r="L56" s="429" t="str">
        <f t="shared" si="6"/>
        <v>जो jo</v>
      </c>
      <c r="M56" s="1589" t="str">
        <f t="shared" si="6"/>
        <v xml:space="preserve"> </v>
      </c>
    </row>
    <row r="57" spans="1:13" x14ac:dyDescent="0.2">
      <c r="A57" s="1588" t="str">
        <f t="shared" si="4"/>
        <v xml:space="preserve"> </v>
      </c>
      <c r="B57" s="443" t="str">
        <f t="shared" si="4"/>
        <v>ल la</v>
      </c>
      <c r="C57" s="444" t="str">
        <f t="shared" si="4"/>
        <v>लि li</v>
      </c>
      <c r="D57" s="444" t="str">
        <f>D13&amp;" "&amp;D28</f>
        <v>लु lu</v>
      </c>
      <c r="E57" s="444" t="str">
        <f t="shared" si="5"/>
        <v>ले le</v>
      </c>
      <c r="F57" s="445" t="str">
        <f t="shared" si="5"/>
        <v>लो lo</v>
      </c>
      <c r="G57" s="444" t="str">
        <f t="shared" si="5"/>
        <v xml:space="preserve"> </v>
      </c>
      <c r="H57" s="446" t="str">
        <f t="shared" si="5"/>
        <v>ख kha</v>
      </c>
      <c r="I57" s="444" t="str">
        <f t="shared" si="5"/>
        <v>खि khi</v>
      </c>
      <c r="J57" s="444" t="str">
        <f>J13&amp;" "&amp;J28</f>
        <v>खु khu</v>
      </c>
      <c r="K57" s="444" t="str">
        <f t="shared" si="6"/>
        <v>खे khe</v>
      </c>
      <c r="L57" s="447" t="str">
        <f t="shared" si="6"/>
        <v>खो kho</v>
      </c>
      <c r="M57" s="1589" t="str">
        <f t="shared" si="6"/>
        <v xml:space="preserve"> </v>
      </c>
    </row>
    <row r="58" spans="1:13" ht="16.5" x14ac:dyDescent="0.3">
      <c r="A58" s="194" t="str">
        <f t="shared" si="4"/>
        <v xml:space="preserve"> </v>
      </c>
      <c r="B58" s="1590" t="str">
        <f t="shared" si="4"/>
        <v>वरुण WEST</v>
      </c>
      <c r="C58" s="1590" t="str">
        <f t="shared" si="4"/>
        <v xml:space="preserve"> </v>
      </c>
      <c r="D58" s="1590" t="str">
        <f>D14&amp;" "&amp;D29</f>
        <v xml:space="preserve"> </v>
      </c>
      <c r="E58" s="1590" t="str">
        <f t="shared" si="5"/>
        <v xml:space="preserve"> </v>
      </c>
      <c r="F58" s="1590" t="str">
        <f t="shared" si="5"/>
        <v xml:space="preserve"> </v>
      </c>
      <c r="G58" s="1590" t="str">
        <f t="shared" si="5"/>
        <v xml:space="preserve"> </v>
      </c>
      <c r="H58" s="1590" t="str">
        <f t="shared" si="5"/>
        <v xml:space="preserve"> </v>
      </c>
      <c r="I58" s="1590" t="str">
        <f t="shared" si="5"/>
        <v xml:space="preserve"> </v>
      </c>
      <c r="J58" s="1590" t="str">
        <f>J14&amp;" "&amp;J29</f>
        <v xml:space="preserve"> </v>
      </c>
      <c r="K58" s="1590" t="str">
        <f t="shared" si="6"/>
        <v xml:space="preserve"> </v>
      </c>
      <c r="L58" s="1590" t="str">
        <f t="shared" si="6"/>
        <v xml:space="preserve"> </v>
      </c>
      <c r="M58" s="196" t="str">
        <f t="shared" si="6"/>
        <v xml:space="preserve"> </v>
      </c>
    </row>
    <row r="59" spans="1:13" x14ac:dyDescent="0.2">
      <c r="A59" t="str">
        <f t="shared" si="4"/>
        <v xml:space="preserve"> </v>
      </c>
      <c r="B59" t="str">
        <f t="shared" si="4"/>
        <v xml:space="preserve"> </v>
      </c>
      <c r="C59" t="str">
        <f t="shared" si="4"/>
        <v xml:space="preserve"> </v>
      </c>
      <c r="D59" t="str">
        <f>D15&amp;" "&amp;D30</f>
        <v xml:space="preserve"> </v>
      </c>
      <c r="E59" t="str">
        <f>E15&amp;" "&amp;E30</f>
        <v xml:space="preserve"> </v>
      </c>
      <c r="F59" t="str">
        <f>F15&amp;" "&amp;F30</f>
        <v xml:space="preserve"> shata patha cakra </v>
      </c>
      <c r="H59" t="str">
        <f>H15&amp;" "&amp;H30</f>
        <v xml:space="preserve"> </v>
      </c>
      <c r="I59" t="str">
        <f>I15&amp;" "&amp;I30</f>
        <v xml:space="preserve"> </v>
      </c>
      <c r="J59" t="str">
        <f>J15&amp;" "&amp;J30</f>
        <v xml:space="preserve"> </v>
      </c>
      <c r="K59" t="str">
        <f t="shared" si="6"/>
        <v xml:space="preserve"> </v>
      </c>
      <c r="L59" t="str">
        <f t="shared" si="6"/>
        <v xml:space="preserve"> </v>
      </c>
      <c r="M59" t="str">
        <f t="shared" si="6"/>
        <v xml:space="preserve"> </v>
      </c>
    </row>
    <row r="60" spans="1:13" x14ac:dyDescent="0.2">
      <c r="A60" s="1591" t="s">
        <v>1311</v>
      </c>
      <c r="B60" s="1591"/>
      <c r="C60" s="1591"/>
      <c r="D60" s="1591"/>
      <c r="E60" s="1591"/>
      <c r="F60" s="1591"/>
      <c r="G60" s="1591"/>
      <c r="H60" s="1591"/>
      <c r="I60" s="1591"/>
      <c r="J60" s="1591"/>
      <c r="K60" s="1591"/>
      <c r="L60" s="1591"/>
      <c r="M60" s="1591"/>
    </row>
    <row r="61" spans="1:13" ht="21" x14ac:dyDescent="0.3">
      <c r="A61" s="172"/>
      <c r="B61" s="448"/>
      <c r="C61" s="219"/>
      <c r="D61" s="219"/>
      <c r="E61" s="219"/>
      <c r="F61" s="219"/>
      <c r="G61" s="219"/>
      <c r="H61" s="219"/>
      <c r="I61" s="219"/>
      <c r="J61" s="219"/>
      <c r="K61" s="219"/>
      <c r="L61" s="219"/>
      <c r="M61" s="173"/>
    </row>
    <row r="62" spans="1:13" x14ac:dyDescent="0.2">
      <c r="A62" s="479"/>
      <c r="B62" s="449" t="s">
        <v>1312</v>
      </c>
      <c r="C62" s="450" t="s">
        <v>1313</v>
      </c>
      <c r="D62" s="450" t="s">
        <v>1314</v>
      </c>
      <c r="E62" s="450" t="s">
        <v>1315</v>
      </c>
      <c r="F62" s="451" t="s">
        <v>1316</v>
      </c>
      <c r="G62" s="421"/>
      <c r="H62" s="452" t="s">
        <v>1317</v>
      </c>
      <c r="I62" s="450" t="s">
        <v>1318</v>
      </c>
      <c r="J62" s="450" t="s">
        <v>1319</v>
      </c>
      <c r="K62" s="450" t="s">
        <v>1320</v>
      </c>
      <c r="L62" s="453" t="s">
        <v>1321</v>
      </c>
      <c r="M62" s="480"/>
    </row>
    <row r="63" spans="1:13" x14ac:dyDescent="0.2">
      <c r="A63" s="481"/>
      <c r="B63" s="454" t="s">
        <v>1322</v>
      </c>
      <c r="C63" s="455" t="s">
        <v>1323</v>
      </c>
      <c r="D63" s="455" t="s">
        <v>1324</v>
      </c>
      <c r="E63" s="455" t="s">
        <v>1325</v>
      </c>
      <c r="F63" s="456" t="s">
        <v>1326</v>
      </c>
      <c r="G63" s="426"/>
      <c r="H63" s="457" t="s">
        <v>1327</v>
      </c>
      <c r="I63" s="455" t="s">
        <v>1328</v>
      </c>
      <c r="J63" s="455" t="s">
        <v>1329</v>
      </c>
      <c r="K63" s="455" t="s">
        <v>1330</v>
      </c>
      <c r="L63" s="458" t="s">
        <v>1331</v>
      </c>
      <c r="M63" s="482"/>
    </row>
    <row r="64" spans="1:13" x14ac:dyDescent="0.2">
      <c r="A64" s="481"/>
      <c r="B64" s="454" t="s">
        <v>1332</v>
      </c>
      <c r="C64" s="455" t="s">
        <v>1333</v>
      </c>
      <c r="D64" s="483" t="s">
        <v>1334</v>
      </c>
      <c r="E64" s="455" t="s">
        <v>1335</v>
      </c>
      <c r="F64" s="456" t="s">
        <v>1336</v>
      </c>
      <c r="G64" s="426"/>
      <c r="H64" s="457" t="s">
        <v>1337</v>
      </c>
      <c r="I64" s="455" t="s">
        <v>1338</v>
      </c>
      <c r="J64" s="483" t="s">
        <v>1339</v>
      </c>
      <c r="K64" s="455" t="s">
        <v>1340</v>
      </c>
      <c r="L64" s="458" t="s">
        <v>1341</v>
      </c>
      <c r="M64" s="482"/>
    </row>
    <row r="65" spans="1:13" x14ac:dyDescent="0.2">
      <c r="A65" s="481"/>
      <c r="B65" s="454" t="s">
        <v>1343</v>
      </c>
      <c r="C65" s="455" t="s">
        <v>1344</v>
      </c>
      <c r="D65" s="455" t="s">
        <v>1345</v>
      </c>
      <c r="E65" s="455" t="s">
        <v>1346</v>
      </c>
      <c r="F65" s="456" t="s">
        <v>1347</v>
      </c>
      <c r="G65" s="426"/>
      <c r="H65" s="457" t="s">
        <v>1348</v>
      </c>
      <c r="I65" s="455" t="s">
        <v>1349</v>
      </c>
      <c r="J65" s="455" t="s">
        <v>1350</v>
      </c>
      <c r="K65" s="455" t="s">
        <v>1351</v>
      </c>
      <c r="L65" s="458" t="s">
        <v>1352</v>
      </c>
      <c r="M65" s="482"/>
    </row>
    <row r="66" spans="1:13" x14ac:dyDescent="0.2">
      <c r="A66" s="481"/>
      <c r="B66" s="460" t="s">
        <v>1353</v>
      </c>
      <c r="C66" s="461" t="s">
        <v>1354</v>
      </c>
      <c r="D66" s="461" t="s">
        <v>1355</v>
      </c>
      <c r="E66" s="461" t="s">
        <v>1356</v>
      </c>
      <c r="F66" s="462" t="s">
        <v>1357</v>
      </c>
      <c r="G66" s="426"/>
      <c r="H66" s="463" t="s">
        <v>1358</v>
      </c>
      <c r="I66" s="464" t="s">
        <v>1359</v>
      </c>
      <c r="J66" s="464" t="s">
        <v>1360</v>
      </c>
      <c r="K66" s="464" t="s">
        <v>1361</v>
      </c>
      <c r="L66" s="465" t="s">
        <v>1362</v>
      </c>
      <c r="M66" s="482"/>
    </row>
    <row r="67" spans="1:13" x14ac:dyDescent="0.2">
      <c r="A67" s="481"/>
      <c r="B67" s="425"/>
      <c r="C67" s="426"/>
      <c r="D67" s="426"/>
      <c r="E67" s="426"/>
      <c r="F67" s="426"/>
      <c r="G67" s="426"/>
      <c r="H67" s="426"/>
      <c r="I67" s="426"/>
      <c r="J67" s="426"/>
      <c r="K67" s="426"/>
      <c r="L67" s="429"/>
      <c r="M67" s="482"/>
    </row>
    <row r="68" spans="1:13" x14ac:dyDescent="0.2">
      <c r="A68" s="481"/>
      <c r="B68" s="473" t="s">
        <v>1363</v>
      </c>
      <c r="C68" s="473" t="s">
        <v>1364</v>
      </c>
      <c r="D68" s="473" t="s">
        <v>1365</v>
      </c>
      <c r="E68" s="476" t="s">
        <v>1366</v>
      </c>
      <c r="F68" s="466" t="s">
        <v>1367</v>
      </c>
      <c r="G68" s="426"/>
      <c r="H68" s="469" t="s">
        <v>1368</v>
      </c>
      <c r="I68" s="467" t="s">
        <v>1369</v>
      </c>
      <c r="J68" s="467" t="s">
        <v>1370</v>
      </c>
      <c r="K68" s="467" t="s">
        <v>1371</v>
      </c>
      <c r="L68" s="470" t="s">
        <v>1372</v>
      </c>
      <c r="M68" s="482"/>
    </row>
    <row r="69" spans="1:13" x14ac:dyDescent="0.2">
      <c r="A69" s="481"/>
      <c r="B69" s="467" t="s">
        <v>1373</v>
      </c>
      <c r="C69" s="467" t="s">
        <v>1374</v>
      </c>
      <c r="D69" s="467" t="s">
        <v>1375</v>
      </c>
      <c r="E69" s="468" t="s">
        <v>1376</v>
      </c>
      <c r="F69" s="454" t="s">
        <v>1377</v>
      </c>
      <c r="G69" s="426"/>
      <c r="H69" s="457" t="s">
        <v>1378</v>
      </c>
      <c r="I69" s="455" t="s">
        <v>1379</v>
      </c>
      <c r="J69" s="455" t="s">
        <v>1380</v>
      </c>
      <c r="K69" s="455" t="s">
        <v>1381</v>
      </c>
      <c r="L69" s="458" t="s">
        <v>1382</v>
      </c>
      <c r="M69" s="482"/>
    </row>
    <row r="70" spans="1:13" x14ac:dyDescent="0.2">
      <c r="A70" s="481"/>
      <c r="B70" s="455" t="s">
        <v>1383</v>
      </c>
      <c r="C70" s="455" t="s">
        <v>1384</v>
      </c>
      <c r="D70" s="455" t="s">
        <v>1385</v>
      </c>
      <c r="E70" s="459" t="s">
        <v>1386</v>
      </c>
      <c r="F70" s="459" t="s">
        <v>1387</v>
      </c>
      <c r="G70" s="426"/>
      <c r="H70" s="457" t="s">
        <v>1388</v>
      </c>
      <c r="I70" s="455" t="s">
        <v>1389</v>
      </c>
      <c r="J70" s="483" t="s">
        <v>1390</v>
      </c>
      <c r="K70" s="455" t="s">
        <v>1391</v>
      </c>
      <c r="L70" s="458" t="s">
        <v>1392</v>
      </c>
      <c r="M70" s="482"/>
    </row>
    <row r="71" spans="1:13" x14ac:dyDescent="0.2">
      <c r="A71" s="481"/>
      <c r="B71" s="459" t="s">
        <v>1393</v>
      </c>
      <c r="C71" s="459" t="s">
        <v>1394</v>
      </c>
      <c r="D71" s="455" t="s">
        <v>1395</v>
      </c>
      <c r="E71" s="471" t="s">
        <v>1396</v>
      </c>
      <c r="F71" s="454" t="s">
        <v>1397</v>
      </c>
      <c r="G71" s="426"/>
      <c r="H71" s="457" t="s">
        <v>1398</v>
      </c>
      <c r="I71" s="455" t="s">
        <v>1399</v>
      </c>
      <c r="J71" t="s">
        <v>1400</v>
      </c>
      <c r="K71" t="s">
        <v>1401</v>
      </c>
      <c r="L71" t="s">
        <v>1402</v>
      </c>
      <c r="M71" s="482"/>
    </row>
    <row r="72" spans="1:13" x14ac:dyDescent="0.2">
      <c r="A72" s="481"/>
      <c r="B72" s="455" t="s">
        <v>1403</v>
      </c>
      <c r="C72" s="455" t="s">
        <v>1404</v>
      </c>
      <c r="D72" s="455" t="s">
        <v>1405</v>
      </c>
      <c r="E72" s="471" t="s">
        <v>1406</v>
      </c>
      <c r="F72" s="472" t="s">
        <v>1407</v>
      </c>
      <c r="G72" s="444"/>
      <c r="H72" t="s">
        <v>1402</v>
      </c>
      <c r="I72" s="455" t="s">
        <v>1408</v>
      </c>
      <c r="J72" s="455" t="s">
        <v>1409</v>
      </c>
      <c r="K72" s="458" t="s">
        <v>1410</v>
      </c>
      <c r="L72" s="475" t="s">
        <v>1411</v>
      </c>
      <c r="M72" s="482"/>
    </row>
    <row r="73" spans="1:13" ht="26.25" x14ac:dyDescent="0.55000000000000004">
      <c r="A73" s="194"/>
      <c r="B73" s="477"/>
      <c r="C73" s="195"/>
      <c r="D73" s="195"/>
      <c r="E73" s="195"/>
      <c r="F73" s="195"/>
      <c r="G73" s="195"/>
      <c r="H73" s="195"/>
      <c r="I73" s="195"/>
      <c r="J73" s="195"/>
      <c r="K73" s="195"/>
      <c r="L73" s="195"/>
      <c r="M73" s="484" t="s">
        <v>1412</v>
      </c>
    </row>
    <row r="75" spans="1:13" x14ac:dyDescent="0.2">
      <c r="A75" s="1593" t="str">
        <f t="shared" ref="A75:M75" si="7">A60&amp;CHAR(10)&amp;A45</f>
        <v xml:space="preserve">Hundred Paths Chakra
शत पथ चक्र śata patha cakra </v>
      </c>
      <c r="B75" s="1593" t="str">
        <f t="shared" si="7"/>
        <v xml:space="preserve">
 </v>
      </c>
      <c r="C75" s="1593" t="str">
        <f t="shared" si="7"/>
        <v xml:space="preserve">
 </v>
      </c>
      <c r="D75" s="1593" t="str">
        <f t="shared" si="7"/>
        <v xml:space="preserve">
 </v>
      </c>
      <c r="E75" s="1593" t="str">
        <f t="shared" si="7"/>
        <v xml:space="preserve">
 </v>
      </c>
      <c r="F75" s="1593" t="str">
        <f t="shared" si="7"/>
        <v xml:space="preserve">
 </v>
      </c>
      <c r="G75" s="1593" t="str">
        <f t="shared" si="7"/>
        <v xml:space="preserve">
 </v>
      </c>
      <c r="H75" s="1593" t="str">
        <f t="shared" si="7"/>
        <v xml:space="preserve">
 </v>
      </c>
      <c r="I75" s="1593" t="str">
        <f t="shared" si="7"/>
        <v xml:space="preserve">
 </v>
      </c>
      <c r="J75" s="1593" t="str">
        <f t="shared" si="7"/>
        <v xml:space="preserve">
 </v>
      </c>
      <c r="K75" s="1593" t="str">
        <f t="shared" si="7"/>
        <v xml:space="preserve">
 </v>
      </c>
      <c r="L75" s="1593" t="str">
        <f t="shared" si="7"/>
        <v xml:space="preserve">
 </v>
      </c>
      <c r="M75" s="1593" t="str">
        <f t="shared" si="7"/>
        <v xml:space="preserve">
 </v>
      </c>
    </row>
    <row r="76" spans="1:13" ht="37.5" x14ac:dyDescent="0.25">
      <c r="A76" s="485" t="str">
        <f t="shared" ref="A76:M76" si="8">A61&amp;CHAR(10)&amp;A46</f>
        <v xml:space="preserve">
 </v>
      </c>
      <c r="B76" s="1594" t="str">
        <f t="shared" si="8"/>
        <v xml:space="preserve">
इन्द्र EAST</v>
      </c>
      <c r="C76" s="1594" t="str">
        <f t="shared" si="8"/>
        <v xml:space="preserve">
 </v>
      </c>
      <c r="D76" s="1594" t="str">
        <f t="shared" si="8"/>
        <v xml:space="preserve">
 </v>
      </c>
      <c r="E76" s="1594" t="str">
        <f t="shared" si="8"/>
        <v xml:space="preserve">
 </v>
      </c>
      <c r="F76" s="1594" t="str">
        <f t="shared" si="8"/>
        <v xml:space="preserve">
 </v>
      </c>
      <c r="G76" s="1594" t="str">
        <f t="shared" si="8"/>
        <v xml:space="preserve">
 </v>
      </c>
      <c r="H76" s="1594" t="str">
        <f t="shared" si="8"/>
        <v xml:space="preserve">
 </v>
      </c>
      <c r="I76" s="1594" t="str">
        <f t="shared" si="8"/>
        <v xml:space="preserve">
 </v>
      </c>
      <c r="J76" s="1594" t="str">
        <f t="shared" si="8"/>
        <v xml:space="preserve">
 </v>
      </c>
      <c r="K76" s="1594" t="str">
        <f t="shared" si="8"/>
        <v xml:space="preserve">
 </v>
      </c>
      <c r="L76" s="1594" t="str">
        <f t="shared" si="8"/>
        <v xml:space="preserve">
 </v>
      </c>
      <c r="M76" s="486" t="str">
        <f t="shared" si="8"/>
        <v xml:space="preserve">
 </v>
      </c>
    </row>
    <row r="77" spans="1:13" ht="45.75" x14ac:dyDescent="0.25">
      <c r="A77" s="1595" t="str">
        <f t="shared" ref="A77:L77" si="9">A62&amp;CHAR(10)&amp;A47</f>
        <v xml:space="preserve">
कुबेर NORTH</v>
      </c>
      <c r="B77" s="487" t="str">
        <f t="shared" si="9"/>
        <v>Krittika 1
अ a</v>
      </c>
      <c r="C77" s="487" t="str">
        <f t="shared" si="9"/>
        <v>Krittika 2
इ i</v>
      </c>
      <c r="D77" s="487" t="str">
        <f t="shared" si="9"/>
        <v>Krittika 3
उ u</v>
      </c>
      <c r="E77" s="487" t="str">
        <f t="shared" si="9"/>
        <v>Krittika 4
ए e</v>
      </c>
      <c r="F77" s="487" t="str">
        <f t="shared" si="9"/>
        <v>Rohini 1
ओ o</v>
      </c>
      <c r="G77" s="487" t="str">
        <f t="shared" si="9"/>
        <v xml:space="preserve">
 </v>
      </c>
      <c r="H77" s="487" t="str">
        <f t="shared" si="9"/>
        <v>Magha 1
म ma</v>
      </c>
      <c r="I77" s="487" t="str">
        <f t="shared" si="9"/>
        <v>Magha 2
मि mi</v>
      </c>
      <c r="J77" s="487" t="str">
        <f t="shared" si="9"/>
        <v>Magha 3
मु mu</v>
      </c>
      <c r="K77" s="487" t="str">
        <f t="shared" si="9"/>
        <v>Magha 4
मे me</v>
      </c>
      <c r="L77" s="487" t="str">
        <f t="shared" si="9"/>
        <v>P.Phaluguni 1
मो mo</v>
      </c>
      <c r="M77" s="1596" t="str">
        <f>M62&amp;CHAR(10)&amp;M47</f>
        <v xml:space="preserve">
यम SOUTH</v>
      </c>
    </row>
    <row r="78" spans="1:13" ht="45.75" x14ac:dyDescent="0.25">
      <c r="A78" s="1595" t="str">
        <f t="shared" ref="A78:M78" si="10">A63&amp;CHAR(10)&amp;A48</f>
        <v xml:space="preserve">
 </v>
      </c>
      <c r="B78" s="487" t="str">
        <f t="shared" si="10"/>
        <v>Rohini 2
व va</v>
      </c>
      <c r="C78" s="487" t="str">
        <f t="shared" si="10"/>
        <v>Rohini 3
वि vi</v>
      </c>
      <c r="D78" s="487" t="str">
        <f t="shared" si="10"/>
        <v>Rohini 4
वु vu</v>
      </c>
      <c r="E78" s="487" t="str">
        <f t="shared" si="10"/>
        <v>Mrigashir 1
वे ve</v>
      </c>
      <c r="F78" s="487" t="str">
        <f t="shared" si="10"/>
        <v>Mrigashir 2
वो vo</v>
      </c>
      <c r="G78" s="487" t="str">
        <f t="shared" si="10"/>
        <v xml:space="preserve">
 </v>
      </c>
      <c r="H78" s="487" t="str">
        <f t="shared" si="10"/>
        <v>P.Phalguni 2
ट ṭa</v>
      </c>
      <c r="I78" s="487" t="str">
        <f t="shared" si="10"/>
        <v>P.Phalguni 3
टि ṭi</v>
      </c>
      <c r="J78" s="487" t="str">
        <f t="shared" si="10"/>
        <v>P.Phalguni 4
टु ṭu</v>
      </c>
      <c r="K78" s="487" t="str">
        <f t="shared" si="10"/>
        <v>U.Phalguni 1
टे ṭe</v>
      </c>
      <c r="L78" s="487" t="str">
        <f t="shared" si="10"/>
        <v>U.Phalguni 2
टो ṭo</v>
      </c>
      <c r="M78" s="1596" t="str">
        <f t="shared" si="10"/>
        <v xml:space="preserve">
 </v>
      </c>
    </row>
    <row r="79" spans="1:13" ht="64.5" x14ac:dyDescent="0.25">
      <c r="A79" s="1595" t="str">
        <f t="shared" ref="A79:M79" si="11">A64&amp;CHAR(10)&amp;A49</f>
        <v xml:space="preserve">
 </v>
      </c>
      <c r="B79" s="487" t="str">
        <f t="shared" si="11"/>
        <v>Mrigashir 3
क ka</v>
      </c>
      <c r="C79" s="487" t="str">
        <f t="shared" si="11"/>
        <v>Mrigashir 4
कि ki</v>
      </c>
      <c r="D79" s="487" t="str">
        <f t="shared" si="11"/>
        <v>Ardra 1-4
कु घ ङ च
 ku gha ṅa ca</v>
      </c>
      <c r="E79" s="487" t="str">
        <f t="shared" si="11"/>
        <v>Punarvasu 1
के ke</v>
      </c>
      <c r="F79" s="487" t="str">
        <f t="shared" si="11"/>
        <v>Punarvasu 2
को ko</v>
      </c>
      <c r="G79" s="487" t="str">
        <f t="shared" si="11"/>
        <v xml:space="preserve">
 </v>
      </c>
      <c r="H79" s="487" t="str">
        <f t="shared" si="11"/>
        <v>U.Phalguni 3
प pa</v>
      </c>
      <c r="I79" s="487" t="str">
        <f t="shared" si="11"/>
        <v>U.Phalguni 4
पि pi</v>
      </c>
      <c r="J79" s="487" t="str">
        <f t="shared" si="11"/>
        <v>Hasta 1-4
 पु ष ण ठ
 pu ṣa ṇa ṭha</v>
      </c>
      <c r="K79" s="487" t="str">
        <f t="shared" si="11"/>
        <v>Chitra 1
पे pe</v>
      </c>
      <c r="L79" s="487" t="str">
        <f t="shared" si="11"/>
        <v>Chitra 2
पो po</v>
      </c>
      <c r="M79" s="1596" t="str">
        <f t="shared" si="11"/>
        <v xml:space="preserve">
 </v>
      </c>
    </row>
    <row r="80" spans="1:13" ht="45.75" x14ac:dyDescent="0.25">
      <c r="A80" s="1595" t="str">
        <f t="shared" ref="A80:M80" si="12">A65&amp;CHAR(10)&amp;A50</f>
        <v xml:space="preserve">
 </v>
      </c>
      <c r="B80" s="487" t="str">
        <f t="shared" si="12"/>
        <v>Punarvasu 3
ह ha</v>
      </c>
      <c r="C80" s="487" t="str">
        <f t="shared" si="12"/>
        <v>Punarvasu 4
हि hi</v>
      </c>
      <c r="D80" s="487" t="str">
        <f t="shared" si="12"/>
        <v>Pushya 1
हु hu</v>
      </c>
      <c r="E80" s="487" t="str">
        <f t="shared" si="12"/>
        <v>Pushya 2
हे he</v>
      </c>
      <c r="F80" s="487" t="str">
        <f t="shared" si="12"/>
        <v>Pushya 3
हो ho</v>
      </c>
      <c r="G80" s="487" t="str">
        <f t="shared" si="12"/>
        <v xml:space="preserve">
 </v>
      </c>
      <c r="H80" s="487" t="str">
        <f t="shared" si="12"/>
        <v>Chitra 3
र ra</v>
      </c>
      <c r="I80" s="487" t="str">
        <f t="shared" si="12"/>
        <v>Chitra 4
रि ri</v>
      </c>
      <c r="J80" s="487" t="str">
        <f t="shared" si="12"/>
        <v>Swati 1
रु ru</v>
      </c>
      <c r="K80" s="487" t="str">
        <f t="shared" si="12"/>
        <v>Swati 2
रे re</v>
      </c>
      <c r="L80" s="487" t="str">
        <f t="shared" si="12"/>
        <v>Swati 3
रो ro</v>
      </c>
      <c r="M80" s="1596" t="str">
        <f t="shared" si="12"/>
        <v xml:space="preserve">
 </v>
      </c>
    </row>
    <row r="81" spans="1:13" ht="45.75" x14ac:dyDescent="0.25">
      <c r="A81" s="1595" t="str">
        <f t="shared" ref="A81:M81" si="13">A66&amp;CHAR(10)&amp;A51</f>
        <v xml:space="preserve">
 </v>
      </c>
      <c r="B81" s="487" t="str">
        <f t="shared" si="13"/>
        <v>Pushya 4
ड ḍa</v>
      </c>
      <c r="C81" s="487" t="str">
        <f t="shared" si="13"/>
        <v>Ashlesha 1
डि ḍi</v>
      </c>
      <c r="D81" s="487" t="str">
        <f t="shared" si="13"/>
        <v>Ashlesha 2
डु ḍu</v>
      </c>
      <c r="E81" s="487" t="str">
        <f t="shared" si="13"/>
        <v>Ashlesha 3
डे ḍe</v>
      </c>
      <c r="F81" s="487" t="str">
        <f t="shared" si="13"/>
        <v>Ashlesha 4
डो ḍo</v>
      </c>
      <c r="G81" s="487" t="str">
        <f t="shared" si="13"/>
        <v xml:space="preserve">
 </v>
      </c>
      <c r="H81" s="487" t="str">
        <f t="shared" si="13"/>
        <v>Swati 4
त ta</v>
      </c>
      <c r="I81" s="487" t="str">
        <f t="shared" si="13"/>
        <v>Vishaka 1
ति ti</v>
      </c>
      <c r="J81" s="487" t="str">
        <f t="shared" si="13"/>
        <v>Vishaka 2
तु tu</v>
      </c>
      <c r="K81" s="487" t="str">
        <f t="shared" si="13"/>
        <v>Vishaka 3
ते te</v>
      </c>
      <c r="L81" s="487" t="str">
        <f t="shared" si="13"/>
        <v>Vishaka 4
तो to</v>
      </c>
      <c r="M81" s="1596" t="str">
        <f t="shared" si="13"/>
        <v xml:space="preserve">
 </v>
      </c>
    </row>
    <row r="82" spans="1:13" ht="14.25" customHeight="1" x14ac:dyDescent="0.25">
      <c r="A82" s="1595" t="str">
        <f t="shared" ref="A82:M82" si="14">A67&amp;CHAR(10)&amp;A52</f>
        <v xml:space="preserve">
 </v>
      </c>
      <c r="B82" s="487" t="str">
        <f t="shared" si="14"/>
        <v xml:space="preserve">
 </v>
      </c>
      <c r="C82" s="487" t="str">
        <f t="shared" si="14"/>
        <v xml:space="preserve">
 </v>
      </c>
      <c r="D82" s="487" t="str">
        <f t="shared" si="14"/>
        <v xml:space="preserve">
 </v>
      </c>
      <c r="E82" s="487" t="str">
        <f t="shared" si="14"/>
        <v xml:space="preserve">
 </v>
      </c>
      <c r="F82" s="487" t="str">
        <f t="shared" si="14"/>
        <v xml:space="preserve">
 </v>
      </c>
      <c r="G82" s="487" t="str">
        <f t="shared" si="14"/>
        <v xml:space="preserve">
 </v>
      </c>
      <c r="H82" s="487" t="str">
        <f t="shared" si="14"/>
        <v xml:space="preserve">
 </v>
      </c>
      <c r="I82" s="487" t="str">
        <f t="shared" si="14"/>
        <v xml:space="preserve">
 </v>
      </c>
      <c r="J82" s="487" t="str">
        <f t="shared" si="14"/>
        <v xml:space="preserve">
 </v>
      </c>
      <c r="K82" s="487" t="str">
        <f t="shared" si="14"/>
        <v xml:space="preserve">
 </v>
      </c>
      <c r="L82" s="487" t="str">
        <f t="shared" si="14"/>
        <v xml:space="preserve">
 </v>
      </c>
      <c r="M82" s="1596" t="str">
        <f t="shared" si="14"/>
        <v xml:space="preserve">
 </v>
      </c>
    </row>
    <row r="83" spans="1:13" ht="45.75" x14ac:dyDescent="0.25">
      <c r="A83" s="1595" t="str">
        <f t="shared" ref="A83:M83" si="15">A68&amp;CHAR(10)&amp;A53</f>
        <v xml:space="preserve">
 </v>
      </c>
      <c r="B83" s="487" t="str">
        <f t="shared" si="15"/>
        <v>Dhanishta 1
ग ga</v>
      </c>
      <c r="C83" s="487" t="str">
        <f t="shared" si="15"/>
        <v>Dhanishta 2
गि gi</v>
      </c>
      <c r="D83" s="487" t="str">
        <f t="shared" si="15"/>
        <v>Dhanishta 3
गु gu</v>
      </c>
      <c r="E83" s="487" t="str">
        <f t="shared" si="15"/>
        <v>Dhanishta 4
गे ge</v>
      </c>
      <c r="F83" s="487" t="str">
        <f t="shared" si="15"/>
        <v>Shatbhishaj 1
गो go</v>
      </c>
      <c r="G83" s="487" t="str">
        <f t="shared" si="15"/>
        <v xml:space="preserve">
 </v>
      </c>
      <c r="H83" s="487" t="str">
        <f t="shared" si="15"/>
        <v>Anuradha 1
न na</v>
      </c>
      <c r="I83" s="487" t="str">
        <f t="shared" si="15"/>
        <v>Anuradha 2
नि ni</v>
      </c>
      <c r="J83" s="487" t="str">
        <f t="shared" si="15"/>
        <v>Anuradha 3
नु nu</v>
      </c>
      <c r="K83" s="487" t="str">
        <f t="shared" si="15"/>
        <v>Anuradha 4
ने ne</v>
      </c>
      <c r="L83" s="487" t="str">
        <f t="shared" si="15"/>
        <v>Jyeshta 1
नो no</v>
      </c>
      <c r="M83" s="1596" t="str">
        <f t="shared" si="15"/>
        <v xml:space="preserve">
 </v>
      </c>
    </row>
    <row r="84" spans="1:13" ht="45.75" x14ac:dyDescent="0.25">
      <c r="A84" s="1595" t="str">
        <f t="shared" ref="A84:M84" si="16">A69&amp;CHAR(10)&amp;A54</f>
        <v xml:space="preserve">
 </v>
      </c>
      <c r="B84" s="487" t="str">
        <f t="shared" si="16"/>
        <v>Shatabhishaj 2
स sa</v>
      </c>
      <c r="C84" s="487" t="str">
        <f t="shared" si="16"/>
        <v>Shatabhishaj 3
सि si</v>
      </c>
      <c r="D84" s="487" t="str">
        <f t="shared" si="16"/>
        <v>Shatabhishaj 4
सु su</v>
      </c>
      <c r="E84" s="487" t="str">
        <f t="shared" si="16"/>
        <v>P.Bhadra 1
से se</v>
      </c>
      <c r="F84" s="487" t="str">
        <f t="shared" si="16"/>
        <v>P.Bhadra 2
सो so</v>
      </c>
      <c r="G84" s="487" t="str">
        <f t="shared" si="16"/>
        <v xml:space="preserve">
 </v>
      </c>
      <c r="H84" s="487" t="str">
        <f t="shared" si="16"/>
        <v>Jyeshta 2
य ya</v>
      </c>
      <c r="I84" s="487" t="str">
        <f t="shared" si="16"/>
        <v>Jyeshta 3
यि yi</v>
      </c>
      <c r="J84" s="487" t="str">
        <f t="shared" si="16"/>
        <v>Jyestha 4
यु yu</v>
      </c>
      <c r="K84" s="487" t="str">
        <f t="shared" si="16"/>
        <v>Moola 1
ये ye</v>
      </c>
      <c r="L84" s="487" t="str">
        <f t="shared" si="16"/>
        <v>Moola 2
यो yo</v>
      </c>
      <c r="M84" s="1596" t="str">
        <f t="shared" si="16"/>
        <v xml:space="preserve">
 </v>
      </c>
    </row>
    <row r="85" spans="1:13" ht="64.5" x14ac:dyDescent="0.25">
      <c r="A85" s="1595" t="str">
        <f t="shared" ref="A85:M85" si="17">A70&amp;CHAR(10)&amp;A55</f>
        <v xml:space="preserve">
 </v>
      </c>
      <c r="B85" s="487" t="str">
        <f t="shared" si="17"/>
        <v>P.Bhadra 3
द da</v>
      </c>
      <c r="C85" s="487" t="str">
        <f t="shared" si="17"/>
        <v>P.Bhadra 4
दि di</v>
      </c>
      <c r="D85" s="487" t="str">
        <f t="shared" si="17"/>
        <v>U.Bhadra 1-4
दु थ झ म
 du tha jha ma</v>
      </c>
      <c r="E85" s="487" t="str">
        <f t="shared" si="17"/>
        <v>Revati 1
दे de</v>
      </c>
      <c r="F85" s="487" t="str">
        <f t="shared" si="17"/>
        <v>Revati 2
दो do</v>
      </c>
      <c r="G85" s="487" t="str">
        <f t="shared" si="17"/>
        <v xml:space="preserve">
 </v>
      </c>
      <c r="H85" s="487" t="str">
        <f t="shared" si="17"/>
        <v>Moola 3
भ bha</v>
      </c>
      <c r="I85" s="487" t="str">
        <f t="shared" si="17"/>
        <v>Moola 4
भि bhi</v>
      </c>
      <c r="J85" s="487" t="str">
        <f t="shared" si="17"/>
        <v>P.Ashada 1-4
भु ध फ ट
 bhu dha pha ṭa</v>
      </c>
      <c r="K85" s="487" t="str">
        <f t="shared" si="17"/>
        <v>U.Ashada 1
भे bhe</v>
      </c>
      <c r="L85" s="487" t="str">
        <f t="shared" si="17"/>
        <v>U.Ashada 2
भो bho</v>
      </c>
      <c r="M85" s="1596" t="str">
        <f t="shared" si="17"/>
        <v xml:space="preserve">
 </v>
      </c>
    </row>
    <row r="86" spans="1:13" ht="45.75" x14ac:dyDescent="0.25">
      <c r="A86" s="1595" t="str">
        <f t="shared" ref="A86:M86" si="18">A71&amp;CHAR(10)&amp;A56</f>
        <v xml:space="preserve">
 </v>
      </c>
      <c r="B86" s="487" t="str">
        <f t="shared" si="18"/>
        <v>Revati 3
च ca</v>
      </c>
      <c r="C86" s="487" t="str">
        <f t="shared" si="18"/>
        <v>Revati 4
चि ci</v>
      </c>
      <c r="D86" s="487" t="str">
        <f t="shared" si="18"/>
        <v>Ashvini 1
चु cu</v>
      </c>
      <c r="E86" s="487" t="str">
        <f t="shared" si="18"/>
        <v>Ashvini 2
चे ce</v>
      </c>
      <c r="F86" s="487" t="str">
        <f t="shared" si="18"/>
        <v>Ashvini 3
चो co</v>
      </c>
      <c r="G86" s="487" t="str">
        <f t="shared" si="18"/>
        <v xml:space="preserve">
 </v>
      </c>
      <c r="H86" s="487" t="str">
        <f t="shared" si="18"/>
        <v>U.Ashada 3
ज ja</v>
      </c>
      <c r="I86" s="487" t="str">
        <f t="shared" si="18"/>
        <v>U.Ashada 4
जि ji</v>
      </c>
      <c r="J86" s="487" t="str">
        <f t="shared" si="18"/>
        <v>Abhijit 1
जु ju</v>
      </c>
      <c r="K86" s="487" t="str">
        <f t="shared" si="18"/>
        <v>Abhijit 2
जे je</v>
      </c>
      <c r="L86" s="487" t="str">
        <f t="shared" si="18"/>
        <v>Abhijit 3
जो jo</v>
      </c>
      <c r="M86" s="1596" t="str">
        <f t="shared" si="18"/>
        <v xml:space="preserve">
 </v>
      </c>
    </row>
    <row r="87" spans="1:13" ht="45.75" x14ac:dyDescent="0.25">
      <c r="A87" s="1595" t="str">
        <f t="shared" ref="A87:M87" si="19">A72&amp;CHAR(10)&amp;A57</f>
        <v xml:space="preserve">
 </v>
      </c>
      <c r="B87" s="487" t="str">
        <f t="shared" si="19"/>
        <v>Ashvini 4
ल la</v>
      </c>
      <c r="C87" s="487" t="str">
        <f t="shared" si="19"/>
        <v>Bharani 1
लि li</v>
      </c>
      <c r="D87" s="487" t="str">
        <f t="shared" si="19"/>
        <v>Bharani 2
लु lu</v>
      </c>
      <c r="E87" s="487" t="str">
        <f t="shared" si="19"/>
        <v>Bharani 3
ले le</v>
      </c>
      <c r="F87" s="487" t="str">
        <f t="shared" si="19"/>
        <v>Bharini 4
लो lo</v>
      </c>
      <c r="G87" s="487" t="str">
        <f t="shared" si="19"/>
        <v xml:space="preserve">
 </v>
      </c>
      <c r="H87" s="487" t="str">
        <f t="shared" si="19"/>
        <v>Abhijit 3
ख kha</v>
      </c>
      <c r="I87" s="487" t="str">
        <f t="shared" si="19"/>
        <v>Sravana 1
खि khi</v>
      </c>
      <c r="J87" s="487" t="str">
        <f t="shared" si="19"/>
        <v>Sravana 2
खु khu</v>
      </c>
      <c r="K87" s="487" t="str">
        <f t="shared" si="19"/>
        <v>Sravana 3
खे khe</v>
      </c>
      <c r="L87" s="487" t="str">
        <f t="shared" si="19"/>
        <v>Sravana 4
खो kho</v>
      </c>
      <c r="M87" s="1596" t="str">
        <f t="shared" si="19"/>
        <v xml:space="preserve">
 </v>
      </c>
    </row>
    <row r="88" spans="1:13" ht="37.5" x14ac:dyDescent="0.25">
      <c r="A88" s="488" t="str">
        <f t="shared" ref="A88:L88" si="20">A73&amp;CHAR(10)&amp;A58</f>
        <v xml:space="preserve">
 </v>
      </c>
      <c r="B88" s="1592" t="str">
        <f t="shared" si="20"/>
        <v xml:space="preserve">
वरुण WEST</v>
      </c>
      <c r="C88" s="1592" t="str">
        <f t="shared" si="20"/>
        <v xml:space="preserve">
 </v>
      </c>
      <c r="D88" s="1592" t="str">
        <f t="shared" si="20"/>
        <v xml:space="preserve">
 </v>
      </c>
      <c r="E88" s="1592" t="str">
        <f t="shared" si="20"/>
        <v xml:space="preserve">
 </v>
      </c>
      <c r="F88" s="1592" t="str">
        <f t="shared" si="20"/>
        <v xml:space="preserve">
 </v>
      </c>
      <c r="G88" s="1592" t="str">
        <f t="shared" si="20"/>
        <v xml:space="preserve">
 </v>
      </c>
      <c r="H88" s="1592" t="str">
        <f t="shared" si="20"/>
        <v xml:space="preserve">
 </v>
      </c>
      <c r="I88" s="1592" t="str">
        <f t="shared" si="20"/>
        <v xml:space="preserve">
 </v>
      </c>
      <c r="J88" s="1592" t="str">
        <f t="shared" si="20"/>
        <v xml:space="preserve">
 </v>
      </c>
      <c r="K88" s="1592" t="str">
        <f t="shared" si="20"/>
        <v xml:space="preserve">
 </v>
      </c>
      <c r="L88" s="1592" t="str">
        <f t="shared" si="20"/>
        <v xml:space="preserve">
 </v>
      </c>
      <c r="M88" s="489" t="str">
        <f>M73&amp;CHAR(10)&amp;M58</f>
        <v xml:space="preserve">©Sanjay Prabhakaran
 </v>
      </c>
    </row>
    <row r="97" spans="1:13" ht="41.25" x14ac:dyDescent="0.2">
      <c r="A97" s="98" t="str">
        <f t="shared" ref="A97:M97" si="21">A82&amp;CHAR(10)&amp;A67</f>
        <v xml:space="preserve">
</v>
      </c>
      <c r="B97" s="98" t="str">
        <f t="shared" si="21"/>
        <v xml:space="preserve">
</v>
      </c>
      <c r="C97" s="98" t="str">
        <f t="shared" si="21"/>
        <v xml:space="preserve">
</v>
      </c>
      <c r="D97" s="98" t="str">
        <f t="shared" si="21"/>
        <v xml:space="preserve">
</v>
      </c>
      <c r="E97" s="98" t="str">
        <f t="shared" si="21"/>
        <v xml:space="preserve">
</v>
      </c>
      <c r="F97" s="98" t="str">
        <f t="shared" si="21"/>
        <v xml:space="preserve">
</v>
      </c>
      <c r="G97" s="98" t="str">
        <f t="shared" si="21"/>
        <v xml:space="preserve">
</v>
      </c>
      <c r="H97" s="98" t="str">
        <f t="shared" si="21"/>
        <v xml:space="preserve">
</v>
      </c>
      <c r="I97" s="98" t="str">
        <f t="shared" si="21"/>
        <v xml:space="preserve">
</v>
      </c>
      <c r="J97" s="98" t="str">
        <f t="shared" si="21"/>
        <v xml:space="preserve">
</v>
      </c>
      <c r="K97" s="98" t="str">
        <f t="shared" si="21"/>
        <v xml:space="preserve">
</v>
      </c>
      <c r="L97" s="98" t="str">
        <f t="shared" si="21"/>
        <v xml:space="preserve">
</v>
      </c>
      <c r="M97" s="98" t="str">
        <f t="shared" si="21"/>
        <v xml:space="preserve">
</v>
      </c>
    </row>
  </sheetData>
  <sheetProtection selectLockedCells="1" selectUnlockedCells="1"/>
  <mergeCells count="26">
    <mergeCell ref="A1:M1"/>
    <mergeCell ref="B2:L2"/>
    <mergeCell ref="A3:A13"/>
    <mergeCell ref="M3:M13"/>
    <mergeCell ref="M32:M42"/>
    <mergeCell ref="B14:L14"/>
    <mergeCell ref="A16:M16"/>
    <mergeCell ref="B17:L17"/>
    <mergeCell ref="A18:A28"/>
    <mergeCell ref="M18:M28"/>
    <mergeCell ref="B43:L43"/>
    <mergeCell ref="A45:M45"/>
    <mergeCell ref="B46:L46"/>
    <mergeCell ref="B29:L29"/>
    <mergeCell ref="F30:H30"/>
    <mergeCell ref="B31:L31"/>
    <mergeCell ref="A32:A42"/>
    <mergeCell ref="A47:A57"/>
    <mergeCell ref="M47:M57"/>
    <mergeCell ref="B58:L58"/>
    <mergeCell ref="A60:M60"/>
    <mergeCell ref="B88:L88"/>
    <mergeCell ref="A75:M75"/>
    <mergeCell ref="B76:L76"/>
    <mergeCell ref="A77:A87"/>
    <mergeCell ref="M77:M87"/>
  </mergeCells>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6"/>
  <dimension ref="C2:W14"/>
  <sheetViews>
    <sheetView zoomScale="80" zoomScaleNormal="80" zoomScaleSheetLayoutView="75" workbookViewId="0" xr3:uid="{CF366857-BBDD-5199-9BC9-FF52903B0715}">
      <selection activeCell="J16" sqref="J16"/>
    </sheetView>
  </sheetViews>
  <sheetFormatPr defaultColWidth="5.6484375" defaultRowHeight="12.95" customHeight="1" x14ac:dyDescent="0.2"/>
  <cols>
    <col min="1" max="1" width="6.9921875" customWidth="1"/>
    <col min="19" max="19" width="16.41015625" bestFit="1" customWidth="1"/>
    <col min="20" max="20" width="11.296875" bestFit="1" customWidth="1"/>
    <col min="21" max="21" width="28.65234375" bestFit="1" customWidth="1"/>
    <col min="22" max="22" width="13.5859375" customWidth="1"/>
    <col min="23" max="23" width="28.78515625" bestFit="1" customWidth="1"/>
  </cols>
  <sheetData>
    <row r="2" spans="3:23" ht="33" customHeight="1" x14ac:dyDescent="0.2"/>
    <row r="3" spans="3:23" ht="33" customHeight="1" thickBot="1" x14ac:dyDescent="0.25">
      <c r="C3" s="314" t="s">
        <v>1904</v>
      </c>
      <c r="D3" s="314"/>
      <c r="E3" s="314"/>
      <c r="F3" s="315"/>
      <c r="G3" s="315"/>
      <c r="H3" s="316" t="s">
        <v>1905</v>
      </c>
      <c r="I3" s="315"/>
      <c r="J3" s="315"/>
      <c r="K3" s="288"/>
      <c r="L3" s="288"/>
      <c r="M3" s="317" t="s">
        <v>1906</v>
      </c>
      <c r="R3" s="1156" t="s">
        <v>1716</v>
      </c>
      <c r="S3" s="1156" t="s">
        <v>1937</v>
      </c>
      <c r="T3" s="1156" t="s">
        <v>4142</v>
      </c>
      <c r="U3" s="1156" t="s">
        <v>4115</v>
      </c>
      <c r="V3" s="1156" t="s">
        <v>4132</v>
      </c>
      <c r="W3" s="1156" t="s">
        <v>4133</v>
      </c>
    </row>
    <row r="4" spans="3:23" ht="33" customHeight="1" thickBot="1" x14ac:dyDescent="0.3">
      <c r="C4" s="314"/>
      <c r="D4" s="318">
        <v>24</v>
      </c>
      <c r="E4" s="282"/>
      <c r="F4" s="282"/>
      <c r="G4" s="282"/>
      <c r="H4" s="1429">
        <v>1</v>
      </c>
      <c r="I4" s="282"/>
      <c r="J4" s="282"/>
      <c r="K4" s="282"/>
      <c r="L4" s="318">
        <v>6</v>
      </c>
      <c r="M4" s="288"/>
      <c r="R4" s="1156">
        <v>1</v>
      </c>
      <c r="S4" s="1156" t="s">
        <v>1954</v>
      </c>
      <c r="T4" s="1156" t="s">
        <v>4143</v>
      </c>
      <c r="U4" s="1157" t="s">
        <v>4124</v>
      </c>
      <c r="V4" s="1159" t="s">
        <v>4116</v>
      </c>
      <c r="W4" s="1156" t="s">
        <v>4134</v>
      </c>
    </row>
    <row r="5" spans="3:23" ht="33" customHeight="1" thickBot="1" x14ac:dyDescent="0.3">
      <c r="C5" s="314"/>
      <c r="D5" s="282"/>
      <c r="E5" s="318">
        <v>23</v>
      </c>
      <c r="F5" s="282"/>
      <c r="G5" s="282"/>
      <c r="H5" s="1429">
        <v>2</v>
      </c>
      <c r="I5" s="282"/>
      <c r="J5" s="282"/>
      <c r="K5" s="318">
        <v>5</v>
      </c>
      <c r="L5" s="282"/>
      <c r="M5" s="288"/>
      <c r="R5" s="1156">
        <v>2</v>
      </c>
      <c r="S5" s="1156" t="s">
        <v>1950</v>
      </c>
      <c r="T5" s="1156" t="s">
        <v>4144</v>
      </c>
      <c r="U5" s="1158" t="s">
        <v>4125</v>
      </c>
      <c r="V5" s="1160" t="s">
        <v>4117</v>
      </c>
      <c r="W5" s="1156" t="s">
        <v>4135</v>
      </c>
    </row>
    <row r="6" spans="3:23" ht="33" customHeight="1" thickBot="1" x14ac:dyDescent="0.3">
      <c r="C6" s="319"/>
      <c r="D6" s="282"/>
      <c r="E6" s="282"/>
      <c r="F6" s="318">
        <v>22</v>
      </c>
      <c r="G6" s="282"/>
      <c r="H6" s="1429">
        <v>3</v>
      </c>
      <c r="I6" s="282"/>
      <c r="J6" s="318">
        <v>4</v>
      </c>
      <c r="K6" s="282"/>
      <c r="L6" s="282"/>
      <c r="M6" s="315"/>
      <c r="R6" s="1156">
        <v>3</v>
      </c>
      <c r="S6" s="1156" t="s">
        <v>1960</v>
      </c>
      <c r="T6" s="1156" t="s">
        <v>4145</v>
      </c>
      <c r="U6" s="1158" t="s">
        <v>4126</v>
      </c>
      <c r="V6" s="1160" t="s">
        <v>4118</v>
      </c>
      <c r="W6" s="1156" t="s">
        <v>4136</v>
      </c>
    </row>
    <row r="7" spans="3:23" ht="33" customHeight="1" thickBot="1" x14ac:dyDescent="0.3">
      <c r="C7" s="319"/>
      <c r="D7" s="282"/>
      <c r="E7" s="282"/>
      <c r="F7" s="282"/>
      <c r="G7" s="1428"/>
      <c r="H7" s="1429">
        <v>25</v>
      </c>
      <c r="I7" s="1428"/>
      <c r="J7" s="282"/>
      <c r="K7" s="282"/>
      <c r="L7" s="282"/>
      <c r="M7" s="315"/>
      <c r="R7" s="1156">
        <v>4</v>
      </c>
      <c r="S7" s="1156" t="s">
        <v>1963</v>
      </c>
      <c r="T7" s="1156" t="s">
        <v>4146</v>
      </c>
      <c r="U7" s="1158" t="s">
        <v>4127</v>
      </c>
      <c r="V7" s="1160" t="s">
        <v>4119</v>
      </c>
      <c r="W7" s="1156" t="s">
        <v>4137</v>
      </c>
    </row>
    <row r="8" spans="3:23" ht="33" customHeight="1" thickBot="1" x14ac:dyDescent="0.3">
      <c r="C8" s="320" t="s">
        <v>1907</v>
      </c>
      <c r="D8" s="1429">
        <v>19</v>
      </c>
      <c r="E8" s="1429">
        <v>20</v>
      </c>
      <c r="F8" s="1429">
        <v>21</v>
      </c>
      <c r="G8" s="1429"/>
      <c r="H8" s="1429" t="s">
        <v>1908</v>
      </c>
      <c r="I8" s="1429"/>
      <c r="J8" s="1429">
        <v>9</v>
      </c>
      <c r="K8" s="1429">
        <v>8</v>
      </c>
      <c r="L8" s="1429">
        <v>7</v>
      </c>
      <c r="M8" s="321" t="s">
        <v>1909</v>
      </c>
      <c r="R8" s="1156">
        <v>5</v>
      </c>
      <c r="S8" s="1156" t="s">
        <v>1969</v>
      </c>
      <c r="T8" s="1156" t="s">
        <v>4147</v>
      </c>
      <c r="U8" s="1158" t="s">
        <v>4128</v>
      </c>
      <c r="V8" s="1160" t="s">
        <v>4120</v>
      </c>
      <c r="W8" s="1156" t="s">
        <v>4138</v>
      </c>
    </row>
    <row r="9" spans="3:23" ht="33" customHeight="1" thickBot="1" x14ac:dyDescent="0.3">
      <c r="C9" s="319"/>
      <c r="D9" s="282"/>
      <c r="E9" s="282"/>
      <c r="F9" s="282"/>
      <c r="G9" s="1428">
        <v>27</v>
      </c>
      <c r="H9" s="1429"/>
      <c r="I9" s="1428">
        <v>26</v>
      </c>
      <c r="J9" s="282"/>
      <c r="K9" s="282"/>
      <c r="L9" s="282"/>
      <c r="M9" s="315"/>
      <c r="R9" s="1156">
        <v>6</v>
      </c>
      <c r="S9" s="1156" t="s">
        <v>1957</v>
      </c>
      <c r="T9" s="1156" t="s">
        <v>4148</v>
      </c>
      <c r="U9" s="1158" t="s">
        <v>4129</v>
      </c>
      <c r="V9" s="1160" t="s">
        <v>4121</v>
      </c>
      <c r="W9" s="1156" t="s">
        <v>4139</v>
      </c>
    </row>
    <row r="10" spans="3:23" ht="33" customHeight="1" thickBot="1" x14ac:dyDescent="0.3">
      <c r="C10" s="319"/>
      <c r="D10" s="282"/>
      <c r="E10" s="282"/>
      <c r="F10" s="318">
        <v>16</v>
      </c>
      <c r="G10" s="282"/>
      <c r="H10" s="1429">
        <v>15</v>
      </c>
      <c r="I10" s="282"/>
      <c r="J10" s="318">
        <v>10</v>
      </c>
      <c r="K10" s="282"/>
      <c r="L10" s="282"/>
      <c r="M10" s="315"/>
      <c r="R10" s="1156">
        <v>7</v>
      </c>
      <c r="S10" s="1156" t="s">
        <v>1972</v>
      </c>
      <c r="T10" s="1156" t="s">
        <v>4149</v>
      </c>
      <c r="U10" s="1158" t="s">
        <v>4130</v>
      </c>
      <c r="V10" s="1160" t="s">
        <v>4122</v>
      </c>
      <c r="W10" s="1156" t="s">
        <v>4140</v>
      </c>
    </row>
    <row r="11" spans="3:23" ht="33" customHeight="1" thickBot="1" x14ac:dyDescent="0.3">
      <c r="C11" s="322"/>
      <c r="D11" s="282"/>
      <c r="E11" s="318">
        <v>17</v>
      </c>
      <c r="F11" s="282"/>
      <c r="G11" s="282"/>
      <c r="H11" s="1429">
        <v>14</v>
      </c>
      <c r="I11" s="282"/>
      <c r="J11" s="282"/>
      <c r="K11" s="318">
        <v>11</v>
      </c>
      <c r="L11" s="282"/>
      <c r="M11" s="314"/>
      <c r="R11" s="1156">
        <v>8</v>
      </c>
      <c r="S11" s="1156" t="s">
        <v>1966</v>
      </c>
      <c r="T11" s="1156" t="s">
        <v>4150</v>
      </c>
      <c r="U11" s="1158" t="s">
        <v>4131</v>
      </c>
      <c r="V11" s="1160" t="s">
        <v>4123</v>
      </c>
      <c r="W11" s="1156" t="s">
        <v>4141</v>
      </c>
    </row>
    <row r="12" spans="3:23" ht="33" customHeight="1" x14ac:dyDescent="0.2">
      <c r="C12" s="322"/>
      <c r="D12" s="318">
        <v>18</v>
      </c>
      <c r="E12" s="282"/>
      <c r="F12" s="282"/>
      <c r="G12" s="282"/>
      <c r="H12" s="1429">
        <v>13</v>
      </c>
      <c r="I12" s="282"/>
      <c r="J12" s="282"/>
      <c r="K12" s="282"/>
      <c r="L12" s="318">
        <v>12</v>
      </c>
      <c r="M12" s="314"/>
    </row>
    <row r="13" spans="3:23" ht="33" customHeight="1" x14ac:dyDescent="0.2">
      <c r="C13" s="323" t="s">
        <v>1910</v>
      </c>
      <c r="D13" s="322"/>
      <c r="E13" s="322"/>
      <c r="F13" s="319"/>
      <c r="G13" s="319"/>
      <c r="H13" s="324" t="s">
        <v>1911</v>
      </c>
      <c r="I13" s="319"/>
      <c r="J13" s="319"/>
      <c r="K13" s="314"/>
      <c r="L13" s="314"/>
      <c r="M13" s="325" t="s">
        <v>1912</v>
      </c>
    </row>
    <row r="14" spans="3:23" ht="33" customHeight="1" x14ac:dyDescent="0.2"/>
  </sheetData>
  <sheetProtection selectLockedCells="1" selectUnlockedCells="1"/>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7"/>
  <dimension ref="A1:Y34"/>
  <sheetViews>
    <sheetView topLeftCell="G1" zoomScale="90" zoomScaleNormal="90" zoomScaleSheetLayoutView="75" workbookViewId="0" xr3:uid="{34904945-5288-588E-9F07-34343C13E9F2}">
      <selection activeCell="Y13" sqref="Y13"/>
    </sheetView>
  </sheetViews>
  <sheetFormatPr defaultColWidth="6.859375" defaultRowHeight="15" customHeight="1" x14ac:dyDescent="0.2"/>
  <cols>
    <col min="1" max="1" width="18.83203125" style="217" customWidth="1"/>
    <col min="2" max="2" width="17.08203125" style="217" bestFit="1" customWidth="1"/>
    <col min="3" max="3" width="6.859375" style="217" customWidth="1"/>
    <col min="4" max="4" width="15.33203125" style="217" bestFit="1" customWidth="1"/>
    <col min="5" max="5" width="6.859375" style="217" customWidth="1"/>
    <col min="6" max="6" width="8.609375" style="217" customWidth="1"/>
    <col min="7" max="7" width="9.28125" style="217" bestFit="1" customWidth="1"/>
    <col min="8" max="8" width="15.33203125" style="217" customWidth="1"/>
    <col min="9" max="9" width="15.87109375" style="217" bestFit="1" customWidth="1"/>
    <col min="10" max="10" width="13.046875" style="217" bestFit="1" customWidth="1"/>
    <col min="11" max="11" width="9.4140625" style="217" customWidth="1"/>
    <col min="12" max="12" width="15.73828125" style="217" customWidth="1"/>
    <col min="13" max="13" width="12.5078125" style="217" customWidth="1"/>
    <col min="14" max="14" width="8.47265625" style="217" customWidth="1"/>
    <col min="15" max="15" width="6.72265625" style="217" customWidth="1"/>
    <col min="16" max="16" width="14.66015625" style="217" customWidth="1"/>
    <col min="17" max="17" width="7.26171875" style="217" customWidth="1"/>
    <col min="18" max="18" width="9.55078125" style="217" customWidth="1"/>
    <col min="19" max="19" width="11.02734375" style="217" customWidth="1"/>
    <col min="20" max="20" width="6.859375" style="217"/>
    <col min="21" max="21" width="11.02734375" style="217" customWidth="1"/>
    <col min="22" max="22" width="11.02734375" style="1365" customWidth="1"/>
    <col min="23" max="16384" width="6.859375" style="217"/>
  </cols>
  <sheetData>
    <row r="1" spans="1:25" ht="15" customHeight="1" x14ac:dyDescent="0.2">
      <c r="A1" t="s">
        <v>1913</v>
      </c>
      <c r="B1" s="326">
        <f>DoB</f>
        <v>26133.384143518517</v>
      </c>
      <c r="C1"/>
      <c r="D1" s="327"/>
      <c r="F1" s="327"/>
    </row>
    <row r="2" spans="1:25" ht="15" customHeight="1" x14ac:dyDescent="0.2">
      <c r="A2" s="217" t="s">
        <v>1914</v>
      </c>
      <c r="B2" s="327">
        <f>B1+2415018.5</f>
        <v>2441151.8841435183</v>
      </c>
      <c r="D2" s="327"/>
      <c r="F2" s="327"/>
      <c r="I2" s="1351" t="s">
        <v>4606</v>
      </c>
    </row>
    <row r="3" spans="1:25" ht="15" customHeight="1" x14ac:dyDescent="0.2">
      <c r="A3" s="217" t="s">
        <v>1915</v>
      </c>
      <c r="B3" s="328">
        <f>VALUE(MID(JHora!A8,11,13))</f>
        <v>0.22916666666666666</v>
      </c>
      <c r="C3"/>
      <c r="D3"/>
      <c r="F3"/>
      <c r="G3" t="s">
        <v>4599</v>
      </c>
      <c r="H3" s="1354">
        <v>0</v>
      </c>
      <c r="I3" t="s">
        <v>4598</v>
      </c>
      <c r="J3" s="99">
        <f>TAN(RADIANS(H3))*12</f>
        <v>0</v>
      </c>
      <c r="K3" t="str">
        <f ca="1">_xlfn.FORMULATEXT(J3)</f>
        <v>=TAN(RADIANS(H3))*12</v>
      </c>
      <c r="L3"/>
    </row>
    <row r="4" spans="1:25" ht="15" customHeight="1" x14ac:dyDescent="0.2">
      <c r="A4" s="217" t="s">
        <v>1916</v>
      </c>
      <c r="B4" s="217" t="str">
        <f>MID(JHora!A8,25,4)</f>
        <v>East</v>
      </c>
      <c r="D4" s="327"/>
      <c r="F4"/>
      <c r="G4" t="s">
        <v>4597</v>
      </c>
      <c r="H4" s="99">
        <f>palbhaa*10</f>
        <v>0</v>
      </c>
      <c r="I4" t="str">
        <f ca="1">_xlfn.FORMULATEXT(H4)</f>
        <v>=palbhaa*10</v>
      </c>
      <c r="J4" s="99">
        <f>H4*6</f>
        <v>0</v>
      </c>
      <c r="K4" t="s">
        <v>4605</v>
      </c>
      <c r="L4"/>
    </row>
    <row r="5" spans="1:25" ht="15" customHeight="1" x14ac:dyDescent="0.2">
      <c r="A5" s="217" t="s">
        <v>1917</v>
      </c>
      <c r="B5" s="327">
        <f>MOD(B3,1)*24*IF(B4="East",-1,1)</f>
        <v>-5.5</v>
      </c>
      <c r="D5" s="327"/>
      <c r="F5"/>
      <c r="G5" t="s">
        <v>4596</v>
      </c>
      <c r="H5" s="99">
        <f>palbhaa*8</f>
        <v>0</v>
      </c>
      <c r="I5" t="str">
        <f ca="1">_xlfn.FORMULATEXT(H5)</f>
        <v>=palbhaa*8</v>
      </c>
      <c r="J5" s="99">
        <f t="shared" ref="J5:J6" si="0">H5*6</f>
        <v>0</v>
      </c>
      <c r="K5" t="s">
        <v>4605</v>
      </c>
      <c r="L5"/>
    </row>
    <row r="6" spans="1:25" ht="15" customHeight="1" x14ac:dyDescent="0.2">
      <c r="A6" s="217" t="s">
        <v>1918</v>
      </c>
      <c r="B6" s="329">
        <f>MOD(B1,1)*24</f>
        <v>9.2194444444030523</v>
      </c>
      <c r="F6"/>
      <c r="G6" t="s">
        <v>4595</v>
      </c>
      <c r="H6" s="99">
        <f>palbhaa*10/3</f>
        <v>0</v>
      </c>
      <c r="I6" t="str">
        <f ca="1">_xlfn.FORMULATEXT(H6)</f>
        <v>=palbhaa*10/3</v>
      </c>
      <c r="J6" s="99">
        <f t="shared" si="0"/>
        <v>0</v>
      </c>
      <c r="K6" t="s">
        <v>4605</v>
      </c>
      <c r="L6"/>
    </row>
    <row r="7" spans="1:25" ht="15" customHeight="1" x14ac:dyDescent="0.2">
      <c r="A7" s="217" t="s">
        <v>1919</v>
      </c>
      <c r="B7" s="330">
        <f>VALUE(RIGHT(SUBSTITUTE(JHora!A27,"-",":"),11)*24*-1)</f>
        <v>-23.444219444444446</v>
      </c>
      <c r="F7"/>
      <c r="G7"/>
      <c r="H7"/>
      <c r="I7"/>
      <c r="J7" s="99"/>
      <c r="K7"/>
      <c r="L7"/>
    </row>
    <row r="8" spans="1:25" ht="15" customHeight="1" x14ac:dyDescent="0.2">
      <c r="A8" s="217" t="s">
        <v>1920</v>
      </c>
      <c r="B8" s="329">
        <f>B6+B5</f>
        <v>3.7194444444030523</v>
      </c>
      <c r="F8" t="s">
        <v>2339</v>
      </c>
      <c r="G8" t="s">
        <v>4594</v>
      </c>
      <c r="H8" t="s">
        <v>4607</v>
      </c>
      <c r="I8"/>
      <c r="J8" s="99"/>
      <c r="K8" t="s">
        <v>4593</v>
      </c>
      <c r="L8" t="s">
        <v>4592</v>
      </c>
      <c r="M8" s="1360" t="s">
        <v>4613</v>
      </c>
      <c r="N8" s="1364" t="s">
        <v>4623</v>
      </c>
    </row>
    <row r="9" spans="1:25" ht="15" customHeight="1" x14ac:dyDescent="0.2">
      <c r="A9" s="217" t="s">
        <v>1921</v>
      </c>
      <c r="B9" s="217">
        <f>((B2 - 2415020) + B8/24 - 0.5)/36525</f>
        <v>0.71544254949678665</v>
      </c>
      <c r="F9" t="s">
        <v>4591</v>
      </c>
      <c r="G9" t="s">
        <v>1985</v>
      </c>
      <c r="H9" t="s">
        <v>2003</v>
      </c>
      <c r="I9" t="s">
        <v>2004</v>
      </c>
      <c r="J9" s="99" t="s">
        <v>2015</v>
      </c>
      <c r="K9">
        <v>1674</v>
      </c>
      <c r="L9" s="1353">
        <v>7.7499999999999999E-2</v>
      </c>
      <c r="M9" s="217">
        <f>K9/6</f>
        <v>279</v>
      </c>
      <c r="N9" s="217">
        <f>K9/5400</f>
        <v>0.31</v>
      </c>
    </row>
    <row r="10" spans="1:25" ht="15" customHeight="1" x14ac:dyDescent="0.2">
      <c r="A10" s="217" t="s">
        <v>1922</v>
      </c>
      <c r="B10" s="330">
        <f>VALUE(SUBSTITUTE(SUBSTITUTE(SUBSTITUTE(MID(JHora!A9,16,11)," E ",":"),"' ",":")," W ",":")*24*IF(ISERROR(SEARCH(" E ",JHora!A9)),1,-1))</f>
        <v>-78.084722222222226</v>
      </c>
      <c r="D10"/>
      <c r="F10" t="s">
        <v>4590</v>
      </c>
      <c r="G10" t="s">
        <v>1989</v>
      </c>
      <c r="H10" t="s">
        <v>2002</v>
      </c>
      <c r="I10" t="s">
        <v>2006</v>
      </c>
      <c r="J10" s="99" t="s">
        <v>2013</v>
      </c>
      <c r="K10">
        <v>1795</v>
      </c>
      <c r="L10" s="1353">
        <v>8.3101851851851857E-2</v>
      </c>
      <c r="M10" s="1361">
        <f>K10/6</f>
        <v>299.16666666666669</v>
      </c>
      <c r="N10" s="1365">
        <f>K10/5400</f>
        <v>0.33240740740740743</v>
      </c>
      <c r="W10" s="217">
        <f>RaashiMaana1</f>
        <v>1674</v>
      </c>
      <c r="X10" s="1364" t="s">
        <v>4622</v>
      </c>
      <c r="Y10" s="217">
        <f>W10*$N$9</f>
        <v>518.93999999999994</v>
      </c>
    </row>
    <row r="11" spans="1:25" ht="15" customHeight="1" x14ac:dyDescent="0.2">
      <c r="A11" s="217" t="s">
        <v>1923</v>
      </c>
      <c r="B11" s="330">
        <f>VALUE(SUBSTITUTE(SUBSTITUTE(SUBSTITUTE(MID(JHora!A9,30,11)," N ",":"),"' ",":")," S ",":")*24*IF(ISERROR(SEARCH(" S ",JHora!A9)),1,-1))</f>
        <v>10.963055555555556</v>
      </c>
      <c r="D11"/>
      <c r="F11" t="s">
        <v>4589</v>
      </c>
      <c r="G11" t="s">
        <v>1993</v>
      </c>
      <c r="H11" t="s">
        <v>1998</v>
      </c>
      <c r="I11" t="s">
        <v>635</v>
      </c>
      <c r="J11" t="s">
        <v>2011</v>
      </c>
      <c r="K11">
        <v>1931</v>
      </c>
      <c r="L11" s="1353">
        <v>8.9398148148148157E-2</v>
      </c>
      <c r="M11" s="1361">
        <f>K11/6</f>
        <v>321.83333333333331</v>
      </c>
      <c r="N11" s="1365">
        <f>K11/5400</f>
        <v>0.35759259259259257</v>
      </c>
      <c r="W11" s="1365">
        <f>RaashiMaana1</f>
        <v>1674</v>
      </c>
      <c r="X11" s="1364" t="s">
        <v>4624</v>
      </c>
      <c r="Y11" s="1365">
        <f>W11*$N$10</f>
        <v>556.45000000000005</v>
      </c>
    </row>
    <row r="12" spans="1:25" ht="15" customHeight="1" x14ac:dyDescent="0.2">
      <c r="A12" s="217" t="s">
        <v>1924</v>
      </c>
      <c r="B12" s="217">
        <f>(MOD(((6.6460656 + 2400.0512617 * B9 + 0.00002581 * B9 * B9 + B8) * 15 - B10), 360)) * PI()/180</f>
        <v>1.2225939773194847</v>
      </c>
      <c r="W12" s="1365">
        <f>RaashiMaana1</f>
        <v>1674</v>
      </c>
      <c r="X12" s="1364" t="s">
        <v>4625</v>
      </c>
      <c r="Y12" s="1365">
        <f>W12*$N$11</f>
        <v>598.61</v>
      </c>
    </row>
    <row r="13" spans="1:25" ht="15" customHeight="1" x14ac:dyDescent="0.2">
      <c r="A13" s="217" t="s">
        <v>1925</v>
      </c>
      <c r="B13" s="217">
        <f>(23.452294 - 0.0130125 * B9  - 0.00000164 * B9*B9 + 0.000000503 *B9*B9*B9 ) * PI()/180</f>
        <v>0.40915725115889001</v>
      </c>
      <c r="W13">
        <v>1795</v>
      </c>
      <c r="X13" s="1364" t="s">
        <v>4626</v>
      </c>
      <c r="Y13" s="1365">
        <f>W13*$N$9</f>
        <v>556.45000000000005</v>
      </c>
    </row>
    <row r="14" spans="1:25" ht="15" customHeight="1" x14ac:dyDescent="0.2">
      <c r="A14" s="217" t="s">
        <v>1926</v>
      </c>
      <c r="B14" s="217">
        <f>ATAN2(COS(B13),TAN(B12))</f>
        <v>1.2493188534157897</v>
      </c>
      <c r="W14">
        <v>1795</v>
      </c>
      <c r="X14" s="1364" t="s">
        <v>4627</v>
      </c>
      <c r="Y14" s="1365">
        <f>W14*$N$10</f>
        <v>596.6712962962963</v>
      </c>
    </row>
    <row r="15" spans="1:25" ht="15" customHeight="1" x14ac:dyDescent="0.2">
      <c r="A15" s="217" t="s">
        <v>1927</v>
      </c>
      <c r="B15" s="217">
        <f>IF(B14&lt;0,PI(),0)+B14</f>
        <v>1.2493188534157897</v>
      </c>
      <c r="G15" t="s">
        <v>4594</v>
      </c>
      <c r="H15"/>
      <c r="J15"/>
      <c r="M15" s="1360" t="s">
        <v>4621</v>
      </c>
      <c r="N15" s="1360" t="s">
        <v>4607</v>
      </c>
      <c r="O15" s="1360" t="s">
        <v>4607</v>
      </c>
      <c r="P15" s="1360" t="s">
        <v>4607</v>
      </c>
      <c r="Q15" s="1360" t="s">
        <v>4607</v>
      </c>
      <c r="R15" s="1360" t="s">
        <v>4607</v>
      </c>
      <c r="S15" s="1360" t="s">
        <v>4607</v>
      </c>
      <c r="W15">
        <v>1795</v>
      </c>
      <c r="X15" s="1364" t="s">
        <v>4628</v>
      </c>
      <c r="Y15" s="1365">
        <f>W15*$N$11</f>
        <v>641.87870370370365</v>
      </c>
    </row>
    <row r="16" spans="1:25" ht="15" customHeight="1" x14ac:dyDescent="0.2">
      <c r="A16" s="217" t="s">
        <v>1928</v>
      </c>
      <c r="B16" s="217">
        <f>IF(SIN(B12)&lt;0,PI(),0)+B15</f>
        <v>1.2493188534157897</v>
      </c>
      <c r="F16" t="s">
        <v>2339</v>
      </c>
      <c r="G16" t="s">
        <v>4594</v>
      </c>
      <c r="H16" t="s">
        <v>4600</v>
      </c>
      <c r="I16" t="s">
        <v>4602</v>
      </c>
      <c r="J16" t="s">
        <v>4603</v>
      </c>
      <c r="K16" s="1352" t="s">
        <v>2029</v>
      </c>
      <c r="L16" s="1352" t="s">
        <v>2030</v>
      </c>
      <c r="M16" s="1357" t="s">
        <v>4607</v>
      </c>
      <c r="N16" s="1357" t="s">
        <v>4619</v>
      </c>
      <c r="O16" s="1357" t="s">
        <v>4612</v>
      </c>
      <c r="P16" s="1360" t="s">
        <v>4614</v>
      </c>
      <c r="Q16" s="1360" t="s">
        <v>4615</v>
      </c>
      <c r="R16" s="1360" t="s">
        <v>4620</v>
      </c>
      <c r="S16" s="1360" t="s">
        <v>4616</v>
      </c>
      <c r="T16" s="1363" t="s">
        <v>4617</v>
      </c>
      <c r="U16" s="1363" t="s">
        <v>4618</v>
      </c>
      <c r="V16" s="1364"/>
      <c r="W16">
        <v>1931</v>
      </c>
      <c r="X16" s="1364" t="s">
        <v>4629</v>
      </c>
      <c r="Y16" s="1365">
        <f>W16*$N$9</f>
        <v>598.61</v>
      </c>
    </row>
    <row r="17" spans="1:25" ht="15" customHeight="1" x14ac:dyDescent="0.2">
      <c r="A17" s="217" t="s">
        <v>1929</v>
      </c>
      <c r="B17" s="217">
        <f>B16*180/PI()</f>
        <v>71.580697566847903</v>
      </c>
      <c r="E17" s="941" t="s">
        <v>4601</v>
      </c>
      <c r="F17" t="s">
        <v>4591</v>
      </c>
      <c r="G17" s="941">
        <v>1</v>
      </c>
      <c r="H17" t="s">
        <v>1985</v>
      </c>
      <c r="I17" s="99">
        <f>K9-J4</f>
        <v>1674</v>
      </c>
      <c r="J17" s="1311">
        <f>4/(24*60*60)*I17</f>
        <v>7.7499999999999999E-2</v>
      </c>
      <c r="K17" s="1311">
        <f t="shared" ref="K17:K27" si="1">IF(G17=$B$31,$B$34,K18-J17)</f>
        <v>26132.998453437627</v>
      </c>
      <c r="L17" s="1359">
        <f t="shared" ref="L17:L28" si="2">K17+J17</f>
        <v>26133.075953437627</v>
      </c>
      <c r="M17" s="1362">
        <v>7.7314814814814822E-2</v>
      </c>
      <c r="N17" s="217">
        <f>M17*(24*60*60)/4</f>
        <v>1670.0000000000002</v>
      </c>
      <c r="O17" s="1355">
        <f>N17/6</f>
        <v>278.33333333333337</v>
      </c>
      <c r="P17" s="1371">
        <f>ABS(J17-M17)</f>
        <v>1.8518518518517713E-4</v>
      </c>
      <c r="Q17" s="217">
        <v>279</v>
      </c>
      <c r="R17" s="217">
        <f>Q17*6</f>
        <v>1674</v>
      </c>
      <c r="S17" s="1311">
        <f>4/(24*60*60)*R17</f>
        <v>7.7499999999999999E-2</v>
      </c>
      <c r="T17" s="217">
        <v>15</v>
      </c>
      <c r="U17" s="217">
        <f>SIN(4*Table14[[#This Row],[Dec]]/180*PI())</f>
        <v>0.8660254037844386</v>
      </c>
      <c r="W17">
        <v>1931</v>
      </c>
      <c r="X17" s="1364" t="s">
        <v>4630</v>
      </c>
      <c r="Y17" s="1365">
        <f>W17*$N$10</f>
        <v>641.87870370370376</v>
      </c>
    </row>
    <row r="18" spans="1:25" ht="15" customHeight="1" x14ac:dyDescent="0.2">
      <c r="A18" s="217" t="s">
        <v>1930</v>
      </c>
      <c r="B18" s="217">
        <f>ATAN2(-SIN(B12)*COS(B13)-TAN(B11 * PI()/180)*SIN(B13),COS(B12))</f>
        <v>2.7932112236813325</v>
      </c>
      <c r="E18" s="941" t="s">
        <v>4601</v>
      </c>
      <c r="F18" t="s">
        <v>4590</v>
      </c>
      <c r="G18" s="941">
        <v>2</v>
      </c>
      <c r="H18" t="s">
        <v>1989</v>
      </c>
      <c r="I18" s="99">
        <f t="shared" ref="I18:I19" si="3">K10-J5</f>
        <v>1795</v>
      </c>
      <c r="J18" s="1311">
        <f t="shared" ref="J18:J19" si="4">4/(24*60*60)*I18</f>
        <v>8.3101851851851843E-2</v>
      </c>
      <c r="K18" s="1311">
        <f t="shared" si="1"/>
        <v>26133.075953437627</v>
      </c>
      <c r="L18" s="1359">
        <f t="shared" si="2"/>
        <v>26133.159055289478</v>
      </c>
      <c r="M18" s="1362">
        <v>8.2847222222222225E-2</v>
      </c>
      <c r="N18" s="1358">
        <f t="shared" ref="N18:N28" si="5">M18*(24*60*60)/4</f>
        <v>1789.5</v>
      </c>
      <c r="O18" s="1355">
        <f t="shared" ref="O18:O28" si="6">N18/6</f>
        <v>298.25</v>
      </c>
      <c r="P18" s="1371">
        <f t="shared" ref="P18:P29" si="7">ABS(J18-M18)</f>
        <v>2.5462962962961855E-4</v>
      </c>
      <c r="Q18" s="217">
        <v>299</v>
      </c>
      <c r="R18" s="1361">
        <f t="shared" ref="R18:R28" si="8">Q18*6</f>
        <v>1794</v>
      </c>
      <c r="S18" s="1311">
        <f t="shared" ref="S18:S28" si="9">4/(24*60*60)*R18</f>
        <v>8.3055555555555549E-2</v>
      </c>
      <c r="T18" s="217">
        <v>45</v>
      </c>
      <c r="U18" s="217">
        <f>SIN(4*Table14[[#This Row],[Dec]]/180*PI())</f>
        <v>1.2246467991473532E-16</v>
      </c>
      <c r="W18">
        <v>1931</v>
      </c>
      <c r="X18" s="1364" t="s">
        <v>4631</v>
      </c>
      <c r="Y18" s="1365">
        <f>W18*$N$11</f>
        <v>690.51129629629622</v>
      </c>
    </row>
    <row r="19" spans="1:25" ht="15" customHeight="1" x14ac:dyDescent="0.2">
      <c r="A19" s="217" t="s">
        <v>1931</v>
      </c>
      <c r="B19" s="217">
        <f>IF(B18&lt;0,PI(),0)+B18</f>
        <v>2.7932112236813325</v>
      </c>
      <c r="E19" s="941" t="s">
        <v>4601</v>
      </c>
      <c r="F19" t="s">
        <v>4589</v>
      </c>
      <c r="G19" s="941">
        <v>3</v>
      </c>
      <c r="H19" t="s">
        <v>1993</v>
      </c>
      <c r="I19" s="99">
        <f t="shared" si="3"/>
        <v>1931</v>
      </c>
      <c r="J19" s="1311">
        <f t="shared" si="4"/>
        <v>8.9398148148148143E-2</v>
      </c>
      <c r="K19" s="1311">
        <f t="shared" si="1"/>
        <v>26133.159055289478</v>
      </c>
      <c r="L19" s="1359">
        <f t="shared" si="2"/>
        <v>26133.248453437627</v>
      </c>
      <c r="M19" s="1362">
        <v>8.9143518518518525E-2</v>
      </c>
      <c r="N19" s="1358">
        <f t="shared" si="5"/>
        <v>1925.5000000000002</v>
      </c>
      <c r="O19" s="1355">
        <f t="shared" si="6"/>
        <v>320.91666666666669</v>
      </c>
      <c r="P19" s="1371">
        <f t="shared" si="7"/>
        <v>2.5462962962961855E-4</v>
      </c>
      <c r="Q19" s="217">
        <v>322</v>
      </c>
      <c r="R19" s="1361">
        <f t="shared" si="8"/>
        <v>1932</v>
      </c>
      <c r="S19" s="1311">
        <f t="shared" si="9"/>
        <v>8.9444444444444438E-2</v>
      </c>
      <c r="T19" s="217">
        <v>75</v>
      </c>
      <c r="U19" s="217">
        <f>SIN(4*Table14[[#This Row],[Dec]]/180*PI())</f>
        <v>-0.8660254037844386</v>
      </c>
    </row>
    <row r="20" spans="1:25" ht="15" customHeight="1" x14ac:dyDescent="0.2">
      <c r="A20" s="217" t="s">
        <v>1932</v>
      </c>
      <c r="B20" s="217">
        <f>IF(COS(B12)&lt;0,PI(),0)+B19</f>
        <v>2.7932112236813325</v>
      </c>
      <c r="E20" s="941" t="s">
        <v>4604</v>
      </c>
      <c r="F20" t="s">
        <v>4591</v>
      </c>
      <c r="G20" s="941">
        <v>4</v>
      </c>
      <c r="H20" t="s">
        <v>1998</v>
      </c>
      <c r="I20" s="99">
        <f>K11+J6</f>
        <v>1931</v>
      </c>
      <c r="J20" s="1311">
        <f t="shared" ref="J20:J22" si="10">4/(24*60*60)*I20</f>
        <v>8.9398148148148143E-2</v>
      </c>
      <c r="K20" s="1311">
        <f t="shared" si="1"/>
        <v>26133.248453437627</v>
      </c>
      <c r="L20" s="1359">
        <f t="shared" si="2"/>
        <v>26133.337851585777</v>
      </c>
      <c r="M20" s="1362">
        <v>8.9143518518518525E-2</v>
      </c>
      <c r="N20" s="1358">
        <f t="shared" si="5"/>
        <v>1925.5000000000002</v>
      </c>
      <c r="O20" s="1355">
        <f t="shared" si="6"/>
        <v>320.91666666666669</v>
      </c>
      <c r="P20" s="1371">
        <f t="shared" si="7"/>
        <v>2.5462962962961855E-4</v>
      </c>
      <c r="Q20" s="217">
        <f>Q19</f>
        <v>322</v>
      </c>
      <c r="R20" s="1361">
        <f t="shared" si="8"/>
        <v>1932</v>
      </c>
      <c r="S20" s="1311">
        <f t="shared" si="9"/>
        <v>8.9444444444444438E-2</v>
      </c>
      <c r="T20" s="217">
        <v>105</v>
      </c>
      <c r="U20" s="217">
        <f>SIN(4*Table14[[#This Row],[Dec]]/180*PI())</f>
        <v>0.86602540378443882</v>
      </c>
    </row>
    <row r="21" spans="1:25" ht="15" customHeight="1" x14ac:dyDescent="0.2">
      <c r="A21" s="217" t="s">
        <v>1933</v>
      </c>
      <c r="B21" s="217">
        <f>MOD(B20*180/PI(),360)</f>
        <v>160.0392144055125</v>
      </c>
      <c r="E21" s="941" t="s">
        <v>4604</v>
      </c>
      <c r="F21" t="s">
        <v>4590</v>
      </c>
      <c r="G21" s="941">
        <v>5</v>
      </c>
      <c r="H21" t="s">
        <v>2002</v>
      </c>
      <c r="I21" s="99">
        <f>K10+J5</f>
        <v>1795</v>
      </c>
      <c r="J21" s="1311">
        <f t="shared" si="10"/>
        <v>8.3101851851851843E-2</v>
      </c>
      <c r="K21" s="1311">
        <f t="shared" si="1"/>
        <v>26133.337851585777</v>
      </c>
      <c r="L21" s="1359">
        <f t="shared" si="2"/>
        <v>26133.420953437628</v>
      </c>
      <c r="M21" s="1362">
        <v>8.2847222222222225E-2</v>
      </c>
      <c r="N21" s="1358">
        <f t="shared" si="5"/>
        <v>1789.5</v>
      </c>
      <c r="O21" s="1355">
        <f t="shared" si="6"/>
        <v>298.25</v>
      </c>
      <c r="P21" s="1371">
        <f t="shared" si="7"/>
        <v>2.5462962962961855E-4</v>
      </c>
      <c r="Q21" s="217">
        <f>Q18</f>
        <v>299</v>
      </c>
      <c r="R21" s="1361">
        <f t="shared" si="8"/>
        <v>1794</v>
      </c>
      <c r="S21" s="1311">
        <f t="shared" si="9"/>
        <v>8.3055555555555549E-2</v>
      </c>
      <c r="T21" s="217">
        <v>135</v>
      </c>
      <c r="U21" s="217">
        <f>SIN(4*Table14[[#This Row],[Dec]]/180*PI())</f>
        <v>3.6739403974420594E-16</v>
      </c>
    </row>
    <row r="22" spans="1:25" ht="15" customHeight="1" x14ac:dyDescent="0.2">
      <c r="A22" s="217" t="s">
        <v>1934</v>
      </c>
      <c r="B22" s="217">
        <f>B21+B7</f>
        <v>136.59499496106804</v>
      </c>
      <c r="D22" s="669">
        <f>B22/24</f>
        <v>5.691458123377835</v>
      </c>
      <c r="E22" s="941" t="s">
        <v>4604</v>
      </c>
      <c r="F22" t="s">
        <v>4589</v>
      </c>
      <c r="G22" s="941">
        <v>6</v>
      </c>
      <c r="H22" t="s">
        <v>2003</v>
      </c>
      <c r="I22" s="99">
        <f>K9+J4</f>
        <v>1674</v>
      </c>
      <c r="J22" s="1311">
        <f t="shared" si="10"/>
        <v>7.7499999999999999E-2</v>
      </c>
      <c r="K22" s="1311">
        <f t="shared" si="1"/>
        <v>26133.420953437628</v>
      </c>
      <c r="L22" s="1359">
        <f t="shared" si="2"/>
        <v>26133.498453437627</v>
      </c>
      <c r="M22" s="1362">
        <v>7.7314814814814822E-2</v>
      </c>
      <c r="N22" s="1358">
        <f t="shared" si="5"/>
        <v>1670.0000000000002</v>
      </c>
      <c r="O22" s="1355">
        <f t="shared" si="6"/>
        <v>278.33333333333337</v>
      </c>
      <c r="P22" s="1371">
        <f t="shared" si="7"/>
        <v>1.8518518518517713E-4</v>
      </c>
      <c r="Q22" s="217">
        <f>Q17</f>
        <v>279</v>
      </c>
      <c r="R22" s="1361">
        <f t="shared" si="8"/>
        <v>1674</v>
      </c>
      <c r="S22" s="1311">
        <f t="shared" si="9"/>
        <v>7.7499999999999999E-2</v>
      </c>
      <c r="T22" s="217">
        <v>165</v>
      </c>
      <c r="U22" s="217">
        <f>SIN(4*Table14[[#This Row],[Dec]]/180*PI())</f>
        <v>-0.86602540378443915</v>
      </c>
    </row>
    <row r="23" spans="1:25" ht="15" customHeight="1" x14ac:dyDescent="0.2">
      <c r="E23" s="941" t="s">
        <v>4604</v>
      </c>
      <c r="F23" s="1351" t="s">
        <v>4589</v>
      </c>
      <c r="G23" s="1356">
        <v>7</v>
      </c>
      <c r="H23" s="1351" t="s">
        <v>2004</v>
      </c>
      <c r="I23" s="1355">
        <f>I22</f>
        <v>1674</v>
      </c>
      <c r="J23" s="1311">
        <f t="shared" ref="J23" si="11">J22</f>
        <v>7.7499999999999999E-2</v>
      </c>
      <c r="K23" s="1311">
        <f t="shared" si="1"/>
        <v>26133.498453437627</v>
      </c>
      <c r="L23" s="1359">
        <f t="shared" si="2"/>
        <v>26133.575953437627</v>
      </c>
      <c r="M23" s="1362">
        <v>7.7314814814814822E-2</v>
      </c>
      <c r="N23" s="1358">
        <f t="shared" si="5"/>
        <v>1670.0000000000002</v>
      </c>
      <c r="O23" s="1355">
        <f t="shared" si="6"/>
        <v>278.33333333333337</v>
      </c>
      <c r="P23" s="1371">
        <f t="shared" si="7"/>
        <v>1.8518518518517713E-4</v>
      </c>
      <c r="Q23" s="1361">
        <f>Q22</f>
        <v>279</v>
      </c>
      <c r="R23" s="1361">
        <f t="shared" si="8"/>
        <v>1674</v>
      </c>
      <c r="S23" s="1311">
        <f t="shared" si="9"/>
        <v>7.7499999999999999E-2</v>
      </c>
      <c r="T23" s="217">
        <v>195</v>
      </c>
      <c r="U23" s="217">
        <f>SIN(4*Table14[[#This Row],[Dec]]/180*PI())</f>
        <v>0.86602540378443782</v>
      </c>
    </row>
    <row r="24" spans="1:25" ht="15" customHeight="1" x14ac:dyDescent="0.2">
      <c r="E24" s="941" t="s">
        <v>4604</v>
      </c>
      <c r="F24" s="1351" t="s">
        <v>4590</v>
      </c>
      <c r="G24" s="1356">
        <v>8</v>
      </c>
      <c r="H24" s="1351" t="s">
        <v>2006</v>
      </c>
      <c r="I24" s="1355">
        <f>I21</f>
        <v>1795</v>
      </c>
      <c r="J24" s="1311">
        <f>J21</f>
        <v>8.3101851851851843E-2</v>
      </c>
      <c r="K24" s="1311">
        <f t="shared" si="1"/>
        <v>26133.575953437627</v>
      </c>
      <c r="L24" s="1359">
        <f t="shared" si="2"/>
        <v>26133.659055289478</v>
      </c>
      <c r="M24" s="1362">
        <v>8.2847222222222225E-2</v>
      </c>
      <c r="N24" s="1358">
        <f>M24*(24*60*60)/4</f>
        <v>1789.5</v>
      </c>
      <c r="O24" s="1355">
        <f t="shared" si="6"/>
        <v>298.25</v>
      </c>
      <c r="P24" s="1371">
        <f t="shared" si="7"/>
        <v>2.5462962962961855E-4</v>
      </c>
      <c r="Q24" s="1361">
        <f>Q21</f>
        <v>299</v>
      </c>
      <c r="R24" s="1361">
        <f t="shared" si="8"/>
        <v>1794</v>
      </c>
      <c r="S24" s="1311">
        <f t="shared" si="9"/>
        <v>8.3055555555555549E-2</v>
      </c>
      <c r="T24" s="217">
        <v>225</v>
      </c>
      <c r="U24" s="217">
        <f>SIN(4*Table14[[#This Row],[Dec]]/180*PI())</f>
        <v>6.1232339957367663E-16</v>
      </c>
    </row>
    <row r="25" spans="1:25" ht="15" customHeight="1" x14ac:dyDescent="0.2">
      <c r="A25" s="635" t="s">
        <v>3477</v>
      </c>
      <c r="B25" s="217">
        <f>Lagna</f>
        <v>136.71151666666665</v>
      </c>
      <c r="D25" s="669">
        <f>B25/24</f>
        <v>5.6963131944444436</v>
      </c>
      <c r="E25" s="941" t="s">
        <v>4604</v>
      </c>
      <c r="F25" s="1351" t="s">
        <v>4591</v>
      </c>
      <c r="G25" s="1356">
        <v>9</v>
      </c>
      <c r="H25" s="1351" t="s">
        <v>3690</v>
      </c>
      <c r="I25" s="1355">
        <f>I20</f>
        <v>1931</v>
      </c>
      <c r="J25" s="1311">
        <f>J20</f>
        <v>8.9398148148148143E-2</v>
      </c>
      <c r="K25" s="1311">
        <f t="shared" si="1"/>
        <v>26133.659055289478</v>
      </c>
      <c r="L25" s="1359">
        <f t="shared" si="2"/>
        <v>26133.748453437627</v>
      </c>
      <c r="M25" s="1362">
        <v>8.9143518518518525E-2</v>
      </c>
      <c r="N25" s="1358">
        <f>M25*(24*60*60)/4</f>
        <v>1925.5000000000002</v>
      </c>
      <c r="O25" s="1355">
        <f t="shared" si="6"/>
        <v>320.91666666666669</v>
      </c>
      <c r="P25" s="1371">
        <f t="shared" si="7"/>
        <v>2.5462962962961855E-4</v>
      </c>
      <c r="Q25" s="1361">
        <f>Q20</f>
        <v>322</v>
      </c>
      <c r="R25" s="1361">
        <f t="shared" si="8"/>
        <v>1932</v>
      </c>
      <c r="S25" s="1311">
        <f t="shared" si="9"/>
        <v>8.9444444444444438E-2</v>
      </c>
      <c r="T25" s="217">
        <v>255</v>
      </c>
      <c r="U25" s="217">
        <f>SIN(4*Table14[[#This Row],[Dec]]/180*PI())</f>
        <v>-0.86602540378443837</v>
      </c>
    </row>
    <row r="26" spans="1:25" ht="15" customHeight="1" x14ac:dyDescent="0.2">
      <c r="A26" s="635" t="s">
        <v>3478</v>
      </c>
      <c r="B26" s="217">
        <f>B25-B22</f>
        <v>0.11652170559861474</v>
      </c>
      <c r="D26" s="669">
        <f>D25-D22</f>
        <v>4.8550710666086516E-3</v>
      </c>
      <c r="E26" s="941" t="s">
        <v>4601</v>
      </c>
      <c r="F26" s="1351" t="s">
        <v>4589</v>
      </c>
      <c r="G26" s="1356">
        <v>10</v>
      </c>
      <c r="H26" s="1351" t="s">
        <v>2011</v>
      </c>
      <c r="I26" s="1355">
        <f>I19</f>
        <v>1931</v>
      </c>
      <c r="J26" s="1311">
        <f>J19</f>
        <v>8.9398148148148143E-2</v>
      </c>
      <c r="K26" s="1311">
        <f t="shared" si="1"/>
        <v>26133.748453437627</v>
      </c>
      <c r="L26" s="1359">
        <f t="shared" si="2"/>
        <v>26133.837851585777</v>
      </c>
      <c r="M26" s="1362">
        <v>8.9143518518518525E-2</v>
      </c>
      <c r="N26" s="1358">
        <f t="shared" si="5"/>
        <v>1925.5000000000002</v>
      </c>
      <c r="O26" s="1355">
        <f t="shared" si="6"/>
        <v>320.91666666666669</v>
      </c>
      <c r="P26" s="1371">
        <f t="shared" si="7"/>
        <v>2.5462962962961855E-4</v>
      </c>
      <c r="Q26" s="1361">
        <f>Q25</f>
        <v>322</v>
      </c>
      <c r="R26" s="1361">
        <f t="shared" si="8"/>
        <v>1932</v>
      </c>
      <c r="S26" s="1311">
        <f t="shared" si="9"/>
        <v>8.9444444444444438E-2</v>
      </c>
      <c r="T26" s="217">
        <v>285</v>
      </c>
      <c r="U26" s="217">
        <f>SIN(4*Table14[[#This Row],[Dec]]/180*PI())</f>
        <v>0.86602540378443771</v>
      </c>
    </row>
    <row r="27" spans="1:25" ht="15" customHeight="1" x14ac:dyDescent="0.2">
      <c r="E27" s="941" t="s">
        <v>4601</v>
      </c>
      <c r="F27" s="1351" t="s">
        <v>4590</v>
      </c>
      <c r="G27" s="1356">
        <v>11</v>
      </c>
      <c r="H27" s="1351" t="s">
        <v>2013</v>
      </c>
      <c r="I27" s="1355">
        <f>I18</f>
        <v>1795</v>
      </c>
      <c r="J27" s="1311">
        <f>J18</f>
        <v>8.3101851851851843E-2</v>
      </c>
      <c r="K27" s="1311">
        <f t="shared" si="1"/>
        <v>26133.837851585777</v>
      </c>
      <c r="L27" s="1359">
        <f t="shared" si="2"/>
        <v>26133.920953437628</v>
      </c>
      <c r="M27" s="1362">
        <v>8.2847222222222225E-2</v>
      </c>
      <c r="N27" s="1358">
        <f t="shared" si="5"/>
        <v>1789.5</v>
      </c>
      <c r="O27" s="1355">
        <f t="shared" si="6"/>
        <v>298.25</v>
      </c>
      <c r="P27" s="1371">
        <f t="shared" si="7"/>
        <v>2.5462962962961855E-4</v>
      </c>
      <c r="Q27" s="1361">
        <f>Q24</f>
        <v>299</v>
      </c>
      <c r="R27" s="1361">
        <f t="shared" si="8"/>
        <v>1794</v>
      </c>
      <c r="S27" s="1311">
        <f t="shared" si="9"/>
        <v>8.3055555555555549E-2</v>
      </c>
      <c r="T27" s="217">
        <v>315</v>
      </c>
      <c r="U27" s="217">
        <f>SIN(4*Table14[[#This Row],[Dec]]/180*PI())</f>
        <v>8.5725275940314722E-16</v>
      </c>
    </row>
    <row r="28" spans="1:25" ht="15" customHeight="1" x14ac:dyDescent="0.2">
      <c r="A28" s="1351" t="s">
        <v>915</v>
      </c>
      <c r="B28" s="1311">
        <f>SunRise</f>
        <v>26133.252280092591</v>
      </c>
      <c r="E28" s="941" t="s">
        <v>4601</v>
      </c>
      <c r="F28" s="1351" t="s">
        <v>4591</v>
      </c>
      <c r="G28" s="1356">
        <v>12</v>
      </c>
      <c r="H28" s="1351" t="s">
        <v>2015</v>
      </c>
      <c r="I28" s="1355">
        <f>I17</f>
        <v>1674</v>
      </c>
      <c r="J28" s="1311">
        <f>J17</f>
        <v>7.7499999999999999E-2</v>
      </c>
      <c r="K28" s="1311">
        <f>IF(G28=$B$31,$B$34,1+K17-J28)</f>
        <v>26133.920953437628</v>
      </c>
      <c r="L28" s="1359">
        <f t="shared" si="2"/>
        <v>26133.998453437627</v>
      </c>
      <c r="M28" s="1362">
        <v>7.7314814814814822E-2</v>
      </c>
      <c r="N28" s="1358">
        <f t="shared" si="5"/>
        <v>1670.0000000000002</v>
      </c>
      <c r="O28" s="1355">
        <f t="shared" si="6"/>
        <v>278.33333333333337</v>
      </c>
      <c r="P28" s="1371">
        <f t="shared" si="7"/>
        <v>1.8518518518517713E-4</v>
      </c>
      <c r="Q28" s="1361">
        <f>Q23</f>
        <v>279</v>
      </c>
      <c r="R28" s="1361">
        <f t="shared" si="8"/>
        <v>1674</v>
      </c>
      <c r="S28" s="1311">
        <f t="shared" si="9"/>
        <v>7.7499999999999999E-2</v>
      </c>
      <c r="T28" s="217">
        <v>345</v>
      </c>
      <c r="U28" s="217">
        <f>SIN(4*Table14[[#This Row],[Dec]]/180*PI())</f>
        <v>-0.86602540378443849</v>
      </c>
    </row>
    <row r="29" spans="1:25" ht="15" customHeight="1" x14ac:dyDescent="0.2">
      <c r="A29" s="1351" t="s">
        <v>1511</v>
      </c>
      <c r="B29" s="217">
        <f>Sun</f>
        <v>92.399202777777774</v>
      </c>
      <c r="F29" s="1373"/>
      <c r="G29" s="1374"/>
      <c r="H29" s="1373"/>
      <c r="I29" s="1375"/>
      <c r="J29" s="1359"/>
      <c r="K29" s="1359"/>
      <c r="L29" s="1376"/>
      <c r="M29" s="1377"/>
      <c r="N29" s="1372"/>
      <c r="O29" s="1375"/>
      <c r="P29" s="1371">
        <f t="shared" si="7"/>
        <v>0</v>
      </c>
      <c r="Q29" s="1372"/>
      <c r="R29" s="1372"/>
      <c r="S29" s="1359"/>
      <c r="T29" s="1372"/>
      <c r="U29" s="1378">
        <f>SIN(4*Table14[[#This Row],[Dec]]/180*PI())</f>
        <v>0</v>
      </c>
      <c r="V29" s="1378"/>
    </row>
    <row r="30" spans="1:25" ht="15" customHeight="1" x14ac:dyDescent="0.2">
      <c r="A30" s="1351" t="s">
        <v>4608</v>
      </c>
      <c r="F30" s="1366" t="s">
        <v>1600</v>
      </c>
      <c r="G30" s="1370"/>
      <c r="H30" s="1366"/>
      <c r="I30" s="1368">
        <f>SUBTOTAL(109,Table14[Asus])</f>
        <v>21600</v>
      </c>
      <c r="J30" s="1311">
        <f>SUBTOTAL(109,Table14[hr-mn-sc])</f>
        <v>1</v>
      </c>
      <c r="K30"/>
      <c r="L30" s="1366"/>
      <c r="M30" s="1367">
        <f>SUBTOTAL(109,Table14[Lankodaya])</f>
        <v>0.99722222222222223</v>
      </c>
      <c r="N30" s="1366">
        <f>SUBTOTAL(109,Table14[Asus2])</f>
        <v>21540</v>
      </c>
      <c r="O30" s="1368">
        <f>SUBTOTAL(109,Table14[Vigh or Pala])</f>
        <v>3590</v>
      </c>
      <c r="P30" s="1369">
        <f>SUBTOTAL(109,Table14[Corrected])</f>
        <v>2.7777777777776569E-3</v>
      </c>
      <c r="Q30" s="1366">
        <f>SUBTOTAL(109,Table14[ViGh])</f>
        <v>3600</v>
      </c>
      <c r="R30" s="1366">
        <f>SUBTOTAL(109,Table14[Asus3])</f>
        <v>21600</v>
      </c>
      <c r="S30" s="1311">
        <f>SUBTOTAL(109,Table14[Time])</f>
        <v>1</v>
      </c>
      <c r="T30" s="1366">
        <f>SUBTOTAL(109,Table14[Dec])</f>
        <v>2160</v>
      </c>
      <c r="U30" s="1366">
        <f>SUBTOTAL(109,Table14[sin])</f>
        <v>3.3306690738754696E-16</v>
      </c>
      <c r="V30" s="1366"/>
    </row>
    <row r="31" spans="1:25" ht="15" customHeight="1" x14ac:dyDescent="0.2">
      <c r="A31" s="1352" t="s">
        <v>1431</v>
      </c>
      <c r="B31" s="217">
        <f>INT(B25/30)+1</f>
        <v>5</v>
      </c>
    </row>
    <row r="32" spans="1:25" ht="15" customHeight="1" x14ac:dyDescent="0.2">
      <c r="A32" s="1352" t="s">
        <v>4609</v>
      </c>
      <c r="B32" s="217">
        <f>MOD(B25,30)/30</f>
        <v>0.55705055555555516</v>
      </c>
    </row>
    <row r="33" spans="1:2" ht="15" customHeight="1" x14ac:dyDescent="0.2">
      <c r="A33" s="1352" t="s">
        <v>4610</v>
      </c>
      <c r="B33" s="1311">
        <f>VLOOKUP(B31,RaashiMaana,4)</f>
        <v>8.3101851851851843E-2</v>
      </c>
    </row>
    <row r="34" spans="1:2" ht="15" customHeight="1" x14ac:dyDescent="0.2">
      <c r="A34" s="1352" t="s">
        <v>4611</v>
      </c>
      <c r="B34" s="1359">
        <f>DoB-B33*B32</f>
        <v>26133.337851585777</v>
      </c>
    </row>
  </sheetData>
  <sheetProtection selectLockedCells="1" selectUnlockedCells="1"/>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8">
    <pageSetUpPr fitToPage="1"/>
  </sheetPr>
  <dimension ref="A1:AO50"/>
  <sheetViews>
    <sheetView zoomScale="88" zoomScaleNormal="88" workbookViewId="0" xr3:uid="{731C365F-4EDE-5636-9D2D-917179ED8537}">
      <pane xSplit="2" ySplit="2" topLeftCell="C33" activePane="bottomRight" state="frozen"/>
      <selection activeCell="B14" sqref="B14:D14"/>
      <selection pane="bottomLeft" activeCell="B14" sqref="B14:D14"/>
      <selection pane="topRight" activeCell="B14" sqref="B14:D14"/>
      <selection pane="bottomRight" activeCell="H38" sqref="H38"/>
    </sheetView>
  </sheetViews>
  <sheetFormatPr defaultRowHeight="15" x14ac:dyDescent="0.2"/>
  <cols>
    <col min="1" max="1" width="16.8125" style="649" customWidth="1"/>
    <col min="2" max="2" width="20.58203125" style="650" bestFit="1" customWidth="1"/>
    <col min="3" max="38" width="4.83984375" style="512" bestFit="1" customWidth="1"/>
    <col min="39" max="39" width="16.8125" style="649" customWidth="1"/>
    <col min="40" max="40" width="20.58203125" style="650" bestFit="1" customWidth="1"/>
    <col min="41" max="41" width="153.35546875" style="512" bestFit="1" customWidth="1"/>
  </cols>
  <sheetData>
    <row r="1" spans="1:41" x14ac:dyDescent="0.2">
      <c r="A1" s="636" t="s">
        <v>3986</v>
      </c>
      <c r="B1" s="637" t="s">
        <v>800</v>
      </c>
      <c r="C1" s="1609" t="s">
        <v>2034</v>
      </c>
      <c r="D1" s="1610"/>
      <c r="E1" s="1611"/>
      <c r="F1" s="1609" t="s">
        <v>801</v>
      </c>
      <c r="G1" s="1610"/>
      <c r="H1" s="1611"/>
      <c r="I1" s="1609" t="s">
        <v>802</v>
      </c>
      <c r="J1" s="1610"/>
      <c r="K1" s="1611"/>
      <c r="L1" s="1609" t="s">
        <v>803</v>
      </c>
      <c r="M1" s="1610"/>
      <c r="N1" s="1611"/>
      <c r="O1" s="1609" t="s">
        <v>804</v>
      </c>
      <c r="P1" s="1610"/>
      <c r="Q1" s="1611"/>
      <c r="R1" s="1609" t="s">
        <v>805</v>
      </c>
      <c r="S1" s="1610"/>
      <c r="T1" s="1611"/>
      <c r="U1" s="1609" t="s">
        <v>806</v>
      </c>
      <c r="V1" s="1610"/>
      <c r="W1" s="1611"/>
      <c r="X1" s="1609" t="s">
        <v>807</v>
      </c>
      <c r="Y1" s="1610"/>
      <c r="Z1" s="1611"/>
      <c r="AA1" s="1609" t="s">
        <v>808</v>
      </c>
      <c r="AB1" s="1610"/>
      <c r="AC1" s="1611"/>
      <c r="AD1" s="1609" t="s">
        <v>809</v>
      </c>
      <c r="AE1" s="1610"/>
      <c r="AF1" s="1611"/>
      <c r="AG1" s="1609" t="s">
        <v>810</v>
      </c>
      <c r="AH1" s="1610"/>
      <c r="AI1" s="1611"/>
      <c r="AJ1" s="1609" t="s">
        <v>811</v>
      </c>
      <c r="AK1" s="1610"/>
      <c r="AL1" s="1611"/>
      <c r="AM1" s="636" t="s">
        <v>3986</v>
      </c>
      <c r="AN1" s="637" t="s">
        <v>800</v>
      </c>
      <c r="AO1" s="638"/>
    </row>
    <row r="2" spans="1:41" ht="86.25" customHeight="1" thickBot="1" x14ac:dyDescent="0.25">
      <c r="A2" s="1074" t="s">
        <v>812</v>
      </c>
      <c r="B2" s="1073" t="s">
        <v>3987</v>
      </c>
      <c r="C2" s="639" t="s">
        <v>164</v>
      </c>
      <c r="D2" s="640" t="s">
        <v>1583</v>
      </c>
      <c r="E2" s="641" t="s">
        <v>1312</v>
      </c>
      <c r="F2" s="639" t="s">
        <v>813</v>
      </c>
      <c r="G2" s="640" t="s">
        <v>1584</v>
      </c>
      <c r="H2" s="641" t="s">
        <v>814</v>
      </c>
      <c r="I2" s="639" t="s">
        <v>815</v>
      </c>
      <c r="J2" s="640" t="s">
        <v>1528</v>
      </c>
      <c r="K2" s="641" t="s">
        <v>816</v>
      </c>
      <c r="L2" s="639" t="s">
        <v>1344</v>
      </c>
      <c r="M2" s="640" t="s">
        <v>1523</v>
      </c>
      <c r="N2" s="641" t="s">
        <v>1587</v>
      </c>
      <c r="O2" s="639" t="s">
        <v>1588</v>
      </c>
      <c r="P2" s="640" t="s">
        <v>2228</v>
      </c>
      <c r="Q2" s="641" t="s">
        <v>817</v>
      </c>
      <c r="R2" s="639" t="s">
        <v>818</v>
      </c>
      <c r="S2" s="640" t="s">
        <v>1591</v>
      </c>
      <c r="T2" s="641" t="s">
        <v>819</v>
      </c>
      <c r="U2" s="639" t="s">
        <v>820</v>
      </c>
      <c r="V2" s="640" t="s">
        <v>821</v>
      </c>
      <c r="W2" s="641" t="s">
        <v>822</v>
      </c>
      <c r="X2" s="639" t="s">
        <v>1362</v>
      </c>
      <c r="Y2" s="640" t="s">
        <v>1526</v>
      </c>
      <c r="Z2" s="641" t="s">
        <v>1594</v>
      </c>
      <c r="AA2" s="639" t="s">
        <v>2279</v>
      </c>
      <c r="AB2" s="640" t="s">
        <v>823</v>
      </c>
      <c r="AC2" s="641" t="s">
        <v>824</v>
      </c>
      <c r="AD2" s="639" t="s">
        <v>825</v>
      </c>
      <c r="AE2" s="640" t="s">
        <v>826</v>
      </c>
      <c r="AF2" s="641" t="s">
        <v>827</v>
      </c>
      <c r="AG2" s="639" t="s">
        <v>828</v>
      </c>
      <c r="AH2" s="640" t="s">
        <v>1597</v>
      </c>
      <c r="AI2" s="641" t="s">
        <v>830</v>
      </c>
      <c r="AJ2" s="639" t="s">
        <v>831</v>
      </c>
      <c r="AK2" s="640" t="s">
        <v>829</v>
      </c>
      <c r="AL2" s="641" t="s">
        <v>1532</v>
      </c>
      <c r="AM2" s="1074" t="s">
        <v>812</v>
      </c>
      <c r="AN2" s="1073" t="s">
        <v>3987</v>
      </c>
      <c r="AO2" s="1068" t="s">
        <v>3948</v>
      </c>
    </row>
    <row r="3" spans="1:41" ht="20.25" customHeight="1" x14ac:dyDescent="0.2">
      <c r="A3" s="1615" t="s">
        <v>3885</v>
      </c>
      <c r="B3" s="643" t="s">
        <v>164</v>
      </c>
      <c r="C3" s="1078">
        <v>28</v>
      </c>
      <c r="D3" s="1079">
        <v>33</v>
      </c>
      <c r="E3" s="1080">
        <v>27</v>
      </c>
      <c r="F3" s="1078">
        <v>17</v>
      </c>
      <c r="G3" s="1079">
        <v>23</v>
      </c>
      <c r="H3" s="1080">
        <v>22</v>
      </c>
      <c r="I3" s="1078">
        <v>25</v>
      </c>
      <c r="J3" s="1079">
        <v>16</v>
      </c>
      <c r="K3" s="1080">
        <v>17</v>
      </c>
      <c r="L3" s="1078">
        <v>22</v>
      </c>
      <c r="M3" s="1079">
        <v>30</v>
      </c>
      <c r="N3" s="1080">
        <v>27</v>
      </c>
      <c r="O3" s="1081">
        <v>20</v>
      </c>
      <c r="P3" s="1079">
        <v>24</v>
      </c>
      <c r="Q3" s="1080">
        <v>14</v>
      </c>
      <c r="R3" s="1078">
        <v>9</v>
      </c>
      <c r="S3" s="1079">
        <v>10</v>
      </c>
      <c r="T3" s="1080">
        <v>12</v>
      </c>
      <c r="U3" s="1078">
        <v>22</v>
      </c>
      <c r="V3" s="1079">
        <v>28</v>
      </c>
      <c r="W3" s="1080">
        <v>22</v>
      </c>
      <c r="X3" s="1078">
        <v>18</v>
      </c>
      <c r="Y3" s="1079">
        <v>24</v>
      </c>
      <c r="Z3" s="1082">
        <v>13</v>
      </c>
      <c r="AA3" s="1078">
        <v>12</v>
      </c>
      <c r="AB3" s="1079">
        <v>24</v>
      </c>
      <c r="AC3" s="1080">
        <v>23</v>
      </c>
      <c r="AD3" s="1078">
        <v>25</v>
      </c>
      <c r="AE3" s="1079">
        <v>26</v>
      </c>
      <c r="AF3" s="1080">
        <v>20</v>
      </c>
      <c r="AG3" s="1078">
        <v>19</v>
      </c>
      <c r="AH3" s="1079">
        <v>14</v>
      </c>
      <c r="AI3" s="1080">
        <v>15</v>
      </c>
      <c r="AJ3" s="1078">
        <v>14</v>
      </c>
      <c r="AK3" s="1079">
        <v>23</v>
      </c>
      <c r="AL3" s="1080">
        <v>26</v>
      </c>
      <c r="AM3" s="1615" t="s">
        <v>3885</v>
      </c>
      <c r="AN3" s="643" t="s">
        <v>164</v>
      </c>
      <c r="AO3" s="1068" t="s">
        <v>3947</v>
      </c>
    </row>
    <row r="4" spans="1:41" ht="20.25" customHeight="1" x14ac:dyDescent="0.2">
      <c r="A4" s="1613"/>
      <c r="B4" s="644" t="s">
        <v>1583</v>
      </c>
      <c r="C4" s="1083">
        <v>33</v>
      </c>
      <c r="D4" s="1084">
        <v>28</v>
      </c>
      <c r="E4" s="1085">
        <v>23</v>
      </c>
      <c r="F4" s="1083">
        <v>18</v>
      </c>
      <c r="G4" s="1086">
        <v>26</v>
      </c>
      <c r="H4" s="1085">
        <v>14</v>
      </c>
      <c r="I4" s="1083">
        <v>17</v>
      </c>
      <c r="J4" s="1086">
        <v>25</v>
      </c>
      <c r="K4" s="1085">
        <v>25</v>
      </c>
      <c r="L4" s="1083">
        <v>30</v>
      </c>
      <c r="M4" s="1086">
        <v>22</v>
      </c>
      <c r="N4" s="1085">
        <v>24</v>
      </c>
      <c r="O4" s="1087">
        <v>19</v>
      </c>
      <c r="P4" s="1086">
        <v>17</v>
      </c>
      <c r="Q4" s="1085">
        <v>24</v>
      </c>
      <c r="R4" s="1083">
        <v>19</v>
      </c>
      <c r="S4" s="1086">
        <v>18</v>
      </c>
      <c r="T4" s="1085">
        <v>3</v>
      </c>
      <c r="U4" s="1083">
        <v>13</v>
      </c>
      <c r="V4" s="1086">
        <v>28</v>
      </c>
      <c r="W4" s="1085">
        <v>21</v>
      </c>
      <c r="X4" s="1083">
        <v>18</v>
      </c>
      <c r="Y4" s="1088">
        <v>17</v>
      </c>
      <c r="Z4" s="1085">
        <v>19</v>
      </c>
      <c r="AA4" s="1083">
        <v>19</v>
      </c>
      <c r="AB4" s="1086">
        <v>17</v>
      </c>
      <c r="AC4" s="1085">
        <v>25</v>
      </c>
      <c r="AD4" s="1083">
        <v>27</v>
      </c>
      <c r="AE4" s="1086">
        <v>28</v>
      </c>
      <c r="AF4" s="1085">
        <v>10</v>
      </c>
      <c r="AG4" s="1083">
        <v>9</v>
      </c>
      <c r="AH4" s="1086">
        <v>19</v>
      </c>
      <c r="AI4" s="1085">
        <v>23</v>
      </c>
      <c r="AJ4" s="1083">
        <v>22</v>
      </c>
      <c r="AK4" s="1086">
        <v>4</v>
      </c>
      <c r="AL4" s="1085">
        <v>25</v>
      </c>
      <c r="AM4" s="1613"/>
      <c r="AN4" s="644" t="s">
        <v>1583</v>
      </c>
      <c r="AO4" s="1068" t="s">
        <v>3949</v>
      </c>
    </row>
    <row r="5" spans="1:41" ht="20.25" customHeight="1" thickBot="1" x14ac:dyDescent="0.25">
      <c r="A5" s="1614"/>
      <c r="B5" s="645" t="s">
        <v>1312</v>
      </c>
      <c r="C5" s="1089">
        <v>26</v>
      </c>
      <c r="D5" s="1090">
        <v>28</v>
      </c>
      <c r="E5" s="1091">
        <v>28</v>
      </c>
      <c r="F5" s="1089">
        <v>18</v>
      </c>
      <c r="G5" s="1090">
        <v>10</v>
      </c>
      <c r="H5" s="1091">
        <v>16</v>
      </c>
      <c r="I5" s="1089">
        <v>19</v>
      </c>
      <c r="J5" s="1090">
        <v>19</v>
      </c>
      <c r="K5" s="1091">
        <v>19</v>
      </c>
      <c r="L5" s="1089">
        <v>24</v>
      </c>
      <c r="M5" s="1090">
        <v>26</v>
      </c>
      <c r="N5" s="1091">
        <v>22</v>
      </c>
      <c r="O5" s="1092">
        <v>15</v>
      </c>
      <c r="P5" s="1090">
        <v>10</v>
      </c>
      <c r="Q5" s="1091">
        <v>20</v>
      </c>
      <c r="R5" s="1089">
        <v>15</v>
      </c>
      <c r="S5" s="1090">
        <v>14</v>
      </c>
      <c r="T5" s="1091">
        <v>17</v>
      </c>
      <c r="U5" s="1089">
        <v>27</v>
      </c>
      <c r="V5" s="1090">
        <v>14</v>
      </c>
      <c r="W5" s="1091">
        <v>19</v>
      </c>
      <c r="X5" s="1093">
        <v>16</v>
      </c>
      <c r="Y5" s="1090">
        <v>19</v>
      </c>
      <c r="Z5" s="1091">
        <v>25</v>
      </c>
      <c r="AA5" s="1089">
        <v>25</v>
      </c>
      <c r="AB5" s="1090">
        <v>19</v>
      </c>
      <c r="AC5" s="1091">
        <v>11</v>
      </c>
      <c r="AD5" s="1089">
        <v>13</v>
      </c>
      <c r="AE5" s="1090">
        <v>13</v>
      </c>
      <c r="AF5" s="1091">
        <v>25</v>
      </c>
      <c r="AG5" s="1089">
        <v>24</v>
      </c>
      <c r="AH5" s="1090">
        <v>25</v>
      </c>
      <c r="AI5" s="1091">
        <v>18</v>
      </c>
      <c r="AJ5" s="1089">
        <v>17</v>
      </c>
      <c r="AK5" s="1090">
        <v>14</v>
      </c>
      <c r="AL5" s="1091">
        <v>10</v>
      </c>
      <c r="AM5" s="1614"/>
      <c r="AN5" s="645" t="s">
        <v>1312</v>
      </c>
      <c r="AO5" s="1068" t="s">
        <v>3950</v>
      </c>
    </row>
    <row r="6" spans="1:41" ht="20.25" customHeight="1" x14ac:dyDescent="0.2">
      <c r="A6" s="1615" t="s">
        <v>3886</v>
      </c>
      <c r="B6" s="646" t="s">
        <v>813</v>
      </c>
      <c r="C6" s="1094">
        <v>19</v>
      </c>
      <c r="D6" s="1095">
        <v>19</v>
      </c>
      <c r="E6" s="1096">
        <v>19</v>
      </c>
      <c r="F6" s="1094">
        <v>28</v>
      </c>
      <c r="G6" s="1095">
        <v>18</v>
      </c>
      <c r="H6" s="1096">
        <v>26</v>
      </c>
      <c r="I6" s="1094">
        <v>17</v>
      </c>
      <c r="J6" s="1095">
        <v>17</v>
      </c>
      <c r="K6" s="1096">
        <v>17</v>
      </c>
      <c r="L6" s="1094">
        <v>21</v>
      </c>
      <c r="M6" s="1095">
        <v>23</v>
      </c>
      <c r="N6" s="1096">
        <v>19</v>
      </c>
      <c r="O6" s="1094">
        <v>19</v>
      </c>
      <c r="P6" s="1095">
        <v>21</v>
      </c>
      <c r="Q6" s="1096">
        <v>22</v>
      </c>
      <c r="R6" s="1094">
        <v>20</v>
      </c>
      <c r="S6" s="1097">
        <v>18</v>
      </c>
      <c r="T6" s="1096">
        <v>23</v>
      </c>
      <c r="U6" s="1094">
        <v>22</v>
      </c>
      <c r="V6" s="1095">
        <v>9</v>
      </c>
      <c r="W6" s="1098">
        <v>14</v>
      </c>
      <c r="X6" s="1094">
        <v>21</v>
      </c>
      <c r="Y6" s="1095">
        <v>24</v>
      </c>
      <c r="Z6" s="1096">
        <v>30</v>
      </c>
      <c r="AA6" s="1094">
        <v>22</v>
      </c>
      <c r="AB6" s="1095">
        <v>15</v>
      </c>
      <c r="AC6" s="1096">
        <v>7</v>
      </c>
      <c r="AD6" s="1094">
        <v>12</v>
      </c>
      <c r="AE6" s="1095">
        <v>10</v>
      </c>
      <c r="AF6" s="1096">
        <v>24</v>
      </c>
      <c r="AG6" s="1094">
        <v>29</v>
      </c>
      <c r="AH6" s="1095">
        <v>30</v>
      </c>
      <c r="AI6" s="1096">
        <v>23</v>
      </c>
      <c r="AJ6" s="1094">
        <v>20</v>
      </c>
      <c r="AK6" s="1095">
        <v>22</v>
      </c>
      <c r="AL6" s="1096">
        <v>13</v>
      </c>
      <c r="AM6" s="1615" t="s">
        <v>3886</v>
      </c>
      <c r="AN6" s="646" t="s">
        <v>813</v>
      </c>
      <c r="AO6" s="1068" t="s">
        <v>3951</v>
      </c>
    </row>
    <row r="7" spans="1:41" ht="20.25" customHeight="1" x14ac:dyDescent="0.2">
      <c r="A7" s="1613"/>
      <c r="B7" s="647" t="s">
        <v>1584</v>
      </c>
      <c r="C7" s="1099">
        <v>23</v>
      </c>
      <c r="D7" s="1100">
        <v>23</v>
      </c>
      <c r="E7" s="1101">
        <v>11</v>
      </c>
      <c r="F7" s="1099">
        <v>20</v>
      </c>
      <c r="G7" s="1100">
        <v>28</v>
      </c>
      <c r="H7" s="1101">
        <v>30</v>
      </c>
      <c r="I7" s="1099">
        <v>26</v>
      </c>
      <c r="J7" s="1100">
        <v>23</v>
      </c>
      <c r="K7" s="1101">
        <v>22</v>
      </c>
      <c r="L7" s="1099">
        <v>26</v>
      </c>
      <c r="M7" s="1100">
        <v>27</v>
      </c>
      <c r="N7" s="1101">
        <v>12</v>
      </c>
      <c r="O7" s="1099">
        <v>10</v>
      </c>
      <c r="P7" s="1100">
        <v>24</v>
      </c>
      <c r="Q7" s="1101">
        <v>27</v>
      </c>
      <c r="R7" s="1099">
        <v>25</v>
      </c>
      <c r="S7" s="1102">
        <v>25</v>
      </c>
      <c r="T7" s="1101">
        <v>18</v>
      </c>
      <c r="U7" s="1099">
        <v>17</v>
      </c>
      <c r="V7" s="1103">
        <v>15</v>
      </c>
      <c r="W7" s="1101">
        <v>8</v>
      </c>
      <c r="X7" s="1099">
        <v>14</v>
      </c>
      <c r="Y7" s="1100">
        <v>29</v>
      </c>
      <c r="Z7" s="1101">
        <v>23</v>
      </c>
      <c r="AA7" s="1099">
        <v>13</v>
      </c>
      <c r="AB7" s="1100">
        <v>19</v>
      </c>
      <c r="AC7" s="1101">
        <v>11</v>
      </c>
      <c r="AD7" s="1099">
        <v>16</v>
      </c>
      <c r="AE7" s="1100">
        <v>18</v>
      </c>
      <c r="AF7" s="1101">
        <v>19</v>
      </c>
      <c r="AG7" s="1099">
        <v>24</v>
      </c>
      <c r="AH7" s="1100">
        <v>24</v>
      </c>
      <c r="AI7" s="1101">
        <v>29</v>
      </c>
      <c r="AJ7" s="1099">
        <v>26</v>
      </c>
      <c r="AK7" s="1100">
        <v>27</v>
      </c>
      <c r="AL7" s="1101">
        <v>19</v>
      </c>
      <c r="AM7" s="1613"/>
      <c r="AN7" s="647" t="s">
        <v>1584</v>
      </c>
      <c r="AO7" s="1068" t="s">
        <v>3952</v>
      </c>
    </row>
    <row r="8" spans="1:41" ht="20.25" customHeight="1" thickBot="1" x14ac:dyDescent="0.25">
      <c r="A8" s="1614"/>
      <c r="B8" s="648" t="s">
        <v>814</v>
      </c>
      <c r="C8" s="1104">
        <v>23</v>
      </c>
      <c r="D8" s="1105">
        <v>14</v>
      </c>
      <c r="E8" s="1106">
        <v>18</v>
      </c>
      <c r="F8" s="1104">
        <v>27</v>
      </c>
      <c r="G8" s="1105">
        <v>35</v>
      </c>
      <c r="H8" s="1107">
        <v>28</v>
      </c>
      <c r="I8" s="1108">
        <v>18</v>
      </c>
      <c r="J8" s="1105">
        <v>23</v>
      </c>
      <c r="K8" s="1106">
        <v>22</v>
      </c>
      <c r="L8" s="1104">
        <v>26</v>
      </c>
      <c r="M8" s="1105">
        <v>19</v>
      </c>
      <c r="N8" s="1106">
        <v>21</v>
      </c>
      <c r="O8" s="1104">
        <v>19</v>
      </c>
      <c r="P8" s="1105">
        <v>15</v>
      </c>
      <c r="Q8" s="1106">
        <v>24</v>
      </c>
      <c r="R8" s="1104">
        <v>23</v>
      </c>
      <c r="S8" s="1109">
        <v>25</v>
      </c>
      <c r="T8" s="1107">
        <v>11</v>
      </c>
      <c r="U8" s="1108">
        <v>10</v>
      </c>
      <c r="V8" s="1105">
        <v>9</v>
      </c>
      <c r="W8" s="1106">
        <v>17</v>
      </c>
      <c r="X8" s="1104">
        <v>23</v>
      </c>
      <c r="Y8" s="1105">
        <v>21</v>
      </c>
      <c r="Z8" s="1106">
        <v>24</v>
      </c>
      <c r="AA8" s="1104">
        <v>14</v>
      </c>
      <c r="AB8" s="1105">
        <v>10</v>
      </c>
      <c r="AC8" s="1106">
        <v>16</v>
      </c>
      <c r="AD8" s="1104">
        <v>21</v>
      </c>
      <c r="AE8" s="1105">
        <v>26</v>
      </c>
      <c r="AF8" s="1107">
        <v>12</v>
      </c>
      <c r="AG8" s="1108">
        <v>17</v>
      </c>
      <c r="AH8" s="1105">
        <v>26</v>
      </c>
      <c r="AI8" s="1106">
        <v>28</v>
      </c>
      <c r="AJ8" s="1104">
        <v>25</v>
      </c>
      <c r="AK8" s="1105">
        <v>28</v>
      </c>
      <c r="AL8" s="1106">
        <v>27</v>
      </c>
      <c r="AM8" s="1614"/>
      <c r="AN8" s="648" t="s">
        <v>814</v>
      </c>
      <c r="AO8" s="1068" t="s">
        <v>3973</v>
      </c>
    </row>
    <row r="9" spans="1:41" ht="20.25" customHeight="1" x14ac:dyDescent="0.2">
      <c r="A9" s="1615" t="s">
        <v>3887</v>
      </c>
      <c r="B9" s="643" t="s">
        <v>815</v>
      </c>
      <c r="C9" s="1078">
        <v>28</v>
      </c>
      <c r="D9" s="1079">
        <v>17</v>
      </c>
      <c r="E9" s="1080">
        <v>21</v>
      </c>
      <c r="F9" s="1078">
        <v>19</v>
      </c>
      <c r="G9" s="1079">
        <v>26</v>
      </c>
      <c r="H9" s="1082">
        <v>19</v>
      </c>
      <c r="I9" s="1110">
        <v>28</v>
      </c>
      <c r="J9" s="1079">
        <v>33</v>
      </c>
      <c r="K9" s="1080">
        <v>31</v>
      </c>
      <c r="L9" s="1078">
        <v>18</v>
      </c>
      <c r="M9" s="1079">
        <v>11</v>
      </c>
      <c r="N9" s="1080">
        <v>13</v>
      </c>
      <c r="O9" s="1078">
        <v>22</v>
      </c>
      <c r="P9" s="1079">
        <v>18</v>
      </c>
      <c r="Q9" s="1080">
        <v>27</v>
      </c>
      <c r="R9" s="1078">
        <v>31</v>
      </c>
      <c r="S9" s="1079">
        <v>34</v>
      </c>
      <c r="T9" s="1082">
        <v>20</v>
      </c>
      <c r="U9" s="1110">
        <v>13</v>
      </c>
      <c r="V9" s="1111">
        <v>27</v>
      </c>
      <c r="W9" s="1080">
        <v>19</v>
      </c>
      <c r="X9" s="1078">
        <v>13</v>
      </c>
      <c r="Y9" s="1079">
        <v>13</v>
      </c>
      <c r="Z9" s="1080">
        <v>14</v>
      </c>
      <c r="AA9" s="1078">
        <v>23</v>
      </c>
      <c r="AB9" s="1079">
        <v>19</v>
      </c>
      <c r="AC9" s="1080">
        <v>23</v>
      </c>
      <c r="AD9" s="1078">
        <v>19</v>
      </c>
      <c r="AE9" s="1079">
        <v>24</v>
      </c>
      <c r="AF9" s="1082">
        <v>10</v>
      </c>
      <c r="AG9" s="1110">
        <v>12</v>
      </c>
      <c r="AH9" s="1079">
        <v>21</v>
      </c>
      <c r="AI9" s="1080">
        <v>22</v>
      </c>
      <c r="AJ9" s="1078">
        <v>24</v>
      </c>
      <c r="AK9" s="1079">
        <v>17</v>
      </c>
      <c r="AL9" s="1080">
        <v>26</v>
      </c>
      <c r="AM9" s="1615" t="s">
        <v>3887</v>
      </c>
      <c r="AN9" s="643" t="s">
        <v>815</v>
      </c>
      <c r="AO9" s="1068" t="s">
        <v>3974</v>
      </c>
    </row>
    <row r="10" spans="1:41" ht="20.25" customHeight="1" x14ac:dyDescent="0.2">
      <c r="A10" s="1613"/>
      <c r="B10" s="644" t="s">
        <v>1528</v>
      </c>
      <c r="C10" s="1083">
        <v>18</v>
      </c>
      <c r="D10" s="1086">
        <v>26</v>
      </c>
      <c r="E10" s="1085">
        <v>21</v>
      </c>
      <c r="F10" s="1083">
        <v>19</v>
      </c>
      <c r="G10" s="1086">
        <v>24</v>
      </c>
      <c r="H10" s="1085">
        <v>25</v>
      </c>
      <c r="I10" s="1083">
        <v>34</v>
      </c>
      <c r="J10" s="1086">
        <v>28</v>
      </c>
      <c r="K10" s="1085">
        <v>25</v>
      </c>
      <c r="L10" s="1083">
        <v>12</v>
      </c>
      <c r="M10" s="1086">
        <v>20</v>
      </c>
      <c r="N10" s="1085">
        <v>12</v>
      </c>
      <c r="O10" s="1083">
        <v>21</v>
      </c>
      <c r="P10" s="1086">
        <v>27</v>
      </c>
      <c r="Q10" s="1085">
        <v>20</v>
      </c>
      <c r="R10" s="1083">
        <v>24</v>
      </c>
      <c r="S10" s="1086">
        <v>24</v>
      </c>
      <c r="T10" s="1085">
        <v>27</v>
      </c>
      <c r="U10" s="1083">
        <v>20</v>
      </c>
      <c r="V10" s="1112">
        <v>27</v>
      </c>
      <c r="W10" s="1085">
        <v>20</v>
      </c>
      <c r="X10" s="1083">
        <v>13</v>
      </c>
      <c r="Y10" s="1086">
        <v>19</v>
      </c>
      <c r="Z10" s="1085">
        <v>5</v>
      </c>
      <c r="AA10" s="1083">
        <v>15</v>
      </c>
      <c r="AB10" s="1086">
        <v>28</v>
      </c>
      <c r="AC10" s="1085">
        <v>27</v>
      </c>
      <c r="AD10" s="1083">
        <v>21</v>
      </c>
      <c r="AE10" s="1088">
        <v>22</v>
      </c>
      <c r="AF10" s="1085">
        <v>17</v>
      </c>
      <c r="AG10" s="1083">
        <v>19</v>
      </c>
      <c r="AH10" s="1086">
        <v>12</v>
      </c>
      <c r="AI10" s="1085">
        <v>17</v>
      </c>
      <c r="AJ10" s="1083">
        <v>18</v>
      </c>
      <c r="AK10" s="1086">
        <v>26</v>
      </c>
      <c r="AL10" s="1085">
        <v>26</v>
      </c>
      <c r="AM10" s="1613"/>
      <c r="AN10" s="644" t="s">
        <v>1528</v>
      </c>
      <c r="AO10" s="1068" t="s">
        <v>3975</v>
      </c>
    </row>
    <row r="11" spans="1:41" ht="20.25" customHeight="1" thickBot="1" x14ac:dyDescent="0.25">
      <c r="A11" s="1614"/>
      <c r="B11" s="645" t="s">
        <v>816</v>
      </c>
      <c r="C11" s="1089">
        <v>18</v>
      </c>
      <c r="D11" s="1090">
        <v>25</v>
      </c>
      <c r="E11" s="1091">
        <v>21</v>
      </c>
      <c r="F11" s="1089">
        <v>19</v>
      </c>
      <c r="G11" s="1090">
        <v>22</v>
      </c>
      <c r="H11" s="1091">
        <v>23</v>
      </c>
      <c r="I11" s="1089">
        <v>31</v>
      </c>
      <c r="J11" s="1090">
        <v>24</v>
      </c>
      <c r="K11" s="1091">
        <v>28</v>
      </c>
      <c r="L11" s="1089">
        <v>14</v>
      </c>
      <c r="M11" s="1090">
        <v>21</v>
      </c>
      <c r="N11" s="1091">
        <v>15</v>
      </c>
      <c r="O11" s="1089">
        <v>21</v>
      </c>
      <c r="P11" s="1090">
        <v>25</v>
      </c>
      <c r="Q11" s="1091">
        <v>19</v>
      </c>
      <c r="R11" s="1089">
        <v>23</v>
      </c>
      <c r="S11" s="1090">
        <v>24</v>
      </c>
      <c r="T11" s="1091">
        <v>26</v>
      </c>
      <c r="U11" s="1089">
        <v>19</v>
      </c>
      <c r="V11" s="1113">
        <v>27</v>
      </c>
      <c r="W11" s="1091">
        <v>21</v>
      </c>
      <c r="X11" s="1089">
        <v>14</v>
      </c>
      <c r="Y11" s="1090">
        <v>20</v>
      </c>
      <c r="Z11" s="1091">
        <v>6</v>
      </c>
      <c r="AA11" s="1089">
        <v>14</v>
      </c>
      <c r="AB11" s="1090">
        <v>27</v>
      </c>
      <c r="AC11" s="1114">
        <v>27</v>
      </c>
      <c r="AD11" s="1093">
        <v>21</v>
      </c>
      <c r="AE11" s="1090">
        <v>22</v>
      </c>
      <c r="AF11" s="1091">
        <v>16</v>
      </c>
      <c r="AG11" s="1089">
        <v>18</v>
      </c>
      <c r="AH11" s="1090">
        <v>13</v>
      </c>
      <c r="AI11" s="1091">
        <v>16</v>
      </c>
      <c r="AJ11" s="1089">
        <v>17</v>
      </c>
      <c r="AK11" s="1090">
        <v>26</v>
      </c>
      <c r="AL11" s="1091">
        <v>26</v>
      </c>
      <c r="AM11" s="1614"/>
      <c r="AN11" s="645" t="s">
        <v>816</v>
      </c>
      <c r="AO11" s="1068" t="s">
        <v>3976</v>
      </c>
    </row>
    <row r="12" spans="1:41" ht="20.25" customHeight="1" x14ac:dyDescent="0.2">
      <c r="A12" s="1615" t="s">
        <v>3888</v>
      </c>
      <c r="B12" s="646" t="s">
        <v>1344</v>
      </c>
      <c r="C12" s="1094">
        <v>21</v>
      </c>
      <c r="D12" s="1095">
        <v>28</v>
      </c>
      <c r="E12" s="1096">
        <v>24</v>
      </c>
      <c r="F12" s="1094">
        <v>21</v>
      </c>
      <c r="G12" s="1095">
        <v>24</v>
      </c>
      <c r="H12" s="1096">
        <v>25</v>
      </c>
      <c r="I12" s="1094">
        <v>17</v>
      </c>
      <c r="J12" s="1095">
        <v>10</v>
      </c>
      <c r="K12" s="1096">
        <v>13</v>
      </c>
      <c r="L12" s="1094">
        <v>28</v>
      </c>
      <c r="M12" s="1095">
        <v>34</v>
      </c>
      <c r="N12" s="1096">
        <v>28</v>
      </c>
      <c r="O12" s="1094">
        <v>16</v>
      </c>
      <c r="P12" s="1095">
        <v>20</v>
      </c>
      <c r="Q12" s="1096">
        <v>14</v>
      </c>
      <c r="R12" s="1094">
        <v>16</v>
      </c>
      <c r="S12" s="1095">
        <v>17</v>
      </c>
      <c r="T12" s="1096">
        <v>19</v>
      </c>
      <c r="U12" s="1094">
        <v>19</v>
      </c>
      <c r="V12" s="1095">
        <v>26</v>
      </c>
      <c r="W12" s="1096">
        <v>20</v>
      </c>
      <c r="X12" s="1094">
        <v>19</v>
      </c>
      <c r="Y12" s="1097">
        <v>26</v>
      </c>
      <c r="Z12" s="1096">
        <v>20</v>
      </c>
      <c r="AA12" s="1094">
        <v>7</v>
      </c>
      <c r="AB12" s="1095">
        <v>20</v>
      </c>
      <c r="AC12" s="1098">
        <v>20</v>
      </c>
      <c r="AD12" s="1115">
        <v>16</v>
      </c>
      <c r="AE12" s="1095">
        <v>17</v>
      </c>
      <c r="AF12" s="1096">
        <v>21</v>
      </c>
      <c r="AG12" s="1094">
        <v>12</v>
      </c>
      <c r="AH12" s="1095">
        <v>5</v>
      </c>
      <c r="AI12" s="1096">
        <v>9</v>
      </c>
      <c r="AJ12" s="1094">
        <v>18</v>
      </c>
      <c r="AK12" s="1095">
        <v>25</v>
      </c>
      <c r="AL12" s="1096">
        <v>24</v>
      </c>
      <c r="AM12" s="1615" t="s">
        <v>3888</v>
      </c>
      <c r="AN12" s="646" t="s">
        <v>1344</v>
      </c>
      <c r="AO12" s="1068" t="s">
        <v>821</v>
      </c>
    </row>
    <row r="13" spans="1:41" ht="20.25" customHeight="1" x14ac:dyDescent="0.2">
      <c r="A13" s="1613"/>
      <c r="B13" s="647" t="s">
        <v>1523</v>
      </c>
      <c r="C13" s="1099">
        <v>29</v>
      </c>
      <c r="D13" s="1100">
        <v>20</v>
      </c>
      <c r="E13" s="1101">
        <v>26</v>
      </c>
      <c r="F13" s="1099">
        <v>23</v>
      </c>
      <c r="G13" s="1100">
        <v>25</v>
      </c>
      <c r="H13" s="1101">
        <v>18</v>
      </c>
      <c r="I13" s="1099">
        <v>10</v>
      </c>
      <c r="J13" s="1100">
        <v>18</v>
      </c>
      <c r="K13" s="1101">
        <v>24</v>
      </c>
      <c r="L13" s="1099">
        <v>34</v>
      </c>
      <c r="M13" s="1100">
        <v>28</v>
      </c>
      <c r="N13" s="1101">
        <v>29</v>
      </c>
      <c r="O13" s="1099">
        <v>18</v>
      </c>
      <c r="P13" s="1100">
        <v>14</v>
      </c>
      <c r="Q13" s="1101">
        <v>23</v>
      </c>
      <c r="R13" s="1099">
        <v>15</v>
      </c>
      <c r="S13" s="1100">
        <v>25</v>
      </c>
      <c r="T13" s="1101">
        <v>20</v>
      </c>
      <c r="U13" s="1099">
        <v>11</v>
      </c>
      <c r="V13" s="1100">
        <v>25</v>
      </c>
      <c r="W13" s="1101">
        <v>20</v>
      </c>
      <c r="X13" s="1099">
        <v>19</v>
      </c>
      <c r="Y13" s="1102">
        <v>17</v>
      </c>
      <c r="Z13" s="1101">
        <v>20</v>
      </c>
      <c r="AA13" s="1099">
        <v>17</v>
      </c>
      <c r="AB13" s="1103">
        <v>12</v>
      </c>
      <c r="AC13" s="1101">
        <v>20</v>
      </c>
      <c r="AD13" s="1099">
        <v>26</v>
      </c>
      <c r="AE13" s="1100">
        <v>27</v>
      </c>
      <c r="AF13" s="1101">
        <v>13</v>
      </c>
      <c r="AG13" s="1099">
        <v>4</v>
      </c>
      <c r="AH13" s="1100">
        <v>13</v>
      </c>
      <c r="AI13" s="1101">
        <v>17</v>
      </c>
      <c r="AJ13" s="1099">
        <v>26</v>
      </c>
      <c r="AK13" s="1100">
        <v>18</v>
      </c>
      <c r="AL13" s="1101">
        <v>26</v>
      </c>
      <c r="AM13" s="1613"/>
      <c r="AN13" s="647" t="s">
        <v>1523</v>
      </c>
      <c r="AO13" s="1068" t="s">
        <v>3977</v>
      </c>
    </row>
    <row r="14" spans="1:41" ht="20.25" customHeight="1" thickBot="1" x14ac:dyDescent="0.25">
      <c r="A14" s="1614"/>
      <c r="B14" s="648" t="s">
        <v>1587</v>
      </c>
      <c r="C14" s="1104">
        <v>25</v>
      </c>
      <c r="D14" s="1105">
        <v>23</v>
      </c>
      <c r="E14" s="1106">
        <v>21</v>
      </c>
      <c r="F14" s="1104">
        <v>18</v>
      </c>
      <c r="G14" s="1105">
        <v>11</v>
      </c>
      <c r="H14" s="1106">
        <v>19</v>
      </c>
      <c r="I14" s="1104">
        <v>11</v>
      </c>
      <c r="J14" s="1105">
        <v>11</v>
      </c>
      <c r="K14" s="1106">
        <v>13</v>
      </c>
      <c r="L14" s="1104">
        <v>27</v>
      </c>
      <c r="M14" s="1105">
        <v>28</v>
      </c>
      <c r="N14" s="1116">
        <v>28</v>
      </c>
      <c r="O14" s="1104">
        <v>15</v>
      </c>
      <c r="P14" s="1105">
        <v>15</v>
      </c>
      <c r="Q14" s="1106">
        <v>17</v>
      </c>
      <c r="R14" s="1104">
        <v>19</v>
      </c>
      <c r="S14" s="1105">
        <v>19</v>
      </c>
      <c r="T14" s="1106">
        <v>24</v>
      </c>
      <c r="U14" s="1104">
        <v>24</v>
      </c>
      <c r="V14" s="1105">
        <v>11</v>
      </c>
      <c r="W14" s="1106">
        <v>16</v>
      </c>
      <c r="X14" s="1104">
        <v>14</v>
      </c>
      <c r="Y14" s="1109">
        <v>19</v>
      </c>
      <c r="Z14" s="1106">
        <v>25</v>
      </c>
      <c r="AA14" s="1108">
        <v>22</v>
      </c>
      <c r="AB14" s="1105">
        <v>15</v>
      </c>
      <c r="AC14" s="1106">
        <v>7</v>
      </c>
      <c r="AD14" s="1104">
        <v>13</v>
      </c>
      <c r="AE14" s="1105">
        <v>13</v>
      </c>
      <c r="AF14" s="1106">
        <v>26</v>
      </c>
      <c r="AG14" s="1104">
        <v>17</v>
      </c>
      <c r="AH14" s="1105">
        <v>18</v>
      </c>
      <c r="AI14" s="1106">
        <v>11</v>
      </c>
      <c r="AJ14" s="1104">
        <v>17</v>
      </c>
      <c r="AK14" s="1105">
        <v>20</v>
      </c>
      <c r="AL14" s="1106">
        <v>12</v>
      </c>
      <c r="AM14" s="1614"/>
      <c r="AN14" s="648" t="s">
        <v>1587</v>
      </c>
      <c r="AO14" s="1068" t="s">
        <v>3978</v>
      </c>
    </row>
    <row r="15" spans="1:41" ht="20.25" customHeight="1" x14ac:dyDescent="0.2">
      <c r="A15" s="1615" t="s">
        <v>3889</v>
      </c>
      <c r="B15" s="643" t="s">
        <v>1588</v>
      </c>
      <c r="C15" s="1078">
        <v>19</v>
      </c>
      <c r="D15" s="1079">
        <v>19</v>
      </c>
      <c r="E15" s="1080">
        <v>15</v>
      </c>
      <c r="F15" s="1078">
        <v>16</v>
      </c>
      <c r="G15" s="1079">
        <v>9</v>
      </c>
      <c r="H15" s="1080">
        <v>17</v>
      </c>
      <c r="I15" s="1078">
        <v>20</v>
      </c>
      <c r="J15" s="1079">
        <v>20</v>
      </c>
      <c r="K15" s="1080">
        <v>19</v>
      </c>
      <c r="L15" s="1078">
        <v>16</v>
      </c>
      <c r="M15" s="1079">
        <v>18</v>
      </c>
      <c r="N15" s="1080">
        <v>16</v>
      </c>
      <c r="O15" s="1078">
        <v>28</v>
      </c>
      <c r="P15" s="1079">
        <v>30</v>
      </c>
      <c r="Q15" s="1080">
        <v>26</v>
      </c>
      <c r="R15" s="1078">
        <v>14</v>
      </c>
      <c r="S15" s="1079">
        <v>14</v>
      </c>
      <c r="T15" s="1080">
        <v>19</v>
      </c>
      <c r="U15" s="1078">
        <v>23</v>
      </c>
      <c r="V15" s="1079">
        <v>10</v>
      </c>
      <c r="W15" s="1080">
        <v>15</v>
      </c>
      <c r="X15" s="1078">
        <v>24</v>
      </c>
      <c r="Y15" s="1079">
        <v>24</v>
      </c>
      <c r="Z15" s="1080">
        <v>32</v>
      </c>
      <c r="AA15" s="1081">
        <v>24</v>
      </c>
      <c r="AB15" s="1079">
        <v>19</v>
      </c>
      <c r="AC15" s="1080">
        <v>8</v>
      </c>
      <c r="AD15" s="1078">
        <v>3</v>
      </c>
      <c r="AE15" s="1079">
        <v>4</v>
      </c>
      <c r="AF15" s="1080">
        <v>17</v>
      </c>
      <c r="AG15" s="1078">
        <v>16</v>
      </c>
      <c r="AH15" s="1079">
        <v>9</v>
      </c>
      <c r="AI15" s="1080">
        <v>14</v>
      </c>
      <c r="AJ15" s="1078">
        <v>17</v>
      </c>
      <c r="AK15" s="1079">
        <v>18</v>
      </c>
      <c r="AL15" s="1082">
        <v>12</v>
      </c>
      <c r="AM15" s="1615" t="s">
        <v>3889</v>
      </c>
      <c r="AN15" s="643" t="s">
        <v>1588</v>
      </c>
      <c r="AO15" s="1068" t="s">
        <v>3979</v>
      </c>
    </row>
    <row r="16" spans="1:41" ht="20.25" customHeight="1" x14ac:dyDescent="0.2">
      <c r="A16" s="1613"/>
      <c r="B16" s="644" t="s">
        <v>2228</v>
      </c>
      <c r="C16" s="1083">
        <v>25</v>
      </c>
      <c r="D16" s="1086">
        <v>17</v>
      </c>
      <c r="E16" s="1085">
        <v>19</v>
      </c>
      <c r="F16" s="1083">
        <v>20</v>
      </c>
      <c r="G16" s="1086">
        <v>23</v>
      </c>
      <c r="H16" s="1085">
        <v>15</v>
      </c>
      <c r="I16" s="1083">
        <v>18</v>
      </c>
      <c r="J16" s="1086">
        <v>26</v>
      </c>
      <c r="K16" s="1085">
        <v>25</v>
      </c>
      <c r="L16" s="1083">
        <v>22</v>
      </c>
      <c r="M16" s="1086">
        <v>16</v>
      </c>
      <c r="N16" s="1085">
        <v>19</v>
      </c>
      <c r="O16" s="1083">
        <v>30</v>
      </c>
      <c r="P16" s="1086">
        <v>28</v>
      </c>
      <c r="Q16" s="1085">
        <v>34</v>
      </c>
      <c r="R16" s="1083">
        <v>24</v>
      </c>
      <c r="S16" s="1086">
        <v>20</v>
      </c>
      <c r="T16" s="1085">
        <v>5</v>
      </c>
      <c r="U16" s="1083">
        <v>9</v>
      </c>
      <c r="V16" s="1086">
        <v>24</v>
      </c>
      <c r="W16" s="1085">
        <v>17</v>
      </c>
      <c r="X16" s="1083">
        <v>23</v>
      </c>
      <c r="Y16" s="1086">
        <v>22</v>
      </c>
      <c r="Z16" s="1085">
        <v>24</v>
      </c>
      <c r="AA16" s="1087">
        <v>20</v>
      </c>
      <c r="AB16" s="1086">
        <v>17</v>
      </c>
      <c r="AC16" s="1085">
        <v>24</v>
      </c>
      <c r="AD16" s="1083">
        <v>19</v>
      </c>
      <c r="AE16" s="1086">
        <v>18</v>
      </c>
      <c r="AF16" s="1085">
        <v>5</v>
      </c>
      <c r="AG16" s="1083">
        <v>19</v>
      </c>
      <c r="AH16" s="1086">
        <v>10</v>
      </c>
      <c r="AI16" s="1085">
        <v>13</v>
      </c>
      <c r="AJ16" s="1083">
        <v>23</v>
      </c>
      <c r="AK16" s="1088">
        <v>16</v>
      </c>
      <c r="AL16" s="1085">
        <v>24</v>
      </c>
      <c r="AM16" s="1613"/>
      <c r="AN16" s="644" t="s">
        <v>2228</v>
      </c>
      <c r="AO16" s="1068" t="s">
        <v>3980</v>
      </c>
    </row>
    <row r="17" spans="1:41" ht="20.25" customHeight="1" thickBot="1" x14ac:dyDescent="0.25">
      <c r="A17" s="1614"/>
      <c r="B17" s="645" t="s">
        <v>817</v>
      </c>
      <c r="C17" s="1089">
        <v>15</v>
      </c>
      <c r="D17" s="1090">
        <v>25</v>
      </c>
      <c r="E17" s="1091">
        <v>20</v>
      </c>
      <c r="F17" s="1089">
        <v>21</v>
      </c>
      <c r="G17" s="1090">
        <v>26</v>
      </c>
      <c r="H17" s="1091">
        <v>24</v>
      </c>
      <c r="I17" s="1089">
        <v>27</v>
      </c>
      <c r="J17" s="1090">
        <v>19</v>
      </c>
      <c r="K17" s="1091">
        <v>17</v>
      </c>
      <c r="L17" s="1089">
        <v>14</v>
      </c>
      <c r="M17" s="1090">
        <v>23</v>
      </c>
      <c r="N17" s="1091">
        <v>18</v>
      </c>
      <c r="O17" s="1089">
        <v>26</v>
      </c>
      <c r="P17" s="1090">
        <v>34</v>
      </c>
      <c r="Q17" s="1091">
        <v>28</v>
      </c>
      <c r="R17" s="1089">
        <v>16</v>
      </c>
      <c r="S17" s="1090">
        <v>15</v>
      </c>
      <c r="T17" s="1091">
        <v>12</v>
      </c>
      <c r="U17" s="1089">
        <v>16</v>
      </c>
      <c r="V17" s="1090">
        <v>25</v>
      </c>
      <c r="W17" s="1091">
        <v>16</v>
      </c>
      <c r="X17" s="1089">
        <v>22</v>
      </c>
      <c r="Y17" s="1090">
        <v>30</v>
      </c>
      <c r="Z17" s="1091">
        <v>16</v>
      </c>
      <c r="AA17" s="1092">
        <v>9</v>
      </c>
      <c r="AB17" s="1090">
        <v>25</v>
      </c>
      <c r="AC17" s="1091">
        <v>25</v>
      </c>
      <c r="AD17" s="1089">
        <v>20</v>
      </c>
      <c r="AE17" s="1090">
        <v>20</v>
      </c>
      <c r="AF17" s="1091">
        <v>11</v>
      </c>
      <c r="AG17" s="1089">
        <v>16</v>
      </c>
      <c r="AH17" s="1090">
        <v>24</v>
      </c>
      <c r="AI17" s="1114">
        <v>16</v>
      </c>
      <c r="AJ17" s="1093">
        <v>15</v>
      </c>
      <c r="AK17" s="1090">
        <v>26</v>
      </c>
      <c r="AL17" s="1091">
        <v>24</v>
      </c>
      <c r="AM17" s="1614"/>
      <c r="AN17" s="645" t="s">
        <v>817</v>
      </c>
      <c r="AO17" s="1068" t="s">
        <v>3981</v>
      </c>
    </row>
    <row r="18" spans="1:41" ht="20.25" customHeight="1" x14ac:dyDescent="0.2">
      <c r="A18" s="1615" t="s">
        <v>3890</v>
      </c>
      <c r="B18" s="646" t="s">
        <v>818</v>
      </c>
      <c r="C18" s="1094">
        <v>11</v>
      </c>
      <c r="D18" s="1095">
        <v>21</v>
      </c>
      <c r="E18" s="1096">
        <v>16</v>
      </c>
      <c r="F18" s="1094">
        <v>20</v>
      </c>
      <c r="G18" s="1095">
        <v>25</v>
      </c>
      <c r="H18" s="1096">
        <v>24</v>
      </c>
      <c r="I18" s="1094">
        <v>31</v>
      </c>
      <c r="J18" s="1095">
        <v>21</v>
      </c>
      <c r="K18" s="1096">
        <v>23</v>
      </c>
      <c r="L18" s="1094">
        <v>17</v>
      </c>
      <c r="M18" s="1095">
        <v>20</v>
      </c>
      <c r="N18" s="1096">
        <v>20</v>
      </c>
      <c r="O18" s="1094">
        <v>15</v>
      </c>
      <c r="P18" s="1095">
        <v>23</v>
      </c>
      <c r="Q18" s="1096">
        <v>17</v>
      </c>
      <c r="R18" s="1094">
        <v>28</v>
      </c>
      <c r="S18" s="1095">
        <v>27</v>
      </c>
      <c r="T18" s="1096">
        <v>24</v>
      </c>
      <c r="U18" s="1094">
        <v>16</v>
      </c>
      <c r="V18" s="1095">
        <v>25</v>
      </c>
      <c r="W18" s="1096">
        <v>16</v>
      </c>
      <c r="X18" s="1094">
        <v>18</v>
      </c>
      <c r="Y18" s="1095">
        <v>28</v>
      </c>
      <c r="Z18" s="1096">
        <v>12</v>
      </c>
      <c r="AA18" s="1094">
        <v>14</v>
      </c>
      <c r="AB18" s="1095">
        <v>29</v>
      </c>
      <c r="AC18" s="1096">
        <v>29</v>
      </c>
      <c r="AD18" s="1094">
        <v>24</v>
      </c>
      <c r="AE18" s="1097">
        <v>24</v>
      </c>
      <c r="AF18" s="1096">
        <v>15</v>
      </c>
      <c r="AG18" s="1094">
        <v>18</v>
      </c>
      <c r="AH18" s="1095">
        <v>26</v>
      </c>
      <c r="AI18" s="1098">
        <v>18</v>
      </c>
      <c r="AJ18" s="1115">
        <v>17</v>
      </c>
      <c r="AK18" s="1095">
        <v>28</v>
      </c>
      <c r="AL18" s="1096">
        <v>26</v>
      </c>
      <c r="AM18" s="1615" t="s">
        <v>3890</v>
      </c>
      <c r="AN18" s="646" t="s">
        <v>818</v>
      </c>
      <c r="AO18" s="1068" t="s">
        <v>3982</v>
      </c>
    </row>
    <row r="19" spans="1:41" ht="20.25" customHeight="1" x14ac:dyDescent="0.2">
      <c r="A19" s="1613"/>
      <c r="B19" s="647" t="s">
        <v>1591</v>
      </c>
      <c r="C19" s="1099">
        <v>11</v>
      </c>
      <c r="D19" s="1100">
        <v>18</v>
      </c>
      <c r="E19" s="1101">
        <v>16</v>
      </c>
      <c r="F19" s="1099">
        <v>20</v>
      </c>
      <c r="G19" s="1100">
        <v>23</v>
      </c>
      <c r="H19" s="1101">
        <v>24</v>
      </c>
      <c r="I19" s="1099">
        <v>32</v>
      </c>
      <c r="J19" s="1100">
        <v>18</v>
      </c>
      <c r="K19" s="1101">
        <v>23</v>
      </c>
      <c r="L19" s="1099">
        <v>18</v>
      </c>
      <c r="M19" s="1100">
        <v>26</v>
      </c>
      <c r="N19" s="1101">
        <v>21</v>
      </c>
      <c r="O19" s="1099">
        <v>16</v>
      </c>
      <c r="P19" s="1100">
        <v>20</v>
      </c>
      <c r="Q19" s="1101">
        <v>15</v>
      </c>
      <c r="R19" s="1099">
        <v>26</v>
      </c>
      <c r="S19" s="1100">
        <v>28</v>
      </c>
      <c r="T19" s="1101">
        <v>28</v>
      </c>
      <c r="U19" s="1099">
        <v>29</v>
      </c>
      <c r="V19" s="1100">
        <v>26</v>
      </c>
      <c r="W19" s="1101">
        <v>18</v>
      </c>
      <c r="X19" s="1099">
        <v>20</v>
      </c>
      <c r="Y19" s="1100">
        <v>26</v>
      </c>
      <c r="Z19" s="1101">
        <v>13</v>
      </c>
      <c r="AA19" s="1099">
        <v>15</v>
      </c>
      <c r="AB19" s="1100">
        <v>27</v>
      </c>
      <c r="AC19" s="1101">
        <v>23</v>
      </c>
      <c r="AD19" s="1099">
        <v>23</v>
      </c>
      <c r="AE19" s="1102">
        <v>24</v>
      </c>
      <c r="AF19" s="1101">
        <v>18</v>
      </c>
      <c r="AG19" s="1099">
        <v>21</v>
      </c>
      <c r="AH19" s="1103">
        <v>22</v>
      </c>
      <c r="AI19" s="1101">
        <v>25</v>
      </c>
      <c r="AJ19" s="1099">
        <v>15</v>
      </c>
      <c r="AK19" s="1100">
        <v>26</v>
      </c>
      <c r="AL19" s="1101">
        <v>24</v>
      </c>
      <c r="AM19" s="1613"/>
      <c r="AN19" s="647" t="s">
        <v>1591</v>
      </c>
      <c r="AO19" s="1068" t="s">
        <v>3983</v>
      </c>
    </row>
    <row r="20" spans="1:41" ht="20.25" customHeight="1" thickBot="1" x14ac:dyDescent="0.25">
      <c r="A20" s="1614"/>
      <c r="B20" s="648" t="s">
        <v>819</v>
      </c>
      <c r="C20" s="1104">
        <v>12</v>
      </c>
      <c r="D20" s="1105">
        <v>4</v>
      </c>
      <c r="E20" s="1106">
        <v>18</v>
      </c>
      <c r="F20" s="1104">
        <v>23</v>
      </c>
      <c r="G20" s="1105">
        <v>18</v>
      </c>
      <c r="H20" s="1107">
        <v>10</v>
      </c>
      <c r="I20" s="1108">
        <v>18</v>
      </c>
      <c r="J20" s="1105">
        <v>22</v>
      </c>
      <c r="K20" s="1106">
        <v>24</v>
      </c>
      <c r="L20" s="1104">
        <v>21</v>
      </c>
      <c r="M20" s="1105">
        <v>11</v>
      </c>
      <c r="N20" s="1106">
        <v>25</v>
      </c>
      <c r="O20" s="1104">
        <v>20</v>
      </c>
      <c r="P20" s="1105">
        <v>6</v>
      </c>
      <c r="Q20" s="1106">
        <v>13</v>
      </c>
      <c r="R20" s="1104">
        <v>24</v>
      </c>
      <c r="S20" s="1105">
        <v>27</v>
      </c>
      <c r="T20" s="1107">
        <v>28</v>
      </c>
      <c r="U20" s="1108">
        <v>19</v>
      </c>
      <c r="V20" s="1105">
        <v>19</v>
      </c>
      <c r="W20" s="1106">
        <v>25</v>
      </c>
      <c r="X20" s="1104">
        <v>27</v>
      </c>
      <c r="Y20" s="1105">
        <v>11</v>
      </c>
      <c r="Z20" s="1106">
        <v>25</v>
      </c>
      <c r="AA20" s="1104">
        <v>27</v>
      </c>
      <c r="AB20" s="1105">
        <v>13</v>
      </c>
      <c r="AC20" s="1106">
        <v>21</v>
      </c>
      <c r="AD20" s="1104">
        <v>15</v>
      </c>
      <c r="AE20" s="1109">
        <v>17</v>
      </c>
      <c r="AF20" s="1107">
        <v>15</v>
      </c>
      <c r="AG20" s="1108">
        <v>24</v>
      </c>
      <c r="AH20" s="1105">
        <v>26</v>
      </c>
      <c r="AI20" s="1106">
        <v>20</v>
      </c>
      <c r="AJ20" s="1104">
        <v>19</v>
      </c>
      <c r="AK20" s="1105">
        <v>10</v>
      </c>
      <c r="AL20" s="1106">
        <v>19</v>
      </c>
      <c r="AM20" s="1614"/>
      <c r="AN20" s="648" t="s">
        <v>819</v>
      </c>
      <c r="AO20" s="1068" t="s">
        <v>3984</v>
      </c>
    </row>
    <row r="21" spans="1:41" ht="20.25" customHeight="1" x14ac:dyDescent="0.2">
      <c r="A21" s="1615" t="s">
        <v>3882</v>
      </c>
      <c r="B21" s="643" t="s">
        <v>820</v>
      </c>
      <c r="C21" s="1078">
        <v>22</v>
      </c>
      <c r="D21" s="1079">
        <v>14</v>
      </c>
      <c r="E21" s="1080">
        <v>28</v>
      </c>
      <c r="F21" s="1078">
        <v>23</v>
      </c>
      <c r="G21" s="1079">
        <v>18</v>
      </c>
      <c r="H21" s="1082">
        <v>10</v>
      </c>
      <c r="I21" s="1110">
        <v>12</v>
      </c>
      <c r="J21" s="1079">
        <v>20</v>
      </c>
      <c r="K21" s="1080">
        <v>18</v>
      </c>
      <c r="L21" s="1078">
        <v>19</v>
      </c>
      <c r="M21" s="1079">
        <v>11</v>
      </c>
      <c r="N21" s="1080">
        <v>25</v>
      </c>
      <c r="O21" s="1078">
        <v>24</v>
      </c>
      <c r="P21" s="1079">
        <v>10</v>
      </c>
      <c r="Q21" s="1080">
        <v>17</v>
      </c>
      <c r="R21" s="1078">
        <v>27</v>
      </c>
      <c r="S21" s="1079">
        <v>20</v>
      </c>
      <c r="T21" s="1082">
        <v>20</v>
      </c>
      <c r="U21" s="1110">
        <v>29</v>
      </c>
      <c r="V21" s="1079">
        <v>27</v>
      </c>
      <c r="W21" s="1080">
        <v>33</v>
      </c>
      <c r="X21" s="1078">
        <v>22</v>
      </c>
      <c r="Y21" s="1079">
        <v>6</v>
      </c>
      <c r="Z21" s="1080">
        <v>20</v>
      </c>
      <c r="AA21" s="1078">
        <v>27</v>
      </c>
      <c r="AB21" s="1079">
        <v>13</v>
      </c>
      <c r="AC21" s="1080">
        <v>21</v>
      </c>
      <c r="AD21" s="1078">
        <v>23</v>
      </c>
      <c r="AE21" s="1079">
        <v>25</v>
      </c>
      <c r="AF21" s="1082">
        <v>23</v>
      </c>
      <c r="AG21" s="1110">
        <v>18</v>
      </c>
      <c r="AH21" s="1117">
        <v>26</v>
      </c>
      <c r="AI21" s="1080">
        <v>18</v>
      </c>
      <c r="AJ21" s="1078">
        <v>12</v>
      </c>
      <c r="AK21" s="1079">
        <v>3</v>
      </c>
      <c r="AL21" s="1080">
        <v>12</v>
      </c>
      <c r="AM21" s="1615" t="s">
        <v>3882</v>
      </c>
      <c r="AN21" s="643" t="s">
        <v>820</v>
      </c>
      <c r="AO21" s="1068" t="s">
        <v>3990</v>
      </c>
    </row>
    <row r="22" spans="1:41" ht="20.25" customHeight="1" x14ac:dyDescent="0.2">
      <c r="A22" s="1613"/>
      <c r="B22" s="644" t="s">
        <v>821</v>
      </c>
      <c r="C22" s="1083">
        <v>20</v>
      </c>
      <c r="D22" s="1086">
        <v>28</v>
      </c>
      <c r="E22" s="1085">
        <v>16</v>
      </c>
      <c r="F22" s="1083">
        <v>11</v>
      </c>
      <c r="G22" s="1088">
        <v>14</v>
      </c>
      <c r="H22" s="1085">
        <v>24</v>
      </c>
      <c r="I22" s="1083">
        <v>26</v>
      </c>
      <c r="J22" s="1086">
        <v>26</v>
      </c>
      <c r="K22" s="1085">
        <v>27</v>
      </c>
      <c r="L22" s="1083">
        <v>27</v>
      </c>
      <c r="M22" s="1086">
        <v>20</v>
      </c>
      <c r="N22" s="1085">
        <v>13</v>
      </c>
      <c r="O22" s="1083">
        <v>12</v>
      </c>
      <c r="P22" s="1086">
        <v>24</v>
      </c>
      <c r="Q22" s="1085">
        <v>25</v>
      </c>
      <c r="R22" s="1083">
        <v>25</v>
      </c>
      <c r="S22" s="1086">
        <v>27</v>
      </c>
      <c r="T22" s="1085">
        <v>21</v>
      </c>
      <c r="U22" s="1083">
        <v>28</v>
      </c>
      <c r="V22" s="1084">
        <v>28</v>
      </c>
      <c r="W22" s="1085">
        <v>20</v>
      </c>
      <c r="X22" s="1083">
        <v>9</v>
      </c>
      <c r="Y22" s="1086">
        <v>21</v>
      </c>
      <c r="Z22" s="1085">
        <v>15</v>
      </c>
      <c r="AA22" s="1083">
        <v>23</v>
      </c>
      <c r="AB22" s="1086">
        <v>27</v>
      </c>
      <c r="AC22" s="1085">
        <v>19</v>
      </c>
      <c r="AD22" s="1083">
        <v>21</v>
      </c>
      <c r="AE22" s="1086">
        <v>22</v>
      </c>
      <c r="AF22" s="1085">
        <v>26</v>
      </c>
      <c r="AG22" s="1083">
        <v>21</v>
      </c>
      <c r="AH22" s="1118">
        <v>22</v>
      </c>
      <c r="AI22" s="1085">
        <v>25</v>
      </c>
      <c r="AJ22" s="1083">
        <v>18</v>
      </c>
      <c r="AK22" s="1086">
        <v>19</v>
      </c>
      <c r="AL22" s="1085">
        <v>11</v>
      </c>
      <c r="AM22" s="1613"/>
      <c r="AN22" s="644" t="s">
        <v>821</v>
      </c>
      <c r="AO22" s="1068" t="s">
        <v>3985</v>
      </c>
    </row>
    <row r="23" spans="1:41" ht="20.25" customHeight="1" thickBot="1" x14ac:dyDescent="0.25">
      <c r="A23" s="1614"/>
      <c r="B23" s="645" t="s">
        <v>822</v>
      </c>
      <c r="C23" s="1089">
        <v>21</v>
      </c>
      <c r="D23" s="1090">
        <v>22</v>
      </c>
      <c r="E23" s="1091">
        <v>20</v>
      </c>
      <c r="F23" s="1093">
        <v>15</v>
      </c>
      <c r="G23" s="1090">
        <v>9</v>
      </c>
      <c r="H23" s="1091">
        <v>17</v>
      </c>
      <c r="I23" s="1089">
        <v>18</v>
      </c>
      <c r="J23" s="1090">
        <v>20</v>
      </c>
      <c r="K23" s="1091">
        <v>20</v>
      </c>
      <c r="L23" s="1089">
        <v>20</v>
      </c>
      <c r="M23" s="1090">
        <v>20</v>
      </c>
      <c r="N23" s="1091">
        <v>17</v>
      </c>
      <c r="O23" s="1089">
        <v>16</v>
      </c>
      <c r="P23" s="1090">
        <v>18</v>
      </c>
      <c r="Q23" s="1091">
        <v>17</v>
      </c>
      <c r="R23" s="1089">
        <v>17</v>
      </c>
      <c r="S23" s="1090">
        <v>18</v>
      </c>
      <c r="T23" s="1091">
        <v>26</v>
      </c>
      <c r="U23" s="1089">
        <v>33</v>
      </c>
      <c r="V23" s="1090">
        <v>19</v>
      </c>
      <c r="W23" s="1091">
        <v>28</v>
      </c>
      <c r="X23" s="1089">
        <v>16</v>
      </c>
      <c r="Y23" s="1090">
        <v>16</v>
      </c>
      <c r="Z23" s="1091">
        <v>21</v>
      </c>
      <c r="AA23" s="1089">
        <v>27</v>
      </c>
      <c r="AB23" s="1090">
        <v>13</v>
      </c>
      <c r="AC23" s="1091">
        <v>13</v>
      </c>
      <c r="AD23" s="1089">
        <v>15</v>
      </c>
      <c r="AE23" s="1090">
        <v>15</v>
      </c>
      <c r="AF23" s="1091">
        <v>29</v>
      </c>
      <c r="AG23" s="1089">
        <v>24</v>
      </c>
      <c r="AH23" s="1119">
        <v>26</v>
      </c>
      <c r="AI23" s="1091">
        <v>20</v>
      </c>
      <c r="AJ23" s="1089">
        <v>13</v>
      </c>
      <c r="AK23" s="1090">
        <v>12</v>
      </c>
      <c r="AL23" s="1091">
        <v>4</v>
      </c>
      <c r="AM23" s="1614"/>
      <c r="AN23" s="645" t="s">
        <v>822</v>
      </c>
      <c r="AO23" s="1068" t="s">
        <v>3991</v>
      </c>
    </row>
    <row r="24" spans="1:41" ht="20.25" customHeight="1" x14ac:dyDescent="0.2">
      <c r="A24" s="1615" t="s">
        <v>3883</v>
      </c>
      <c r="B24" s="646" t="s">
        <v>1362</v>
      </c>
      <c r="C24" s="1094">
        <v>16</v>
      </c>
      <c r="D24" s="1095">
        <v>16</v>
      </c>
      <c r="E24" s="1098">
        <v>14</v>
      </c>
      <c r="F24" s="1094">
        <v>19</v>
      </c>
      <c r="G24" s="1095">
        <v>13</v>
      </c>
      <c r="H24" s="1096">
        <v>21</v>
      </c>
      <c r="I24" s="1094">
        <v>11</v>
      </c>
      <c r="J24" s="1095">
        <v>12</v>
      </c>
      <c r="K24" s="1096">
        <v>12</v>
      </c>
      <c r="L24" s="1094">
        <v>18</v>
      </c>
      <c r="M24" s="1095">
        <v>18</v>
      </c>
      <c r="N24" s="1096">
        <v>14</v>
      </c>
      <c r="O24" s="1094">
        <v>24</v>
      </c>
      <c r="P24" s="1095">
        <v>22</v>
      </c>
      <c r="Q24" s="1096">
        <v>21</v>
      </c>
      <c r="R24" s="1094">
        <v>17</v>
      </c>
      <c r="S24" s="1095">
        <v>18</v>
      </c>
      <c r="T24" s="1096">
        <v>26</v>
      </c>
      <c r="U24" s="1094">
        <v>21</v>
      </c>
      <c r="V24" s="1095">
        <v>7</v>
      </c>
      <c r="W24" s="1096">
        <v>15</v>
      </c>
      <c r="X24" s="1094">
        <v>28</v>
      </c>
      <c r="Y24" s="1095">
        <v>27</v>
      </c>
      <c r="Z24" s="1096">
        <v>31</v>
      </c>
      <c r="AA24" s="1094">
        <v>21</v>
      </c>
      <c r="AB24" s="1095">
        <v>15</v>
      </c>
      <c r="AC24" s="1096">
        <v>7</v>
      </c>
      <c r="AD24" s="1094">
        <v>11</v>
      </c>
      <c r="AE24" s="1095">
        <v>11</v>
      </c>
      <c r="AF24" s="1096">
        <v>25</v>
      </c>
      <c r="AG24" s="1094">
        <v>24</v>
      </c>
      <c r="AH24" s="1086">
        <v>25</v>
      </c>
      <c r="AI24" s="1096">
        <v>19</v>
      </c>
      <c r="AJ24" s="1094">
        <v>19</v>
      </c>
      <c r="AK24" s="1095">
        <v>18</v>
      </c>
      <c r="AL24" s="1120">
        <v>9</v>
      </c>
      <c r="AM24" s="1615" t="s">
        <v>3883</v>
      </c>
      <c r="AN24" s="646" t="s">
        <v>1362</v>
      </c>
      <c r="AO24" s="1068" t="s">
        <v>3992</v>
      </c>
    </row>
    <row r="25" spans="1:41" ht="20.25" customHeight="1" x14ac:dyDescent="0.2">
      <c r="A25" s="1613"/>
      <c r="B25" s="647" t="s">
        <v>1526</v>
      </c>
      <c r="C25" s="1099">
        <v>23</v>
      </c>
      <c r="D25" s="1103">
        <v>14</v>
      </c>
      <c r="E25" s="1101">
        <v>18</v>
      </c>
      <c r="F25" s="1099">
        <v>23</v>
      </c>
      <c r="G25" s="1100">
        <v>27</v>
      </c>
      <c r="H25" s="1101">
        <v>20</v>
      </c>
      <c r="I25" s="1099">
        <v>10</v>
      </c>
      <c r="J25" s="1100">
        <v>15</v>
      </c>
      <c r="K25" s="1101">
        <v>19</v>
      </c>
      <c r="L25" s="1099">
        <v>25</v>
      </c>
      <c r="M25" s="1100">
        <v>17</v>
      </c>
      <c r="N25" s="1101">
        <v>20</v>
      </c>
      <c r="O25" s="1099">
        <v>24</v>
      </c>
      <c r="P25" s="1100">
        <v>20</v>
      </c>
      <c r="Q25" s="1101">
        <v>28</v>
      </c>
      <c r="R25" s="1099">
        <v>24</v>
      </c>
      <c r="S25" s="1100">
        <v>25</v>
      </c>
      <c r="T25" s="1101">
        <v>11</v>
      </c>
      <c r="U25" s="1099">
        <v>6</v>
      </c>
      <c r="V25" s="1100">
        <v>20</v>
      </c>
      <c r="W25" s="1101">
        <v>16</v>
      </c>
      <c r="X25" s="1099">
        <v>28</v>
      </c>
      <c r="Y25" s="1100">
        <v>28</v>
      </c>
      <c r="Z25" s="1101">
        <v>31</v>
      </c>
      <c r="AA25" s="1099">
        <v>15</v>
      </c>
      <c r="AB25" s="1100">
        <v>13</v>
      </c>
      <c r="AC25" s="1101">
        <v>21</v>
      </c>
      <c r="AD25" s="1099">
        <v>25</v>
      </c>
      <c r="AE25" s="1100">
        <v>26</v>
      </c>
      <c r="AF25" s="1101">
        <v>12</v>
      </c>
      <c r="AG25" s="1099">
        <v>11</v>
      </c>
      <c r="AH25" s="1100">
        <v>20</v>
      </c>
      <c r="AI25" s="1101">
        <v>24</v>
      </c>
      <c r="AJ25" s="1099">
        <v>24</v>
      </c>
      <c r="AK25" s="1100">
        <v>17</v>
      </c>
      <c r="AL25" s="1121">
        <v>26</v>
      </c>
      <c r="AM25" s="1613"/>
      <c r="AN25" s="647" t="s">
        <v>1526</v>
      </c>
      <c r="AO25" s="1068" t="s">
        <v>3993</v>
      </c>
    </row>
    <row r="26" spans="1:41" ht="20.25" customHeight="1" thickBot="1" x14ac:dyDescent="0.25">
      <c r="A26" s="1614"/>
      <c r="B26" s="648" t="s">
        <v>1594</v>
      </c>
      <c r="C26" s="1108">
        <v>10</v>
      </c>
      <c r="D26" s="1105">
        <v>17</v>
      </c>
      <c r="E26" s="1106">
        <v>23</v>
      </c>
      <c r="F26" s="1104">
        <v>28</v>
      </c>
      <c r="G26" s="1105">
        <v>22</v>
      </c>
      <c r="H26" s="1106">
        <v>29</v>
      </c>
      <c r="I26" s="1104">
        <v>12</v>
      </c>
      <c r="J26" s="1105">
        <v>2</v>
      </c>
      <c r="K26" s="1106">
        <v>4</v>
      </c>
      <c r="L26" s="1104">
        <v>9</v>
      </c>
      <c r="M26" s="1105">
        <v>19</v>
      </c>
      <c r="N26" s="1106">
        <v>25</v>
      </c>
      <c r="O26" s="1104">
        <v>31</v>
      </c>
      <c r="P26" s="1105">
        <v>23</v>
      </c>
      <c r="Q26" s="1106">
        <v>15</v>
      </c>
      <c r="R26" s="1104">
        <v>11</v>
      </c>
      <c r="S26" s="1105">
        <v>11</v>
      </c>
      <c r="T26" s="1106">
        <v>24</v>
      </c>
      <c r="U26" s="1104">
        <v>19</v>
      </c>
      <c r="V26" s="1105">
        <v>14</v>
      </c>
      <c r="W26" s="1106">
        <v>10</v>
      </c>
      <c r="X26" s="1104">
        <v>31</v>
      </c>
      <c r="Y26" s="1105">
        <v>30</v>
      </c>
      <c r="Z26" s="1116">
        <v>28</v>
      </c>
      <c r="AA26" s="1104">
        <v>14</v>
      </c>
      <c r="AB26" s="1105">
        <v>16</v>
      </c>
      <c r="AC26" s="1106">
        <v>16</v>
      </c>
      <c r="AD26" s="1104">
        <v>20</v>
      </c>
      <c r="AE26" s="1105">
        <v>20</v>
      </c>
      <c r="AF26" s="1106">
        <v>25</v>
      </c>
      <c r="AG26" s="1104">
        <v>24</v>
      </c>
      <c r="AH26" s="1105">
        <v>17</v>
      </c>
      <c r="AI26" s="1106">
        <v>10</v>
      </c>
      <c r="AJ26" s="1104">
        <v>9</v>
      </c>
      <c r="AK26" s="1105">
        <v>20</v>
      </c>
      <c r="AL26" s="1122">
        <v>20</v>
      </c>
      <c r="AM26" s="1614"/>
      <c r="AN26" s="648" t="s">
        <v>1594</v>
      </c>
      <c r="AO26" s="1068" t="s">
        <v>3994</v>
      </c>
    </row>
    <row r="27" spans="1:41" ht="20.25" customHeight="1" x14ac:dyDescent="0.2">
      <c r="A27" s="1615" t="s">
        <v>3884</v>
      </c>
      <c r="B27" s="643" t="s">
        <v>2279</v>
      </c>
      <c r="C27" s="1078">
        <v>11</v>
      </c>
      <c r="D27" s="1111">
        <v>19</v>
      </c>
      <c r="E27" s="1080">
        <v>25</v>
      </c>
      <c r="F27" s="1078">
        <v>19</v>
      </c>
      <c r="G27" s="1079">
        <v>12</v>
      </c>
      <c r="H27" s="1080">
        <v>12</v>
      </c>
      <c r="I27" s="1078">
        <v>21</v>
      </c>
      <c r="J27" s="1079">
        <v>14</v>
      </c>
      <c r="K27" s="1080">
        <v>12</v>
      </c>
      <c r="L27" s="1078">
        <v>7</v>
      </c>
      <c r="M27" s="1079">
        <v>17</v>
      </c>
      <c r="N27" s="1082">
        <v>23</v>
      </c>
      <c r="O27" s="1078">
        <v>24</v>
      </c>
      <c r="P27" s="1079">
        <v>18</v>
      </c>
      <c r="Q27" s="1080">
        <v>9</v>
      </c>
      <c r="R27" s="1078">
        <v>13</v>
      </c>
      <c r="S27" s="1079">
        <v>13</v>
      </c>
      <c r="T27" s="1080">
        <v>26</v>
      </c>
      <c r="U27" s="1078">
        <v>26</v>
      </c>
      <c r="V27" s="1079">
        <v>21</v>
      </c>
      <c r="W27" s="1080">
        <v>26</v>
      </c>
      <c r="X27" s="1078">
        <v>22</v>
      </c>
      <c r="Y27" s="1079">
        <v>16</v>
      </c>
      <c r="Z27" s="1080">
        <v>16</v>
      </c>
      <c r="AA27" s="1123">
        <v>28</v>
      </c>
      <c r="AB27" s="1079">
        <v>28</v>
      </c>
      <c r="AC27" s="1080">
        <v>13</v>
      </c>
      <c r="AD27" s="1078">
        <v>13</v>
      </c>
      <c r="AE27" s="1079">
        <v>14</v>
      </c>
      <c r="AF27" s="1080">
        <v>19</v>
      </c>
      <c r="AG27" s="1078">
        <v>28</v>
      </c>
      <c r="AH27" s="1079">
        <v>21</v>
      </c>
      <c r="AI27" s="1080">
        <v>14</v>
      </c>
      <c r="AJ27" s="1078">
        <v>16</v>
      </c>
      <c r="AK27" s="1079">
        <v>24</v>
      </c>
      <c r="AL27" s="1080">
        <v>26</v>
      </c>
      <c r="AM27" s="1615" t="s">
        <v>3884</v>
      </c>
      <c r="AN27" s="643" t="s">
        <v>2279</v>
      </c>
      <c r="AO27" s="1068" t="s">
        <v>3995</v>
      </c>
    </row>
    <row r="28" spans="1:41" ht="20.25" customHeight="1" x14ac:dyDescent="0.2">
      <c r="A28" s="1613"/>
      <c r="B28" s="644" t="s">
        <v>823</v>
      </c>
      <c r="C28" s="1083">
        <v>25</v>
      </c>
      <c r="D28" s="1112">
        <v>17</v>
      </c>
      <c r="E28" s="1085">
        <v>19</v>
      </c>
      <c r="F28" s="1083">
        <v>14</v>
      </c>
      <c r="G28" s="1086">
        <v>18</v>
      </c>
      <c r="H28" s="1085">
        <v>10</v>
      </c>
      <c r="I28" s="1083">
        <v>19</v>
      </c>
      <c r="J28" s="1086">
        <v>26</v>
      </c>
      <c r="K28" s="1085">
        <v>27</v>
      </c>
      <c r="L28" s="1083">
        <v>22</v>
      </c>
      <c r="M28" s="1088">
        <v>14</v>
      </c>
      <c r="N28" s="1085">
        <v>16</v>
      </c>
      <c r="O28" s="1083">
        <v>19</v>
      </c>
      <c r="P28" s="1086">
        <v>17</v>
      </c>
      <c r="Q28" s="1085">
        <v>25</v>
      </c>
      <c r="R28" s="1083">
        <v>28</v>
      </c>
      <c r="S28" s="1086">
        <v>27</v>
      </c>
      <c r="T28" s="1085">
        <v>12</v>
      </c>
      <c r="U28" s="1083">
        <v>12</v>
      </c>
      <c r="V28" s="1086">
        <v>27</v>
      </c>
      <c r="W28" s="1085">
        <v>20</v>
      </c>
      <c r="X28" s="1083">
        <v>16</v>
      </c>
      <c r="Y28" s="1086">
        <v>15</v>
      </c>
      <c r="Z28" s="1085">
        <v>17</v>
      </c>
      <c r="AA28" s="1083">
        <v>27</v>
      </c>
      <c r="AB28" s="1086">
        <v>28</v>
      </c>
      <c r="AC28" s="1085">
        <v>34</v>
      </c>
      <c r="AD28" s="1083">
        <v>22</v>
      </c>
      <c r="AE28" s="1086">
        <v>22</v>
      </c>
      <c r="AF28" s="1085">
        <v>5</v>
      </c>
      <c r="AG28" s="1083">
        <v>14</v>
      </c>
      <c r="AH28" s="1086">
        <v>23</v>
      </c>
      <c r="AI28" s="1085">
        <v>28</v>
      </c>
      <c r="AJ28" s="1083">
        <v>20</v>
      </c>
      <c r="AK28" s="1086">
        <v>22</v>
      </c>
      <c r="AL28" s="1085">
        <v>30</v>
      </c>
      <c r="AM28" s="1613"/>
      <c r="AN28" s="644" t="s">
        <v>823</v>
      </c>
      <c r="AO28" s="1068" t="s">
        <v>3996</v>
      </c>
    </row>
    <row r="29" spans="1:41" ht="20.25" customHeight="1" thickBot="1" x14ac:dyDescent="0.25">
      <c r="A29" s="1614"/>
      <c r="B29" s="645" t="s">
        <v>824</v>
      </c>
      <c r="C29" s="1089">
        <v>24</v>
      </c>
      <c r="D29" s="1113">
        <v>25</v>
      </c>
      <c r="E29" s="1091">
        <v>11</v>
      </c>
      <c r="F29" s="1089">
        <v>6</v>
      </c>
      <c r="G29" s="1090">
        <v>10</v>
      </c>
      <c r="H29" s="1091">
        <v>16</v>
      </c>
      <c r="I29" s="1089">
        <v>25</v>
      </c>
      <c r="J29" s="1090">
        <v>26</v>
      </c>
      <c r="K29" s="1091">
        <v>26</v>
      </c>
      <c r="L29" s="1093">
        <v>22</v>
      </c>
      <c r="M29" s="1090">
        <v>22</v>
      </c>
      <c r="N29" s="1091">
        <v>8</v>
      </c>
      <c r="O29" s="1089">
        <v>8</v>
      </c>
      <c r="P29" s="1090">
        <v>24</v>
      </c>
      <c r="Q29" s="1091">
        <v>25</v>
      </c>
      <c r="R29" s="1089">
        <v>28</v>
      </c>
      <c r="S29" s="1090">
        <v>28</v>
      </c>
      <c r="T29" s="1091">
        <v>20</v>
      </c>
      <c r="U29" s="1089">
        <v>20</v>
      </c>
      <c r="V29" s="1090">
        <v>19</v>
      </c>
      <c r="W29" s="1091">
        <v>12</v>
      </c>
      <c r="X29" s="1089">
        <v>18</v>
      </c>
      <c r="Y29" s="1090">
        <v>23</v>
      </c>
      <c r="Z29" s="1091">
        <v>17</v>
      </c>
      <c r="AA29" s="1089">
        <v>25</v>
      </c>
      <c r="AB29" s="1090">
        <v>35</v>
      </c>
      <c r="AC29" s="1091">
        <v>28</v>
      </c>
      <c r="AD29" s="1089">
        <v>16</v>
      </c>
      <c r="AE29" s="1090">
        <v>15</v>
      </c>
      <c r="AF29" s="1091">
        <v>13</v>
      </c>
      <c r="AG29" s="1089">
        <v>22</v>
      </c>
      <c r="AH29" s="1090">
        <v>23</v>
      </c>
      <c r="AI29" s="1091">
        <v>28</v>
      </c>
      <c r="AJ29" s="1089">
        <v>20</v>
      </c>
      <c r="AK29" s="1090">
        <v>30</v>
      </c>
      <c r="AL29" s="1091">
        <v>22</v>
      </c>
      <c r="AM29" s="1614"/>
      <c r="AN29" s="645" t="s">
        <v>824</v>
      </c>
      <c r="AO29" s="1068" t="s">
        <v>3997</v>
      </c>
    </row>
    <row r="30" spans="1:41" ht="20.25" customHeight="1" x14ac:dyDescent="0.2">
      <c r="A30" s="1615" t="s">
        <v>3891</v>
      </c>
      <c r="B30" s="646" t="s">
        <v>825</v>
      </c>
      <c r="C30" s="1094">
        <v>27</v>
      </c>
      <c r="D30" s="1095">
        <v>28</v>
      </c>
      <c r="E30" s="1096">
        <v>14</v>
      </c>
      <c r="F30" s="1094">
        <v>12</v>
      </c>
      <c r="G30" s="1097">
        <v>16</v>
      </c>
      <c r="H30" s="1096">
        <v>22</v>
      </c>
      <c r="I30" s="1094">
        <v>19</v>
      </c>
      <c r="J30" s="1095">
        <v>24</v>
      </c>
      <c r="K30" s="1098">
        <v>21</v>
      </c>
      <c r="L30" s="1094">
        <v>28</v>
      </c>
      <c r="M30" s="1095">
        <v>28</v>
      </c>
      <c r="N30" s="1096">
        <v>14</v>
      </c>
      <c r="O30" s="1094">
        <v>4</v>
      </c>
      <c r="P30" s="1095">
        <v>20</v>
      </c>
      <c r="Q30" s="1096">
        <v>21</v>
      </c>
      <c r="R30" s="1094">
        <v>24</v>
      </c>
      <c r="S30" s="1095">
        <v>24</v>
      </c>
      <c r="T30" s="1096">
        <v>15</v>
      </c>
      <c r="U30" s="1094">
        <v>22</v>
      </c>
      <c r="V30" s="1095">
        <v>31</v>
      </c>
      <c r="W30" s="1096">
        <v>14</v>
      </c>
      <c r="X30" s="1094">
        <v>12</v>
      </c>
      <c r="Y30" s="1095">
        <v>27</v>
      </c>
      <c r="Z30" s="1096">
        <v>21</v>
      </c>
      <c r="AA30" s="1094">
        <v>14</v>
      </c>
      <c r="AB30" s="1095">
        <v>24</v>
      </c>
      <c r="AC30" s="1096">
        <v>17</v>
      </c>
      <c r="AD30" s="1094">
        <v>28</v>
      </c>
      <c r="AE30" s="1095">
        <v>27</v>
      </c>
      <c r="AF30" s="1096">
        <v>25</v>
      </c>
      <c r="AG30" s="1094">
        <v>15</v>
      </c>
      <c r="AH30" s="1095">
        <v>16</v>
      </c>
      <c r="AI30" s="1096">
        <v>21</v>
      </c>
      <c r="AJ30" s="1094">
        <v>29</v>
      </c>
      <c r="AK30" s="1095">
        <v>30</v>
      </c>
      <c r="AL30" s="1096">
        <v>22</v>
      </c>
      <c r="AM30" s="1615" t="s">
        <v>3891</v>
      </c>
      <c r="AN30" s="646" t="s">
        <v>825</v>
      </c>
      <c r="AO30" s="1068" t="s">
        <v>3998</v>
      </c>
    </row>
    <row r="31" spans="1:41" ht="20.25" customHeight="1" x14ac:dyDescent="0.2">
      <c r="A31" s="1613"/>
      <c r="B31" s="647" t="s">
        <v>826</v>
      </c>
      <c r="C31" s="1099">
        <v>28</v>
      </c>
      <c r="D31" s="1100">
        <v>27</v>
      </c>
      <c r="E31" s="1101">
        <v>14</v>
      </c>
      <c r="F31" s="1099">
        <v>12</v>
      </c>
      <c r="G31" s="1102">
        <v>17</v>
      </c>
      <c r="H31" s="1101">
        <v>26</v>
      </c>
      <c r="I31" s="1099">
        <v>23</v>
      </c>
      <c r="J31" s="1103">
        <v>19</v>
      </c>
      <c r="K31" s="1101">
        <v>21</v>
      </c>
      <c r="L31" s="1099">
        <v>28</v>
      </c>
      <c r="M31" s="1100">
        <v>28</v>
      </c>
      <c r="N31" s="1101">
        <v>14</v>
      </c>
      <c r="O31" s="1099">
        <v>5</v>
      </c>
      <c r="P31" s="1100">
        <v>18</v>
      </c>
      <c r="Q31" s="1101">
        <v>20</v>
      </c>
      <c r="R31" s="1099">
        <v>23</v>
      </c>
      <c r="S31" s="1100">
        <v>24</v>
      </c>
      <c r="T31" s="1101">
        <v>17</v>
      </c>
      <c r="U31" s="1099">
        <v>24</v>
      </c>
      <c r="V31" s="1100">
        <v>21</v>
      </c>
      <c r="W31" s="1101">
        <v>14</v>
      </c>
      <c r="X31" s="1099">
        <v>12</v>
      </c>
      <c r="Y31" s="1100">
        <v>27</v>
      </c>
      <c r="Z31" s="1101">
        <v>21</v>
      </c>
      <c r="AA31" s="1099">
        <v>14</v>
      </c>
      <c r="AB31" s="1100">
        <v>22</v>
      </c>
      <c r="AC31" s="1101">
        <v>15</v>
      </c>
      <c r="AD31" s="1099">
        <v>26</v>
      </c>
      <c r="AE31" s="1100">
        <v>28</v>
      </c>
      <c r="AF31" s="1101">
        <v>27</v>
      </c>
      <c r="AG31" s="1099">
        <v>17</v>
      </c>
      <c r="AH31" s="1100">
        <v>17</v>
      </c>
      <c r="AI31" s="1101">
        <v>20</v>
      </c>
      <c r="AJ31" s="1099">
        <v>28</v>
      </c>
      <c r="AK31" s="1100">
        <v>29</v>
      </c>
      <c r="AL31" s="1101">
        <v>23</v>
      </c>
      <c r="AM31" s="1613"/>
      <c r="AN31" s="647" t="s">
        <v>826</v>
      </c>
      <c r="AO31" s="1068" t="s">
        <v>3999</v>
      </c>
    </row>
    <row r="32" spans="1:41" ht="20.25" customHeight="1" thickBot="1" x14ac:dyDescent="0.25">
      <c r="A32" s="1614"/>
      <c r="B32" s="648" t="s">
        <v>827</v>
      </c>
      <c r="C32" s="1104">
        <v>20</v>
      </c>
      <c r="D32" s="1105">
        <v>11</v>
      </c>
      <c r="E32" s="1106">
        <v>26</v>
      </c>
      <c r="F32" s="1104">
        <v>23</v>
      </c>
      <c r="G32" s="1109">
        <v>19</v>
      </c>
      <c r="H32" s="1107">
        <v>11</v>
      </c>
      <c r="I32" s="1108">
        <v>18</v>
      </c>
      <c r="J32" s="1105">
        <v>16</v>
      </c>
      <c r="K32" s="1106">
        <v>14</v>
      </c>
      <c r="L32" s="1104">
        <v>23</v>
      </c>
      <c r="M32" s="1105">
        <v>13</v>
      </c>
      <c r="N32" s="1106">
        <v>27</v>
      </c>
      <c r="O32" s="1104">
        <v>18</v>
      </c>
      <c r="P32" s="1105">
        <v>4</v>
      </c>
      <c r="Q32" s="1106">
        <v>10</v>
      </c>
      <c r="R32" s="1104">
        <v>15</v>
      </c>
      <c r="S32" s="1105">
        <v>17</v>
      </c>
      <c r="T32" s="1107">
        <v>15</v>
      </c>
      <c r="U32" s="1108">
        <v>29</v>
      </c>
      <c r="V32" s="1105">
        <v>24</v>
      </c>
      <c r="W32" s="1106">
        <v>28</v>
      </c>
      <c r="X32" s="1104">
        <v>26</v>
      </c>
      <c r="Y32" s="1105">
        <v>12</v>
      </c>
      <c r="Z32" s="1106">
        <v>26</v>
      </c>
      <c r="AA32" s="1104">
        <v>20</v>
      </c>
      <c r="AB32" s="1105">
        <v>6</v>
      </c>
      <c r="AC32" s="1106">
        <v>14</v>
      </c>
      <c r="AD32" s="1104">
        <v>25</v>
      </c>
      <c r="AE32" s="1105">
        <v>27</v>
      </c>
      <c r="AF32" s="1124">
        <v>28</v>
      </c>
      <c r="AG32" s="1125">
        <v>17</v>
      </c>
      <c r="AH32" s="1105">
        <v>23</v>
      </c>
      <c r="AI32" s="1106">
        <v>17</v>
      </c>
      <c r="AJ32" s="1104">
        <v>24</v>
      </c>
      <c r="AK32" s="1105">
        <v>15</v>
      </c>
      <c r="AL32" s="1106">
        <v>22</v>
      </c>
      <c r="AM32" s="1614"/>
      <c r="AN32" s="648" t="s">
        <v>827</v>
      </c>
      <c r="AO32" s="1068" t="s">
        <v>4000</v>
      </c>
    </row>
    <row r="33" spans="1:41" ht="20.25" customHeight="1" x14ac:dyDescent="0.2">
      <c r="A33" s="1615" t="s">
        <v>3892</v>
      </c>
      <c r="B33" s="643" t="s">
        <v>828</v>
      </c>
      <c r="C33" s="1078">
        <v>19</v>
      </c>
      <c r="D33" s="1079">
        <v>10</v>
      </c>
      <c r="E33" s="1080">
        <v>25</v>
      </c>
      <c r="F33" s="1078">
        <v>30</v>
      </c>
      <c r="G33" s="1079">
        <v>25</v>
      </c>
      <c r="H33" s="1082">
        <v>17</v>
      </c>
      <c r="I33" s="1110">
        <v>11</v>
      </c>
      <c r="J33" s="1111">
        <v>18</v>
      </c>
      <c r="K33" s="1080">
        <v>17</v>
      </c>
      <c r="L33" s="1078">
        <v>12</v>
      </c>
      <c r="M33" s="1079">
        <v>4</v>
      </c>
      <c r="N33" s="1080">
        <v>18</v>
      </c>
      <c r="O33" s="1078">
        <v>24</v>
      </c>
      <c r="P33" s="1079">
        <v>10</v>
      </c>
      <c r="Q33" s="1080">
        <v>18</v>
      </c>
      <c r="R33" s="1078">
        <v>17</v>
      </c>
      <c r="S33" s="1079">
        <v>19</v>
      </c>
      <c r="T33" s="1082">
        <v>15</v>
      </c>
      <c r="U33" s="1110">
        <v>18</v>
      </c>
      <c r="V33" s="1079">
        <v>20</v>
      </c>
      <c r="W33" s="1080">
        <v>24</v>
      </c>
      <c r="X33" s="1078">
        <v>25</v>
      </c>
      <c r="Y33" s="1079">
        <v>11</v>
      </c>
      <c r="Z33" s="1080">
        <v>25</v>
      </c>
      <c r="AA33" s="1078">
        <v>20</v>
      </c>
      <c r="AB33" s="1079">
        <v>15</v>
      </c>
      <c r="AC33" s="1080">
        <v>23</v>
      </c>
      <c r="AD33" s="1078">
        <v>16</v>
      </c>
      <c r="AE33" s="1079">
        <v>18</v>
      </c>
      <c r="AF33" s="1126">
        <v>18</v>
      </c>
      <c r="AG33" s="1127">
        <v>28</v>
      </c>
      <c r="AH33" s="1079">
        <v>33</v>
      </c>
      <c r="AI33" s="1080">
        <v>27</v>
      </c>
      <c r="AJ33" s="1078">
        <v>16</v>
      </c>
      <c r="AK33" s="1079">
        <v>6</v>
      </c>
      <c r="AL33" s="1080">
        <v>13</v>
      </c>
      <c r="AM33" s="1615" t="s">
        <v>3892</v>
      </c>
      <c r="AN33" s="643" t="s">
        <v>828</v>
      </c>
      <c r="AO33" s="1068" t="s">
        <v>4001</v>
      </c>
    </row>
    <row r="34" spans="1:41" ht="20.25" customHeight="1" x14ac:dyDescent="0.2">
      <c r="A34" s="1613"/>
      <c r="B34" s="644" t="s">
        <v>1597</v>
      </c>
      <c r="C34" s="1083">
        <v>14</v>
      </c>
      <c r="D34" s="1086">
        <v>20</v>
      </c>
      <c r="E34" s="1085">
        <v>26</v>
      </c>
      <c r="F34" s="1083">
        <v>31</v>
      </c>
      <c r="G34" s="1086">
        <v>25</v>
      </c>
      <c r="H34" s="1085">
        <v>26</v>
      </c>
      <c r="I34" s="1083">
        <v>20</v>
      </c>
      <c r="J34" s="1112">
        <v>12</v>
      </c>
      <c r="K34" s="1085">
        <v>12</v>
      </c>
      <c r="L34" s="1083">
        <v>6</v>
      </c>
      <c r="M34" s="1086">
        <v>13</v>
      </c>
      <c r="N34" s="1085">
        <v>19</v>
      </c>
      <c r="O34" s="1083">
        <v>25</v>
      </c>
      <c r="P34" s="1086">
        <v>19</v>
      </c>
      <c r="Q34" s="1085">
        <v>11</v>
      </c>
      <c r="R34" s="1083">
        <v>10</v>
      </c>
      <c r="S34" s="1088">
        <v>10</v>
      </c>
      <c r="T34" s="1085">
        <v>25</v>
      </c>
      <c r="U34" s="1083">
        <v>20</v>
      </c>
      <c r="V34" s="1086">
        <v>21</v>
      </c>
      <c r="W34" s="1085">
        <v>26</v>
      </c>
      <c r="X34" s="1083">
        <v>26</v>
      </c>
      <c r="Y34" s="1086">
        <v>20</v>
      </c>
      <c r="Z34" s="1085">
        <v>18</v>
      </c>
      <c r="AA34" s="1083">
        <v>22</v>
      </c>
      <c r="AB34" s="1086">
        <v>24</v>
      </c>
      <c r="AC34" s="1085">
        <v>24</v>
      </c>
      <c r="AD34" s="1083">
        <v>17</v>
      </c>
      <c r="AE34" s="1086">
        <v>17</v>
      </c>
      <c r="AF34" s="1085">
        <v>24</v>
      </c>
      <c r="AG34" s="1083">
        <v>33</v>
      </c>
      <c r="AH34" s="1084">
        <v>28</v>
      </c>
      <c r="AI34" s="1085">
        <v>29</v>
      </c>
      <c r="AJ34" s="1083">
        <v>8</v>
      </c>
      <c r="AK34" s="1086">
        <v>24</v>
      </c>
      <c r="AL34" s="1085">
        <v>15</v>
      </c>
      <c r="AM34" s="1613"/>
      <c r="AN34" s="644" t="s">
        <v>1597</v>
      </c>
      <c r="AO34" s="1068" t="s">
        <v>4002</v>
      </c>
    </row>
    <row r="35" spans="1:41" ht="20.25" customHeight="1" thickBot="1" x14ac:dyDescent="0.25">
      <c r="A35" s="1614"/>
      <c r="B35" s="651" t="s">
        <v>832</v>
      </c>
      <c r="C35" s="1089">
        <v>17</v>
      </c>
      <c r="D35" s="1090">
        <v>24</v>
      </c>
      <c r="E35" s="1091">
        <v>19</v>
      </c>
      <c r="F35" s="1089">
        <v>24</v>
      </c>
      <c r="G35" s="1090">
        <v>30</v>
      </c>
      <c r="H35" s="1091">
        <v>30</v>
      </c>
      <c r="I35" s="1089">
        <v>23</v>
      </c>
      <c r="J35" s="1113">
        <v>17</v>
      </c>
      <c r="K35" s="1091">
        <v>17</v>
      </c>
      <c r="L35" s="1089">
        <v>11</v>
      </c>
      <c r="M35" s="1090">
        <v>19</v>
      </c>
      <c r="N35" s="1091">
        <v>12</v>
      </c>
      <c r="O35" s="1089">
        <v>18</v>
      </c>
      <c r="P35" s="1090">
        <v>26</v>
      </c>
      <c r="Q35" s="1091">
        <v>16</v>
      </c>
      <c r="R35" s="1093">
        <v>15</v>
      </c>
      <c r="S35" s="1090">
        <v>15</v>
      </c>
      <c r="T35" s="1091">
        <v>17</v>
      </c>
      <c r="U35" s="1089">
        <v>18</v>
      </c>
      <c r="V35" s="1090">
        <v>26</v>
      </c>
      <c r="W35" s="1091">
        <v>20</v>
      </c>
      <c r="X35" s="1089">
        <v>20</v>
      </c>
      <c r="Y35" s="1090">
        <v>26</v>
      </c>
      <c r="Z35" s="1091">
        <v>11</v>
      </c>
      <c r="AA35" s="1089">
        <v>15</v>
      </c>
      <c r="AB35" s="1090">
        <v>29</v>
      </c>
      <c r="AC35" s="1091">
        <v>29</v>
      </c>
      <c r="AD35" s="1089">
        <v>22</v>
      </c>
      <c r="AE35" s="1090">
        <v>22</v>
      </c>
      <c r="AF35" s="1091">
        <v>27</v>
      </c>
      <c r="AG35" s="1089">
        <v>27</v>
      </c>
      <c r="AH35" s="1090">
        <v>19</v>
      </c>
      <c r="AI35" s="1128">
        <v>28</v>
      </c>
      <c r="AJ35" s="1129">
        <v>16</v>
      </c>
      <c r="AK35" s="1090">
        <v>22</v>
      </c>
      <c r="AL35" s="1091">
        <v>19</v>
      </c>
      <c r="AM35" s="1614"/>
      <c r="AN35" s="651" t="s">
        <v>832</v>
      </c>
      <c r="AO35" s="1068" t="s">
        <v>4003</v>
      </c>
    </row>
    <row r="36" spans="1:41" ht="20.25" customHeight="1" x14ac:dyDescent="0.2">
      <c r="A36" s="1612" t="s">
        <v>3893</v>
      </c>
      <c r="B36" s="652" t="s">
        <v>831</v>
      </c>
      <c r="C36" s="1083">
        <v>11</v>
      </c>
      <c r="D36" s="1086">
        <v>21</v>
      </c>
      <c r="E36" s="1085">
        <v>16</v>
      </c>
      <c r="F36" s="1083">
        <v>19</v>
      </c>
      <c r="G36" s="1086">
        <v>25</v>
      </c>
      <c r="H36" s="1085">
        <v>25</v>
      </c>
      <c r="I36" s="1083">
        <v>24</v>
      </c>
      <c r="J36" s="1086">
        <v>17</v>
      </c>
      <c r="K36" s="1085">
        <v>17</v>
      </c>
      <c r="L36" s="1083">
        <v>17</v>
      </c>
      <c r="M36" s="1086">
        <v>25</v>
      </c>
      <c r="N36" s="1130">
        <v>17</v>
      </c>
      <c r="O36" s="1083">
        <v>16</v>
      </c>
      <c r="P36" s="1086">
        <v>22</v>
      </c>
      <c r="Q36" s="1131">
        <v>14</v>
      </c>
      <c r="R36" s="1083">
        <v>16</v>
      </c>
      <c r="S36" s="1086">
        <v>16</v>
      </c>
      <c r="T36" s="1085">
        <v>18</v>
      </c>
      <c r="U36" s="1083">
        <v>11</v>
      </c>
      <c r="V36" s="1086">
        <v>18</v>
      </c>
      <c r="W36" s="1085">
        <v>12</v>
      </c>
      <c r="X36" s="1083">
        <v>19</v>
      </c>
      <c r="Y36" s="1086">
        <v>25</v>
      </c>
      <c r="Z36" s="1085">
        <v>9</v>
      </c>
      <c r="AA36" s="1083">
        <v>14</v>
      </c>
      <c r="AB36" s="1086">
        <v>28</v>
      </c>
      <c r="AC36" s="1085">
        <v>28</v>
      </c>
      <c r="AD36" s="1083">
        <v>28</v>
      </c>
      <c r="AE36" s="1086">
        <v>28</v>
      </c>
      <c r="AF36" s="1085">
        <v>24</v>
      </c>
      <c r="AG36" s="1083">
        <v>15</v>
      </c>
      <c r="AH36" s="1086">
        <v>7</v>
      </c>
      <c r="AI36" s="1132">
        <v>15</v>
      </c>
      <c r="AJ36" s="1133">
        <v>28</v>
      </c>
      <c r="AK36" s="1086">
        <v>33</v>
      </c>
      <c r="AL36" s="1085">
        <v>30</v>
      </c>
      <c r="AM36" s="1612" t="s">
        <v>3893</v>
      </c>
      <c r="AN36" s="652" t="s">
        <v>831</v>
      </c>
      <c r="AO36" s="1068" t="s">
        <v>4004</v>
      </c>
    </row>
    <row r="37" spans="1:41" ht="20.25" customHeight="1" x14ac:dyDescent="0.2">
      <c r="A37" s="1613"/>
      <c r="B37" s="647" t="s">
        <v>829</v>
      </c>
      <c r="C37" s="1099">
        <v>23</v>
      </c>
      <c r="D37" s="1100">
        <v>25</v>
      </c>
      <c r="E37" s="1101">
        <v>18</v>
      </c>
      <c r="F37" s="1099">
        <v>21</v>
      </c>
      <c r="G37" s="1100">
        <v>26</v>
      </c>
      <c r="H37" s="1101">
        <v>18</v>
      </c>
      <c r="I37" s="1099">
        <v>17</v>
      </c>
      <c r="J37" s="1100">
        <v>25</v>
      </c>
      <c r="K37" s="1101">
        <v>26</v>
      </c>
      <c r="L37" s="1099">
        <v>26</v>
      </c>
      <c r="M37" s="1100">
        <v>19</v>
      </c>
      <c r="N37" s="1121">
        <v>20</v>
      </c>
      <c r="O37" s="1099">
        <v>17</v>
      </c>
      <c r="P37" s="1103">
        <v>25</v>
      </c>
      <c r="Q37" s="1101">
        <v>25</v>
      </c>
      <c r="R37" s="1099">
        <v>27</v>
      </c>
      <c r="S37" s="1100">
        <v>26</v>
      </c>
      <c r="T37" s="1101">
        <v>9</v>
      </c>
      <c r="U37" s="1099">
        <v>2</v>
      </c>
      <c r="V37" s="1100">
        <v>19</v>
      </c>
      <c r="W37" s="1101">
        <v>11</v>
      </c>
      <c r="X37" s="1099">
        <v>18</v>
      </c>
      <c r="Y37" s="1100">
        <v>18</v>
      </c>
      <c r="Z37" s="1101">
        <v>23</v>
      </c>
      <c r="AA37" s="1099">
        <v>23</v>
      </c>
      <c r="AB37" s="1100">
        <v>21</v>
      </c>
      <c r="AC37" s="1101">
        <v>29</v>
      </c>
      <c r="AD37" s="1099">
        <v>29</v>
      </c>
      <c r="AE37" s="1100">
        <v>29</v>
      </c>
      <c r="AF37" s="1101">
        <v>14</v>
      </c>
      <c r="AG37" s="1099">
        <v>5</v>
      </c>
      <c r="AH37" s="1100">
        <v>24</v>
      </c>
      <c r="AI37" s="1101">
        <v>21</v>
      </c>
      <c r="AJ37" s="1099">
        <v>33</v>
      </c>
      <c r="AK37" s="1100">
        <v>28</v>
      </c>
      <c r="AL37" s="1101">
        <v>33</v>
      </c>
      <c r="AM37" s="1613"/>
      <c r="AN37" s="647" t="s">
        <v>829</v>
      </c>
      <c r="AO37" s="1068" t="s">
        <v>3953</v>
      </c>
    </row>
    <row r="38" spans="1:41" ht="20.25" customHeight="1" thickBot="1" x14ac:dyDescent="0.25">
      <c r="A38" s="1614"/>
      <c r="B38" s="648" t="s">
        <v>1532</v>
      </c>
      <c r="C38" s="1104">
        <v>25</v>
      </c>
      <c r="D38" s="1105">
        <v>23</v>
      </c>
      <c r="E38" s="1106">
        <v>10</v>
      </c>
      <c r="F38" s="1104">
        <v>13</v>
      </c>
      <c r="G38" s="1105">
        <v>17</v>
      </c>
      <c r="H38" s="1106">
        <v>26</v>
      </c>
      <c r="I38" s="1104">
        <v>25</v>
      </c>
      <c r="J38" s="1105">
        <v>24</v>
      </c>
      <c r="K38" s="1106">
        <v>25</v>
      </c>
      <c r="L38" s="1104">
        <v>24</v>
      </c>
      <c r="M38" s="1105">
        <v>26</v>
      </c>
      <c r="N38" s="1122">
        <v>13</v>
      </c>
      <c r="O38" s="1108">
        <v>12</v>
      </c>
      <c r="P38" s="1105">
        <v>22</v>
      </c>
      <c r="Q38" s="1106">
        <v>22</v>
      </c>
      <c r="R38" s="1104">
        <v>24</v>
      </c>
      <c r="S38" s="1105">
        <v>25</v>
      </c>
      <c r="T38" s="1106">
        <v>19</v>
      </c>
      <c r="U38" s="1104">
        <v>12</v>
      </c>
      <c r="V38" s="1105">
        <v>10</v>
      </c>
      <c r="W38" s="1106">
        <v>4</v>
      </c>
      <c r="X38" s="1104">
        <v>10</v>
      </c>
      <c r="Y38" s="1105">
        <v>20</v>
      </c>
      <c r="Z38" s="1106">
        <v>21</v>
      </c>
      <c r="AA38" s="1104">
        <v>26</v>
      </c>
      <c r="AB38" s="1105">
        <v>28</v>
      </c>
      <c r="AC38" s="1106">
        <v>20</v>
      </c>
      <c r="AD38" s="1104">
        <v>23</v>
      </c>
      <c r="AE38" s="1105">
        <v>21</v>
      </c>
      <c r="AF38" s="1106">
        <v>22</v>
      </c>
      <c r="AG38" s="1104">
        <v>13</v>
      </c>
      <c r="AH38" s="1105">
        <v>15</v>
      </c>
      <c r="AI38" s="1106">
        <v>17</v>
      </c>
      <c r="AJ38" s="1104">
        <v>29</v>
      </c>
      <c r="AK38" s="1105">
        <v>33</v>
      </c>
      <c r="AL38" s="1106">
        <v>28</v>
      </c>
      <c r="AM38" s="1614"/>
      <c r="AN38" s="648" t="s">
        <v>1532</v>
      </c>
      <c r="AO38" s="1068" t="s">
        <v>3954</v>
      </c>
    </row>
    <row r="39" spans="1:41" ht="86.25" customHeight="1" thickBot="1" x14ac:dyDescent="0.25">
      <c r="A39" s="1074" t="s">
        <v>3988</v>
      </c>
      <c r="B39" s="1073" t="s">
        <v>3987</v>
      </c>
      <c r="C39" s="1075" t="s">
        <v>164</v>
      </c>
      <c r="D39" s="1076" t="s">
        <v>1583</v>
      </c>
      <c r="E39" s="1077" t="s">
        <v>1312</v>
      </c>
      <c r="F39" s="1075" t="s">
        <v>813</v>
      </c>
      <c r="G39" s="1076" t="s">
        <v>1584</v>
      </c>
      <c r="H39" s="1077" t="s">
        <v>814</v>
      </c>
      <c r="I39" s="1075" t="s">
        <v>815</v>
      </c>
      <c r="J39" s="1076" t="s">
        <v>1528</v>
      </c>
      <c r="K39" s="1077" t="s">
        <v>816</v>
      </c>
      <c r="L39" s="1075" t="s">
        <v>1344</v>
      </c>
      <c r="M39" s="1076" t="s">
        <v>1523</v>
      </c>
      <c r="N39" s="1077" t="s">
        <v>1587</v>
      </c>
      <c r="O39" s="1075" t="s">
        <v>1588</v>
      </c>
      <c r="P39" s="1076" t="s">
        <v>2228</v>
      </c>
      <c r="Q39" s="1077" t="s">
        <v>817</v>
      </c>
      <c r="R39" s="1075" t="s">
        <v>818</v>
      </c>
      <c r="S39" s="1076" t="s">
        <v>1591</v>
      </c>
      <c r="T39" s="1077" t="s">
        <v>819</v>
      </c>
      <c r="U39" s="1075" t="s">
        <v>820</v>
      </c>
      <c r="V39" s="1076" t="s">
        <v>821</v>
      </c>
      <c r="W39" s="1077" t="s">
        <v>822</v>
      </c>
      <c r="X39" s="1075" t="s">
        <v>1362</v>
      </c>
      <c r="Y39" s="1076" t="s">
        <v>1526</v>
      </c>
      <c r="Z39" s="1077" t="s">
        <v>1594</v>
      </c>
      <c r="AA39" s="1075" t="s">
        <v>2279</v>
      </c>
      <c r="AB39" s="1076" t="s">
        <v>823</v>
      </c>
      <c r="AC39" s="1077" t="s">
        <v>824</v>
      </c>
      <c r="AD39" s="1075" t="s">
        <v>825</v>
      </c>
      <c r="AE39" s="1076" t="s">
        <v>826</v>
      </c>
      <c r="AF39" s="1077" t="s">
        <v>827</v>
      </c>
      <c r="AG39" s="1075" t="s">
        <v>828</v>
      </c>
      <c r="AH39" s="1076" t="s">
        <v>1597</v>
      </c>
      <c r="AI39" s="1077" t="s">
        <v>830</v>
      </c>
      <c r="AJ39" s="1075" t="s">
        <v>831</v>
      </c>
      <c r="AK39" s="1076" t="s">
        <v>829</v>
      </c>
      <c r="AL39" s="1077" t="s">
        <v>1532</v>
      </c>
      <c r="AM39" s="1074" t="s">
        <v>3989</v>
      </c>
      <c r="AN39" s="1073" t="s">
        <v>3987</v>
      </c>
      <c r="AO39" s="642" t="s">
        <v>3948</v>
      </c>
    </row>
    <row r="40" spans="1:41" s="163" customFormat="1" x14ac:dyDescent="0.2">
      <c r="A40" s="1134" t="s">
        <v>3986</v>
      </c>
      <c r="B40" s="1135" t="s">
        <v>800</v>
      </c>
      <c r="C40" s="1606" t="s">
        <v>2034</v>
      </c>
      <c r="D40" s="1607"/>
      <c r="E40" s="1608"/>
      <c r="F40" s="1606" t="s">
        <v>801</v>
      </c>
      <c r="G40" s="1607"/>
      <c r="H40" s="1608"/>
      <c r="I40" s="1606" t="s">
        <v>802</v>
      </c>
      <c r="J40" s="1607"/>
      <c r="K40" s="1608"/>
      <c r="L40" s="1606" t="s">
        <v>803</v>
      </c>
      <c r="M40" s="1607"/>
      <c r="N40" s="1608"/>
      <c r="O40" s="1606" t="s">
        <v>804</v>
      </c>
      <c r="P40" s="1607"/>
      <c r="Q40" s="1608"/>
      <c r="R40" s="1606" t="s">
        <v>805</v>
      </c>
      <c r="S40" s="1607"/>
      <c r="T40" s="1608"/>
      <c r="U40" s="1606" t="s">
        <v>806</v>
      </c>
      <c r="V40" s="1607"/>
      <c r="W40" s="1608"/>
      <c r="X40" s="1606" t="s">
        <v>807</v>
      </c>
      <c r="Y40" s="1607"/>
      <c r="Z40" s="1608"/>
      <c r="AA40" s="1606" t="s">
        <v>808</v>
      </c>
      <c r="AB40" s="1607"/>
      <c r="AC40" s="1608"/>
      <c r="AD40" s="1606" t="s">
        <v>809</v>
      </c>
      <c r="AE40" s="1607"/>
      <c r="AF40" s="1608"/>
      <c r="AG40" s="1606" t="s">
        <v>810</v>
      </c>
      <c r="AH40" s="1607"/>
      <c r="AI40" s="1608"/>
      <c r="AJ40" s="1606" t="s">
        <v>811</v>
      </c>
      <c r="AK40" s="1607"/>
      <c r="AL40" s="1608"/>
      <c r="AM40" s="1134" t="s">
        <v>3986</v>
      </c>
      <c r="AN40" s="1135" t="s">
        <v>800</v>
      </c>
      <c r="AO40" s="1136"/>
    </row>
    <row r="42" spans="1:41" x14ac:dyDescent="0.2">
      <c r="A42" s="653" t="s">
        <v>4248</v>
      </c>
      <c r="AM42" s="653"/>
    </row>
    <row r="43" spans="1:41" x14ac:dyDescent="0.2">
      <c r="A43" s="653" t="s">
        <v>833</v>
      </c>
      <c r="AM43" s="653"/>
    </row>
    <row r="45" spans="1:41" ht="23.25" x14ac:dyDescent="0.2">
      <c r="A45" s="1010" t="s">
        <v>4251</v>
      </c>
      <c r="G45" s="1010" t="s">
        <v>4279</v>
      </c>
      <c r="S45" s="1010" t="s">
        <v>4253</v>
      </c>
      <c r="AA45" s="1010"/>
      <c r="AH45" s="1010" t="s">
        <v>4276</v>
      </c>
      <c r="AM45" s="1010"/>
    </row>
    <row r="46" spans="1:41" x14ac:dyDescent="0.2">
      <c r="A46" s="1009" t="s">
        <v>4249</v>
      </c>
      <c r="G46" s="1216" t="s">
        <v>4280</v>
      </c>
      <c r="S46" s="1210" t="s">
        <v>4274</v>
      </c>
      <c r="AA46" s="1210"/>
      <c r="AH46" s="1215" t="s">
        <v>4285</v>
      </c>
      <c r="AM46" s="1009"/>
    </row>
    <row r="47" spans="1:41" x14ac:dyDescent="0.2">
      <c r="A47" s="1001" t="s">
        <v>4250</v>
      </c>
      <c r="G47" s="1216" t="s">
        <v>4281</v>
      </c>
      <c r="S47" s="1210" t="s">
        <v>4275</v>
      </c>
      <c r="AA47" s="1210"/>
      <c r="AH47" s="1068" t="s">
        <v>4277</v>
      </c>
      <c r="AM47" s="1001"/>
    </row>
    <row r="48" spans="1:41" x14ac:dyDescent="0.2">
      <c r="A48" s="1002" t="s">
        <v>4252</v>
      </c>
      <c r="G48" s="1210" t="s">
        <v>4282</v>
      </c>
      <c r="S48" s="1210" t="s">
        <v>4254</v>
      </c>
      <c r="AA48" s="1210"/>
      <c r="AH48" s="1215" t="s">
        <v>4284</v>
      </c>
      <c r="AM48" s="1002"/>
    </row>
    <row r="49" spans="1:39" x14ac:dyDescent="0.2">
      <c r="A49" s="653" t="s">
        <v>4271</v>
      </c>
      <c r="G49" s="1210" t="s">
        <v>4283</v>
      </c>
      <c r="S49" s="1216" t="s">
        <v>4255</v>
      </c>
      <c r="AA49" s="1210"/>
      <c r="AH49" s="1068" t="s">
        <v>4278</v>
      </c>
      <c r="AM49" s="653"/>
    </row>
    <row r="50" spans="1:39" x14ac:dyDescent="0.2">
      <c r="A50" s="653" t="s">
        <v>4272</v>
      </c>
      <c r="G50" s="1210" t="s">
        <v>4273</v>
      </c>
      <c r="S50" s="1210" t="s">
        <v>4256</v>
      </c>
      <c r="AH50" s="1215" t="s">
        <v>4286</v>
      </c>
    </row>
  </sheetData>
  <mergeCells count="48">
    <mergeCell ref="C1:E1"/>
    <mergeCell ref="F1:H1"/>
    <mergeCell ref="I1:K1"/>
    <mergeCell ref="A21:A23"/>
    <mergeCell ref="AM36:AM38"/>
    <mergeCell ref="AM3:AM5"/>
    <mergeCell ref="AM6:AM8"/>
    <mergeCell ref="AM9:AM11"/>
    <mergeCell ref="AM12:AM14"/>
    <mergeCell ref="AM15:AM17"/>
    <mergeCell ref="AM18:AM20"/>
    <mergeCell ref="AM21:AM23"/>
    <mergeCell ref="AM24:AM26"/>
    <mergeCell ref="AM27:AM29"/>
    <mergeCell ref="AM30:AM32"/>
    <mergeCell ref="AM33:AM35"/>
    <mergeCell ref="A36:A38"/>
    <mergeCell ref="A3:A5"/>
    <mergeCell ref="A6:A8"/>
    <mergeCell ref="A9:A11"/>
    <mergeCell ref="A12:A14"/>
    <mergeCell ref="A18:A20"/>
    <mergeCell ref="A15:A17"/>
    <mergeCell ref="A24:A26"/>
    <mergeCell ref="A27:A29"/>
    <mergeCell ref="A30:A32"/>
    <mergeCell ref="A33:A35"/>
    <mergeCell ref="AD1:AF1"/>
    <mergeCell ref="AG1:AI1"/>
    <mergeCell ref="AJ1:AL1"/>
    <mergeCell ref="L1:N1"/>
    <mergeCell ref="O1:Q1"/>
    <mergeCell ref="R1:T1"/>
    <mergeCell ref="U1:W1"/>
    <mergeCell ref="X1:Z1"/>
    <mergeCell ref="AA1:AC1"/>
    <mergeCell ref="C40:E40"/>
    <mergeCell ref="F40:H40"/>
    <mergeCell ref="I40:K40"/>
    <mergeCell ref="L40:N40"/>
    <mergeCell ref="O40:Q40"/>
    <mergeCell ref="AG40:AI40"/>
    <mergeCell ref="AJ40:AL40"/>
    <mergeCell ref="R40:T40"/>
    <mergeCell ref="U40:W40"/>
    <mergeCell ref="X40:Z40"/>
    <mergeCell ref="AA40:AC40"/>
    <mergeCell ref="AD40:AF40"/>
  </mergeCells>
  <phoneticPr fontId="107" type="noConversion"/>
  <printOptions gridLines="1"/>
  <pageMargins left="0.15748031496062992" right="0.15748031496062992" top="0.74803149606299213" bottom="0.74803149606299213" header="0.31496062992125984" footer="0.31496062992125984"/>
  <pageSetup scale="15"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9"/>
  <dimension ref="A1:R45"/>
  <sheetViews>
    <sheetView topLeftCell="A16" zoomScale="80" zoomScaleNormal="80" zoomScaleSheetLayoutView="75" workbookViewId="0" xr3:uid="{0801C90D-E949-51CC-9495-7D82D7DEDABF}">
      <selection activeCell="B35" sqref="B35"/>
    </sheetView>
  </sheetViews>
  <sheetFormatPr defaultColWidth="7.12890625" defaultRowHeight="15" x14ac:dyDescent="0.2"/>
  <cols>
    <col min="1" max="1" width="7.12890625" customWidth="1"/>
    <col min="2" max="2" width="22.734375" bestFit="1" customWidth="1"/>
    <col min="3" max="3" width="13.98828125" customWidth="1"/>
    <col min="4" max="4" width="15.6015625" bestFit="1" customWidth="1"/>
    <col min="5" max="5" width="19.1015625" bestFit="1" customWidth="1"/>
    <col min="6" max="6" width="22.734375" style="107" bestFit="1" customWidth="1"/>
    <col min="7" max="7" width="7.12890625" customWidth="1"/>
    <col min="8" max="8" width="16.0078125" bestFit="1" customWidth="1"/>
    <col min="9" max="9" width="9.81640625" bestFit="1" customWidth="1"/>
    <col min="14" max="14" width="19.1015625" bestFit="1" customWidth="1"/>
  </cols>
  <sheetData>
    <row r="1" spans="1:18" x14ac:dyDescent="0.2">
      <c r="A1" s="408"/>
      <c r="B1" s="408" t="s">
        <v>899</v>
      </c>
      <c r="C1" s="408" t="s">
        <v>900</v>
      </c>
      <c r="D1" s="409" t="s">
        <v>901</v>
      </c>
      <c r="E1" s="408" t="s">
        <v>902</v>
      </c>
      <c r="F1" s="408" t="s">
        <v>3475</v>
      </c>
      <c r="G1" s="411"/>
      <c r="H1" s="411"/>
      <c r="I1" s="411"/>
      <c r="J1" s="411"/>
      <c r="M1" s="1616" t="s">
        <v>3476</v>
      </c>
      <c r="N1" s="1616"/>
      <c r="O1" s="1616"/>
      <c r="P1" s="1616"/>
      <c r="Q1" s="1616"/>
      <c r="R1" s="410"/>
    </row>
    <row r="2" spans="1:18" x14ac:dyDescent="0.2">
      <c r="A2" s="1196">
        <v>1</v>
      </c>
      <c r="B2" s="412" t="s">
        <v>903</v>
      </c>
      <c r="C2" s="412" t="s">
        <v>1528</v>
      </c>
      <c r="D2" s="413">
        <v>0.25</v>
      </c>
      <c r="E2" s="414">
        <f>I11</f>
        <v>0.25</v>
      </c>
      <c r="F2" s="929">
        <v>1</v>
      </c>
      <c r="G2" s="411"/>
      <c r="H2" s="411"/>
      <c r="I2" s="411"/>
      <c r="J2" s="411"/>
      <c r="M2" s="592"/>
      <c r="N2" s="411" t="s">
        <v>1511</v>
      </c>
      <c r="O2" s="416" t="str">
        <f>Basics!C8</f>
        <v>Cn</v>
      </c>
      <c r="P2" s="411">
        <f>MATCH(O2,RsTbl,0)</f>
        <v>4</v>
      </c>
      <c r="Q2" s="594"/>
      <c r="R2" s="410"/>
    </row>
    <row r="3" spans="1:18" x14ac:dyDescent="0.2">
      <c r="A3" s="1196">
        <v>2</v>
      </c>
      <c r="B3" s="412" t="s">
        <v>904</v>
      </c>
      <c r="C3" s="412" t="s">
        <v>905</v>
      </c>
      <c r="D3" s="413">
        <f t="shared" ref="D3:D32" si="0">MOD(D2+0.0333333333333333,24)</f>
        <v>0.28333333333333333</v>
      </c>
      <c r="E3" s="414">
        <f t="shared" ref="E3:E16" si="1">E2+$I$14/15</f>
        <v>0.28333333333333333</v>
      </c>
      <c r="F3" s="929">
        <v>2</v>
      </c>
      <c r="G3" s="411"/>
      <c r="H3" s="411"/>
      <c r="I3" s="411"/>
      <c r="J3" s="411"/>
      <c r="M3" s="592"/>
      <c r="N3" s="416" t="s">
        <v>1512</v>
      </c>
      <c r="O3" s="165" t="str">
        <f>Basics!C9</f>
        <v>Ta</v>
      </c>
      <c r="P3" s="411">
        <f>MATCH(O3,RsTbl,0)</f>
        <v>2</v>
      </c>
      <c r="Q3" s="594"/>
      <c r="R3" s="410"/>
    </row>
    <row r="4" spans="1:18" x14ac:dyDescent="0.2">
      <c r="A4" s="1196">
        <v>3</v>
      </c>
      <c r="B4" s="412" t="s">
        <v>1173</v>
      </c>
      <c r="C4" s="412" t="s">
        <v>1526</v>
      </c>
      <c r="D4" s="413">
        <f t="shared" si="0"/>
        <v>0.31666666666666665</v>
      </c>
      <c r="E4" s="414">
        <f t="shared" si="1"/>
        <v>0.31666666666666665</v>
      </c>
      <c r="F4" s="929"/>
      <c r="G4" s="411"/>
      <c r="H4" s="411"/>
      <c r="I4" s="411"/>
      <c r="J4" s="411"/>
      <c r="M4" s="592"/>
      <c r="N4" t="s">
        <v>1722</v>
      </c>
      <c r="O4" s="165" t="str">
        <f>Basics!C7</f>
        <v>Le</v>
      </c>
      <c r="P4" s="411">
        <f>MATCH(O4,RsTbl,0)</f>
        <v>5</v>
      </c>
      <c r="Q4" s="594"/>
      <c r="R4" s="410"/>
    </row>
    <row r="5" spans="1:18" x14ac:dyDescent="0.2">
      <c r="A5" s="1196">
        <v>4</v>
      </c>
      <c r="B5" s="412" t="s">
        <v>1751</v>
      </c>
      <c r="C5" s="412" t="s">
        <v>1588</v>
      </c>
      <c r="D5" s="413">
        <f t="shared" si="0"/>
        <v>0.35</v>
      </c>
      <c r="E5" s="414">
        <f t="shared" si="1"/>
        <v>0.35</v>
      </c>
      <c r="F5" s="929">
        <v>4</v>
      </c>
      <c r="G5" s="411"/>
      <c r="H5" s="411"/>
      <c r="I5" s="411"/>
      <c r="J5" s="411"/>
      <c r="M5" s="592"/>
      <c r="N5" s="411" t="s">
        <v>2129</v>
      </c>
      <c r="O5" s="591" t="s">
        <v>1953</v>
      </c>
      <c r="Q5" s="594"/>
      <c r="R5" s="410"/>
    </row>
    <row r="6" spans="1:18" x14ac:dyDescent="0.2">
      <c r="A6" s="1196">
        <v>5</v>
      </c>
      <c r="B6" s="412" t="s">
        <v>906</v>
      </c>
      <c r="C6" s="412" t="s">
        <v>907</v>
      </c>
      <c r="D6" s="413">
        <f t="shared" si="0"/>
        <v>0.3833333333333333</v>
      </c>
      <c r="E6" s="414">
        <f t="shared" si="1"/>
        <v>0.3833333333333333</v>
      </c>
      <c r="F6" s="929"/>
      <c r="G6" s="411"/>
      <c r="H6" s="411"/>
      <c r="I6" s="411"/>
      <c r="J6" s="411"/>
      <c r="M6" s="592"/>
      <c r="N6" s="411" t="s">
        <v>2130</v>
      </c>
      <c r="O6" s="590" t="s">
        <v>1949</v>
      </c>
      <c r="Q6" s="594"/>
      <c r="R6" s="410"/>
    </row>
    <row r="7" spans="1:18" x14ac:dyDescent="0.2">
      <c r="A7" s="1196">
        <v>6</v>
      </c>
      <c r="B7" s="412" t="s">
        <v>908</v>
      </c>
      <c r="C7" s="412" t="s">
        <v>909</v>
      </c>
      <c r="D7" s="413">
        <f t="shared" si="0"/>
        <v>0.41666666666666663</v>
      </c>
      <c r="E7" s="414">
        <f t="shared" si="1"/>
        <v>0.41666666666666663</v>
      </c>
      <c r="F7" s="929"/>
      <c r="G7" s="411"/>
      <c r="H7" s="411"/>
      <c r="I7" s="411"/>
      <c r="J7" s="411"/>
      <c r="M7" s="411"/>
      <c r="N7" s="411" t="s">
        <v>2131</v>
      </c>
      <c r="O7" s="165" t="s">
        <v>1968</v>
      </c>
      <c r="Q7" s="411"/>
      <c r="R7" s="411"/>
    </row>
    <row r="8" spans="1:18" x14ac:dyDescent="0.2">
      <c r="A8" s="1196">
        <v>7</v>
      </c>
      <c r="B8" s="412" t="s">
        <v>910</v>
      </c>
      <c r="C8" s="412" t="s">
        <v>911</v>
      </c>
      <c r="D8" s="413">
        <f t="shared" si="0"/>
        <v>0.44999999999999996</v>
      </c>
      <c r="E8" s="414">
        <f t="shared" si="1"/>
        <v>0.44999999999999996</v>
      </c>
      <c r="F8" s="929"/>
      <c r="G8" s="411"/>
      <c r="H8" s="415">
        <f ca="1">NOW()</f>
        <v>43423.919726273147</v>
      </c>
      <c r="I8" s="411"/>
      <c r="J8" s="411"/>
      <c r="M8" s="411"/>
      <c r="N8" s="411"/>
      <c r="O8" s="411"/>
      <c r="P8" s="411"/>
      <c r="Q8" s="411"/>
      <c r="R8" s="411"/>
    </row>
    <row r="9" spans="1:18" x14ac:dyDescent="0.2">
      <c r="A9" s="1196">
        <v>8</v>
      </c>
      <c r="B9" s="412" t="s">
        <v>912</v>
      </c>
      <c r="C9" s="412" t="s">
        <v>1897</v>
      </c>
      <c r="D9" s="413">
        <f t="shared" si="0"/>
        <v>0.48333333333333328</v>
      </c>
      <c r="E9" s="414">
        <f t="shared" si="1"/>
        <v>0.48333333333333328</v>
      </c>
      <c r="F9" s="929"/>
      <c r="G9" s="411"/>
      <c r="H9" s="411"/>
      <c r="I9" s="411"/>
      <c r="J9" s="411"/>
      <c r="O9" s="416" t="s">
        <v>1511</v>
      </c>
      <c r="P9" s="416" t="s">
        <v>2125</v>
      </c>
      <c r="Q9" s="411"/>
      <c r="R9" s="411"/>
    </row>
    <row r="10" spans="1:18" x14ac:dyDescent="0.2">
      <c r="A10" s="1196">
        <v>9</v>
      </c>
      <c r="B10" s="412" t="s">
        <v>913</v>
      </c>
      <c r="C10" s="412" t="s">
        <v>1584</v>
      </c>
      <c r="D10" s="413">
        <f t="shared" si="0"/>
        <v>0.51666666666666661</v>
      </c>
      <c r="E10" s="414">
        <f t="shared" si="1"/>
        <v>0.51666666666666661</v>
      </c>
      <c r="F10" s="929"/>
      <c r="G10" s="411"/>
      <c r="H10" s="416"/>
      <c r="I10" s="411" t="s">
        <v>2126</v>
      </c>
      <c r="J10" s="411" t="s">
        <v>2127</v>
      </c>
      <c r="M10" s="411">
        <f>P2</f>
        <v>4</v>
      </c>
      <c r="N10" s="588">
        <f>I11</f>
        <v>0.25</v>
      </c>
      <c r="O10" s="411" t="str">
        <f>INDEX(RsTbl,M10)</f>
        <v>Cn</v>
      </c>
      <c r="P10" s="411" t="str">
        <f t="shared" ref="P10:P21" si="2">INDEX(RsTbl,MOD(M10+7,12)+1)</f>
        <v>Pi</v>
      </c>
      <c r="Q10" s="411"/>
      <c r="R10" s="411"/>
    </row>
    <row r="11" spans="1:18" x14ac:dyDescent="0.2">
      <c r="A11" s="1196">
        <v>10</v>
      </c>
      <c r="B11" s="412" t="s">
        <v>914</v>
      </c>
      <c r="C11" s="412" t="s">
        <v>2274</v>
      </c>
      <c r="D11" s="413">
        <f t="shared" si="0"/>
        <v>0.54999999999999993</v>
      </c>
      <c r="E11" s="414">
        <f t="shared" si="1"/>
        <v>0.54999999999999993</v>
      </c>
      <c r="F11" s="929">
        <v>10</v>
      </c>
      <c r="G11" s="411"/>
      <c r="H11" s="416" t="s">
        <v>915</v>
      </c>
      <c r="I11" s="417">
        <v>0.25</v>
      </c>
      <c r="J11" s="411"/>
      <c r="M11" s="411">
        <f>MOD(M10+12-2,12)+1</f>
        <v>3</v>
      </c>
      <c r="N11" s="588">
        <f t="shared" ref="N11:N21" si="3">N10+Hora</f>
        <v>0.29166666666666669</v>
      </c>
      <c r="O11" s="411" t="str">
        <f t="shared" ref="O11:O21" si="4">INDEX(RsTbl,M11)</f>
        <v>Ge</v>
      </c>
      <c r="P11" s="411" t="str">
        <f t="shared" si="2"/>
        <v>Aq</v>
      </c>
    </row>
    <row r="12" spans="1:18" x14ac:dyDescent="0.2">
      <c r="A12" s="1196">
        <v>11</v>
      </c>
      <c r="B12" s="418" t="s">
        <v>916</v>
      </c>
      <c r="C12" s="412" t="s">
        <v>1894</v>
      </c>
      <c r="D12" s="413">
        <f t="shared" si="0"/>
        <v>0.58333333333333326</v>
      </c>
      <c r="E12" s="414">
        <f t="shared" si="1"/>
        <v>0.58333333333333326</v>
      </c>
      <c r="F12" s="930">
        <v>11</v>
      </c>
      <c r="G12" s="411"/>
      <c r="H12" s="416" t="s">
        <v>917</v>
      </c>
      <c r="I12" s="417">
        <v>0.75</v>
      </c>
      <c r="J12" s="411"/>
      <c r="M12" s="411">
        <f t="shared" ref="M12:M21" si="5">MOD(M11+12-2,12)+1</f>
        <v>2</v>
      </c>
      <c r="N12" s="588">
        <f t="shared" si="3"/>
        <v>0.33333333333333337</v>
      </c>
      <c r="O12" s="411" t="str">
        <f t="shared" si="4"/>
        <v>Ta</v>
      </c>
      <c r="P12" s="411" t="str">
        <f t="shared" si="2"/>
        <v>Cp</v>
      </c>
    </row>
    <row r="13" spans="1:18" x14ac:dyDescent="0.2">
      <c r="A13" s="1196">
        <v>12</v>
      </c>
      <c r="B13" s="412" t="s">
        <v>918</v>
      </c>
      <c r="C13" s="412" t="s">
        <v>2279</v>
      </c>
      <c r="D13" s="413">
        <f t="shared" si="0"/>
        <v>0.61666666666666659</v>
      </c>
      <c r="E13" s="414">
        <f t="shared" si="1"/>
        <v>0.61666666666666659</v>
      </c>
      <c r="F13" s="929">
        <v>12</v>
      </c>
      <c r="G13" s="411"/>
      <c r="H13" s="411"/>
      <c r="I13" s="411"/>
      <c r="J13" s="411"/>
      <c r="M13" s="411">
        <f t="shared" si="5"/>
        <v>1</v>
      </c>
      <c r="N13" s="588">
        <f t="shared" si="3"/>
        <v>0.37500000000000006</v>
      </c>
      <c r="O13" s="411" t="str">
        <f t="shared" si="4"/>
        <v>Ar</v>
      </c>
      <c r="P13" s="411" t="str">
        <f t="shared" si="2"/>
        <v>Sg</v>
      </c>
    </row>
    <row r="14" spans="1:18" x14ac:dyDescent="0.2">
      <c r="A14" s="1196">
        <v>13</v>
      </c>
      <c r="B14" s="412" t="s">
        <v>919</v>
      </c>
      <c r="C14" s="412" t="s">
        <v>920</v>
      </c>
      <c r="D14" s="413">
        <f t="shared" si="0"/>
        <v>0.64999999999999991</v>
      </c>
      <c r="E14" s="414">
        <f t="shared" si="1"/>
        <v>0.64999999999999991</v>
      </c>
      <c r="F14" s="929"/>
      <c r="G14" s="411"/>
      <c r="H14" s="416" t="s">
        <v>921</v>
      </c>
      <c r="I14" s="419">
        <f>I12-I11</f>
        <v>0.5</v>
      </c>
      <c r="J14" s="411" t="s">
        <v>1117</v>
      </c>
      <c r="M14" s="411">
        <f t="shared" si="5"/>
        <v>12</v>
      </c>
      <c r="N14" s="588">
        <f t="shared" si="3"/>
        <v>0.41666666666666674</v>
      </c>
      <c r="O14" s="411" t="str">
        <f t="shared" si="4"/>
        <v>Pi</v>
      </c>
      <c r="P14" s="411" t="str">
        <f t="shared" si="2"/>
        <v>Sc</v>
      </c>
    </row>
    <row r="15" spans="1:18" x14ac:dyDescent="0.2">
      <c r="A15" s="1196">
        <v>14</v>
      </c>
      <c r="B15" s="412" t="s">
        <v>922</v>
      </c>
      <c r="C15" s="412" t="s">
        <v>923</v>
      </c>
      <c r="D15" s="413">
        <f t="shared" si="0"/>
        <v>0.68333333333333324</v>
      </c>
      <c r="E15" s="414">
        <f t="shared" si="1"/>
        <v>0.68333333333333324</v>
      </c>
      <c r="F15" s="929"/>
      <c r="G15" s="411"/>
      <c r="H15" s="416" t="s">
        <v>924</v>
      </c>
      <c r="I15" s="419">
        <f>1-I14</f>
        <v>0.5</v>
      </c>
      <c r="J15" s="411" t="s">
        <v>1117</v>
      </c>
      <c r="M15" s="411">
        <f t="shared" si="5"/>
        <v>11</v>
      </c>
      <c r="N15" s="588">
        <f t="shared" si="3"/>
        <v>0.45833333333333343</v>
      </c>
      <c r="O15" s="411" t="str">
        <f t="shared" si="4"/>
        <v>Aq</v>
      </c>
      <c r="P15" s="411" t="str">
        <f t="shared" si="2"/>
        <v>Li</v>
      </c>
    </row>
    <row r="16" spans="1:18" x14ac:dyDescent="0.2">
      <c r="A16" s="1196">
        <v>15</v>
      </c>
      <c r="B16" s="412" t="s">
        <v>925</v>
      </c>
      <c r="C16" s="412" t="s">
        <v>926</v>
      </c>
      <c r="D16" s="413">
        <f t="shared" si="0"/>
        <v>0.71666666666666656</v>
      </c>
      <c r="E16" s="414">
        <f t="shared" si="1"/>
        <v>0.71666666666666656</v>
      </c>
      <c r="F16" s="929">
        <v>15</v>
      </c>
      <c r="G16" s="411"/>
      <c r="H16" s="411" t="s">
        <v>2124</v>
      </c>
      <c r="I16" s="588">
        <v>4.1666666666666664E-2</v>
      </c>
      <c r="J16" s="411"/>
      <c r="M16" s="411">
        <f t="shared" si="5"/>
        <v>10</v>
      </c>
      <c r="N16" s="588">
        <f t="shared" si="3"/>
        <v>0.50000000000000011</v>
      </c>
      <c r="O16" s="411" t="str">
        <f t="shared" si="4"/>
        <v>Cp</v>
      </c>
      <c r="P16" s="411" t="str">
        <f t="shared" si="2"/>
        <v>Vi</v>
      </c>
    </row>
    <row r="17" spans="1:17" x14ac:dyDescent="0.2">
      <c r="A17" s="1197">
        <v>1</v>
      </c>
      <c r="B17" s="1192" t="s">
        <v>927</v>
      </c>
      <c r="C17" s="1192" t="s">
        <v>1528</v>
      </c>
      <c r="D17" s="1193">
        <f t="shared" si="0"/>
        <v>0.74999999999999989</v>
      </c>
      <c r="E17" s="1194">
        <f>I12</f>
        <v>0.75</v>
      </c>
      <c r="F17" s="1195">
        <v>1</v>
      </c>
      <c r="G17" s="411"/>
      <c r="H17" s="411"/>
      <c r="I17" s="411"/>
      <c r="J17" s="411"/>
      <c r="M17" s="411">
        <f t="shared" si="5"/>
        <v>9</v>
      </c>
      <c r="N17" s="588">
        <f t="shared" si="3"/>
        <v>0.54166666666666674</v>
      </c>
      <c r="O17" s="411" t="str">
        <f t="shared" si="4"/>
        <v>Sg</v>
      </c>
      <c r="P17" s="590" t="str">
        <f t="shared" si="2"/>
        <v>Le</v>
      </c>
    </row>
    <row r="18" spans="1:17" x14ac:dyDescent="0.2">
      <c r="A18" s="1197">
        <v>2</v>
      </c>
      <c r="B18" s="1192" t="s">
        <v>928</v>
      </c>
      <c r="C18" s="1192" t="s">
        <v>929</v>
      </c>
      <c r="D18" s="1193">
        <f t="shared" si="0"/>
        <v>0.78333333333333321</v>
      </c>
      <c r="E18" s="1194">
        <f>E17+$I$15/15</f>
        <v>0.78333333333333333</v>
      </c>
      <c r="F18" s="1195">
        <v>2</v>
      </c>
      <c r="G18" s="411"/>
      <c r="H18" s="411"/>
      <c r="I18" s="411"/>
      <c r="J18" s="411"/>
      <c r="M18" s="411">
        <f t="shared" si="5"/>
        <v>8</v>
      </c>
      <c r="N18" s="588">
        <f t="shared" si="3"/>
        <v>0.58333333333333337</v>
      </c>
      <c r="O18" s="411" t="str">
        <f t="shared" si="4"/>
        <v>Sc</v>
      </c>
      <c r="P18" s="411" t="str">
        <f t="shared" si="2"/>
        <v>Cn</v>
      </c>
    </row>
    <row r="19" spans="1:17" x14ac:dyDescent="0.2">
      <c r="A19" s="1197">
        <v>3</v>
      </c>
      <c r="B19" s="1192" t="s">
        <v>930</v>
      </c>
      <c r="C19" s="1192" t="s">
        <v>931</v>
      </c>
      <c r="D19" s="1193">
        <f t="shared" si="0"/>
        <v>0.81666666666666654</v>
      </c>
      <c r="E19" s="1194">
        <f>E18+$I$15/15</f>
        <v>0.81666666666666665</v>
      </c>
      <c r="F19" s="1195"/>
      <c r="G19" s="411"/>
      <c r="H19" s="411"/>
      <c r="I19" s="411"/>
      <c r="J19" s="411"/>
      <c r="M19" s="411">
        <f t="shared" si="5"/>
        <v>7</v>
      </c>
      <c r="N19" s="588">
        <f t="shared" si="3"/>
        <v>0.625</v>
      </c>
      <c r="O19" s="411" t="str">
        <f t="shared" si="4"/>
        <v>Li</v>
      </c>
      <c r="P19" s="411" t="str">
        <f t="shared" si="2"/>
        <v>Ge</v>
      </c>
    </row>
    <row r="20" spans="1:17" x14ac:dyDescent="0.2">
      <c r="A20" s="1197">
        <v>4</v>
      </c>
      <c r="B20" s="1192" t="s">
        <v>932</v>
      </c>
      <c r="C20" s="1192" t="s">
        <v>1532</v>
      </c>
      <c r="D20" s="1193">
        <f t="shared" si="0"/>
        <v>0.84999999999999987</v>
      </c>
      <c r="E20" s="1194">
        <f>E19+$I$15/15</f>
        <v>0.85</v>
      </c>
      <c r="F20" s="1195"/>
      <c r="G20" s="411"/>
      <c r="H20" s="411"/>
      <c r="I20" s="411"/>
      <c r="J20" s="411"/>
      <c r="M20" s="411">
        <f t="shared" si="5"/>
        <v>6</v>
      </c>
      <c r="N20" s="589">
        <f t="shared" si="3"/>
        <v>0.66666666666666663</v>
      </c>
      <c r="O20" s="411" t="str">
        <f t="shared" si="4"/>
        <v>Vi</v>
      </c>
      <c r="P20" s="591" t="str">
        <f t="shared" si="2"/>
        <v>Ta</v>
      </c>
    </row>
    <row r="21" spans="1:17" x14ac:dyDescent="0.2">
      <c r="A21" s="1197">
        <v>5</v>
      </c>
      <c r="B21" s="1192" t="s">
        <v>933</v>
      </c>
      <c r="C21" s="1192" t="s">
        <v>934</v>
      </c>
      <c r="D21" s="1193">
        <f t="shared" si="0"/>
        <v>0.88333333333333319</v>
      </c>
      <c r="E21" s="1194">
        <f>E20+$I$15/15</f>
        <v>0.8833333333333333</v>
      </c>
      <c r="F21" s="1195"/>
      <c r="G21" s="411"/>
      <c r="H21" s="411"/>
      <c r="I21" s="411"/>
      <c r="J21" s="411"/>
      <c r="M21" s="411">
        <f t="shared" si="5"/>
        <v>5</v>
      </c>
      <c r="N21" s="588">
        <f t="shared" si="3"/>
        <v>0.70833333333333326</v>
      </c>
      <c r="O21" s="411" t="str">
        <f t="shared" si="4"/>
        <v>Le</v>
      </c>
      <c r="P21" s="411" t="str">
        <f t="shared" si="2"/>
        <v>Ar</v>
      </c>
    </row>
    <row r="22" spans="1:17" x14ac:dyDescent="0.2">
      <c r="A22" s="1197">
        <v>6</v>
      </c>
      <c r="B22" s="1192" t="s">
        <v>935</v>
      </c>
      <c r="C22" s="1192" t="s">
        <v>1583</v>
      </c>
      <c r="D22" s="1193">
        <f t="shared" si="0"/>
        <v>0.91666666666666652</v>
      </c>
      <c r="E22" s="1194">
        <f>E21+$I$15/15</f>
        <v>0.91666666666666663</v>
      </c>
      <c r="F22" s="1195">
        <v>6</v>
      </c>
      <c r="G22" s="411"/>
      <c r="H22" s="411"/>
      <c r="I22" s="411"/>
      <c r="J22" s="411"/>
      <c r="M22" s="411"/>
      <c r="N22" s="588" t="s">
        <v>2128</v>
      </c>
      <c r="O22" s="416" t="s">
        <v>1512</v>
      </c>
      <c r="P22" s="165" t="s">
        <v>2125</v>
      </c>
      <c r="Q22" t="s">
        <v>2132</v>
      </c>
    </row>
    <row r="23" spans="1:17" x14ac:dyDescent="0.2">
      <c r="A23" s="1197">
        <v>7</v>
      </c>
      <c r="B23" s="1192" t="s">
        <v>936</v>
      </c>
      <c r="C23" s="1192" t="s">
        <v>1510</v>
      </c>
      <c r="D23" s="1193">
        <f t="shared" si="0"/>
        <v>0.94999999999999984</v>
      </c>
      <c r="E23" s="1194">
        <f>MOD(E22+$I$15/15,24)</f>
        <v>0.95</v>
      </c>
      <c r="F23" s="1195">
        <v>7</v>
      </c>
      <c r="G23" s="411"/>
      <c r="H23" s="411"/>
      <c r="I23" s="411"/>
      <c r="J23" s="411"/>
      <c r="M23" s="411">
        <f>P3</f>
        <v>2</v>
      </c>
      <c r="N23" s="588">
        <f>I12</f>
        <v>0.75</v>
      </c>
      <c r="O23" s="411" t="str">
        <f t="shared" ref="O23:O34" si="6">INDEX(RsTbl,M23)</f>
        <v>Ta</v>
      </c>
      <c r="P23" s="411" t="str">
        <f t="shared" ref="P23:P34" si="7">INDEX(RsTbl,MOD(M23+7,12)+1)</f>
        <v>Cp</v>
      </c>
      <c r="Q23" s="411" t="str">
        <f t="shared" ref="Q23:Q34" si="8">INDEX(RsTbl,MOD(M23+12+2,12)+1)</f>
        <v>Le</v>
      </c>
    </row>
    <row r="24" spans="1:17" x14ac:dyDescent="0.2">
      <c r="A24" s="1197">
        <v>8</v>
      </c>
      <c r="B24" s="1192" t="s">
        <v>937</v>
      </c>
      <c r="C24" s="1192" t="s">
        <v>1584</v>
      </c>
      <c r="D24" s="1193">
        <f t="shared" si="0"/>
        <v>0.98333333333333317</v>
      </c>
      <c r="E24" s="1194">
        <f t="shared" ref="E24:E32" si="9">E23+$I$15/15</f>
        <v>0.98333333333333328</v>
      </c>
      <c r="F24" s="1195"/>
      <c r="G24" s="411"/>
      <c r="H24" s="411"/>
      <c r="I24" s="411"/>
      <c r="J24" s="411"/>
      <c r="M24" s="411">
        <f>MOD(M23+12,12)+1</f>
        <v>3</v>
      </c>
      <c r="N24" s="588">
        <f t="shared" ref="N24:N34" si="10">N23+Hora</f>
        <v>0.79166666666666663</v>
      </c>
      <c r="O24" s="411" t="str">
        <f t="shared" si="6"/>
        <v>Ge</v>
      </c>
      <c r="P24" s="411" t="str">
        <f t="shared" si="7"/>
        <v>Aq</v>
      </c>
      <c r="Q24" s="411" t="str">
        <f t="shared" si="8"/>
        <v>Vi</v>
      </c>
    </row>
    <row r="25" spans="1:17" x14ac:dyDescent="0.2">
      <c r="A25" s="1197">
        <v>9</v>
      </c>
      <c r="B25" s="1192" t="s">
        <v>938</v>
      </c>
      <c r="C25" s="1192" t="s">
        <v>939</v>
      </c>
      <c r="D25" s="1193">
        <f t="shared" si="0"/>
        <v>1.0166666666666664</v>
      </c>
      <c r="E25" s="1194">
        <f t="shared" si="9"/>
        <v>1.0166666666666666</v>
      </c>
      <c r="F25" s="1195"/>
      <c r="G25" s="411"/>
      <c r="H25" s="411"/>
      <c r="I25" s="411"/>
      <c r="J25" s="411"/>
      <c r="M25" s="411">
        <f t="shared" ref="M25:M34" si="11">MOD(M24+12,12)+1</f>
        <v>4</v>
      </c>
      <c r="N25" s="588">
        <f t="shared" si="10"/>
        <v>0.83333333333333326</v>
      </c>
      <c r="O25" s="411" t="str">
        <f t="shared" si="6"/>
        <v>Cn</v>
      </c>
      <c r="P25" s="411" t="str">
        <f t="shared" si="7"/>
        <v>Pi</v>
      </c>
      <c r="Q25" s="411" t="str">
        <f t="shared" si="8"/>
        <v>Li</v>
      </c>
    </row>
    <row r="26" spans="1:17" x14ac:dyDescent="0.2">
      <c r="A26" s="1197">
        <v>10</v>
      </c>
      <c r="B26" s="1192" t="s">
        <v>940</v>
      </c>
      <c r="C26" s="1192" t="s">
        <v>1586</v>
      </c>
      <c r="D26" s="1193">
        <f t="shared" si="0"/>
        <v>1.0499999999999996</v>
      </c>
      <c r="E26" s="1194">
        <f t="shared" si="9"/>
        <v>1.05</v>
      </c>
      <c r="F26" s="1195"/>
      <c r="G26" s="411"/>
      <c r="H26" s="411"/>
      <c r="I26" s="411"/>
      <c r="J26" s="411"/>
      <c r="M26" s="411">
        <f t="shared" si="11"/>
        <v>5</v>
      </c>
      <c r="N26" s="588">
        <f t="shared" si="10"/>
        <v>0.87499999999999989</v>
      </c>
      <c r="O26" s="411" t="str">
        <f t="shared" si="6"/>
        <v>Le</v>
      </c>
      <c r="P26" s="411" t="str">
        <f t="shared" si="7"/>
        <v>Ar</v>
      </c>
      <c r="Q26" s="411" t="str">
        <f t="shared" si="8"/>
        <v>Sc</v>
      </c>
    </row>
    <row r="27" spans="1:17" x14ac:dyDescent="0.2">
      <c r="A27" s="1197">
        <v>11</v>
      </c>
      <c r="B27" s="1192" t="s">
        <v>941</v>
      </c>
      <c r="C27" s="1192" t="s">
        <v>1523</v>
      </c>
      <c r="D27" s="1193">
        <f t="shared" si="0"/>
        <v>1.0833333333333328</v>
      </c>
      <c r="E27" s="1194">
        <f t="shared" si="9"/>
        <v>1.0833333333333335</v>
      </c>
      <c r="F27" s="1195"/>
      <c r="G27" s="411"/>
      <c r="H27" s="411"/>
      <c r="I27" s="411"/>
      <c r="J27" s="411"/>
      <c r="M27" s="411">
        <f t="shared" si="11"/>
        <v>6</v>
      </c>
      <c r="N27" s="588">
        <f t="shared" si="10"/>
        <v>0.91666666666666652</v>
      </c>
      <c r="O27" s="411" t="str">
        <f t="shared" si="6"/>
        <v>Vi</v>
      </c>
      <c r="P27" s="591" t="str">
        <f t="shared" si="7"/>
        <v>Ta</v>
      </c>
      <c r="Q27" s="411" t="str">
        <f t="shared" si="8"/>
        <v>Sg</v>
      </c>
    </row>
    <row r="28" spans="1:17" x14ac:dyDescent="0.2">
      <c r="A28" s="1197">
        <v>12</v>
      </c>
      <c r="B28" s="1192" t="s">
        <v>942</v>
      </c>
      <c r="C28" s="1192" t="s">
        <v>1896</v>
      </c>
      <c r="D28" s="1193">
        <f t="shared" si="0"/>
        <v>1.116666666666666</v>
      </c>
      <c r="E28" s="1194">
        <f t="shared" si="9"/>
        <v>1.1166666666666669</v>
      </c>
      <c r="F28" s="1195"/>
      <c r="G28" s="411"/>
      <c r="H28" s="411"/>
      <c r="I28" s="411"/>
      <c r="J28" s="411"/>
      <c r="M28" s="411">
        <f t="shared" si="11"/>
        <v>7</v>
      </c>
      <c r="N28" s="588">
        <f t="shared" si="10"/>
        <v>0.95833333333333315</v>
      </c>
      <c r="O28" s="411" t="str">
        <f t="shared" si="6"/>
        <v>Li</v>
      </c>
      <c r="P28" s="411" t="str">
        <f t="shared" si="7"/>
        <v>Ge</v>
      </c>
      <c r="Q28" s="411" t="str">
        <f t="shared" si="8"/>
        <v>Cp</v>
      </c>
    </row>
    <row r="29" spans="1:17" x14ac:dyDescent="0.2">
      <c r="A29" s="1197">
        <v>13</v>
      </c>
      <c r="B29" s="1192" t="s">
        <v>943</v>
      </c>
      <c r="C29" s="1192" t="s">
        <v>1591</v>
      </c>
      <c r="D29" s="1193">
        <f t="shared" si="0"/>
        <v>1.1499999999999992</v>
      </c>
      <c r="E29" s="1194">
        <f t="shared" si="9"/>
        <v>1.1500000000000004</v>
      </c>
      <c r="F29" s="1195"/>
      <c r="G29" s="411"/>
      <c r="H29" s="411"/>
      <c r="I29" s="411"/>
      <c r="J29" s="411"/>
      <c r="M29" s="411">
        <f t="shared" si="11"/>
        <v>8</v>
      </c>
      <c r="N29" s="588">
        <f t="shared" si="10"/>
        <v>0.99999999999999978</v>
      </c>
      <c r="O29" s="411" t="str">
        <f t="shared" si="6"/>
        <v>Sc</v>
      </c>
      <c r="P29" s="411" t="str">
        <f t="shared" si="7"/>
        <v>Cn</v>
      </c>
      <c r="Q29" s="411" t="str">
        <f t="shared" si="8"/>
        <v>Aq</v>
      </c>
    </row>
    <row r="30" spans="1:17" x14ac:dyDescent="0.2">
      <c r="A30" s="1197">
        <v>14</v>
      </c>
      <c r="B30" s="1192" t="s">
        <v>944</v>
      </c>
      <c r="C30" s="1192" t="s">
        <v>1592</v>
      </c>
      <c r="D30" s="1193">
        <f t="shared" si="0"/>
        <v>1.1833333333333325</v>
      </c>
      <c r="E30" s="1194">
        <f t="shared" si="9"/>
        <v>1.1833333333333338</v>
      </c>
      <c r="F30" s="1195"/>
      <c r="G30" s="411"/>
      <c r="H30" s="411"/>
      <c r="I30" s="411"/>
      <c r="J30" s="411"/>
      <c r="M30" s="411">
        <f t="shared" si="11"/>
        <v>9</v>
      </c>
      <c r="N30" s="588">
        <f t="shared" si="10"/>
        <v>1.0416666666666665</v>
      </c>
      <c r="O30" s="411" t="str">
        <f t="shared" si="6"/>
        <v>Sg</v>
      </c>
      <c r="P30" s="590" t="str">
        <f t="shared" si="7"/>
        <v>Le</v>
      </c>
      <c r="Q30" s="411" t="str">
        <f t="shared" si="8"/>
        <v>Pi</v>
      </c>
    </row>
    <row r="31" spans="1:17" x14ac:dyDescent="0.2">
      <c r="A31" s="1197">
        <v>15</v>
      </c>
      <c r="B31" s="1192" t="s">
        <v>945</v>
      </c>
      <c r="C31" s="1192" t="s">
        <v>946</v>
      </c>
      <c r="D31" s="1193">
        <f t="shared" si="0"/>
        <v>1.2166666666666657</v>
      </c>
      <c r="E31" s="1194">
        <f t="shared" si="9"/>
        <v>1.2166666666666672</v>
      </c>
      <c r="F31" s="1195"/>
      <c r="G31" s="411"/>
      <c r="H31" s="411"/>
      <c r="I31" s="411"/>
      <c r="J31" s="411"/>
      <c r="M31" s="411">
        <f t="shared" si="11"/>
        <v>10</v>
      </c>
      <c r="N31" s="588">
        <f t="shared" si="10"/>
        <v>1.0833333333333333</v>
      </c>
      <c r="O31" s="411" t="str">
        <f t="shared" si="6"/>
        <v>Cp</v>
      </c>
      <c r="P31" s="411" t="str">
        <f t="shared" si="7"/>
        <v>Vi</v>
      </c>
      <c r="Q31" s="411" t="str">
        <f t="shared" si="8"/>
        <v>Ar</v>
      </c>
    </row>
    <row r="32" spans="1:17" x14ac:dyDescent="0.2">
      <c r="A32" s="412">
        <v>1</v>
      </c>
      <c r="B32" s="412" t="s">
        <v>903</v>
      </c>
      <c r="C32" s="412" t="s">
        <v>1528</v>
      </c>
      <c r="D32" s="413">
        <f t="shared" si="0"/>
        <v>1.2499999999999989</v>
      </c>
      <c r="E32" s="414">
        <f t="shared" si="9"/>
        <v>1.2500000000000007</v>
      </c>
      <c r="F32" s="929"/>
      <c r="G32" s="411"/>
      <c r="H32" s="411"/>
      <c r="I32" s="411"/>
      <c r="J32" s="411"/>
      <c r="M32" s="411">
        <f t="shared" si="11"/>
        <v>11</v>
      </c>
      <c r="N32" s="588">
        <f t="shared" si="10"/>
        <v>1.125</v>
      </c>
      <c r="O32" s="411" t="str">
        <f t="shared" si="6"/>
        <v>Aq</v>
      </c>
      <c r="P32" s="411" t="str">
        <f t="shared" si="7"/>
        <v>Li</v>
      </c>
      <c r="Q32" s="411" t="str">
        <f t="shared" si="8"/>
        <v>Ta</v>
      </c>
    </row>
    <row r="33" spans="1:17" x14ac:dyDescent="0.2">
      <c r="A33" s="592"/>
      <c r="B33" s="592"/>
      <c r="C33" s="592"/>
      <c r="D33" s="593"/>
      <c r="E33" s="594"/>
      <c r="F33" s="928"/>
      <c r="G33" s="411"/>
      <c r="H33" s="411"/>
      <c r="I33" s="411"/>
      <c r="J33" s="411"/>
      <c r="M33" s="411">
        <f t="shared" si="11"/>
        <v>12</v>
      </c>
      <c r="N33" s="588">
        <f t="shared" si="10"/>
        <v>1.1666666666666667</v>
      </c>
      <c r="O33" s="411" t="str">
        <f t="shared" si="6"/>
        <v>Pi</v>
      </c>
      <c r="P33" s="411" t="str">
        <f t="shared" si="7"/>
        <v>Sc</v>
      </c>
      <c r="Q33" s="411" t="str">
        <f t="shared" si="8"/>
        <v>Ge</v>
      </c>
    </row>
    <row r="34" spans="1:17" x14ac:dyDescent="0.2">
      <c r="B34" t="s">
        <v>4205</v>
      </c>
      <c r="G34" s="411"/>
      <c r="H34" s="411"/>
      <c r="I34" s="411"/>
      <c r="J34" s="411"/>
      <c r="M34" s="411">
        <f t="shared" si="11"/>
        <v>1</v>
      </c>
      <c r="N34" s="588">
        <f t="shared" si="10"/>
        <v>1.2083333333333335</v>
      </c>
      <c r="O34" s="411" t="str">
        <f t="shared" si="6"/>
        <v>Ar</v>
      </c>
      <c r="P34" s="411" t="str">
        <f t="shared" si="7"/>
        <v>Sg</v>
      </c>
      <c r="Q34" s="411" t="str">
        <f t="shared" si="8"/>
        <v>Cn</v>
      </c>
    </row>
    <row r="35" spans="1:17" x14ac:dyDescent="0.2">
      <c r="G35" s="411"/>
      <c r="H35" s="411"/>
      <c r="I35" s="411"/>
      <c r="J35" s="411"/>
    </row>
    <row r="36" spans="1:17" x14ac:dyDescent="0.2">
      <c r="G36" s="411"/>
      <c r="H36" s="411"/>
      <c r="I36" s="411"/>
      <c r="J36" s="411"/>
    </row>
    <row r="37" spans="1:17" x14ac:dyDescent="0.2">
      <c r="G37" s="411"/>
      <c r="H37" s="411"/>
      <c r="I37" s="411"/>
      <c r="J37" s="411"/>
    </row>
    <row r="38" spans="1:17" x14ac:dyDescent="0.2">
      <c r="G38" s="411"/>
      <c r="H38" s="411"/>
      <c r="I38" s="411"/>
      <c r="J38" s="411"/>
    </row>
    <row r="39" spans="1:17" x14ac:dyDescent="0.2">
      <c r="G39" s="411"/>
      <c r="H39" s="411"/>
      <c r="I39" s="411"/>
      <c r="J39" s="411"/>
    </row>
    <row r="40" spans="1:17" x14ac:dyDescent="0.2">
      <c r="G40" s="411"/>
      <c r="H40" s="411"/>
      <c r="I40" s="411"/>
      <c r="J40" s="411"/>
    </row>
    <row r="41" spans="1:17" x14ac:dyDescent="0.2">
      <c r="G41" s="411"/>
      <c r="I41" s="411"/>
      <c r="J41" s="411"/>
    </row>
    <row r="42" spans="1:17" x14ac:dyDescent="0.2">
      <c r="G42" s="411"/>
      <c r="H42" s="411"/>
      <c r="I42" s="411"/>
      <c r="J42" s="411"/>
    </row>
    <row r="43" spans="1:17" x14ac:dyDescent="0.2">
      <c r="G43" s="411"/>
      <c r="H43" s="411"/>
      <c r="I43" s="411"/>
      <c r="J43" s="411"/>
    </row>
    <row r="44" spans="1:17" x14ac:dyDescent="0.2">
      <c r="H44" s="411"/>
      <c r="I44" s="411"/>
      <c r="J44" s="411"/>
    </row>
    <row r="45" spans="1:17" x14ac:dyDescent="0.2">
      <c r="H45" s="411"/>
      <c r="I45" s="411"/>
      <c r="J45" s="411"/>
    </row>
  </sheetData>
  <sheetProtection selectLockedCells="1" selectUnlockedCells="1"/>
  <mergeCells count="1">
    <mergeCell ref="M1:Q1"/>
  </mergeCells>
  <phoneticPr fontId="107"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0"/>
  <dimension ref="A1:K22"/>
  <sheetViews>
    <sheetView topLeftCell="A4" workbookViewId="0" xr3:uid="{AB5DE215-5931-5800-A1A6-141DC62B4C85}">
      <selection activeCell="K17" sqref="K17"/>
    </sheetView>
  </sheetViews>
  <sheetFormatPr defaultColWidth="9.14453125" defaultRowHeight="15" x14ac:dyDescent="0.2"/>
  <cols>
    <col min="1" max="1" width="16.6796875" style="990" bestFit="1" customWidth="1"/>
    <col min="2" max="2" width="13.85546875" style="990" bestFit="1" customWidth="1"/>
    <col min="3" max="3" width="24.48046875" style="990" bestFit="1" customWidth="1"/>
    <col min="4" max="4" width="23.9453125" style="990" bestFit="1" customWidth="1"/>
    <col min="5" max="5" width="24.078125" style="990" bestFit="1" customWidth="1"/>
    <col min="6" max="6" width="13.85546875" style="990" bestFit="1" customWidth="1"/>
    <col min="7" max="10" width="12.5078125" style="990" customWidth="1"/>
    <col min="11" max="16384" width="9.14453125" style="990"/>
  </cols>
  <sheetData>
    <row r="1" spans="1:11" x14ac:dyDescent="0.2">
      <c r="B1" s="996">
        <v>365.25636300399998</v>
      </c>
      <c r="C1" s="997">
        <v>365.25636300399998</v>
      </c>
      <c r="D1" s="990">
        <v>365.24218999999999</v>
      </c>
      <c r="E1" s="990" t="s">
        <v>3703</v>
      </c>
      <c r="F1" s="996">
        <f>365+G1</f>
        <v>365.25868055555554</v>
      </c>
      <c r="G1" s="995">
        <v>0.25868055555555552</v>
      </c>
    </row>
    <row r="2" spans="1:11" x14ac:dyDescent="0.2">
      <c r="A2" s="994" t="s">
        <v>3702</v>
      </c>
      <c r="B2" s="994" t="s">
        <v>1431</v>
      </c>
      <c r="C2" s="994" t="s">
        <v>3701</v>
      </c>
      <c r="D2" s="994" t="s">
        <v>3700</v>
      </c>
      <c r="E2" s="994" t="s">
        <v>3699</v>
      </c>
    </row>
    <row r="3" spans="1:11" x14ac:dyDescent="0.2">
      <c r="A3" s="993" t="s">
        <v>3698</v>
      </c>
      <c r="B3" s="993" t="s">
        <v>1985</v>
      </c>
      <c r="C3" s="992">
        <v>36629.717893518522</v>
      </c>
      <c r="D3" s="992">
        <f t="shared" ref="D3:E11" si="0">(D$2-$C$2)*$C$1+$C3</f>
        <v>41743.306975574524</v>
      </c>
      <c r="E3" s="992">
        <f t="shared" si="0"/>
        <v>41378.050612570521</v>
      </c>
    </row>
    <row r="4" spans="1:11" x14ac:dyDescent="0.2">
      <c r="A4" s="993" t="s">
        <v>3697</v>
      </c>
      <c r="B4" s="993" t="s">
        <v>1989</v>
      </c>
      <c r="C4" s="992">
        <v>36660.587546296294</v>
      </c>
      <c r="D4" s="992">
        <f t="shared" si="0"/>
        <v>41774.176628352296</v>
      </c>
      <c r="E4" s="992">
        <f t="shared" si="0"/>
        <v>41408.920265348293</v>
      </c>
    </row>
    <row r="5" spans="1:11" x14ac:dyDescent="0.2">
      <c r="A5" s="993" t="s">
        <v>3696</v>
      </c>
      <c r="B5" s="993" t="s">
        <v>1993</v>
      </c>
      <c r="C5" s="992">
        <v>36691.863263888888</v>
      </c>
      <c r="D5" s="992">
        <f t="shared" si="0"/>
        <v>41805.45234594489</v>
      </c>
      <c r="E5" s="992">
        <f t="shared" si="0"/>
        <v>41440.195982940888</v>
      </c>
    </row>
    <row r="6" spans="1:11" x14ac:dyDescent="0.2">
      <c r="A6" s="993" t="s">
        <v>3695</v>
      </c>
      <c r="B6" s="993" t="s">
        <v>1528</v>
      </c>
      <c r="C6" s="992">
        <v>36698.84951388889</v>
      </c>
      <c r="D6" s="992">
        <f t="shared" si="0"/>
        <v>41812.438595944892</v>
      </c>
      <c r="E6" s="992">
        <f t="shared" si="0"/>
        <v>41447.18223294089</v>
      </c>
    </row>
    <row r="7" spans="1:11" x14ac:dyDescent="0.2">
      <c r="A7" s="993" t="s">
        <v>3694</v>
      </c>
      <c r="B7" s="993" t="s">
        <v>1998</v>
      </c>
      <c r="C7" s="992">
        <v>36723.317696759259</v>
      </c>
      <c r="D7" s="992">
        <f t="shared" si="0"/>
        <v>41836.906778815261</v>
      </c>
      <c r="E7" s="992">
        <f t="shared" si="0"/>
        <v>41471.650415811258</v>
      </c>
    </row>
    <row r="8" spans="1:11" x14ac:dyDescent="0.2">
      <c r="A8" s="993" t="s">
        <v>3693</v>
      </c>
      <c r="B8" s="993" t="s">
        <v>2002</v>
      </c>
      <c r="C8" s="992">
        <v>36754.669502314813</v>
      </c>
      <c r="D8" s="992">
        <f t="shared" si="0"/>
        <v>41868.258584370815</v>
      </c>
      <c r="E8" s="992">
        <f t="shared" si="0"/>
        <v>41503.002221366813</v>
      </c>
    </row>
    <row r="9" spans="1:11" x14ac:dyDescent="0.2">
      <c r="A9" s="993" t="s">
        <v>3692</v>
      </c>
      <c r="B9" s="993" t="s">
        <v>2004</v>
      </c>
      <c r="C9" s="992">
        <v>36816.16609953704</v>
      </c>
      <c r="D9" s="992">
        <f t="shared" si="0"/>
        <v>41929.755181593042</v>
      </c>
      <c r="E9" s="992">
        <f t="shared" si="0"/>
        <v>41564.49881858904</v>
      </c>
    </row>
    <row r="10" spans="1:11" x14ac:dyDescent="0.2">
      <c r="A10" s="993" t="s">
        <v>3691</v>
      </c>
      <c r="B10" s="993" t="s">
        <v>3690</v>
      </c>
      <c r="C10" s="992">
        <v>36875.765416666669</v>
      </c>
      <c r="D10" s="992">
        <f t="shared" si="0"/>
        <v>41989.354498722671</v>
      </c>
      <c r="E10" s="992">
        <f t="shared" si="0"/>
        <v>41624.098135718668</v>
      </c>
    </row>
    <row r="11" spans="1:11" ht="15.75" thickBot="1" x14ac:dyDescent="0.25">
      <c r="A11" s="993" t="s">
        <v>3689</v>
      </c>
      <c r="B11" s="993" t="s">
        <v>2011</v>
      </c>
      <c r="C11" s="992">
        <v>36905.212025462963</v>
      </c>
      <c r="D11" s="992">
        <f t="shared" si="0"/>
        <v>42018.801107518964</v>
      </c>
      <c r="E11" s="992">
        <f t="shared" si="0"/>
        <v>41653.544744514962</v>
      </c>
      <c r="F11" s="1183"/>
      <c r="G11" s="1617" t="s">
        <v>4204</v>
      </c>
      <c r="H11" s="1617"/>
      <c r="I11" s="1617" t="s">
        <v>4188</v>
      </c>
      <c r="J11" s="1617"/>
    </row>
    <row r="12" spans="1:11" ht="42" customHeight="1" thickBot="1" x14ac:dyDescent="0.25">
      <c r="F12" s="1183"/>
      <c r="G12" s="1184" t="s">
        <v>4189</v>
      </c>
      <c r="H12" s="1185" t="s">
        <v>4190</v>
      </c>
      <c r="I12" s="1185" t="s">
        <v>4191</v>
      </c>
      <c r="J12" s="1186" t="s">
        <v>4192</v>
      </c>
    </row>
    <row r="13" spans="1:11" ht="42" customHeight="1" x14ac:dyDescent="0.2">
      <c r="C13" s="990">
        <v>1900</v>
      </c>
      <c r="F13" s="1617" t="s">
        <v>4193</v>
      </c>
      <c r="G13" s="1187" t="s">
        <v>4194</v>
      </c>
      <c r="H13" s="1618" t="s">
        <v>4195</v>
      </c>
      <c r="I13" s="1619"/>
      <c r="J13" s="1188" t="s">
        <v>4196</v>
      </c>
      <c r="K13" s="1617" t="s">
        <v>4197</v>
      </c>
    </row>
    <row r="14" spans="1:11" ht="42" customHeight="1" thickBot="1" x14ac:dyDescent="0.25">
      <c r="C14" s="991">
        <v>104.07699074074074</v>
      </c>
      <c r="D14" s="990">
        <f t="shared" ref="D14:D22" si="1">(C3-C14)/100</f>
        <v>365.25640902777786</v>
      </c>
      <c r="F14" s="1617"/>
      <c r="G14" s="1187" t="s">
        <v>4198</v>
      </c>
      <c r="H14" s="1620"/>
      <c r="I14" s="1621"/>
      <c r="J14" s="1188" t="s">
        <v>4199</v>
      </c>
      <c r="K14" s="1617"/>
    </row>
    <row r="15" spans="1:11" ht="42" customHeight="1" thickBot="1" x14ac:dyDescent="0.25">
      <c r="C15" s="991">
        <v>134.95391203703704</v>
      </c>
      <c r="D15" s="990">
        <f t="shared" si="1"/>
        <v>365.25633634259253</v>
      </c>
      <c r="F15" s="1183"/>
      <c r="G15" s="1189" t="s">
        <v>4200</v>
      </c>
      <c r="H15" s="1190" t="s">
        <v>3515</v>
      </c>
      <c r="I15" s="1190" t="s">
        <v>4201</v>
      </c>
      <c r="J15" s="1191" t="s">
        <v>3513</v>
      </c>
    </row>
    <row r="16" spans="1:11" x14ac:dyDescent="0.2">
      <c r="C16" s="991">
        <v>166.23614583333332</v>
      </c>
      <c r="D16" s="990">
        <f t="shared" si="1"/>
        <v>365.25627118055559</v>
      </c>
      <c r="F16" s="1183"/>
      <c r="G16" s="1617" t="s">
        <v>4202</v>
      </c>
      <c r="H16" s="1617"/>
      <c r="I16" s="1617" t="s">
        <v>4203</v>
      </c>
      <c r="J16" s="1617"/>
    </row>
    <row r="17" spans="3:11" x14ac:dyDescent="0.2">
      <c r="C17" s="991">
        <v>173.2225925925926</v>
      </c>
      <c r="D17" s="990">
        <f t="shared" si="1"/>
        <v>365.25626921296293</v>
      </c>
      <c r="K17" s="1183"/>
    </row>
    <row r="18" spans="3:11" x14ac:dyDescent="0.2">
      <c r="C18" s="991">
        <v>197.69465277777778</v>
      </c>
      <c r="D18" s="990">
        <f t="shared" si="1"/>
        <v>365.25623043981483</v>
      </c>
      <c r="K18" s="1183"/>
    </row>
    <row r="19" spans="3:11" x14ac:dyDescent="0.2">
      <c r="C19" s="991">
        <v>229.0465162037037</v>
      </c>
      <c r="D19" s="990">
        <f t="shared" si="1"/>
        <v>365.25622986111108</v>
      </c>
    </row>
    <row r="20" spans="3:11" x14ac:dyDescent="0.2">
      <c r="C20" s="991">
        <v>290.53219907407407</v>
      </c>
      <c r="D20" s="990">
        <f t="shared" si="1"/>
        <v>365.25633900462964</v>
      </c>
    </row>
    <row r="21" spans="3:11" x14ac:dyDescent="0.2">
      <c r="C21" s="991">
        <v>350.11737268518516</v>
      </c>
      <c r="D21" s="990">
        <f t="shared" si="1"/>
        <v>365.25648043981482</v>
      </c>
      <c r="K21" s="1183"/>
    </row>
    <row r="22" spans="3:11" x14ac:dyDescent="0.2">
      <c r="C22" s="991">
        <v>379.55939814814815</v>
      </c>
      <c r="D22" s="990">
        <f t="shared" si="1"/>
        <v>365.2565262731481</v>
      </c>
      <c r="K22" s="1183"/>
    </row>
  </sheetData>
  <mergeCells count="7">
    <mergeCell ref="K13:K14"/>
    <mergeCell ref="G16:H16"/>
    <mergeCell ref="I16:J16"/>
    <mergeCell ref="G11:H11"/>
    <mergeCell ref="I11:J11"/>
    <mergeCell ref="F13:F14"/>
    <mergeCell ref="H13:I14"/>
  </mergeCells>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G78"/>
  <sheetViews>
    <sheetView topLeftCell="A13" zoomScale="80" zoomScaleNormal="80" zoomScaleSheetLayoutView="75" workbookViewId="0" xr3:uid="{96AA9D09-0E06-52DD-9EE1-B522AFA11096}">
      <selection activeCell="K47" sqref="K47"/>
    </sheetView>
  </sheetViews>
  <sheetFormatPr defaultColWidth="7.12890625" defaultRowHeight="15" x14ac:dyDescent="0.2"/>
  <cols>
    <col min="1" max="1" width="15.19921875" customWidth="1"/>
    <col min="2" max="2" width="25.01953125" bestFit="1" customWidth="1"/>
    <col min="3" max="3" width="3.09375" customWidth="1"/>
    <col min="4" max="4" width="13.046875" bestFit="1" customWidth="1"/>
    <col min="5" max="5" width="10.625" customWidth="1"/>
  </cols>
  <sheetData>
    <row r="1" spans="1:6" x14ac:dyDescent="0.2">
      <c r="A1" t="s">
        <v>1470</v>
      </c>
      <c r="B1" s="569">
        <f>DoB</f>
        <v>26133.384143518517</v>
      </c>
    </row>
    <row r="2" spans="1:6" x14ac:dyDescent="0.2">
      <c r="B2" s="569"/>
      <c r="D2" t="s">
        <v>1473</v>
      </c>
      <c r="E2" t="s">
        <v>1474</v>
      </c>
      <c r="F2" t="s">
        <v>1475</v>
      </c>
    </row>
    <row r="3" spans="1:6" x14ac:dyDescent="0.2">
      <c r="A3" t="s">
        <v>1476</v>
      </c>
      <c r="B3" s="570">
        <f ca="1">NOW()+(D3*365.2425)+E3*30+F3</f>
        <v>43423.919726273147</v>
      </c>
      <c r="C3" s="571"/>
      <c r="D3" s="572"/>
      <c r="E3" s="572"/>
      <c r="F3" s="572"/>
    </row>
    <row r="4" spans="1:6" x14ac:dyDescent="0.2">
      <c r="A4" t="s">
        <v>1477</v>
      </c>
      <c r="B4" s="407">
        <f ca="1">(B3-B1)/365.2425</f>
        <v>47.339878526608018</v>
      </c>
    </row>
    <row r="5" spans="1:6" x14ac:dyDescent="0.2">
      <c r="B5" s="407"/>
    </row>
    <row r="6" spans="1:6" x14ac:dyDescent="0.2">
      <c r="A6" s="100" t="s">
        <v>1478</v>
      </c>
      <c r="B6" s="573" t="s">
        <v>1978</v>
      </c>
      <c r="C6" s="100" t="s">
        <v>1479</v>
      </c>
      <c r="D6" s="100" t="s">
        <v>1978</v>
      </c>
      <c r="E6" s="100" t="s">
        <v>1480</v>
      </c>
    </row>
    <row r="7" spans="1:6" x14ac:dyDescent="0.2">
      <c r="A7" t="s">
        <v>1481</v>
      </c>
      <c r="B7" s="407">
        <f>SunDeg</f>
        <v>92.399202777777774</v>
      </c>
      <c r="C7" t="str">
        <f t="shared" ref="C7:C16" si="0">INDEX(RsInfo,INT(B7/30)+2,1)</f>
        <v>Cn</v>
      </c>
      <c r="D7" s="574">
        <f t="shared" ref="D7:D16" si="1">MOD(B7,30)</f>
        <v>2.3992027777777736</v>
      </c>
      <c r="E7" s="232">
        <f t="shared" ref="E7:E16" si="2">MOD(D7*60,60)</f>
        <v>23.952166666666415</v>
      </c>
    </row>
    <row r="8" spans="1:6" x14ac:dyDescent="0.2">
      <c r="A8" t="s">
        <v>1482</v>
      </c>
      <c r="B8" s="407">
        <f ca="1">MOD(Age*360+SunDeg,360)</f>
        <v>214.75547235666454</v>
      </c>
      <c r="C8" t="str">
        <f t="shared" ca="1" si="0"/>
        <v>Sc</v>
      </c>
      <c r="D8" s="574">
        <f t="shared" ca="1" si="1"/>
        <v>4.7554723566645407</v>
      </c>
      <c r="E8" s="232">
        <f t="shared" ca="1" si="2"/>
        <v>45.328341399872443</v>
      </c>
    </row>
    <row r="9" spans="1:6" x14ac:dyDescent="0.2">
      <c r="A9" t="s">
        <v>1670</v>
      </c>
      <c r="B9" s="407">
        <f ca="1">MOD(Age*3.333+SunDeg,360)</f>
        <v>250.18301790696233</v>
      </c>
      <c r="C9" t="str">
        <f t="shared" ca="1" si="0"/>
        <v>Sg</v>
      </c>
      <c r="D9" s="574">
        <f t="shared" ca="1" si="1"/>
        <v>10.183017906962334</v>
      </c>
      <c r="E9" s="232">
        <f t="shared" ca="1" si="2"/>
        <v>10.981074417740047</v>
      </c>
    </row>
    <row r="10" spans="1:6" x14ac:dyDescent="0.2">
      <c r="A10" t="s">
        <v>1483</v>
      </c>
      <c r="B10" s="407">
        <f ca="1">MOD(Age*3+SunDeg,360)</f>
        <v>234.41883835760183</v>
      </c>
      <c r="C10" t="str">
        <f t="shared" ca="1" si="0"/>
        <v>Sc</v>
      </c>
      <c r="D10" s="574">
        <f t="shared" ca="1" si="1"/>
        <v>24.418838357601828</v>
      </c>
      <c r="E10" s="232">
        <f t="shared" ca="1" si="2"/>
        <v>25.130301456109692</v>
      </c>
    </row>
    <row r="11" spans="1:6" x14ac:dyDescent="0.2">
      <c r="A11" s="163">
        <v>7</v>
      </c>
      <c r="B11" s="407">
        <f t="shared" ref="B11:B16" ca="1" si="3">MOD(Age*(30/A11)+SunDeg,360)</f>
        <v>295.28439646324068</v>
      </c>
      <c r="C11" t="str">
        <f t="shared" ca="1" si="0"/>
        <v>Cp</v>
      </c>
      <c r="D11" s="574">
        <f t="shared" ca="1" si="1"/>
        <v>25.284396463240682</v>
      </c>
      <c r="E11" s="232">
        <f t="shared" ca="1" si="2"/>
        <v>17.063787794440941</v>
      </c>
    </row>
    <row r="12" spans="1:6" x14ac:dyDescent="0.2">
      <c r="A12" s="163">
        <v>20</v>
      </c>
      <c r="B12" s="407">
        <f t="shared" ca="1" si="3"/>
        <v>163.40902056768982</v>
      </c>
      <c r="C12" t="str">
        <f t="shared" ca="1" si="0"/>
        <v>Vi</v>
      </c>
      <c r="D12" s="574">
        <f t="shared" ca="1" si="1"/>
        <v>13.409020567689822</v>
      </c>
      <c r="E12" s="232">
        <f t="shared" ca="1" si="2"/>
        <v>24.541234061389332</v>
      </c>
    </row>
    <row r="13" spans="1:6" x14ac:dyDescent="0.2">
      <c r="A13" s="163">
        <v>24</v>
      </c>
      <c r="B13" s="407">
        <f t="shared" ca="1" si="3"/>
        <v>151.57405093603779</v>
      </c>
      <c r="C13" t="str">
        <f t="shared" ca="1" si="0"/>
        <v>Vi</v>
      </c>
      <c r="D13" s="574">
        <f t="shared" ca="1" si="1"/>
        <v>1.5740509360377928</v>
      </c>
      <c r="E13" s="232">
        <f t="shared" ca="1" si="2"/>
        <v>34.443056162267567</v>
      </c>
    </row>
    <row r="14" spans="1:6" x14ac:dyDescent="0.2">
      <c r="A14" s="163">
        <v>1</v>
      </c>
      <c r="B14" s="407">
        <f t="shared" ca="1" si="3"/>
        <v>72.595558576018448</v>
      </c>
      <c r="C14" t="str">
        <f t="shared" ca="1" si="0"/>
        <v>Ge</v>
      </c>
      <c r="D14" s="574">
        <f t="shared" ca="1" si="1"/>
        <v>12.595558576018448</v>
      </c>
      <c r="E14" s="232">
        <f t="shared" ca="1" si="2"/>
        <v>35.733514561106858</v>
      </c>
    </row>
    <row r="15" spans="1:6" x14ac:dyDescent="0.2">
      <c r="A15" s="163">
        <v>30</v>
      </c>
      <c r="B15" s="407">
        <f t="shared" ca="1" si="3"/>
        <v>139.73908130438579</v>
      </c>
      <c r="C15" t="str">
        <f t="shared" ca="1" si="0"/>
        <v>Le</v>
      </c>
      <c r="D15" s="574">
        <f t="shared" ca="1" si="1"/>
        <v>19.739081304385792</v>
      </c>
      <c r="E15" s="232">
        <f t="shared" ca="1" si="2"/>
        <v>44.344878263147621</v>
      </c>
    </row>
    <row r="16" spans="1:6" x14ac:dyDescent="0.2">
      <c r="A16" s="163">
        <v>12</v>
      </c>
      <c r="B16" s="407">
        <f t="shared" ca="1" si="3"/>
        <v>210.74889909429783</v>
      </c>
      <c r="C16" t="str">
        <f t="shared" ca="1" si="0"/>
        <v>Sc</v>
      </c>
      <c r="D16" s="574">
        <f t="shared" ca="1" si="1"/>
        <v>0.7488990942978262</v>
      </c>
      <c r="E16" s="232">
        <f t="shared" ca="1" si="2"/>
        <v>44.933945657869572</v>
      </c>
    </row>
    <row r="17" spans="1:5" x14ac:dyDescent="0.2">
      <c r="B17" s="407"/>
      <c r="D17" s="574"/>
      <c r="E17" s="232"/>
    </row>
    <row r="18" spans="1:5" x14ac:dyDescent="0.2">
      <c r="A18" t="s">
        <v>1158</v>
      </c>
      <c r="B18" t="s">
        <v>1484</v>
      </c>
    </row>
    <row r="19" spans="1:5" x14ac:dyDescent="0.2">
      <c r="A19" s="575" t="str">
        <f>Basics!A7</f>
        <v>Lagna</v>
      </c>
      <c r="B19" s="576" t="str">
        <f>Basics!B7</f>
        <v>16</v>
      </c>
      <c r="C19" s="575" t="str">
        <f>Basics!C7</f>
        <v>Le</v>
      </c>
      <c r="D19" s="575">
        <f>Basics!D7</f>
        <v>42.691000000000003</v>
      </c>
    </row>
    <row r="20" spans="1:5" x14ac:dyDescent="0.2">
      <c r="A20" s="575" t="str">
        <f>Basics!A8</f>
        <v>Sun</v>
      </c>
      <c r="B20" s="576" t="str">
        <f>Basics!B8</f>
        <v xml:space="preserve"> 2</v>
      </c>
      <c r="C20" s="575" t="str">
        <f>Basics!C8</f>
        <v>Cn</v>
      </c>
      <c r="D20" s="575">
        <f>Basics!D8</f>
        <v>23.952166666666667</v>
      </c>
    </row>
    <row r="21" spans="1:5" x14ac:dyDescent="0.2">
      <c r="A21" s="575" t="str">
        <f>Basics!A9</f>
        <v>Moon</v>
      </c>
      <c r="B21" s="575" t="str">
        <f>Basics!B9</f>
        <v>23</v>
      </c>
      <c r="C21" s="575" t="str">
        <f>Basics!C9</f>
        <v>Ta</v>
      </c>
      <c r="D21" s="575">
        <f>Basics!D9</f>
        <v>0.95666666666666667</v>
      </c>
    </row>
    <row r="22" spans="1:5" x14ac:dyDescent="0.2">
      <c r="A22" s="575" t="str">
        <f>Basics!A10</f>
        <v>Mars</v>
      </c>
      <c r="B22" s="575" t="str">
        <f>Basics!B10</f>
        <v>28</v>
      </c>
      <c r="C22" s="575" t="str">
        <f>Basics!C10</f>
        <v>Cp</v>
      </c>
      <c r="D22" s="575">
        <f>Basics!D10</f>
        <v>6.5198333333333336</v>
      </c>
    </row>
    <row r="23" spans="1:5" x14ac:dyDescent="0.2">
      <c r="A23" s="575" t="str">
        <f>Basics!A11</f>
        <v>Mercury</v>
      </c>
      <c r="B23" s="575" t="str">
        <f>Basics!B11</f>
        <v>27</v>
      </c>
      <c r="C23" s="575" t="str">
        <f>Basics!C11</f>
        <v>Cn</v>
      </c>
      <c r="D23" s="575">
        <f>Basics!D11</f>
        <v>7.7871666666666668</v>
      </c>
    </row>
    <row r="24" spans="1:5" x14ac:dyDescent="0.2">
      <c r="A24" s="575" t="str">
        <f>Basics!A12</f>
        <v>Jupiter</v>
      </c>
      <c r="B24" s="575" t="str">
        <f>Basics!B12</f>
        <v xml:space="preserve"> 3</v>
      </c>
      <c r="C24" s="575" t="str">
        <f>Basics!C12</f>
        <v>Sc</v>
      </c>
      <c r="D24" s="575">
        <f>Basics!D12</f>
        <v>11.830500000000001</v>
      </c>
    </row>
    <row r="25" spans="1:5" x14ac:dyDescent="0.2">
      <c r="A25" s="575" t="str">
        <f>Basics!A13</f>
        <v>Venus</v>
      </c>
      <c r="B25" s="575" t="str">
        <f>Basics!B13</f>
        <v>21</v>
      </c>
      <c r="C25" s="575" t="str">
        <f>Basics!C13</f>
        <v>Ge</v>
      </c>
      <c r="D25" s="575">
        <f>Basics!D13</f>
        <v>32.436166666666665</v>
      </c>
    </row>
    <row r="26" spans="1:5" x14ac:dyDescent="0.2">
      <c r="A26" s="575" t="str">
        <f>Basics!A14</f>
        <v>Saturn</v>
      </c>
      <c r="B26" s="575" t="str">
        <f>Basics!B14</f>
        <v xml:space="preserve"> 9</v>
      </c>
      <c r="C26" s="575" t="str">
        <f>Basics!C14</f>
        <v>Ta</v>
      </c>
      <c r="D26" s="575">
        <f>Basics!D14</f>
        <v>53.112666666666669</v>
      </c>
    </row>
    <row r="27" spans="1:5" x14ac:dyDescent="0.2">
      <c r="A27" s="575" t="str">
        <f>Basics!A15</f>
        <v>Rahu</v>
      </c>
      <c r="B27" s="575" t="str">
        <f>Basics!B15</f>
        <v>21</v>
      </c>
      <c r="C27" s="575" t="str">
        <f>Basics!C15</f>
        <v>Cp</v>
      </c>
      <c r="D27" s="575">
        <f>Basics!D15</f>
        <v>58.034333333333336</v>
      </c>
    </row>
    <row r="28" spans="1:5" x14ac:dyDescent="0.2">
      <c r="A28" s="575" t="str">
        <f>Basics!A16</f>
        <v>Ketu</v>
      </c>
      <c r="B28" s="575" t="str">
        <f>Basics!B16</f>
        <v>21</v>
      </c>
      <c r="C28" s="575" t="str">
        <f>Basics!C16</f>
        <v>Cn</v>
      </c>
      <c r="D28" s="575">
        <f>Basics!D16</f>
        <v>58.034333333333336</v>
      </c>
    </row>
    <row r="29" spans="1:5" x14ac:dyDescent="0.2">
      <c r="A29" s="575" t="str">
        <f>Basics!A17</f>
        <v>Maandi</v>
      </c>
      <c r="B29" s="575" t="str">
        <f>Basics!B17</f>
        <v xml:space="preserve"> 8</v>
      </c>
      <c r="C29" s="575" t="str">
        <f>Basics!C17</f>
        <v>Sc</v>
      </c>
      <c r="D29" s="575">
        <f>Basics!D17</f>
        <v>13.930166666666667</v>
      </c>
    </row>
    <row r="30" spans="1:5" x14ac:dyDescent="0.2">
      <c r="A30" s="575" t="str">
        <f>Basics!A18</f>
        <v>Gulika</v>
      </c>
      <c r="B30" s="575" t="str">
        <f>Basics!B18</f>
        <v>19</v>
      </c>
      <c r="C30" s="575" t="str">
        <f>Basics!C18</f>
        <v>Sc</v>
      </c>
      <c r="D30" s="575">
        <f>Basics!D18</f>
        <v>6.2461666666666664</v>
      </c>
    </row>
    <row r="31" spans="1:5" x14ac:dyDescent="0.2">
      <c r="A31" s="575" t="str">
        <f>Basics!A19</f>
        <v>Bhava</v>
      </c>
      <c r="B31" s="575" t="str">
        <f>Basics!B19</f>
        <v>19</v>
      </c>
      <c r="C31" s="575" t="str">
        <f>Basics!C19</f>
        <v>Le</v>
      </c>
      <c r="D31" s="575">
        <f>Basics!D19</f>
        <v>52.181666666666665</v>
      </c>
    </row>
    <row r="32" spans="1:5" x14ac:dyDescent="0.2">
      <c r="A32" s="575" t="str">
        <f>Basics!A20</f>
        <v>Hora</v>
      </c>
      <c r="B32" s="575" t="str">
        <f>Basics!B20</f>
        <v xml:space="preserve"> 7</v>
      </c>
      <c r="C32" s="575" t="str">
        <f>Basics!C20</f>
        <v>Li</v>
      </c>
      <c r="D32" s="575">
        <f>Basics!D20</f>
        <v>20.411333333333332</v>
      </c>
    </row>
    <row r="33" spans="1:4" x14ac:dyDescent="0.2">
      <c r="A33" s="575" t="str">
        <f>Basics!A21</f>
        <v>Ghati</v>
      </c>
      <c r="B33" s="575" t="str">
        <f>Basics!B21</f>
        <v>29</v>
      </c>
      <c r="C33" s="575" t="str">
        <f>Basics!C21</f>
        <v>Aq</v>
      </c>
      <c r="D33" s="575">
        <f>Basics!D21</f>
        <v>45.099833333333336</v>
      </c>
    </row>
    <row r="34" spans="1:4" x14ac:dyDescent="0.2">
      <c r="A34" s="575" t="str">
        <f>Basics!A22</f>
        <v>Vighati</v>
      </c>
      <c r="B34" s="575" t="str">
        <f>Basics!B22</f>
        <v>21</v>
      </c>
      <c r="C34" s="575" t="str">
        <f>Basics!C22</f>
        <v>Aq</v>
      </c>
      <c r="D34" s="575">
        <f>Basics!D22</f>
        <v>48.542999999999999</v>
      </c>
    </row>
    <row r="35" spans="1:4" x14ac:dyDescent="0.2">
      <c r="A35" s="575" t="str">
        <f>Basics!A23</f>
        <v>Varnada</v>
      </c>
      <c r="B35" s="575" t="str">
        <f>Basics!B23</f>
        <v>16</v>
      </c>
      <c r="C35" s="575" t="str">
        <f>Basics!C23</f>
        <v>Pi</v>
      </c>
      <c r="D35" s="575">
        <f>Basics!D23</f>
        <v>42.691000000000003</v>
      </c>
    </row>
    <row r="36" spans="1:4" x14ac:dyDescent="0.2">
      <c r="A36" s="575" t="str">
        <f>Basics!A24</f>
        <v>Sree</v>
      </c>
      <c r="B36" s="575" t="str">
        <f>Basics!B24</f>
        <v xml:space="preserve"> 8</v>
      </c>
      <c r="C36" s="575" t="str">
        <f>Basics!C24</f>
        <v>Le</v>
      </c>
      <c r="D36" s="575">
        <f>Basics!D24</f>
        <v>8.5190000000000001</v>
      </c>
    </row>
    <row r="37" spans="1:4" x14ac:dyDescent="0.2">
      <c r="A37" s="575" t="str">
        <f>Basics!A25</f>
        <v>Pranapada</v>
      </c>
      <c r="B37" s="575" t="str">
        <f>Basics!B25</f>
        <v>21</v>
      </c>
      <c r="C37" s="575" t="str">
        <f>Basics!C25</f>
        <v>Aq</v>
      </c>
      <c r="D37" s="575">
        <f>Basics!D25</f>
        <v>48.542999999999999</v>
      </c>
    </row>
    <row r="38" spans="1:4" x14ac:dyDescent="0.2">
      <c r="A38" s="575" t="str">
        <f>Basics!A26</f>
        <v>Indu</v>
      </c>
      <c r="B38" s="575" t="str">
        <f>Basics!B26</f>
        <v>23</v>
      </c>
      <c r="C38" s="575" t="str">
        <f>Basics!C26</f>
        <v>Sc</v>
      </c>
      <c r="D38" s="575">
        <f>Basics!D26</f>
        <v>0.95666666666666667</v>
      </c>
    </row>
    <row r="39" spans="1:4" x14ac:dyDescent="0.2">
      <c r="A39" s="575" t="str">
        <f>Basics!A27</f>
        <v>Bhrigu</v>
      </c>
      <c r="B39" s="575" t="str">
        <f>Basics!B27</f>
        <v>22</v>
      </c>
      <c r="C39" s="575" t="str">
        <f>Basics!C27</f>
        <v>Pi</v>
      </c>
      <c r="D39" s="575">
        <f>Basics!D27</f>
        <v>29.4955</v>
      </c>
    </row>
    <row r="40" spans="1:4" x14ac:dyDescent="0.2">
      <c r="A40" s="575" t="str">
        <f>Basics!A28</f>
        <v>Dhooma</v>
      </c>
      <c r="B40" s="575" t="str">
        <f>Basics!B28</f>
        <v>15</v>
      </c>
      <c r="C40" s="575" t="str">
        <f>Basics!C28</f>
        <v>Sc</v>
      </c>
      <c r="D40" s="575">
        <f>Basics!D28</f>
        <v>43.952166666666663</v>
      </c>
    </row>
    <row r="41" spans="1:4" x14ac:dyDescent="0.2">
      <c r="A41" s="575" t="str">
        <f>Basics!A29</f>
        <v>Vyatipata</v>
      </c>
      <c r="B41" s="575" t="str">
        <f>Basics!B29</f>
        <v>14</v>
      </c>
      <c r="C41" s="575" t="str">
        <f>Basics!C29</f>
        <v>Le</v>
      </c>
      <c r="D41" s="575">
        <f>Basics!D29</f>
        <v>16.047833333333333</v>
      </c>
    </row>
    <row r="42" spans="1:4" x14ac:dyDescent="0.2">
      <c r="A42" s="575" t="str">
        <f>Basics!A30</f>
        <v>Parivesha</v>
      </c>
      <c r="B42" s="575" t="str">
        <f>Basics!B30</f>
        <v>14</v>
      </c>
      <c r="C42" s="575" t="str">
        <f>Basics!C30</f>
        <v>Aq</v>
      </c>
      <c r="D42" s="575">
        <f>Basics!D30</f>
        <v>16.047833333333333</v>
      </c>
    </row>
    <row r="43" spans="1:4" x14ac:dyDescent="0.2">
      <c r="A43" s="572" t="s">
        <v>1723</v>
      </c>
      <c r="B43" s="572">
        <v>5</v>
      </c>
      <c r="C43" s="572" t="s">
        <v>1974</v>
      </c>
      <c r="D43" s="572">
        <v>33</v>
      </c>
    </row>
    <row r="44" spans="1:4" x14ac:dyDescent="0.2">
      <c r="A44" s="572" t="s">
        <v>1726</v>
      </c>
      <c r="B44" s="572">
        <v>11</v>
      </c>
      <c r="C44" s="572" t="s">
        <v>1949</v>
      </c>
      <c r="D44" s="572">
        <v>57</v>
      </c>
    </row>
    <row r="45" spans="1:4" x14ac:dyDescent="0.2">
      <c r="A45" s="572" t="s">
        <v>1485</v>
      </c>
      <c r="B45" s="572">
        <v>25</v>
      </c>
      <c r="C45" s="572" t="s">
        <v>1952</v>
      </c>
      <c r="D45" s="572">
        <v>18</v>
      </c>
    </row>
    <row r="46" spans="1:4" x14ac:dyDescent="0.2">
      <c r="A46" s="572" t="s">
        <v>1173</v>
      </c>
      <c r="B46" s="572">
        <v>4</v>
      </c>
      <c r="C46" s="572" t="s">
        <v>1962</v>
      </c>
      <c r="D46" s="572">
        <v>51</v>
      </c>
    </row>
    <row r="47" spans="1:4" x14ac:dyDescent="0.2">
      <c r="A47" s="572" t="s">
        <v>1734</v>
      </c>
      <c r="B47" s="572">
        <v>13</v>
      </c>
      <c r="C47" s="572" t="s">
        <v>1968</v>
      </c>
      <c r="D47" s="572">
        <v>0</v>
      </c>
    </row>
    <row r="48" spans="1:4" x14ac:dyDescent="0.2">
      <c r="A48" s="572" t="s">
        <v>1737</v>
      </c>
      <c r="B48" s="572">
        <v>27</v>
      </c>
      <c r="C48" s="572" t="s">
        <v>1959</v>
      </c>
      <c r="D48" s="572">
        <v>45</v>
      </c>
    </row>
    <row r="49" spans="1:7" x14ac:dyDescent="0.2">
      <c r="A49" s="572" t="s">
        <v>1740</v>
      </c>
      <c r="B49" s="572">
        <v>14</v>
      </c>
      <c r="C49" s="572" t="s">
        <v>1965</v>
      </c>
      <c r="D49" s="572">
        <v>34</v>
      </c>
    </row>
    <row r="50" spans="1:7" x14ac:dyDescent="0.2">
      <c r="A50" s="572" t="s">
        <v>1486</v>
      </c>
      <c r="B50" s="572">
        <v>10</v>
      </c>
      <c r="C50" s="572" t="s">
        <v>1962</v>
      </c>
      <c r="D50" s="572">
        <v>33</v>
      </c>
    </row>
    <row r="51" spans="1:7" x14ac:dyDescent="0.2">
      <c r="A51" s="572" t="s">
        <v>1748</v>
      </c>
      <c r="B51" s="572">
        <v>25</v>
      </c>
      <c r="C51" s="572" t="s">
        <v>1956</v>
      </c>
      <c r="D51" s="572">
        <v>18</v>
      </c>
    </row>
    <row r="52" spans="1:7" x14ac:dyDescent="0.2">
      <c r="A52" s="572" t="s">
        <v>1487</v>
      </c>
      <c r="B52" s="572">
        <v>0</v>
      </c>
      <c r="C52" s="572" t="s">
        <v>1949</v>
      </c>
      <c r="D52" s="572">
        <v>3</v>
      </c>
    </row>
    <row r="53" spans="1:7" x14ac:dyDescent="0.2">
      <c r="A53" s="572" t="s">
        <v>1754</v>
      </c>
      <c r="B53" s="572">
        <v>0</v>
      </c>
      <c r="C53" s="572" t="s">
        <v>1949</v>
      </c>
      <c r="D53" s="572">
        <v>3</v>
      </c>
    </row>
    <row r="54" spans="1:7" x14ac:dyDescent="0.2">
      <c r="A54" s="572" t="s">
        <v>1488</v>
      </c>
      <c r="B54" s="572">
        <v>16</v>
      </c>
      <c r="C54" s="572" t="s">
        <v>1974</v>
      </c>
      <c r="D54" s="572">
        <v>13</v>
      </c>
    </row>
    <row r="55" spans="1:7" x14ac:dyDescent="0.2">
      <c r="A55" s="572" t="s">
        <v>1758</v>
      </c>
      <c r="B55" s="572">
        <v>5</v>
      </c>
      <c r="C55" s="572" t="s">
        <v>1968</v>
      </c>
      <c r="D55" s="572">
        <v>4</v>
      </c>
    </row>
    <row r="56" spans="1:7" x14ac:dyDescent="0.2">
      <c r="A56" s="572" t="s">
        <v>1761</v>
      </c>
      <c r="B56" s="572">
        <v>6</v>
      </c>
      <c r="C56" s="572" t="s">
        <v>1959</v>
      </c>
      <c r="D56" s="572">
        <v>56</v>
      </c>
      <c r="G56" s="577"/>
    </row>
    <row r="57" spans="1:7" x14ac:dyDescent="0.2">
      <c r="A57" s="572" t="s">
        <v>1764</v>
      </c>
      <c r="B57" s="572">
        <v>7</v>
      </c>
      <c r="C57" s="572" t="s">
        <v>1974</v>
      </c>
      <c r="D57" s="572">
        <v>59</v>
      </c>
      <c r="G57" s="577"/>
    </row>
    <row r="58" spans="1:7" x14ac:dyDescent="0.2">
      <c r="A58" s="572" t="s">
        <v>1767</v>
      </c>
      <c r="B58" s="572">
        <v>21</v>
      </c>
      <c r="C58" s="572" t="s">
        <v>1959</v>
      </c>
      <c r="D58" s="572">
        <v>43</v>
      </c>
      <c r="G58" s="577"/>
    </row>
    <row r="59" spans="1:7" x14ac:dyDescent="0.2">
      <c r="A59" s="572" t="s">
        <v>1770</v>
      </c>
      <c r="B59" s="572">
        <v>14</v>
      </c>
      <c r="C59" s="572" t="s">
        <v>1965</v>
      </c>
      <c r="D59" s="572">
        <v>34</v>
      </c>
      <c r="G59" s="577"/>
    </row>
    <row r="60" spans="1:7" x14ac:dyDescent="0.2">
      <c r="A60" s="572" t="s">
        <v>1773</v>
      </c>
      <c r="B60" s="572">
        <v>18</v>
      </c>
      <c r="C60" s="572" t="s">
        <v>2007</v>
      </c>
      <c r="D60" s="572">
        <v>51</v>
      </c>
      <c r="G60" s="577"/>
    </row>
    <row r="61" spans="1:7" x14ac:dyDescent="0.2">
      <c r="A61" s="572" t="s">
        <v>1776</v>
      </c>
      <c r="B61" s="572">
        <v>0</v>
      </c>
      <c r="C61" s="572" t="s">
        <v>1959</v>
      </c>
      <c r="D61" s="572">
        <v>0</v>
      </c>
      <c r="G61" s="577"/>
    </row>
    <row r="62" spans="1:7" x14ac:dyDescent="0.2">
      <c r="A62" s="572" t="s">
        <v>1779</v>
      </c>
      <c r="B62" s="572">
        <v>21</v>
      </c>
      <c r="C62" s="572" t="s">
        <v>1956</v>
      </c>
      <c r="D62" s="572">
        <v>43</v>
      </c>
      <c r="G62" s="577"/>
    </row>
    <row r="63" spans="1:7" x14ac:dyDescent="0.2">
      <c r="A63" s="572" t="s">
        <v>1782</v>
      </c>
      <c r="B63" s="572">
        <v>10</v>
      </c>
      <c r="C63" s="572" t="s">
        <v>1956</v>
      </c>
      <c r="D63" s="572">
        <v>23</v>
      </c>
      <c r="G63" s="577"/>
    </row>
    <row r="64" spans="1:7" x14ac:dyDescent="0.2">
      <c r="A64" s="572" t="s">
        <v>1785</v>
      </c>
      <c r="B64" s="572">
        <v>14</v>
      </c>
      <c r="C64" s="572" t="s">
        <v>1949</v>
      </c>
      <c r="D64" s="572">
        <v>11</v>
      </c>
      <c r="G64" s="577"/>
    </row>
    <row r="65" spans="1:7" x14ac:dyDescent="0.2">
      <c r="A65" s="572" t="s">
        <v>1788</v>
      </c>
      <c r="B65" s="572">
        <v>13</v>
      </c>
      <c r="C65" s="572" t="s">
        <v>1956</v>
      </c>
      <c r="D65" s="572">
        <v>4</v>
      </c>
      <c r="G65" s="577"/>
    </row>
    <row r="66" spans="1:7" x14ac:dyDescent="0.2">
      <c r="A66" s="572" t="s">
        <v>1791</v>
      </c>
      <c r="B66" s="572">
        <v>17</v>
      </c>
      <c r="C66" s="572" t="s">
        <v>1962</v>
      </c>
      <c r="D66" s="572">
        <v>29</v>
      </c>
      <c r="G66" s="577"/>
    </row>
    <row r="67" spans="1:7" x14ac:dyDescent="0.2">
      <c r="A67" s="572" t="s">
        <v>1794</v>
      </c>
      <c r="B67" s="572">
        <v>26</v>
      </c>
      <c r="C67" s="572" t="s">
        <v>1949</v>
      </c>
      <c r="D67" s="572">
        <v>36</v>
      </c>
      <c r="G67" s="577"/>
    </row>
    <row r="68" spans="1:7" x14ac:dyDescent="0.2">
      <c r="A68" s="572" t="s">
        <v>1798</v>
      </c>
      <c r="B68" s="572">
        <v>6</v>
      </c>
      <c r="C68" s="572" t="s">
        <v>1974</v>
      </c>
      <c r="D68" s="572">
        <v>45</v>
      </c>
      <c r="G68" s="577"/>
    </row>
    <row r="69" spans="1:7" x14ac:dyDescent="0.2">
      <c r="A69" s="572" t="s">
        <v>1801</v>
      </c>
      <c r="B69" s="572">
        <v>18</v>
      </c>
      <c r="C69" s="572" t="s">
        <v>1952</v>
      </c>
      <c r="D69" s="572">
        <v>15</v>
      </c>
      <c r="G69" s="577"/>
    </row>
    <row r="70" spans="1:7" x14ac:dyDescent="0.2">
      <c r="A70" s="572" t="s">
        <v>1804</v>
      </c>
      <c r="B70" s="572">
        <v>10</v>
      </c>
      <c r="C70" s="572" t="s">
        <v>1968</v>
      </c>
      <c r="D70" s="572">
        <v>46</v>
      </c>
      <c r="G70" s="577"/>
    </row>
    <row r="71" spans="1:7" x14ac:dyDescent="0.2">
      <c r="A71" s="572" t="s">
        <v>1807</v>
      </c>
      <c r="B71" s="572">
        <v>7</v>
      </c>
      <c r="C71" s="572" t="s">
        <v>1974</v>
      </c>
      <c r="D71" s="572">
        <v>3</v>
      </c>
      <c r="G71" s="577"/>
    </row>
    <row r="72" spans="1:7" x14ac:dyDescent="0.2">
      <c r="A72" s="572" t="s">
        <v>1810</v>
      </c>
      <c r="B72" s="572">
        <v>28</v>
      </c>
      <c r="C72" s="572" t="s">
        <v>1971</v>
      </c>
      <c r="D72" s="572">
        <v>2</v>
      </c>
      <c r="G72" s="577"/>
    </row>
    <row r="73" spans="1:7" x14ac:dyDescent="0.2">
      <c r="A73" s="572" t="s">
        <v>1813</v>
      </c>
      <c r="B73" s="572">
        <v>19</v>
      </c>
      <c r="C73" s="572" t="s">
        <v>1948</v>
      </c>
      <c r="D73" s="572">
        <v>44</v>
      </c>
      <c r="G73" s="577"/>
    </row>
    <row r="74" spans="1:7" x14ac:dyDescent="0.2">
      <c r="A74" s="572" t="s">
        <v>1816</v>
      </c>
      <c r="B74" s="572">
        <v>19</v>
      </c>
      <c r="C74" s="572" t="s">
        <v>1948</v>
      </c>
      <c r="D74" s="572">
        <v>44</v>
      </c>
      <c r="G74" s="577"/>
    </row>
    <row r="75" spans="1:7" x14ac:dyDescent="0.2">
      <c r="A75" s="572" t="s">
        <v>1818</v>
      </c>
      <c r="B75" s="572">
        <v>18</v>
      </c>
      <c r="C75" s="572" t="s">
        <v>1968</v>
      </c>
      <c r="D75" s="572">
        <v>27</v>
      </c>
      <c r="G75" s="577"/>
    </row>
    <row r="76" spans="1:7" x14ac:dyDescent="0.2">
      <c r="A76" s="572" t="s">
        <v>1821</v>
      </c>
      <c r="B76" s="572">
        <v>9</v>
      </c>
      <c r="C76" s="572" t="s">
        <v>1974</v>
      </c>
      <c r="D76" s="572">
        <v>0</v>
      </c>
      <c r="G76" s="577"/>
    </row>
    <row r="77" spans="1:7" x14ac:dyDescent="0.2">
      <c r="A77" s="572" t="s">
        <v>1824</v>
      </c>
      <c r="B77" s="572">
        <v>1</v>
      </c>
      <c r="C77" s="572" t="s">
        <v>1956</v>
      </c>
      <c r="D77" s="572">
        <v>12</v>
      </c>
      <c r="G77" s="577"/>
    </row>
    <row r="78" spans="1:7" x14ac:dyDescent="0.2">
      <c r="A78" s="572" t="s">
        <v>1827</v>
      </c>
      <c r="B78" s="572">
        <v>27</v>
      </c>
      <c r="C78" s="572" t="s">
        <v>1974</v>
      </c>
      <c r="D78" s="572">
        <v>12</v>
      </c>
      <c r="G78" s="577"/>
    </row>
  </sheetData>
  <sheetProtection selectLockedCells="1" selectUnlockedCells="1"/>
  <phoneticPr fontId="107"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P87"/>
  <sheetViews>
    <sheetView topLeftCell="A66" zoomScaleNormal="100" zoomScaleSheetLayoutView="75" workbookViewId="0" xr3:uid="{2C1BA805-FFAE-53D9-94C0-3D95D45B0C9C}">
      <selection activeCell="A62" sqref="A62"/>
    </sheetView>
  </sheetViews>
  <sheetFormatPr defaultColWidth="9.14453125" defaultRowHeight="15" x14ac:dyDescent="0.2"/>
  <cols>
    <col min="1" max="1" width="2.28515625" style="1034" bestFit="1" customWidth="1"/>
    <col min="2" max="2" width="19.37109375" style="1034" bestFit="1" customWidth="1"/>
    <col min="3" max="3" width="12.375" style="1034" bestFit="1" customWidth="1"/>
    <col min="4" max="4" width="13.046875" style="1034" bestFit="1" customWidth="1"/>
    <col min="5" max="5" width="11.43359375" style="1034" bestFit="1" customWidth="1"/>
    <col min="6" max="6" width="9.81640625" style="1035" bestFit="1" customWidth="1"/>
    <col min="7" max="7" width="13.44921875" style="1034" customWidth="1"/>
    <col min="8" max="8" width="13.046875" style="1034" bestFit="1" customWidth="1"/>
    <col min="9" max="9" width="16.94921875" style="1034" bestFit="1" customWidth="1"/>
    <col min="10" max="10" width="15.33203125" style="1034" bestFit="1" customWidth="1"/>
    <col min="11" max="11" width="83.26953125" style="1034" customWidth="1"/>
    <col min="12" max="16384" width="9.14453125" style="1034"/>
  </cols>
  <sheetData>
    <row r="1" spans="1:12" x14ac:dyDescent="0.2">
      <c r="B1" s="1622" t="s">
        <v>1060</v>
      </c>
      <c r="C1" s="1622"/>
      <c r="D1" s="1622"/>
      <c r="E1" s="1622"/>
    </row>
    <row r="3" spans="1:12" ht="27.75" x14ac:dyDescent="0.2">
      <c r="B3" s="1034" t="s">
        <v>882</v>
      </c>
      <c r="I3" s="1034">
        <v>1</v>
      </c>
      <c r="J3" s="1034" t="s">
        <v>3917</v>
      </c>
      <c r="K3" s="1036" t="s">
        <v>3924</v>
      </c>
    </row>
    <row r="4" spans="1:12" x14ac:dyDescent="0.2">
      <c r="G4" s="1034" t="s">
        <v>1504</v>
      </c>
      <c r="H4" s="1034" t="s">
        <v>1490</v>
      </c>
      <c r="I4" s="1034">
        <v>2</v>
      </c>
      <c r="J4" s="1034" t="s">
        <v>3910</v>
      </c>
      <c r="K4" s="1036" t="s">
        <v>3916</v>
      </c>
    </row>
    <row r="5" spans="1:12" x14ac:dyDescent="0.2">
      <c r="B5" s="1034" t="s">
        <v>883</v>
      </c>
      <c r="C5" s="1037">
        <v>26133</v>
      </c>
      <c r="D5" s="1037" t="s">
        <v>884</v>
      </c>
      <c r="E5" s="1037">
        <v>31612</v>
      </c>
      <c r="G5" s="1038">
        <f t="shared" ref="G5:G22" si="0">H5/Year</f>
        <v>15.00048434596086</v>
      </c>
      <c r="H5" s="1034">
        <f t="shared" ref="H5:H22" si="1">E5-C5</f>
        <v>5479</v>
      </c>
      <c r="I5" s="1034">
        <v>3</v>
      </c>
      <c r="J5" s="1034" t="s">
        <v>3909</v>
      </c>
      <c r="K5" s="1036" t="s">
        <v>3923</v>
      </c>
    </row>
    <row r="6" spans="1:12" x14ac:dyDescent="0.2">
      <c r="B6" s="1034" t="s">
        <v>885</v>
      </c>
      <c r="C6" s="1037">
        <v>31612</v>
      </c>
      <c r="D6" s="1037" t="s">
        <v>886</v>
      </c>
      <c r="E6" s="1037">
        <v>32708</v>
      </c>
      <c r="G6" s="1038">
        <f t="shared" si="0"/>
        <v>3.000644432044735</v>
      </c>
      <c r="H6" s="1034">
        <f t="shared" si="1"/>
        <v>1096</v>
      </c>
      <c r="I6" s="1034">
        <v>4</v>
      </c>
      <c r="J6" s="1034" t="s">
        <v>3913</v>
      </c>
      <c r="K6" s="1036" t="s">
        <v>3921</v>
      </c>
    </row>
    <row r="7" spans="1:12" x14ac:dyDescent="0.2">
      <c r="B7" s="1034" t="s">
        <v>887</v>
      </c>
      <c r="C7" s="1037">
        <v>32708</v>
      </c>
      <c r="D7" s="1037" t="s">
        <v>886</v>
      </c>
      <c r="E7" s="1037">
        <v>34534</v>
      </c>
      <c r="G7" s="1038">
        <f t="shared" si="0"/>
        <v>4.9992488438993483</v>
      </c>
      <c r="H7" s="1034">
        <f t="shared" si="1"/>
        <v>1826</v>
      </c>
      <c r="I7" s="1034">
        <v>5</v>
      </c>
      <c r="J7" s="1034" t="s">
        <v>3914</v>
      </c>
      <c r="K7" s="1036" t="s">
        <v>3922</v>
      </c>
    </row>
    <row r="8" spans="1:12" ht="27.75" x14ac:dyDescent="0.2">
      <c r="B8" s="1034" t="s">
        <v>888</v>
      </c>
      <c r="C8" s="1037">
        <v>34534</v>
      </c>
      <c r="D8" s="1037" t="s">
        <v>884</v>
      </c>
      <c r="E8" s="1037">
        <v>35630</v>
      </c>
      <c r="G8" s="1038">
        <f t="shared" si="0"/>
        <v>3.000644432044735</v>
      </c>
      <c r="H8" s="1034">
        <f t="shared" si="1"/>
        <v>1096</v>
      </c>
      <c r="I8" s="1034">
        <v>6</v>
      </c>
      <c r="J8" s="1034" t="s">
        <v>3915</v>
      </c>
      <c r="K8" s="1036" t="s">
        <v>3930</v>
      </c>
    </row>
    <row r="9" spans="1:12" x14ac:dyDescent="0.2">
      <c r="A9" s="1034" t="s">
        <v>1169</v>
      </c>
      <c r="B9" s="1034" t="s">
        <v>889</v>
      </c>
      <c r="C9" s="1037">
        <v>35630</v>
      </c>
      <c r="D9" s="1037" t="s">
        <v>886</v>
      </c>
      <c r="E9" s="1037">
        <v>41839</v>
      </c>
      <c r="G9" s="1038">
        <f t="shared" si="0"/>
        <v>16.999088757815475</v>
      </c>
      <c r="H9" s="1034">
        <f t="shared" si="1"/>
        <v>6209</v>
      </c>
      <c r="I9" s="1034">
        <v>7</v>
      </c>
      <c r="J9" s="1034" t="s">
        <v>3919</v>
      </c>
      <c r="K9" s="1036" t="s">
        <v>3920</v>
      </c>
    </row>
    <row r="10" spans="1:12" x14ac:dyDescent="0.2">
      <c r="B10" s="1034" t="s">
        <v>890</v>
      </c>
      <c r="C10" s="1037">
        <v>41839</v>
      </c>
      <c r="D10" s="1037" t="s">
        <v>886</v>
      </c>
      <c r="E10" s="1037">
        <v>47683</v>
      </c>
      <c r="G10" s="1038">
        <f t="shared" si="0"/>
        <v>15.999786551888167</v>
      </c>
      <c r="H10" s="1034">
        <f t="shared" si="1"/>
        <v>5844</v>
      </c>
      <c r="I10" s="1034">
        <v>8</v>
      </c>
      <c r="J10" s="1034" t="s">
        <v>3918</v>
      </c>
      <c r="K10" s="1036" t="s">
        <v>3925</v>
      </c>
    </row>
    <row r="11" spans="1:12" x14ac:dyDescent="0.2">
      <c r="B11" s="1034" t="s">
        <v>891</v>
      </c>
      <c r="C11" s="1037">
        <v>47683</v>
      </c>
      <c r="D11" s="1037" t="s">
        <v>884</v>
      </c>
      <c r="E11" s="1037">
        <v>48414</v>
      </c>
      <c r="G11" s="1038">
        <f t="shared" si="0"/>
        <v>2.0013422261174281</v>
      </c>
      <c r="H11" s="1034">
        <f t="shared" si="1"/>
        <v>731</v>
      </c>
    </row>
    <row r="12" spans="1:12" x14ac:dyDescent="0.2">
      <c r="B12" s="1034" t="s">
        <v>892</v>
      </c>
      <c r="C12" s="1037">
        <v>48414</v>
      </c>
      <c r="D12" s="1037" t="s">
        <v>886</v>
      </c>
      <c r="E12" s="1037">
        <v>52066</v>
      </c>
      <c r="G12" s="1038">
        <f t="shared" si="0"/>
        <v>9.9984976877986966</v>
      </c>
      <c r="H12" s="1034">
        <f t="shared" si="1"/>
        <v>3652</v>
      </c>
      <c r="J12" s="1034" t="s">
        <v>3912</v>
      </c>
      <c r="K12" s="1034" t="s">
        <v>3911</v>
      </c>
    </row>
    <row r="13" spans="1:12" x14ac:dyDescent="0.2">
      <c r="B13" s="1034" t="s">
        <v>893</v>
      </c>
      <c r="C13" s="1037">
        <v>52066</v>
      </c>
      <c r="D13" s="1037" t="s">
        <v>886</v>
      </c>
      <c r="E13" s="1037">
        <v>57545</v>
      </c>
      <c r="G13" s="1038">
        <f t="shared" si="0"/>
        <v>15.00048434596086</v>
      </c>
      <c r="H13" s="1034">
        <f t="shared" si="1"/>
        <v>5479</v>
      </c>
    </row>
    <row r="14" spans="1:12" x14ac:dyDescent="0.2">
      <c r="B14" s="1034" t="s">
        <v>883</v>
      </c>
      <c r="C14" s="1037">
        <v>57545</v>
      </c>
      <c r="D14" s="1037" t="s">
        <v>884</v>
      </c>
      <c r="E14" s="1037">
        <v>58275</v>
      </c>
      <c r="G14" s="1038">
        <f t="shared" si="0"/>
        <v>1.9986044118546136</v>
      </c>
      <c r="H14" s="1034">
        <f t="shared" si="1"/>
        <v>730</v>
      </c>
      <c r="J14" s="1039" t="s">
        <v>3917</v>
      </c>
    </row>
    <row r="15" spans="1:12" x14ac:dyDescent="0.2">
      <c r="B15" s="1034" t="s">
        <v>885</v>
      </c>
      <c r="C15" s="1037">
        <v>58275</v>
      </c>
      <c r="D15" s="1037" t="s">
        <v>886</v>
      </c>
      <c r="E15" s="1037">
        <v>59736</v>
      </c>
      <c r="G15" s="1038">
        <f t="shared" si="0"/>
        <v>3.9999466379720419</v>
      </c>
      <c r="H15" s="1034">
        <f t="shared" si="1"/>
        <v>1461</v>
      </c>
      <c r="K15" s="1034" t="s">
        <v>3926</v>
      </c>
    </row>
    <row r="16" spans="1:12" x14ac:dyDescent="0.2">
      <c r="B16" s="1034" t="s">
        <v>887</v>
      </c>
      <c r="C16" s="1037">
        <v>59736</v>
      </c>
      <c r="D16" s="1037" t="s">
        <v>886</v>
      </c>
      <c r="E16" s="1037">
        <v>60102</v>
      </c>
      <c r="G16" s="1038">
        <f t="shared" si="0"/>
        <v>1.0020400201901214</v>
      </c>
      <c r="H16" s="1034">
        <f t="shared" si="1"/>
        <v>366</v>
      </c>
      <c r="J16" s="1034" t="s">
        <v>1511</v>
      </c>
      <c r="K16" s="1034" t="s">
        <v>3927</v>
      </c>
      <c r="L16" s="1034" t="s">
        <v>3929</v>
      </c>
    </row>
    <row r="17" spans="1:11" x14ac:dyDescent="0.2">
      <c r="B17" s="1034" t="s">
        <v>888</v>
      </c>
      <c r="C17" s="1037">
        <v>60102</v>
      </c>
      <c r="D17" s="1037" t="s">
        <v>884</v>
      </c>
      <c r="E17" s="1037">
        <v>61563</v>
      </c>
      <c r="G17" s="1038">
        <f t="shared" si="0"/>
        <v>3.9999466379720419</v>
      </c>
      <c r="H17" s="1034">
        <f t="shared" si="1"/>
        <v>1461</v>
      </c>
      <c r="J17" s="1034" t="s">
        <v>1512</v>
      </c>
      <c r="K17" s="1034" t="s">
        <v>3928</v>
      </c>
    </row>
    <row r="18" spans="1:11" x14ac:dyDescent="0.2">
      <c r="B18" s="1034" t="s">
        <v>889</v>
      </c>
      <c r="C18" s="1037">
        <v>61563</v>
      </c>
      <c r="D18" s="1037" t="s">
        <v>886</v>
      </c>
      <c r="E18" s="1037">
        <v>61928</v>
      </c>
      <c r="G18" s="1038">
        <f t="shared" si="0"/>
        <v>0.99930220592730679</v>
      </c>
      <c r="H18" s="1034">
        <f t="shared" si="1"/>
        <v>365</v>
      </c>
      <c r="J18" s="1034" t="s">
        <v>1519</v>
      </c>
    </row>
    <row r="19" spans="1:11" x14ac:dyDescent="0.2">
      <c r="B19" s="1034" t="s">
        <v>890</v>
      </c>
      <c r="C19" s="1037">
        <v>61928</v>
      </c>
      <c r="D19" s="1037" t="s">
        <v>886</v>
      </c>
      <c r="E19" s="1037">
        <v>63389</v>
      </c>
      <c r="G19" s="1038">
        <f t="shared" si="0"/>
        <v>3.9999466379720419</v>
      </c>
      <c r="H19" s="1034">
        <f t="shared" si="1"/>
        <v>1461</v>
      </c>
    </row>
    <row r="20" spans="1:11" x14ac:dyDescent="0.2">
      <c r="B20" s="1034" t="s">
        <v>891</v>
      </c>
      <c r="C20" s="1037">
        <v>63389</v>
      </c>
      <c r="D20" s="1037" t="s">
        <v>884</v>
      </c>
      <c r="E20" s="1037">
        <v>66311</v>
      </c>
      <c r="G20" s="1038">
        <f t="shared" si="0"/>
        <v>7.9998932759440837</v>
      </c>
      <c r="H20" s="1034">
        <f t="shared" si="1"/>
        <v>2922</v>
      </c>
    </row>
    <row r="21" spans="1:11" x14ac:dyDescent="0.2">
      <c r="B21" s="1034" t="s">
        <v>892</v>
      </c>
      <c r="C21" s="1037">
        <v>66311</v>
      </c>
      <c r="D21" s="1037" t="s">
        <v>886</v>
      </c>
      <c r="E21" s="1037">
        <v>69598</v>
      </c>
      <c r="G21" s="1038">
        <f t="shared" si="0"/>
        <v>8.9991954818713911</v>
      </c>
      <c r="H21" s="1034">
        <f t="shared" si="1"/>
        <v>3287</v>
      </c>
    </row>
    <row r="22" spans="1:11" x14ac:dyDescent="0.2">
      <c r="B22" s="1034" t="s">
        <v>893</v>
      </c>
      <c r="C22" s="1037">
        <v>69598</v>
      </c>
      <c r="D22" s="1037" t="s">
        <v>886</v>
      </c>
      <c r="E22" s="1037">
        <v>69964</v>
      </c>
      <c r="G22" s="1038">
        <f t="shared" si="0"/>
        <v>1.0020400201901214</v>
      </c>
      <c r="H22" s="1034">
        <f t="shared" si="1"/>
        <v>366</v>
      </c>
      <c r="I22" s="1034" t="s">
        <v>894</v>
      </c>
    </row>
    <row r="23" spans="1:11" x14ac:dyDescent="0.2">
      <c r="I23" s="1034" t="s">
        <v>895</v>
      </c>
    </row>
    <row r="24" spans="1:11" x14ac:dyDescent="0.2">
      <c r="H24" s="1034">
        <f>SUM(H5:H13)</f>
        <v>31412</v>
      </c>
    </row>
    <row r="25" spans="1:11" x14ac:dyDescent="0.2">
      <c r="C25" s="1038"/>
      <c r="H25" s="1034">
        <f>SUM(H14:H22)</f>
        <v>12419</v>
      </c>
      <c r="I25" s="1040"/>
      <c r="J25" s="1034" t="str">
        <f>LEFT(C11,6)</f>
        <v>47683</v>
      </c>
    </row>
    <row r="26" spans="1:11" x14ac:dyDescent="0.2">
      <c r="I26" s="1041"/>
    </row>
    <row r="27" spans="1:11" x14ac:dyDescent="0.2">
      <c r="A27" s="1042"/>
      <c r="B27" s="1043" t="s">
        <v>1602</v>
      </c>
      <c r="C27" s="1044" t="s">
        <v>2029</v>
      </c>
      <c r="D27" s="1043" t="s">
        <v>2030</v>
      </c>
      <c r="E27" s="1043"/>
      <c r="F27" s="1045" t="s">
        <v>1490</v>
      </c>
      <c r="G27" s="1044"/>
      <c r="H27" s="1044"/>
      <c r="I27" s="1041"/>
    </row>
    <row r="28" spans="1:11" x14ac:dyDescent="0.2">
      <c r="A28" s="1046"/>
      <c r="B28" s="1034" t="str">
        <f>VLOOKUP("&gt;",A5:E22,2,0)</f>
        <v xml:space="preserve"> Rah:</v>
      </c>
      <c r="C28" s="1037">
        <f>VLOOKUP("&gt;",A5:I22,3,0)</f>
        <v>35630</v>
      </c>
      <c r="D28" s="1047"/>
      <c r="E28" s="1037"/>
      <c r="F28" s="1035">
        <f>VLOOKUP("&gt;",A5:I22,8,0)</f>
        <v>6209</v>
      </c>
      <c r="I28" s="1041"/>
    </row>
    <row r="29" spans="1:11" x14ac:dyDescent="0.2">
      <c r="A29" s="1046"/>
      <c r="F29" s="1035">
        <f>F28/H24</f>
        <v>0.19766331338342036</v>
      </c>
      <c r="I29" s="1041"/>
    </row>
    <row r="30" spans="1:11" x14ac:dyDescent="0.2">
      <c r="A30" s="1046"/>
      <c r="B30" s="1034" t="str">
        <f t="shared" ref="B30:B38" si="2">B5</f>
        <v xml:space="preserve"> Merc:</v>
      </c>
      <c r="C30" s="1037">
        <f>C28</f>
        <v>35630</v>
      </c>
      <c r="D30" s="1037">
        <f t="shared" ref="D30:D38" si="3">C30+F30</f>
        <v>36712.997294027758</v>
      </c>
      <c r="E30" s="1048">
        <f>VLOOKUP(B30,B5:I22,7,0)</f>
        <v>5479</v>
      </c>
      <c r="F30" s="1049">
        <f t="shared" ref="F30:F38" si="4">E30*$F$29</f>
        <v>1082.9972940277601</v>
      </c>
      <c r="I30" s="1041"/>
    </row>
    <row r="31" spans="1:11" x14ac:dyDescent="0.2">
      <c r="A31" s="1046"/>
      <c r="B31" s="1034" t="str">
        <f t="shared" si="2"/>
        <v xml:space="preserve"> Ket:</v>
      </c>
      <c r="C31" s="1037">
        <f t="shared" ref="C31:C38" si="5">D30</f>
        <v>36712.997294027758</v>
      </c>
      <c r="D31" s="1037">
        <f t="shared" si="3"/>
        <v>36929.636285495988</v>
      </c>
      <c r="E31" s="1048">
        <f t="shared" ref="E31:E38" si="6">VLOOKUP(B31,B6:H23,7,0)</f>
        <v>1096</v>
      </c>
      <c r="F31" s="1049">
        <f t="shared" si="4"/>
        <v>216.63899146822871</v>
      </c>
      <c r="I31" s="1041"/>
    </row>
    <row r="32" spans="1:11" x14ac:dyDescent="0.2">
      <c r="A32" s="1046"/>
      <c r="B32" s="1034" t="str">
        <f t="shared" si="2"/>
        <v xml:space="preserve"> Sun:</v>
      </c>
      <c r="C32" s="1037">
        <f t="shared" si="5"/>
        <v>36929.636285495988</v>
      </c>
      <c r="D32" s="1037">
        <f t="shared" si="3"/>
        <v>37290.569495734111</v>
      </c>
      <c r="E32" s="1048">
        <f t="shared" si="6"/>
        <v>1826</v>
      </c>
      <c r="F32" s="1049">
        <f t="shared" si="4"/>
        <v>360.93321023812558</v>
      </c>
      <c r="I32" s="1041"/>
    </row>
    <row r="33" spans="1:9" x14ac:dyDescent="0.2">
      <c r="A33" s="1046"/>
      <c r="B33" s="1034" t="str">
        <f t="shared" si="2"/>
        <v xml:space="preserve"> Mars:</v>
      </c>
      <c r="C33" s="1037">
        <f t="shared" si="5"/>
        <v>37290.569495734111</v>
      </c>
      <c r="D33" s="1037">
        <f t="shared" si="3"/>
        <v>37507.208487202341</v>
      </c>
      <c r="E33" s="1048">
        <f t="shared" si="6"/>
        <v>1096</v>
      </c>
      <c r="F33" s="1049">
        <f t="shared" si="4"/>
        <v>216.63899146822871</v>
      </c>
      <c r="I33" s="1041"/>
    </row>
    <row r="34" spans="1:9" x14ac:dyDescent="0.2">
      <c r="A34" s="1046"/>
      <c r="B34" s="1034" t="str">
        <f t="shared" si="2"/>
        <v xml:space="preserve"> Rah:</v>
      </c>
      <c r="C34" s="1037">
        <f t="shared" si="5"/>
        <v>37507.208487202341</v>
      </c>
      <c r="D34" s="1037">
        <f t="shared" si="3"/>
        <v>38734.5</v>
      </c>
      <c r="E34" s="1048">
        <f t="shared" si="6"/>
        <v>6209</v>
      </c>
      <c r="F34" s="1049">
        <f t="shared" si="4"/>
        <v>1227.2915127976571</v>
      </c>
      <c r="I34" s="1041"/>
    </row>
    <row r="35" spans="1:9" x14ac:dyDescent="0.2">
      <c r="A35" s="1046" t="s">
        <v>1169</v>
      </c>
      <c r="B35" s="1034" t="str">
        <f t="shared" si="2"/>
        <v xml:space="preserve"> Ven:</v>
      </c>
      <c r="C35" s="1037">
        <f t="shared" si="5"/>
        <v>38734.5</v>
      </c>
      <c r="D35" s="1037">
        <f t="shared" si="3"/>
        <v>39889.644403412705</v>
      </c>
      <c r="E35" s="1048">
        <f t="shared" si="6"/>
        <v>5844</v>
      </c>
      <c r="F35" s="1049">
        <f t="shared" si="4"/>
        <v>1155.1444034127085</v>
      </c>
      <c r="I35" s="1041"/>
    </row>
    <row r="36" spans="1:9" x14ac:dyDescent="0.2">
      <c r="A36" s="1046"/>
      <c r="B36" s="1034" t="str">
        <f t="shared" si="2"/>
        <v xml:space="preserve"> Moon:</v>
      </c>
      <c r="C36" s="1037">
        <f t="shared" si="5"/>
        <v>39889.644403412705</v>
      </c>
      <c r="D36" s="1037">
        <f t="shared" si="3"/>
        <v>40034.136285495988</v>
      </c>
      <c r="E36" s="1048">
        <f t="shared" si="6"/>
        <v>731</v>
      </c>
      <c r="F36" s="1049">
        <f t="shared" si="4"/>
        <v>144.49188208328027</v>
      </c>
      <c r="I36" s="1041"/>
    </row>
    <row r="37" spans="1:9" x14ac:dyDescent="0.2">
      <c r="A37" s="1046"/>
      <c r="B37" s="1034" t="str">
        <f t="shared" si="2"/>
        <v xml:space="preserve"> Sat:</v>
      </c>
      <c r="C37" s="1037">
        <f t="shared" si="5"/>
        <v>40034.136285495988</v>
      </c>
      <c r="D37" s="1037">
        <f t="shared" si="3"/>
        <v>40756.002705972242</v>
      </c>
      <c r="E37" s="1048">
        <f t="shared" si="6"/>
        <v>3652</v>
      </c>
      <c r="F37" s="1049">
        <f t="shared" si="4"/>
        <v>721.86642047625116</v>
      </c>
      <c r="I37" s="1050" t="s">
        <v>896</v>
      </c>
    </row>
    <row r="38" spans="1:9" x14ac:dyDescent="0.2">
      <c r="A38" s="1046" t="s">
        <v>1169</v>
      </c>
      <c r="B38" s="1034" t="str">
        <f t="shared" si="2"/>
        <v xml:space="preserve"> Jup:</v>
      </c>
      <c r="C38" s="1037">
        <f t="shared" si="5"/>
        <v>40756.002705972242</v>
      </c>
      <c r="D38" s="1037">
        <f t="shared" si="3"/>
        <v>41839</v>
      </c>
      <c r="E38" s="1048">
        <f t="shared" si="6"/>
        <v>5479</v>
      </c>
      <c r="F38" s="1049">
        <f t="shared" si="4"/>
        <v>1082.9972940277601</v>
      </c>
      <c r="I38" s="1040"/>
    </row>
    <row r="39" spans="1:9" x14ac:dyDescent="0.2">
      <c r="A39" s="1051"/>
      <c r="B39" s="1052"/>
      <c r="C39" s="1053"/>
      <c r="D39" s="1053"/>
      <c r="E39" s="1054"/>
      <c r="F39" s="1055"/>
      <c r="G39" s="1052"/>
      <c r="H39" s="1052">
        <f>SUM(F30:F38)</f>
        <v>6209</v>
      </c>
      <c r="I39" s="1041"/>
    </row>
    <row r="40" spans="1:9" x14ac:dyDescent="0.2">
      <c r="A40" s="1042"/>
      <c r="B40" s="1044" t="s">
        <v>897</v>
      </c>
      <c r="C40" s="1056" t="s">
        <v>2029</v>
      </c>
      <c r="D40" s="1056" t="s">
        <v>2030</v>
      </c>
      <c r="E40" s="1057"/>
      <c r="F40" s="1058" t="s">
        <v>1490</v>
      </c>
      <c r="G40" s="1044"/>
      <c r="H40" s="1044"/>
      <c r="I40" s="1041"/>
    </row>
    <row r="41" spans="1:9" x14ac:dyDescent="0.2">
      <c r="A41" s="1046"/>
      <c r="B41" s="1034" t="str">
        <f>VLOOKUP("&gt;",A30:D38,2,0)</f>
        <v xml:space="preserve"> Ven:</v>
      </c>
      <c r="C41" s="1037">
        <f>VLOOKUP("&gt;",A30:D38,3,0)</f>
        <v>38734.5</v>
      </c>
      <c r="D41" s="1037"/>
      <c r="E41" s="1037"/>
      <c r="F41" s="1059">
        <f>VLOOKUP("&gt;",A30:F38,6,0)</f>
        <v>1155.1444034127085</v>
      </c>
      <c r="I41" s="1041"/>
    </row>
    <row r="42" spans="1:9" x14ac:dyDescent="0.2">
      <c r="A42" s="1046"/>
      <c r="C42" s="1048"/>
      <c r="D42" s="1037"/>
      <c r="E42" s="1037"/>
      <c r="F42" s="1049"/>
      <c r="I42" s="1041"/>
    </row>
    <row r="43" spans="1:9" x14ac:dyDescent="0.2">
      <c r="A43" s="1046"/>
      <c r="B43" s="1034" t="str">
        <f>B10</f>
        <v xml:space="preserve"> Ven:</v>
      </c>
      <c r="C43" s="1037">
        <f>C41</f>
        <v>38734.5</v>
      </c>
      <c r="D43" s="1037">
        <f t="shared" ref="D43:D51" si="7">C43+F43</f>
        <v>38949.40716584566</v>
      </c>
      <c r="E43" s="1048">
        <f t="shared" ref="E43:E51" si="8">VLOOKUP(B43,$B$5:$I$22,7,0)</f>
        <v>5844</v>
      </c>
      <c r="F43" s="1049">
        <f t="shared" ref="F43:F51" si="9">E43/$H$24*$F$41</f>
        <v>214.90716584565988</v>
      </c>
      <c r="I43" s="1041"/>
    </row>
    <row r="44" spans="1:9" x14ac:dyDescent="0.2">
      <c r="A44" s="1046"/>
      <c r="B44" s="1034" t="str">
        <f>B5</f>
        <v xml:space="preserve"> Merc:</v>
      </c>
      <c r="C44" s="1037">
        <f t="shared" ref="C44:C51" si="10">D43</f>
        <v>38949.40716584566</v>
      </c>
      <c r="D44" s="1037">
        <f t="shared" si="7"/>
        <v>39150.891827322106</v>
      </c>
      <c r="E44" s="1048">
        <f t="shared" si="8"/>
        <v>5479</v>
      </c>
      <c r="F44" s="1049">
        <f t="shared" si="9"/>
        <v>201.48466147644945</v>
      </c>
      <c r="I44" s="1041"/>
    </row>
    <row r="45" spans="1:9" x14ac:dyDescent="0.2">
      <c r="A45" s="1046"/>
      <c r="B45" s="1034" t="str">
        <f>B6</f>
        <v xml:space="preserve"> Ket:</v>
      </c>
      <c r="C45" s="1037">
        <f t="shared" si="10"/>
        <v>39150.891827322106</v>
      </c>
      <c r="D45" s="1037">
        <f t="shared" si="7"/>
        <v>39191.196114414313</v>
      </c>
      <c r="E45" s="1048">
        <f t="shared" si="8"/>
        <v>1096</v>
      </c>
      <c r="F45" s="1049">
        <f t="shared" si="9"/>
        <v>40.304287092204525</v>
      </c>
      <c r="I45" s="1041"/>
    </row>
    <row r="46" spans="1:9" x14ac:dyDescent="0.2">
      <c r="A46" s="1046"/>
      <c r="B46" s="1034" t="str">
        <f>B7</f>
        <v xml:space="preserve"> Sun:</v>
      </c>
      <c r="C46" s="1037">
        <f t="shared" si="10"/>
        <v>39191.196114414313</v>
      </c>
      <c r="D46" s="1037">
        <f t="shared" si="7"/>
        <v>39258.34541024494</v>
      </c>
      <c r="E46" s="1048">
        <f t="shared" si="8"/>
        <v>1826</v>
      </c>
      <c r="F46" s="1049">
        <f t="shared" si="9"/>
        <v>67.14929583062542</v>
      </c>
      <c r="I46" s="1041"/>
    </row>
    <row r="47" spans="1:9" x14ac:dyDescent="0.2">
      <c r="A47" s="1046"/>
      <c r="B47" s="1034" t="str">
        <f>B8</f>
        <v xml:space="preserve"> Mars:</v>
      </c>
      <c r="C47" s="1037">
        <f t="shared" si="10"/>
        <v>39258.34541024494</v>
      </c>
      <c r="D47" s="1037">
        <f t="shared" si="7"/>
        <v>39298.649697337147</v>
      </c>
      <c r="E47" s="1048">
        <f t="shared" si="8"/>
        <v>1096</v>
      </c>
      <c r="F47" s="1049">
        <f t="shared" si="9"/>
        <v>40.304287092204525</v>
      </c>
      <c r="I47" s="1041"/>
    </row>
    <row r="48" spans="1:9" x14ac:dyDescent="0.2">
      <c r="A48" s="1046"/>
      <c r="B48" s="1034" t="str">
        <f>B10</f>
        <v xml:space="preserve"> Ven:</v>
      </c>
      <c r="C48" s="1037">
        <f t="shared" si="10"/>
        <v>39298.649697337147</v>
      </c>
      <c r="D48" s="1037">
        <f t="shared" si="7"/>
        <v>39513.556863182806</v>
      </c>
      <c r="E48" s="1048">
        <f t="shared" si="8"/>
        <v>5844</v>
      </c>
      <c r="F48" s="1049">
        <f t="shared" si="9"/>
        <v>214.90716584565988</v>
      </c>
      <c r="I48" s="1041"/>
    </row>
    <row r="49" spans="1:9" x14ac:dyDescent="0.2">
      <c r="A49" s="1046"/>
      <c r="B49" s="1034" t="str">
        <f>B11</f>
        <v xml:space="preserve"> Moon:</v>
      </c>
      <c r="C49" s="1037">
        <f t="shared" si="10"/>
        <v>39513.556863182806</v>
      </c>
      <c r="D49" s="1037">
        <f t="shared" si="7"/>
        <v>39540.438645905801</v>
      </c>
      <c r="E49" s="1048">
        <f t="shared" si="8"/>
        <v>731</v>
      </c>
      <c r="F49" s="1049">
        <f t="shared" si="9"/>
        <v>26.881782722994075</v>
      </c>
      <c r="I49" s="1041"/>
    </row>
    <row r="50" spans="1:9" x14ac:dyDescent="0.2">
      <c r="A50" s="1046"/>
      <c r="B50" s="1034" t="str">
        <f>B12</f>
        <v xml:space="preserve"> Sat:</v>
      </c>
      <c r="C50" s="1037">
        <f t="shared" si="10"/>
        <v>39540.438645905801</v>
      </c>
      <c r="D50" s="1037">
        <f t="shared" si="7"/>
        <v>39674.737237567053</v>
      </c>
      <c r="E50" s="1048">
        <f t="shared" si="8"/>
        <v>3652</v>
      </c>
      <c r="F50" s="1049">
        <f t="shared" si="9"/>
        <v>134.29859166125084</v>
      </c>
      <c r="I50" s="1050" t="s">
        <v>896</v>
      </c>
    </row>
    <row r="51" spans="1:9" x14ac:dyDescent="0.2">
      <c r="A51" s="1046" t="s">
        <v>1169</v>
      </c>
      <c r="B51" s="1034" t="str">
        <f>B13</f>
        <v xml:space="preserve"> Jup:</v>
      </c>
      <c r="C51" s="1037">
        <f t="shared" si="10"/>
        <v>39674.737237567053</v>
      </c>
      <c r="D51" s="1037">
        <f t="shared" si="7"/>
        <v>39876.221899043499</v>
      </c>
      <c r="E51" s="1048">
        <f t="shared" si="8"/>
        <v>5479</v>
      </c>
      <c r="F51" s="1049">
        <f t="shared" si="9"/>
        <v>201.48466147644945</v>
      </c>
      <c r="I51" s="1040"/>
    </row>
    <row r="52" spans="1:9" x14ac:dyDescent="0.2">
      <c r="A52" s="1051"/>
      <c r="B52" s="1052"/>
      <c r="C52" s="1052"/>
      <c r="D52" s="1052"/>
      <c r="E52" s="1052"/>
      <c r="F52" s="1060"/>
      <c r="G52" s="1052"/>
      <c r="H52" s="1052">
        <f>SUM(F43:F51)</f>
        <v>1141.7218990434981</v>
      </c>
      <c r="I52" s="1041"/>
    </row>
    <row r="53" spans="1:9" x14ac:dyDescent="0.2">
      <c r="A53" s="1042"/>
      <c r="B53" s="1044" t="s">
        <v>898</v>
      </c>
      <c r="C53" s="1056"/>
      <c r="D53" s="1056"/>
      <c r="E53" s="1057"/>
      <c r="F53" s="1058"/>
      <c r="G53" s="1044"/>
      <c r="H53" s="1044"/>
      <c r="I53" s="1041"/>
    </row>
    <row r="54" spans="1:9" x14ac:dyDescent="0.2">
      <c r="A54" s="1046"/>
      <c r="B54" s="1034" t="str">
        <f>VLOOKUP("&gt;",A43:D51,2,0)</f>
        <v xml:space="preserve"> Jup:</v>
      </c>
      <c r="C54" s="1061">
        <f>VLOOKUP("&gt;",A43:D51,4,0)</f>
        <v>39876.221899043499</v>
      </c>
      <c r="D54" s="1037" t="e">
        <f>VLOOKUP("&gt;",A43:D51,5,0)</f>
        <v>#REF!</v>
      </c>
      <c r="E54" s="1037"/>
      <c r="I54" s="1041"/>
    </row>
    <row r="55" spans="1:9" x14ac:dyDescent="0.2">
      <c r="A55" s="1046"/>
      <c r="C55" s="1048"/>
      <c r="D55" s="1048"/>
      <c r="E55" s="1037"/>
      <c r="I55" s="1041"/>
    </row>
    <row r="56" spans="1:9" x14ac:dyDescent="0.2">
      <c r="A56" s="1046"/>
      <c r="B56" s="1034" t="str">
        <f t="shared" ref="B56:B64" si="11">B5</f>
        <v xml:space="preserve"> Merc:</v>
      </c>
      <c r="C56" s="1048">
        <f t="shared" ref="C56:C64" si="12">VLOOKUP(B56,$B$5:$I$22,7,0)</f>
        <v>5479</v>
      </c>
      <c r="D56" s="1048">
        <f t="shared" ref="D56:D64" si="13">C56/$H$24*$C$54</f>
        <v>6955.3616383821263</v>
      </c>
      <c r="E56" s="1037" t="e">
        <f>D54</f>
        <v>#REF!</v>
      </c>
      <c r="F56" s="1035" t="e">
        <f t="shared" ref="F56:F64" si="14">E56+D56</f>
        <v>#REF!</v>
      </c>
      <c r="I56" s="1041"/>
    </row>
    <row r="57" spans="1:9" x14ac:dyDescent="0.2">
      <c r="A57" s="1046"/>
      <c r="B57" s="1034" t="str">
        <f t="shared" si="11"/>
        <v xml:space="preserve"> Ket:</v>
      </c>
      <c r="C57" s="1048">
        <f t="shared" si="12"/>
        <v>1096</v>
      </c>
      <c r="D57" s="1048">
        <f t="shared" si="13"/>
        <v>1391.326219322287</v>
      </c>
      <c r="E57" s="1037" t="e">
        <f t="shared" ref="E57:E64" si="15">F56</f>
        <v>#REF!</v>
      </c>
      <c r="F57" s="1035" t="e">
        <f t="shared" si="14"/>
        <v>#REF!</v>
      </c>
      <c r="I57" s="1041"/>
    </row>
    <row r="58" spans="1:9" x14ac:dyDescent="0.2">
      <c r="A58" s="1046"/>
      <c r="B58" s="1034" t="str">
        <f t="shared" si="11"/>
        <v xml:space="preserve"> Sun:</v>
      </c>
      <c r="C58" s="1048">
        <f t="shared" si="12"/>
        <v>1826</v>
      </c>
      <c r="D58" s="1048">
        <f t="shared" si="13"/>
        <v>2318.0307267176058</v>
      </c>
      <c r="E58" s="1037" t="e">
        <f t="shared" si="15"/>
        <v>#REF!</v>
      </c>
      <c r="F58" s="1035" t="e">
        <f t="shared" si="14"/>
        <v>#REF!</v>
      </c>
      <c r="I58" s="1041"/>
    </row>
    <row r="59" spans="1:9" x14ac:dyDescent="0.2">
      <c r="A59" s="1046"/>
      <c r="B59" s="1034" t="str">
        <f t="shared" si="11"/>
        <v xml:space="preserve"> Mars:</v>
      </c>
      <c r="C59" s="1048">
        <f t="shared" si="12"/>
        <v>1096</v>
      </c>
      <c r="D59" s="1048">
        <f t="shared" si="13"/>
        <v>1391.326219322287</v>
      </c>
      <c r="E59" s="1037" t="e">
        <f t="shared" si="15"/>
        <v>#REF!</v>
      </c>
      <c r="F59" s="1035" t="e">
        <f t="shared" si="14"/>
        <v>#REF!</v>
      </c>
      <c r="I59" s="1041"/>
    </row>
    <row r="60" spans="1:9" x14ac:dyDescent="0.2">
      <c r="A60" s="1046"/>
      <c r="B60" s="1034" t="str">
        <f t="shared" si="11"/>
        <v xml:space="preserve"> Rah:</v>
      </c>
      <c r="C60" s="1048">
        <f t="shared" si="12"/>
        <v>6209</v>
      </c>
      <c r="D60" s="1048">
        <f t="shared" si="13"/>
        <v>7882.0661457774449</v>
      </c>
      <c r="E60" s="1037" t="e">
        <f t="shared" si="15"/>
        <v>#REF!</v>
      </c>
      <c r="F60" s="1035" t="e">
        <f t="shared" si="14"/>
        <v>#REF!</v>
      </c>
      <c r="I60" s="1041"/>
    </row>
    <row r="61" spans="1:9" x14ac:dyDescent="0.2">
      <c r="A61" s="1046"/>
      <c r="B61" s="1034" t="str">
        <f t="shared" si="11"/>
        <v xml:space="preserve"> Ven:</v>
      </c>
      <c r="C61" s="1048">
        <f t="shared" si="12"/>
        <v>5844</v>
      </c>
      <c r="D61" s="1048">
        <f t="shared" si="13"/>
        <v>7418.7138920797852</v>
      </c>
      <c r="E61" s="1037" t="e">
        <f t="shared" si="15"/>
        <v>#REF!</v>
      </c>
      <c r="F61" s="1035" t="e">
        <f t="shared" si="14"/>
        <v>#REF!</v>
      </c>
      <c r="I61" s="1041"/>
    </row>
    <row r="62" spans="1:9" x14ac:dyDescent="0.2">
      <c r="A62" s="1046"/>
      <c r="B62" s="1034" t="str">
        <f t="shared" si="11"/>
        <v xml:space="preserve"> Moon:</v>
      </c>
      <c r="C62" s="1048">
        <f t="shared" si="12"/>
        <v>731</v>
      </c>
      <c r="D62" s="1048">
        <f t="shared" si="13"/>
        <v>927.97396562462745</v>
      </c>
      <c r="E62" s="1037" t="e">
        <f t="shared" si="15"/>
        <v>#REF!</v>
      </c>
      <c r="F62" s="1035" t="e">
        <f t="shared" si="14"/>
        <v>#REF!</v>
      </c>
      <c r="I62" s="1041"/>
    </row>
    <row r="63" spans="1:9" x14ac:dyDescent="0.2">
      <c r="A63" s="1046"/>
      <c r="B63" s="1034" t="str">
        <f t="shared" si="11"/>
        <v xml:space="preserve"> Sat:</v>
      </c>
      <c r="C63" s="1048">
        <f t="shared" si="12"/>
        <v>3652</v>
      </c>
      <c r="D63" s="1048">
        <f t="shared" si="13"/>
        <v>4636.0614534352117</v>
      </c>
      <c r="E63" s="1037" t="e">
        <f t="shared" si="15"/>
        <v>#REF!</v>
      </c>
      <c r="F63" s="1035" t="e">
        <f t="shared" si="14"/>
        <v>#REF!</v>
      </c>
      <c r="I63" s="1050" t="s">
        <v>896</v>
      </c>
    </row>
    <row r="64" spans="1:9" x14ac:dyDescent="0.2">
      <c r="A64" s="1046" t="s">
        <v>1169</v>
      </c>
      <c r="B64" s="1034" t="str">
        <f t="shared" si="11"/>
        <v xml:space="preserve"> Jup:</v>
      </c>
      <c r="C64" s="1048">
        <f t="shared" si="12"/>
        <v>5479</v>
      </c>
      <c r="D64" s="1048">
        <f t="shared" si="13"/>
        <v>6955.3616383821263</v>
      </c>
      <c r="E64" s="1037" t="e">
        <f t="shared" si="15"/>
        <v>#REF!</v>
      </c>
      <c r="F64" s="1035" t="e">
        <f t="shared" si="14"/>
        <v>#REF!</v>
      </c>
    </row>
    <row r="65" spans="1:16" x14ac:dyDescent="0.2">
      <c r="A65" s="1051"/>
      <c r="B65" s="1052"/>
      <c r="C65" s="1052"/>
      <c r="D65" s="1052"/>
      <c r="E65" s="1052"/>
      <c r="F65" s="1060"/>
      <c r="G65" s="1052"/>
      <c r="H65" s="1052">
        <f>SUM(D56:D64)</f>
        <v>39876.221899043499</v>
      </c>
    </row>
    <row r="67" spans="1:16" ht="15.75" thickBot="1" x14ac:dyDescent="0.25"/>
    <row r="68" spans="1:16" ht="28.5" thickBot="1" x14ac:dyDescent="0.25">
      <c r="A68" s="1062" t="s">
        <v>1716</v>
      </c>
      <c r="B68" s="1063" t="s">
        <v>3931</v>
      </c>
      <c r="C68" s="1063" t="s">
        <v>3932</v>
      </c>
      <c r="D68" s="1063" t="s">
        <v>3933</v>
      </c>
      <c r="E68" s="1063" t="s">
        <v>3934</v>
      </c>
      <c r="F68" s="1063" t="s">
        <v>4687</v>
      </c>
      <c r="G68" s="1063" t="s">
        <v>3935</v>
      </c>
      <c r="H68" s="620" t="s">
        <v>3936</v>
      </c>
      <c r="I68" s="98" t="s">
        <v>3937</v>
      </c>
      <c r="J68" s="98" t="s">
        <v>3938</v>
      </c>
      <c r="K68"/>
      <c r="L68"/>
      <c r="M68"/>
      <c r="N68"/>
      <c r="O68"/>
      <c r="P68"/>
    </row>
    <row r="69" spans="1:16" x14ac:dyDescent="0.2">
      <c r="A69" s="671">
        <v>1</v>
      </c>
      <c r="B69" s="296" t="s">
        <v>1511</v>
      </c>
      <c r="C69" s="296" t="str">
        <f>B71</f>
        <v>Mars</v>
      </c>
      <c r="D69" s="296" t="str">
        <f>B72</f>
        <v>Merc</v>
      </c>
      <c r="E69" s="1064" t="str">
        <f t="shared" ref="E69:E86" si="16">B73</f>
        <v>Jup</v>
      </c>
      <c r="F69" s="1064" t="str">
        <f t="shared" ref="F69:F86" si="17">B74</f>
        <v>Ven</v>
      </c>
      <c r="G69" s="296" t="str">
        <f>B76</f>
        <v>Rah</v>
      </c>
      <c r="H69" s="1065" t="str">
        <f>B77</f>
        <v>Ketu</v>
      </c>
      <c r="I69" s="1066" t="str">
        <f t="shared" ref="I69:I86" si="18">D69&amp;"+"&amp;H69</f>
        <v>Merc+Ketu</v>
      </c>
      <c r="J69" s="1066" t="str">
        <f t="shared" ref="J69:J86" si="19">E69&amp;"+"&amp;G69</f>
        <v>Jup+Rah</v>
      </c>
      <c r="K69"/>
      <c r="L69"/>
      <c r="M69" s="1062">
        <v>1</v>
      </c>
      <c r="N69" s="620" t="s">
        <v>1511</v>
      </c>
      <c r="O69"/>
      <c r="P69"/>
    </row>
    <row r="70" spans="1:16" x14ac:dyDescent="0.2">
      <c r="A70" s="671">
        <v>2</v>
      </c>
      <c r="B70" s="296" t="s">
        <v>1512</v>
      </c>
      <c r="C70" s="296" t="str">
        <f t="shared" ref="C70:C86" si="20">B72</f>
        <v>Merc</v>
      </c>
      <c r="D70" s="296" t="str">
        <f t="shared" ref="D70:D86" si="21">B73</f>
        <v>Jup</v>
      </c>
      <c r="E70" s="1064" t="str">
        <f t="shared" si="16"/>
        <v>Ven</v>
      </c>
      <c r="F70" s="1064" t="str">
        <f t="shared" si="17"/>
        <v>Sat</v>
      </c>
      <c r="G70" s="296" t="str">
        <f t="shared" ref="G70:G86" si="22">B77</f>
        <v>Ketu</v>
      </c>
      <c r="H70" s="1065" t="str">
        <f t="shared" ref="H70:H86" si="23">B78</f>
        <v>Sun</v>
      </c>
      <c r="I70" s="1066" t="str">
        <f t="shared" si="18"/>
        <v>Jup+Sun</v>
      </c>
      <c r="J70" s="1066" t="str">
        <f t="shared" si="19"/>
        <v>Ven+Ketu</v>
      </c>
      <c r="K70"/>
      <c r="L70"/>
      <c r="M70" s="671">
        <v>2</v>
      </c>
      <c r="N70" s="1065" t="s">
        <v>1512</v>
      </c>
      <c r="O70"/>
      <c r="P70"/>
    </row>
    <row r="71" spans="1:16" ht="15.75" thickBot="1" x14ac:dyDescent="0.25">
      <c r="A71" s="671">
        <v>3</v>
      </c>
      <c r="B71" s="296" t="s">
        <v>1513</v>
      </c>
      <c r="C71" s="296" t="str">
        <f t="shared" si="20"/>
        <v>Jup</v>
      </c>
      <c r="D71" s="296" t="str">
        <f t="shared" si="21"/>
        <v>Ven</v>
      </c>
      <c r="E71" s="1064" t="str">
        <f t="shared" si="16"/>
        <v>Sat</v>
      </c>
      <c r="F71" s="1064" t="str">
        <f t="shared" si="17"/>
        <v>Rah</v>
      </c>
      <c r="G71" s="296" t="str">
        <f t="shared" si="22"/>
        <v>Sun</v>
      </c>
      <c r="H71" s="1065" t="str">
        <f t="shared" si="23"/>
        <v>Moon</v>
      </c>
      <c r="I71" s="1066" t="str">
        <f t="shared" si="18"/>
        <v>Ven+Moon</v>
      </c>
      <c r="J71" s="1066" t="str">
        <f t="shared" si="19"/>
        <v>Sat+Sun</v>
      </c>
      <c r="K71"/>
      <c r="L71"/>
      <c r="M71" s="672">
        <v>3</v>
      </c>
      <c r="N71" s="674" t="s">
        <v>3939</v>
      </c>
      <c r="O71" t="s">
        <v>3940</v>
      </c>
      <c r="P71"/>
    </row>
    <row r="72" spans="1:16" x14ac:dyDescent="0.2">
      <c r="A72" s="671">
        <v>4</v>
      </c>
      <c r="B72" s="296" t="s">
        <v>2217</v>
      </c>
      <c r="C72" s="296" t="str">
        <f t="shared" si="20"/>
        <v>Ven</v>
      </c>
      <c r="D72" s="296" t="str">
        <f t="shared" si="21"/>
        <v>Sat</v>
      </c>
      <c r="E72" s="1064" t="str">
        <f t="shared" si="16"/>
        <v>Rah</v>
      </c>
      <c r="F72" s="1064" t="str">
        <f t="shared" si="17"/>
        <v>Ketu</v>
      </c>
      <c r="G72" s="296" t="str">
        <f t="shared" si="22"/>
        <v>Moon</v>
      </c>
      <c r="H72" s="1065" t="str">
        <f t="shared" si="23"/>
        <v>Mars</v>
      </c>
      <c r="I72" s="1066" t="str">
        <f t="shared" si="18"/>
        <v>Sat+Mars</v>
      </c>
      <c r="J72" s="1066" t="str">
        <f t="shared" si="19"/>
        <v>Rah+Moon</v>
      </c>
      <c r="K72"/>
      <c r="L72" t="s">
        <v>3941</v>
      </c>
      <c r="M72" s="1062">
        <v>4</v>
      </c>
      <c r="N72" s="620" t="s">
        <v>3942</v>
      </c>
      <c r="O72"/>
      <c r="P72"/>
    </row>
    <row r="73" spans="1:16" x14ac:dyDescent="0.2">
      <c r="A73" s="671">
        <v>5</v>
      </c>
      <c r="B73" s="296" t="s">
        <v>3484</v>
      </c>
      <c r="C73" s="296" t="str">
        <f t="shared" si="20"/>
        <v>Sat</v>
      </c>
      <c r="D73" s="296" t="str">
        <f t="shared" si="21"/>
        <v>Rah</v>
      </c>
      <c r="E73" s="1064" t="str">
        <f t="shared" si="16"/>
        <v>Ketu</v>
      </c>
      <c r="F73" s="1064" t="str">
        <f t="shared" si="17"/>
        <v>Sun</v>
      </c>
      <c r="G73" s="296" t="str">
        <f t="shared" si="22"/>
        <v>Mars</v>
      </c>
      <c r="H73" s="1065" t="str">
        <f t="shared" si="23"/>
        <v>Merc</v>
      </c>
      <c r="I73" s="1066" t="str">
        <f t="shared" si="18"/>
        <v>Rah+Merc</v>
      </c>
      <c r="J73" s="1066" t="str">
        <f t="shared" si="19"/>
        <v>Ketu+Mars</v>
      </c>
      <c r="K73"/>
      <c r="L73"/>
      <c r="M73" s="671">
        <v>5</v>
      </c>
      <c r="N73" s="1065" t="s">
        <v>2217</v>
      </c>
      <c r="O73"/>
      <c r="P73"/>
    </row>
    <row r="74" spans="1:16" ht="15.75" thickBot="1" x14ac:dyDescent="0.25">
      <c r="A74" s="671">
        <v>6</v>
      </c>
      <c r="B74" s="296" t="s">
        <v>3485</v>
      </c>
      <c r="C74" s="296" t="str">
        <f t="shared" si="20"/>
        <v>Rah</v>
      </c>
      <c r="D74" s="296" t="str">
        <f t="shared" si="21"/>
        <v>Ketu</v>
      </c>
      <c r="E74" s="1064" t="str">
        <f t="shared" si="16"/>
        <v>Sun</v>
      </c>
      <c r="F74" s="1064" t="str">
        <f t="shared" si="17"/>
        <v>Moon</v>
      </c>
      <c r="G74" s="296" t="str">
        <f t="shared" si="22"/>
        <v>Merc</v>
      </c>
      <c r="H74" s="1065" t="str">
        <f t="shared" si="23"/>
        <v>Jup</v>
      </c>
      <c r="I74" s="1066" t="str">
        <f t="shared" si="18"/>
        <v>Ketu+Jup</v>
      </c>
      <c r="J74" s="1066" t="str">
        <f t="shared" si="19"/>
        <v>Sun+Merc</v>
      </c>
      <c r="K74"/>
      <c r="L74"/>
      <c r="M74" s="672">
        <v>6</v>
      </c>
      <c r="N74" s="674" t="s">
        <v>3943</v>
      </c>
      <c r="O74" t="s">
        <v>3944</v>
      </c>
      <c r="P74"/>
    </row>
    <row r="75" spans="1:16" x14ac:dyDescent="0.2">
      <c r="A75" s="671">
        <v>7</v>
      </c>
      <c r="B75" s="296" t="s">
        <v>1641</v>
      </c>
      <c r="C75" s="296" t="str">
        <f t="shared" si="20"/>
        <v>Ketu</v>
      </c>
      <c r="D75" s="296" t="str">
        <f t="shared" si="21"/>
        <v>Sun</v>
      </c>
      <c r="E75" s="1064" t="str">
        <f t="shared" si="16"/>
        <v>Moon</v>
      </c>
      <c r="F75" s="1064" t="str">
        <f t="shared" si="17"/>
        <v>Mars</v>
      </c>
      <c r="G75" s="296" t="str">
        <f t="shared" si="22"/>
        <v>Jup</v>
      </c>
      <c r="H75" s="1065" t="str">
        <f t="shared" si="23"/>
        <v>Ven</v>
      </c>
      <c r="I75" s="1066" t="str">
        <f t="shared" si="18"/>
        <v>Sun+Ven</v>
      </c>
      <c r="J75" s="1066" t="str">
        <f t="shared" si="19"/>
        <v>Moon+Jup</v>
      </c>
      <c r="K75"/>
      <c r="L75" t="s">
        <v>3945</v>
      </c>
      <c r="M75" s="1062">
        <v>7</v>
      </c>
      <c r="N75" s="620" t="s">
        <v>1518</v>
      </c>
      <c r="O75"/>
      <c r="P75"/>
    </row>
    <row r="76" spans="1:16" x14ac:dyDescent="0.2">
      <c r="A76" s="671">
        <v>8</v>
      </c>
      <c r="B76" s="296" t="s">
        <v>3942</v>
      </c>
      <c r="C76" s="296" t="str">
        <f t="shared" si="20"/>
        <v>Sun</v>
      </c>
      <c r="D76" s="296" t="str">
        <f t="shared" si="21"/>
        <v>Moon</v>
      </c>
      <c r="E76" s="1064" t="str">
        <f t="shared" si="16"/>
        <v>Mars</v>
      </c>
      <c r="F76" s="1064" t="str">
        <f t="shared" si="17"/>
        <v>Merc</v>
      </c>
      <c r="G76" s="296" t="str">
        <f t="shared" si="22"/>
        <v>Ven</v>
      </c>
      <c r="H76" s="1065" t="str">
        <f t="shared" si="23"/>
        <v>Sat</v>
      </c>
      <c r="I76" s="1066" t="str">
        <f t="shared" si="18"/>
        <v>Moon+Sat</v>
      </c>
      <c r="J76" s="1066" t="str">
        <f t="shared" si="19"/>
        <v>Mars+Ven</v>
      </c>
      <c r="K76"/>
      <c r="L76"/>
      <c r="M76" s="671">
        <v>8</v>
      </c>
      <c r="N76" s="1065" t="s">
        <v>1516</v>
      </c>
      <c r="O76" t="s">
        <v>3946</v>
      </c>
      <c r="P76"/>
    </row>
    <row r="77" spans="1:16" ht="15.75" thickBot="1" x14ac:dyDescent="0.25">
      <c r="A77" s="672">
        <v>9</v>
      </c>
      <c r="B77" s="673" t="s">
        <v>1518</v>
      </c>
      <c r="C77" s="673" t="str">
        <f t="shared" si="20"/>
        <v>Moon</v>
      </c>
      <c r="D77" s="673" t="str">
        <f t="shared" si="21"/>
        <v>Mars</v>
      </c>
      <c r="E77" s="1067" t="str">
        <f t="shared" si="16"/>
        <v>Merc</v>
      </c>
      <c r="F77" s="1067" t="str">
        <f t="shared" si="17"/>
        <v>Jup</v>
      </c>
      <c r="G77" s="673" t="str">
        <f t="shared" si="22"/>
        <v>Sat</v>
      </c>
      <c r="H77" s="674" t="str">
        <f t="shared" si="23"/>
        <v>Rah</v>
      </c>
      <c r="I77" s="1066" t="str">
        <f t="shared" si="18"/>
        <v>Mars+Rah</v>
      </c>
      <c r="J77" s="1066" t="str">
        <f t="shared" si="19"/>
        <v>Merc+Sat</v>
      </c>
      <c r="K77"/>
      <c r="L77"/>
      <c r="M77" s="672">
        <v>9</v>
      </c>
      <c r="N77" s="674" t="s">
        <v>1513</v>
      </c>
      <c r="O77"/>
      <c r="P77"/>
    </row>
    <row r="78" spans="1:16" x14ac:dyDescent="0.2">
      <c r="A78">
        <v>10</v>
      </c>
      <c r="B78" t="s">
        <v>1511</v>
      </c>
      <c r="C78" t="str">
        <f t="shared" si="20"/>
        <v>Mars</v>
      </c>
      <c r="D78" t="str">
        <f t="shared" si="21"/>
        <v>Merc</v>
      </c>
      <c r="E78" s="1066" t="str">
        <f t="shared" si="16"/>
        <v>Jup</v>
      </c>
      <c r="F78" s="1066" t="str">
        <f t="shared" si="17"/>
        <v>Ven</v>
      </c>
      <c r="G78" t="str">
        <f t="shared" si="22"/>
        <v>Rah</v>
      </c>
      <c r="H78" t="str">
        <f t="shared" si="23"/>
        <v>Ketu</v>
      </c>
      <c r="I78" s="1066" t="str">
        <f t="shared" si="18"/>
        <v>Merc+Ketu</v>
      </c>
      <c r="J78" s="1066" t="str">
        <f t="shared" si="19"/>
        <v>Jup+Rah</v>
      </c>
      <c r="K78"/>
      <c r="L78"/>
      <c r="M78"/>
      <c r="N78"/>
      <c r="O78"/>
      <c r="P78"/>
    </row>
    <row r="79" spans="1:16" x14ac:dyDescent="0.2">
      <c r="A79">
        <v>11</v>
      </c>
      <c r="B79" t="s">
        <v>1512</v>
      </c>
      <c r="C79" t="str">
        <f t="shared" si="20"/>
        <v>Merc</v>
      </c>
      <c r="D79" t="str">
        <f t="shared" si="21"/>
        <v>Jup</v>
      </c>
      <c r="E79" s="1066" t="str">
        <f t="shared" si="16"/>
        <v>Ven</v>
      </c>
      <c r="F79" s="1066" t="str">
        <f t="shared" si="17"/>
        <v>Sat</v>
      </c>
      <c r="G79" t="str">
        <f t="shared" si="22"/>
        <v>Ketu</v>
      </c>
      <c r="H79">
        <f t="shared" si="23"/>
        <v>0</v>
      </c>
      <c r="I79" s="1066" t="str">
        <f t="shared" si="18"/>
        <v>Jup+0</v>
      </c>
      <c r="J79" s="1066" t="str">
        <f t="shared" si="19"/>
        <v>Ven+Ketu</v>
      </c>
      <c r="K79"/>
      <c r="L79"/>
      <c r="M79"/>
      <c r="N79"/>
      <c r="O79"/>
      <c r="P79"/>
    </row>
    <row r="80" spans="1:16" x14ac:dyDescent="0.2">
      <c r="A80">
        <v>12</v>
      </c>
      <c r="B80" t="s">
        <v>1513</v>
      </c>
      <c r="C80" t="str">
        <f t="shared" si="20"/>
        <v>Jup</v>
      </c>
      <c r="D80" t="str">
        <f t="shared" si="21"/>
        <v>Ven</v>
      </c>
      <c r="E80" s="1066" t="str">
        <f t="shared" si="16"/>
        <v>Sat</v>
      </c>
      <c r="F80" s="1066" t="str">
        <f t="shared" si="17"/>
        <v>Rah</v>
      </c>
      <c r="G80">
        <f t="shared" si="22"/>
        <v>0</v>
      </c>
      <c r="H80">
        <f t="shared" si="23"/>
        <v>0</v>
      </c>
      <c r="I80" s="1066" t="str">
        <f t="shared" si="18"/>
        <v>Ven+0</v>
      </c>
      <c r="J80" s="1066" t="str">
        <f t="shared" si="19"/>
        <v>Sat+0</v>
      </c>
      <c r="K80"/>
      <c r="L80"/>
      <c r="M80"/>
      <c r="N80"/>
      <c r="O80"/>
      <c r="P80"/>
    </row>
    <row r="81" spans="1:16" x14ac:dyDescent="0.2">
      <c r="A81">
        <v>13</v>
      </c>
      <c r="B81" t="s">
        <v>2217</v>
      </c>
      <c r="C81" t="str">
        <f t="shared" si="20"/>
        <v>Ven</v>
      </c>
      <c r="D81" t="str">
        <f t="shared" si="21"/>
        <v>Sat</v>
      </c>
      <c r="E81" s="1066" t="str">
        <f t="shared" si="16"/>
        <v>Rah</v>
      </c>
      <c r="F81" s="1066" t="str">
        <f t="shared" si="17"/>
        <v>Ketu</v>
      </c>
      <c r="G81">
        <f t="shared" si="22"/>
        <v>0</v>
      </c>
      <c r="H81">
        <f t="shared" si="23"/>
        <v>0</v>
      </c>
      <c r="I81" s="1066" t="str">
        <f t="shared" si="18"/>
        <v>Sat+0</v>
      </c>
      <c r="J81" s="1066" t="str">
        <f t="shared" si="19"/>
        <v>Rah+0</v>
      </c>
      <c r="K81"/>
      <c r="L81"/>
      <c r="M81"/>
      <c r="N81"/>
      <c r="O81"/>
      <c r="P81"/>
    </row>
    <row r="82" spans="1:16" x14ac:dyDescent="0.2">
      <c r="A82">
        <v>14</v>
      </c>
      <c r="B82" t="s">
        <v>3484</v>
      </c>
      <c r="C82" t="str">
        <f t="shared" si="20"/>
        <v>Sat</v>
      </c>
      <c r="D82" t="str">
        <f t="shared" si="21"/>
        <v>Rah</v>
      </c>
      <c r="E82" s="1066" t="str">
        <f t="shared" si="16"/>
        <v>Ketu</v>
      </c>
      <c r="F82" s="1066">
        <f t="shared" si="17"/>
        <v>0</v>
      </c>
      <c r="G82">
        <f t="shared" si="22"/>
        <v>0</v>
      </c>
      <c r="H82">
        <f t="shared" si="23"/>
        <v>0</v>
      </c>
      <c r="I82" s="1066" t="str">
        <f t="shared" si="18"/>
        <v>Rah+0</v>
      </c>
      <c r="J82" s="1066" t="str">
        <f t="shared" si="19"/>
        <v>Ketu+0</v>
      </c>
      <c r="K82"/>
      <c r="L82"/>
      <c r="M82"/>
      <c r="N82"/>
      <c r="O82"/>
      <c r="P82"/>
    </row>
    <row r="83" spans="1:16" x14ac:dyDescent="0.2">
      <c r="A83">
        <v>15</v>
      </c>
      <c r="B83" t="s">
        <v>3485</v>
      </c>
      <c r="C83" t="str">
        <f t="shared" si="20"/>
        <v>Rah</v>
      </c>
      <c r="D83" t="str">
        <f t="shared" si="21"/>
        <v>Ketu</v>
      </c>
      <c r="E83" s="1066">
        <f t="shared" si="16"/>
        <v>0</v>
      </c>
      <c r="F83" s="1066">
        <f t="shared" si="17"/>
        <v>0</v>
      </c>
      <c r="G83">
        <f t="shared" si="22"/>
        <v>0</v>
      </c>
      <c r="H83">
        <f t="shared" si="23"/>
        <v>0</v>
      </c>
      <c r="I83" s="1066" t="str">
        <f t="shared" si="18"/>
        <v>Ketu+0</v>
      </c>
      <c r="J83" s="1066" t="str">
        <f t="shared" si="19"/>
        <v>0+0</v>
      </c>
      <c r="K83"/>
      <c r="L83"/>
      <c r="M83"/>
      <c r="N83"/>
      <c r="O83"/>
      <c r="P83"/>
    </row>
    <row r="84" spans="1:16" x14ac:dyDescent="0.2">
      <c r="A84">
        <v>16</v>
      </c>
      <c r="B84" t="s">
        <v>1641</v>
      </c>
      <c r="C84" t="str">
        <f t="shared" si="20"/>
        <v>Ketu</v>
      </c>
      <c r="D84">
        <f t="shared" si="21"/>
        <v>0</v>
      </c>
      <c r="E84" s="1066">
        <f t="shared" si="16"/>
        <v>0</v>
      </c>
      <c r="F84" s="1066">
        <f t="shared" si="17"/>
        <v>0</v>
      </c>
      <c r="G84">
        <f t="shared" si="22"/>
        <v>0</v>
      </c>
      <c r="H84">
        <f t="shared" si="23"/>
        <v>0</v>
      </c>
      <c r="I84" s="1066" t="str">
        <f t="shared" si="18"/>
        <v>0+0</v>
      </c>
      <c r="J84" s="1066" t="str">
        <f t="shared" si="19"/>
        <v>0+0</v>
      </c>
      <c r="K84"/>
      <c r="L84"/>
      <c r="M84"/>
      <c r="N84"/>
      <c r="O84"/>
      <c r="P84"/>
    </row>
    <row r="85" spans="1:16" x14ac:dyDescent="0.2">
      <c r="A85">
        <v>17</v>
      </c>
      <c r="B85" t="s">
        <v>3942</v>
      </c>
      <c r="C85">
        <f t="shared" si="20"/>
        <v>0</v>
      </c>
      <c r="D85">
        <f t="shared" si="21"/>
        <v>0</v>
      </c>
      <c r="E85" s="1066">
        <f t="shared" si="16"/>
        <v>0</v>
      </c>
      <c r="F85" s="1066">
        <f t="shared" si="17"/>
        <v>0</v>
      </c>
      <c r="G85">
        <f t="shared" si="22"/>
        <v>0</v>
      </c>
      <c r="H85">
        <f t="shared" si="23"/>
        <v>0</v>
      </c>
      <c r="I85" s="1066" t="str">
        <f t="shared" si="18"/>
        <v>0+0</v>
      </c>
      <c r="J85" s="1066" t="str">
        <f t="shared" si="19"/>
        <v>0+0</v>
      </c>
      <c r="K85"/>
      <c r="L85"/>
      <c r="M85"/>
      <c r="N85"/>
      <c r="O85"/>
      <c r="P85"/>
    </row>
    <row r="86" spans="1:16" x14ac:dyDescent="0.2">
      <c r="A86">
        <v>18</v>
      </c>
      <c r="B86" t="s">
        <v>1518</v>
      </c>
      <c r="C86">
        <f t="shared" si="20"/>
        <v>0</v>
      </c>
      <c r="D86">
        <f t="shared" si="21"/>
        <v>0</v>
      </c>
      <c r="E86" s="1066">
        <f t="shared" si="16"/>
        <v>0</v>
      </c>
      <c r="F86" s="1066">
        <f t="shared" si="17"/>
        <v>0</v>
      </c>
      <c r="G86">
        <f t="shared" si="22"/>
        <v>0</v>
      </c>
      <c r="H86">
        <f t="shared" si="23"/>
        <v>0</v>
      </c>
      <c r="I86" s="1066" t="str">
        <f t="shared" si="18"/>
        <v>0+0</v>
      </c>
      <c r="J86" s="1066" t="str">
        <f t="shared" si="19"/>
        <v>0+0</v>
      </c>
      <c r="K86"/>
      <c r="L86"/>
      <c r="M86"/>
      <c r="N86"/>
      <c r="O86"/>
      <c r="P86"/>
    </row>
    <row r="87" spans="1:16" x14ac:dyDescent="0.2">
      <c r="A87"/>
      <c r="B87"/>
      <c r="C87"/>
      <c r="D87"/>
      <c r="E87"/>
      <c r="F87"/>
      <c r="G87"/>
      <c r="H87"/>
      <c r="I87"/>
      <c r="J87"/>
      <c r="K87"/>
      <c r="L87"/>
      <c r="M87"/>
      <c r="N87"/>
      <c r="O87"/>
      <c r="P87"/>
    </row>
  </sheetData>
  <sheetProtection selectLockedCells="1" selectUnlockedCells="1"/>
  <mergeCells count="1">
    <mergeCell ref="B1:E1"/>
  </mergeCells>
  <phoneticPr fontId="107"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dimension ref="A1:E10"/>
  <sheetViews>
    <sheetView topLeftCell="A7" zoomScaleNormal="100" workbookViewId="0" xr3:uid="{94BC7849-1D55-59FD-A4A3-F33B65D9F6CB}">
      <selection activeCell="A8" sqref="A8"/>
    </sheetView>
  </sheetViews>
  <sheetFormatPr defaultColWidth="9.14453125" defaultRowHeight="18.75" x14ac:dyDescent="0.2"/>
  <cols>
    <col min="1" max="1" width="2.015625" style="1034" bestFit="1" customWidth="1"/>
    <col min="2" max="3" width="9.14453125" style="1034"/>
    <col min="4" max="4" width="74.5234375" style="1141" bestFit="1" customWidth="1"/>
    <col min="5" max="5" width="53.26953125" style="1034" bestFit="1" customWidth="1"/>
    <col min="6" max="6" width="32.95703125" style="1034" bestFit="1" customWidth="1"/>
    <col min="7" max="16384" width="9.14453125" style="1034"/>
  </cols>
  <sheetData>
    <row r="1" spans="1:5" x14ac:dyDescent="0.2">
      <c r="A1" s="1034" t="s">
        <v>1716</v>
      </c>
      <c r="B1" s="1034" t="s">
        <v>4026</v>
      </c>
      <c r="C1" s="1034" t="s">
        <v>2898</v>
      </c>
      <c r="D1" s="1141" t="s">
        <v>4034</v>
      </c>
      <c r="E1" s="1034" t="s">
        <v>1982</v>
      </c>
    </row>
    <row r="2" spans="1:5" ht="100.5" x14ac:dyDescent="0.65">
      <c r="A2" s="1034">
        <v>1</v>
      </c>
      <c r="B2" s="1034" t="s">
        <v>4027</v>
      </c>
      <c r="C2" s="1034" t="s">
        <v>4028</v>
      </c>
      <c r="D2" s="1140" t="s">
        <v>4036</v>
      </c>
      <c r="E2" s="1139" t="s">
        <v>4031</v>
      </c>
    </row>
    <row r="3" spans="1:5" ht="86.25" x14ac:dyDescent="0.55000000000000004">
      <c r="A3" s="1034">
        <v>2</v>
      </c>
      <c r="B3" s="1034" t="s">
        <v>4029</v>
      </c>
      <c r="C3" s="1034" t="s">
        <v>4030</v>
      </c>
      <c r="D3" s="1140" t="s">
        <v>4035</v>
      </c>
      <c r="E3" s="1138" t="s">
        <v>4032</v>
      </c>
    </row>
    <row r="4" spans="1:5" ht="94.5" x14ac:dyDescent="0.25">
      <c r="A4" s="1034">
        <v>3</v>
      </c>
      <c r="B4" s="1034" t="s">
        <v>4033</v>
      </c>
      <c r="C4" s="1034" t="s">
        <v>3849</v>
      </c>
      <c r="D4" s="1140" t="s">
        <v>4037</v>
      </c>
      <c r="E4" s="1034" t="s">
        <v>4038</v>
      </c>
    </row>
    <row r="5" spans="1:5" ht="94.5" x14ac:dyDescent="0.25">
      <c r="A5" s="1034">
        <v>4</v>
      </c>
      <c r="B5" s="1034" t="s">
        <v>4039</v>
      </c>
      <c r="C5" s="1034" t="s">
        <v>4040</v>
      </c>
      <c r="D5" s="1140" t="s">
        <v>4041</v>
      </c>
      <c r="E5" s="1034" t="s">
        <v>4042</v>
      </c>
    </row>
    <row r="6" spans="1:5" ht="141.75" x14ac:dyDescent="0.25">
      <c r="A6" s="1034">
        <v>5</v>
      </c>
      <c r="B6" s="1034" t="s">
        <v>4043</v>
      </c>
      <c r="C6" s="1034" t="s">
        <v>4044</v>
      </c>
      <c r="D6" s="1140" t="s">
        <v>4047</v>
      </c>
      <c r="E6" s="1034" t="s">
        <v>4046</v>
      </c>
    </row>
    <row r="7" spans="1:5" ht="71.25" x14ac:dyDescent="0.25">
      <c r="A7" s="1034">
        <v>6</v>
      </c>
      <c r="D7" s="1140" t="s">
        <v>4045</v>
      </c>
    </row>
    <row r="8" spans="1:5" x14ac:dyDescent="0.2">
      <c r="D8" s="1141" t="s">
        <v>4048</v>
      </c>
    </row>
    <row r="9" spans="1:5" x14ac:dyDescent="0.2">
      <c r="D9" s="1141" t="s">
        <v>4049</v>
      </c>
    </row>
    <row r="10" spans="1:5" x14ac:dyDescent="0.2">
      <c r="D10" s="1141" t="s">
        <v>4050</v>
      </c>
    </row>
  </sheetData>
  <pageMargins left="0.7" right="0.7" top="0.75" bottom="0.75" header="0.3" footer="0.3"/>
  <pageSetup orientation="portrait"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C46"/>
  <sheetViews>
    <sheetView topLeftCell="C1" zoomScale="96" zoomScaleNormal="96" workbookViewId="0" xr3:uid="{F4A53677-9E12-59C4-BAB1-211CDE2C826E}">
      <pane ySplit="3" topLeftCell="C23" activePane="bottomLeft" state="frozen"/>
      <selection activeCell="C1" sqref="C1"/>
      <selection pane="bottomLeft" activeCell="P24" sqref="P24"/>
    </sheetView>
  </sheetViews>
  <sheetFormatPr defaultColWidth="9.14453125" defaultRowHeight="15" x14ac:dyDescent="0.2"/>
  <cols>
    <col min="1" max="1" width="12.23828125" style="1269" customWidth="1"/>
    <col min="2" max="2" width="8.7421875" style="1269" bestFit="1" customWidth="1"/>
    <col min="3" max="3" width="11.8359375" style="1269" customWidth="1"/>
    <col min="4" max="4" width="11.1640625" style="1269" customWidth="1"/>
    <col min="5" max="5" width="10.76171875" style="1269" bestFit="1" customWidth="1"/>
    <col min="6" max="6" width="11.296875" style="1269" customWidth="1"/>
    <col min="7" max="7" width="7.6640625" style="1269" customWidth="1"/>
    <col min="8" max="8" width="2.95703125" style="1269" customWidth="1"/>
    <col min="9" max="9" width="8.7421875" style="1269" bestFit="1" customWidth="1"/>
    <col min="10" max="14" width="6.3203125" style="1269" bestFit="1" customWidth="1"/>
    <col min="15" max="15" width="11.296875" style="1269" customWidth="1"/>
    <col min="16" max="17" width="8.7421875" style="1269" bestFit="1" customWidth="1"/>
    <col min="18" max="21" width="6.3203125" style="1269" bestFit="1" customWidth="1"/>
    <col min="22" max="22" width="4.4375" style="1269" customWidth="1"/>
    <col min="23" max="23" width="6.3203125" style="1269" bestFit="1" customWidth="1"/>
    <col min="24" max="24" width="8.7421875" style="1269" bestFit="1" customWidth="1"/>
    <col min="25" max="29" width="6.3203125" style="1269" bestFit="1" customWidth="1"/>
    <col min="30" max="16384" width="9.14453125" style="1269"/>
  </cols>
  <sheetData>
    <row r="1" spans="1:29" s="1270" customFormat="1" x14ac:dyDescent="0.2">
      <c r="A1" s="1306" t="s">
        <v>915</v>
      </c>
      <c r="B1" s="1307">
        <v>0.24709490740740739</v>
      </c>
      <c r="C1" s="1306" t="s">
        <v>917</v>
      </c>
      <c r="D1" s="1307">
        <v>0.77440972222222226</v>
      </c>
      <c r="E1" s="1306" t="s">
        <v>4423</v>
      </c>
      <c r="F1" s="1307">
        <f>(D1-B1)/5</f>
        <v>0.10546296296296298</v>
      </c>
      <c r="G1" s="1308" t="s">
        <v>4424</v>
      </c>
      <c r="I1" s="1307">
        <f>(1-(D1-B1))/5</f>
        <v>9.4537037037037017E-2</v>
      </c>
    </row>
    <row r="2" spans="1:29" x14ac:dyDescent="0.2">
      <c r="A2" s="1295"/>
      <c r="B2" s="1293"/>
      <c r="C2" s="1623" t="s">
        <v>4407</v>
      </c>
      <c r="D2" s="1623"/>
      <c r="E2" s="1623"/>
      <c r="F2" s="1623"/>
      <c r="G2" s="1623"/>
      <c r="I2" s="1623" t="s">
        <v>4406</v>
      </c>
      <c r="J2" s="1623"/>
      <c r="K2" s="1623"/>
      <c r="L2" s="1623"/>
      <c r="M2" s="1623"/>
      <c r="N2" s="1293"/>
      <c r="P2" s="1294"/>
      <c r="Q2" s="1623" t="s">
        <v>4405</v>
      </c>
      <c r="R2" s="1623"/>
      <c r="S2" s="1623"/>
      <c r="T2" s="1623"/>
      <c r="U2" s="1623"/>
      <c r="V2" s="1293"/>
      <c r="W2" s="1623" t="s">
        <v>4404</v>
      </c>
      <c r="X2" s="1623"/>
      <c r="Y2" s="1623"/>
      <c r="Z2" s="1623"/>
      <c r="AA2" s="1623"/>
      <c r="AB2" s="1293"/>
      <c r="AC2" s="1293"/>
    </row>
    <row r="3" spans="1:29" ht="15.75" thickBot="1" x14ac:dyDescent="0.25">
      <c r="A3" s="1292" t="s">
        <v>4403</v>
      </c>
      <c r="B3" s="1269" t="s">
        <v>4393</v>
      </c>
      <c r="C3" s="1290">
        <f>$B$1</f>
        <v>0.24709490740740739</v>
      </c>
      <c r="D3" s="1290">
        <f>C3+$F$1</f>
        <v>0.35255787037037034</v>
      </c>
      <c r="E3" s="1290">
        <f>D3+$F$1</f>
        <v>0.45802083333333332</v>
      </c>
      <c r="F3" s="1290">
        <f>E3+$F$1</f>
        <v>0.5634837962962963</v>
      </c>
      <c r="G3" s="1290">
        <f>F3+$F$1</f>
        <v>0.66894675925925928</v>
      </c>
      <c r="I3" s="1290">
        <f>G3+$F$1</f>
        <v>0.77440972222222226</v>
      </c>
      <c r="J3" s="1290">
        <f>I3+$I$1</f>
        <v>0.86894675925925924</v>
      </c>
      <c r="K3" s="1290">
        <f>J3+$I$1</f>
        <v>0.96348379629629621</v>
      </c>
      <c r="L3" s="1290">
        <f>K3+$I$1</f>
        <v>1.0580208333333332</v>
      </c>
      <c r="M3" s="1290">
        <f>L3+$I$1</f>
        <v>1.1525578703703703</v>
      </c>
      <c r="N3" s="1290"/>
      <c r="O3" s="1291" t="s">
        <v>4402</v>
      </c>
      <c r="P3" s="1290" t="s">
        <v>4393</v>
      </c>
      <c r="Q3" s="1290">
        <f>$B$1</f>
        <v>0.24709490740740739</v>
      </c>
      <c r="R3" s="1290">
        <f>Q3+$F$1</f>
        <v>0.35255787037037034</v>
      </c>
      <c r="S3" s="1290">
        <f>R3+$F$1</f>
        <v>0.45802083333333332</v>
      </c>
      <c r="T3" s="1290">
        <f>S3+$F$1</f>
        <v>0.5634837962962963</v>
      </c>
      <c r="U3" s="1290">
        <f>T3+$F$1</f>
        <v>0.66894675925925928</v>
      </c>
      <c r="V3" s="1270"/>
      <c r="W3" s="1290">
        <f>U3+$F$1</f>
        <v>0.77440972222222226</v>
      </c>
      <c r="X3" s="1290">
        <f>W3+$I$1</f>
        <v>0.86894675925925924</v>
      </c>
      <c r="Y3" s="1290">
        <f>X3+$I$1</f>
        <v>0.96348379629629621</v>
      </c>
      <c r="Z3" s="1290">
        <f>Y3+$I$1</f>
        <v>1.0580208333333332</v>
      </c>
      <c r="AA3" s="1290">
        <f>Z3+$I$1</f>
        <v>1.1525578703703703</v>
      </c>
    </row>
    <row r="4" spans="1:29" x14ac:dyDescent="0.2">
      <c r="A4" s="1624" t="s">
        <v>4401</v>
      </c>
      <c r="B4" s="1289" t="s">
        <v>4374</v>
      </c>
      <c r="C4" s="1285" t="s">
        <v>4367</v>
      </c>
      <c r="D4" s="1285" t="s">
        <v>4366</v>
      </c>
      <c r="E4" s="1285" t="s">
        <v>4365</v>
      </c>
      <c r="F4" s="1285" t="s">
        <v>4364</v>
      </c>
      <c r="G4" s="1284" t="s">
        <v>1780</v>
      </c>
      <c r="I4" s="1286" t="s">
        <v>1780</v>
      </c>
      <c r="J4" s="1285" t="s">
        <v>4365</v>
      </c>
      <c r="K4" s="1285" t="s">
        <v>4367</v>
      </c>
      <c r="L4" s="1285" t="s">
        <v>4364</v>
      </c>
      <c r="M4" s="1284" t="s">
        <v>4366</v>
      </c>
      <c r="O4" s="1624" t="s">
        <v>4401</v>
      </c>
      <c r="P4" s="1287" t="s">
        <v>961</v>
      </c>
      <c r="Q4" s="1285" t="s">
        <v>4367</v>
      </c>
      <c r="R4" s="1285" t="s">
        <v>4366</v>
      </c>
      <c r="S4" s="1285" t="s">
        <v>1780</v>
      </c>
      <c r="T4" s="1285" t="s">
        <v>4364</v>
      </c>
      <c r="U4" s="1284" t="s">
        <v>4365</v>
      </c>
      <c r="V4" s="1628"/>
      <c r="W4" s="1286" t="s">
        <v>4366</v>
      </c>
      <c r="X4" s="1285" t="s">
        <v>4367</v>
      </c>
      <c r="Y4" s="1285" t="s">
        <v>4365</v>
      </c>
      <c r="Z4" s="1285" t="s">
        <v>4364</v>
      </c>
      <c r="AA4" s="1284" t="s">
        <v>1780</v>
      </c>
    </row>
    <row r="5" spans="1:29" x14ac:dyDescent="0.2">
      <c r="A5" s="1625"/>
      <c r="B5" s="1283" t="s">
        <v>959</v>
      </c>
      <c r="C5" s="1279" t="s">
        <v>4366</v>
      </c>
      <c r="D5" s="1279" t="s">
        <v>4365</v>
      </c>
      <c r="E5" s="1279" t="s">
        <v>4364</v>
      </c>
      <c r="F5" s="1279" t="s">
        <v>1780</v>
      </c>
      <c r="G5" s="1278" t="s">
        <v>4367</v>
      </c>
      <c r="I5" s="1280" t="s">
        <v>4366</v>
      </c>
      <c r="J5" s="1279" t="s">
        <v>1780</v>
      </c>
      <c r="K5" s="1279" t="s">
        <v>4365</v>
      </c>
      <c r="L5" s="1279" t="s">
        <v>4367</v>
      </c>
      <c r="M5" s="1278" t="s">
        <v>4364</v>
      </c>
      <c r="O5" s="1625"/>
      <c r="P5" s="1281" t="s">
        <v>4374</v>
      </c>
      <c r="Q5" s="1279" t="s">
        <v>1780</v>
      </c>
      <c r="R5" s="1279" t="s">
        <v>4367</v>
      </c>
      <c r="S5" s="1279" t="s">
        <v>4364</v>
      </c>
      <c r="T5" s="1279" t="s">
        <v>4365</v>
      </c>
      <c r="U5" s="1278" t="s">
        <v>4366</v>
      </c>
      <c r="V5" s="1628"/>
      <c r="W5" s="1280" t="s">
        <v>1780</v>
      </c>
      <c r="X5" s="1279" t="s">
        <v>4364</v>
      </c>
      <c r="Y5" s="1279" t="s">
        <v>4367</v>
      </c>
      <c r="Z5" s="1279" t="s">
        <v>4366</v>
      </c>
      <c r="AA5" s="1278" t="s">
        <v>4365</v>
      </c>
    </row>
    <row r="6" spans="1:29" x14ac:dyDescent="0.2">
      <c r="A6" s="1625"/>
      <c r="B6" s="1283" t="s">
        <v>960</v>
      </c>
      <c r="C6" s="1279" t="s">
        <v>4365</v>
      </c>
      <c r="D6" s="1279" t="s">
        <v>4364</v>
      </c>
      <c r="E6" s="1279" t="s">
        <v>1780</v>
      </c>
      <c r="F6" s="1279" t="s">
        <v>4367</v>
      </c>
      <c r="G6" s="1278" t="s">
        <v>4366</v>
      </c>
      <c r="I6" s="1280" t="s">
        <v>4364</v>
      </c>
      <c r="J6" s="1279" t="s">
        <v>4366</v>
      </c>
      <c r="K6" s="1279" t="s">
        <v>1780</v>
      </c>
      <c r="L6" s="1279" t="s">
        <v>4365</v>
      </c>
      <c r="M6" s="1278" t="s">
        <v>4367</v>
      </c>
      <c r="O6" s="1625"/>
      <c r="P6" s="1281" t="s">
        <v>959</v>
      </c>
      <c r="Q6" s="1279" t="s">
        <v>4364</v>
      </c>
      <c r="R6" s="1279" t="s">
        <v>1780</v>
      </c>
      <c r="S6" s="1279" t="s">
        <v>4365</v>
      </c>
      <c r="T6" s="1279" t="s">
        <v>4366</v>
      </c>
      <c r="U6" s="1278" t="s">
        <v>4367</v>
      </c>
      <c r="V6" s="1628"/>
      <c r="W6" s="1280" t="s">
        <v>4365</v>
      </c>
      <c r="X6" s="1279" t="s">
        <v>4366</v>
      </c>
      <c r="Y6" s="1279" t="s">
        <v>4364</v>
      </c>
      <c r="Z6" s="1279" t="s">
        <v>1780</v>
      </c>
      <c r="AA6" s="1278" t="s">
        <v>4367</v>
      </c>
    </row>
    <row r="7" spans="1:29" x14ac:dyDescent="0.2">
      <c r="A7" s="1625"/>
      <c r="B7" s="1283" t="s">
        <v>961</v>
      </c>
      <c r="C7" s="1279" t="s">
        <v>4364</v>
      </c>
      <c r="D7" s="1279" t="s">
        <v>1780</v>
      </c>
      <c r="E7" s="1279" t="s">
        <v>4367</v>
      </c>
      <c r="F7" s="1279" t="s">
        <v>4366</v>
      </c>
      <c r="G7" s="1278" t="s">
        <v>4365</v>
      </c>
      <c r="I7" s="1280" t="s">
        <v>4367</v>
      </c>
      <c r="J7" s="1279" t="s">
        <v>4364</v>
      </c>
      <c r="K7" s="1279" t="s">
        <v>4366</v>
      </c>
      <c r="L7" s="1279" t="s">
        <v>1780</v>
      </c>
      <c r="M7" s="1278" t="s">
        <v>4365</v>
      </c>
      <c r="O7" s="1625"/>
      <c r="P7" s="1281" t="s">
        <v>962</v>
      </c>
      <c r="Q7" s="1279" t="s">
        <v>4365</v>
      </c>
      <c r="R7" s="1279" t="s">
        <v>4364</v>
      </c>
      <c r="S7" s="1279" t="s">
        <v>4366</v>
      </c>
      <c r="T7" s="1279" t="s">
        <v>4367</v>
      </c>
      <c r="U7" s="1278" t="s">
        <v>1780</v>
      </c>
      <c r="V7" s="1628"/>
      <c r="W7" s="1280" t="s">
        <v>4367</v>
      </c>
      <c r="X7" s="1279" t="s">
        <v>1780</v>
      </c>
      <c r="Y7" s="1279" t="s">
        <v>4366</v>
      </c>
      <c r="Z7" s="1279" t="s">
        <v>4365</v>
      </c>
      <c r="AA7" s="1278" t="s">
        <v>4364</v>
      </c>
    </row>
    <row r="8" spans="1:29" ht="15.75" thickBot="1" x14ac:dyDescent="0.25">
      <c r="A8" s="1626"/>
      <c r="B8" s="1277" t="s">
        <v>962</v>
      </c>
      <c r="C8" s="1273" t="s">
        <v>1780</v>
      </c>
      <c r="D8" s="1273" t="s">
        <v>4367</v>
      </c>
      <c r="E8" s="1273" t="s">
        <v>4366</v>
      </c>
      <c r="F8" s="1273" t="s">
        <v>4365</v>
      </c>
      <c r="G8" s="1272" t="s">
        <v>4364</v>
      </c>
      <c r="I8" s="1274" t="s">
        <v>4365</v>
      </c>
      <c r="J8" s="1273" t="s">
        <v>4367</v>
      </c>
      <c r="K8" s="1273" t="s">
        <v>4364</v>
      </c>
      <c r="L8" s="1273" t="s">
        <v>4366</v>
      </c>
      <c r="M8" s="1272" t="s">
        <v>1780</v>
      </c>
      <c r="O8" s="1626"/>
      <c r="P8" s="1275" t="s">
        <v>960</v>
      </c>
      <c r="Q8" s="1273" t="s">
        <v>4366</v>
      </c>
      <c r="R8" s="1273" t="s">
        <v>4365</v>
      </c>
      <c r="S8" s="1273" t="s">
        <v>4367</v>
      </c>
      <c r="T8" s="1273" t="s">
        <v>1780</v>
      </c>
      <c r="U8" s="1272" t="s">
        <v>4364</v>
      </c>
      <c r="V8" s="1628"/>
      <c r="W8" s="1274" t="s">
        <v>4364</v>
      </c>
      <c r="X8" s="1273" t="s">
        <v>4365</v>
      </c>
      <c r="Y8" s="1273" t="s">
        <v>1780</v>
      </c>
      <c r="Z8" s="1273" t="s">
        <v>4367</v>
      </c>
      <c r="AA8" s="1272" t="s">
        <v>4366</v>
      </c>
    </row>
    <row r="9" spans="1:29" x14ac:dyDescent="0.2">
      <c r="A9" s="1624" t="s">
        <v>4400</v>
      </c>
      <c r="B9" s="1289" t="s">
        <v>4374</v>
      </c>
      <c r="C9" s="1285" t="s">
        <v>1780</v>
      </c>
      <c r="D9" s="1285" t="s">
        <v>4367</v>
      </c>
      <c r="E9" s="1285" t="s">
        <v>4366</v>
      </c>
      <c r="F9" s="1285" t="s">
        <v>4365</v>
      </c>
      <c r="G9" s="1284" t="s">
        <v>4364</v>
      </c>
      <c r="I9" s="1286" t="s">
        <v>4366</v>
      </c>
      <c r="J9" s="1285" t="s">
        <v>1780</v>
      </c>
      <c r="K9" s="1285" t="s">
        <v>4365</v>
      </c>
      <c r="L9" s="1285" t="s">
        <v>4367</v>
      </c>
      <c r="M9" s="1284" t="s">
        <v>4364</v>
      </c>
      <c r="O9" s="1624" t="s">
        <v>4399</v>
      </c>
      <c r="P9" s="1287" t="s">
        <v>961</v>
      </c>
      <c r="Q9" s="1285" t="s">
        <v>4365</v>
      </c>
      <c r="R9" s="1285" t="s">
        <v>4364</v>
      </c>
      <c r="S9" s="1285" t="s">
        <v>4366</v>
      </c>
      <c r="T9" s="1285" t="s">
        <v>4367</v>
      </c>
      <c r="U9" s="1284" t="s">
        <v>1780</v>
      </c>
      <c r="V9" s="1629"/>
      <c r="W9" s="1286" t="s">
        <v>4367</v>
      </c>
      <c r="X9" s="1285" t="s">
        <v>1780</v>
      </c>
      <c r="Y9" s="1285" t="s">
        <v>4366</v>
      </c>
      <c r="Z9" s="1285" t="s">
        <v>4365</v>
      </c>
      <c r="AA9" s="1284" t="s">
        <v>4364</v>
      </c>
    </row>
    <row r="10" spans="1:29" x14ac:dyDescent="0.2">
      <c r="A10" s="1625"/>
      <c r="B10" s="1283" t="s">
        <v>959</v>
      </c>
      <c r="C10" s="1279" t="s">
        <v>4367</v>
      </c>
      <c r="D10" s="1279" t="s">
        <v>4366</v>
      </c>
      <c r="E10" s="1279" t="s">
        <v>4365</v>
      </c>
      <c r="F10" s="1279" t="s">
        <v>4364</v>
      </c>
      <c r="G10" s="1278" t="s">
        <v>1780</v>
      </c>
      <c r="I10" s="1280" t="s">
        <v>4364</v>
      </c>
      <c r="J10" s="1279" t="s">
        <v>4366</v>
      </c>
      <c r="K10" s="1279" t="s">
        <v>1780</v>
      </c>
      <c r="L10" s="1279" t="s">
        <v>4365</v>
      </c>
      <c r="M10" s="1278" t="s">
        <v>4367</v>
      </c>
      <c r="O10" s="1625"/>
      <c r="P10" s="1281" t="s">
        <v>4374</v>
      </c>
      <c r="Q10" s="1279" t="s">
        <v>4366</v>
      </c>
      <c r="R10" s="1279" t="s">
        <v>4365</v>
      </c>
      <c r="S10" s="1279" t="s">
        <v>4367</v>
      </c>
      <c r="T10" s="1279" t="s">
        <v>1780</v>
      </c>
      <c r="U10" s="1278" t="s">
        <v>4364</v>
      </c>
      <c r="V10" s="1629"/>
      <c r="W10" s="1280" t="s">
        <v>4364</v>
      </c>
      <c r="X10" s="1279" t="s">
        <v>4365</v>
      </c>
      <c r="Y10" s="1279" t="s">
        <v>1780</v>
      </c>
      <c r="Z10" s="1279" t="s">
        <v>4367</v>
      </c>
      <c r="AA10" s="1278" t="s">
        <v>4366</v>
      </c>
    </row>
    <row r="11" spans="1:29" x14ac:dyDescent="0.2">
      <c r="A11" s="1625"/>
      <c r="B11" s="1283" t="s">
        <v>960</v>
      </c>
      <c r="C11" s="1279" t="s">
        <v>4366</v>
      </c>
      <c r="D11" s="1279" t="s">
        <v>4365</v>
      </c>
      <c r="E11" s="1279" t="s">
        <v>4364</v>
      </c>
      <c r="F11" s="1279" t="s">
        <v>1780</v>
      </c>
      <c r="G11" s="1278" t="s">
        <v>4367</v>
      </c>
      <c r="I11" s="1280" t="s">
        <v>4367</v>
      </c>
      <c r="J11" s="1279" t="s">
        <v>4364</v>
      </c>
      <c r="K11" s="1279" t="s">
        <v>4366</v>
      </c>
      <c r="L11" s="1279" t="s">
        <v>1780</v>
      </c>
      <c r="M11" s="1278" t="s">
        <v>4365</v>
      </c>
      <c r="O11" s="1625"/>
      <c r="P11" s="1281" t="s">
        <v>959</v>
      </c>
      <c r="Q11" s="1279" t="s">
        <v>4367</v>
      </c>
      <c r="R11" s="1279" t="s">
        <v>4366</v>
      </c>
      <c r="S11" s="1279" t="s">
        <v>1780</v>
      </c>
      <c r="T11" s="1279" t="s">
        <v>4364</v>
      </c>
      <c r="U11" s="1278" t="s">
        <v>4365</v>
      </c>
      <c r="V11" s="1629"/>
      <c r="W11" s="1280" t="s">
        <v>4366</v>
      </c>
      <c r="X11" s="1279" t="s">
        <v>4367</v>
      </c>
      <c r="Y11" s="1279" t="s">
        <v>4365</v>
      </c>
      <c r="Z11" s="1279" t="s">
        <v>4364</v>
      </c>
      <c r="AA11" s="1278" t="s">
        <v>1780</v>
      </c>
    </row>
    <row r="12" spans="1:29" x14ac:dyDescent="0.2">
      <c r="A12" s="1625"/>
      <c r="B12" s="1283" t="s">
        <v>961</v>
      </c>
      <c r="C12" s="1279" t="s">
        <v>4365</v>
      </c>
      <c r="D12" s="1279" t="s">
        <v>4364</v>
      </c>
      <c r="E12" s="1279" t="s">
        <v>1780</v>
      </c>
      <c r="F12" s="1279" t="s">
        <v>4367</v>
      </c>
      <c r="G12" s="1278" t="s">
        <v>4366</v>
      </c>
      <c r="I12" s="1280" t="s">
        <v>4365</v>
      </c>
      <c r="J12" s="1279" t="s">
        <v>4367</v>
      </c>
      <c r="K12" s="1279" t="s">
        <v>4364</v>
      </c>
      <c r="L12" s="1279" t="s">
        <v>4366</v>
      </c>
      <c r="M12" s="1278" t="s">
        <v>1780</v>
      </c>
      <c r="O12" s="1625"/>
      <c r="P12" s="1281" t="s">
        <v>962</v>
      </c>
      <c r="Q12" s="1279" t="s">
        <v>1780</v>
      </c>
      <c r="R12" s="1279" t="s">
        <v>4367</v>
      </c>
      <c r="S12" s="1279" t="s">
        <v>4364</v>
      </c>
      <c r="T12" s="1279" t="s">
        <v>4365</v>
      </c>
      <c r="U12" s="1278" t="s">
        <v>4366</v>
      </c>
      <c r="V12" s="1629"/>
      <c r="W12" s="1280" t="s">
        <v>1780</v>
      </c>
      <c r="X12" s="1279" t="s">
        <v>4364</v>
      </c>
      <c r="Y12" s="1279" t="s">
        <v>4367</v>
      </c>
      <c r="Z12" s="1279" t="s">
        <v>4366</v>
      </c>
      <c r="AA12" s="1278" t="s">
        <v>4365</v>
      </c>
    </row>
    <row r="13" spans="1:29" ht="15.75" thickBot="1" x14ac:dyDescent="0.25">
      <c r="A13" s="1626"/>
      <c r="B13" s="1277" t="s">
        <v>962</v>
      </c>
      <c r="C13" s="1273" t="s">
        <v>4364</v>
      </c>
      <c r="D13" s="1273" t="s">
        <v>1780</v>
      </c>
      <c r="E13" s="1273" t="s">
        <v>4367</v>
      </c>
      <c r="F13" s="1273" t="s">
        <v>4366</v>
      </c>
      <c r="G13" s="1272" t="s">
        <v>4365</v>
      </c>
      <c r="I13" s="1274" t="s">
        <v>1780</v>
      </c>
      <c r="J13" s="1273" t="s">
        <v>4365</v>
      </c>
      <c r="K13" s="1273" t="s">
        <v>4367</v>
      </c>
      <c r="L13" s="1273" t="s">
        <v>4364</v>
      </c>
      <c r="M13" s="1272" t="s">
        <v>4366</v>
      </c>
      <c r="O13" s="1626"/>
      <c r="P13" s="1275" t="s">
        <v>960</v>
      </c>
      <c r="Q13" s="1273" t="s">
        <v>4364</v>
      </c>
      <c r="R13" s="1273" t="s">
        <v>1780</v>
      </c>
      <c r="S13" s="1273" t="s">
        <v>4365</v>
      </c>
      <c r="T13" s="1273" t="s">
        <v>4366</v>
      </c>
      <c r="U13" s="1272" t="s">
        <v>4367</v>
      </c>
      <c r="V13" s="1629"/>
      <c r="W13" s="1274" t="s">
        <v>4365</v>
      </c>
      <c r="X13" s="1273" t="s">
        <v>4366</v>
      </c>
      <c r="Y13" s="1273" t="s">
        <v>4364</v>
      </c>
      <c r="Z13" s="1273" t="s">
        <v>1780</v>
      </c>
      <c r="AA13" s="1272" t="s">
        <v>4367</v>
      </c>
    </row>
    <row r="14" spans="1:29" x14ac:dyDescent="0.2">
      <c r="A14" s="1624" t="s">
        <v>4398</v>
      </c>
      <c r="B14" s="1289" t="s">
        <v>4374</v>
      </c>
      <c r="C14" s="1285" t="s">
        <v>4364</v>
      </c>
      <c r="D14" s="1285" t="s">
        <v>1780</v>
      </c>
      <c r="E14" s="1285" t="s">
        <v>4367</v>
      </c>
      <c r="F14" s="1285" t="s">
        <v>4366</v>
      </c>
      <c r="G14" s="1284" t="s">
        <v>4365</v>
      </c>
      <c r="I14" s="1286" t="s">
        <v>4364</v>
      </c>
      <c r="J14" s="1285" t="s">
        <v>4366</v>
      </c>
      <c r="K14" s="1285" t="s">
        <v>1780</v>
      </c>
      <c r="L14" s="1285" t="s">
        <v>4365</v>
      </c>
      <c r="M14" s="1284" t="s">
        <v>4367</v>
      </c>
      <c r="O14" s="1624" t="s">
        <v>1647</v>
      </c>
      <c r="P14" s="1287" t="s">
        <v>961</v>
      </c>
      <c r="Q14" s="1285" t="s">
        <v>4364</v>
      </c>
      <c r="R14" s="1285" t="s">
        <v>1780</v>
      </c>
      <c r="S14" s="1285" t="s">
        <v>4365</v>
      </c>
      <c r="T14" s="1285" t="s">
        <v>4366</v>
      </c>
      <c r="U14" s="1284" t="s">
        <v>4367</v>
      </c>
      <c r="V14" s="1627"/>
      <c r="W14" s="1286" t="s">
        <v>1780</v>
      </c>
      <c r="X14" s="1285" t="s">
        <v>4364</v>
      </c>
      <c r="Y14" s="1285" t="s">
        <v>4367</v>
      </c>
      <c r="Z14" s="1285" t="s">
        <v>4366</v>
      </c>
      <c r="AA14" s="1284" t="s">
        <v>4365</v>
      </c>
    </row>
    <row r="15" spans="1:29" x14ac:dyDescent="0.2">
      <c r="A15" s="1625"/>
      <c r="B15" s="1283" t="s">
        <v>959</v>
      </c>
      <c r="C15" s="1279" t="s">
        <v>1780</v>
      </c>
      <c r="D15" s="1279" t="s">
        <v>4367</v>
      </c>
      <c r="E15" s="1279" t="s">
        <v>4366</v>
      </c>
      <c r="F15" s="1279" t="s">
        <v>4365</v>
      </c>
      <c r="G15" s="1278" t="s">
        <v>4364</v>
      </c>
      <c r="I15" s="1280" t="s">
        <v>4367</v>
      </c>
      <c r="J15" s="1279" t="s">
        <v>4364</v>
      </c>
      <c r="K15" s="1279" t="s">
        <v>4366</v>
      </c>
      <c r="L15" s="1279" t="s">
        <v>1780</v>
      </c>
      <c r="M15" s="1278" t="s">
        <v>4365</v>
      </c>
      <c r="O15" s="1625"/>
      <c r="P15" s="1281" t="s">
        <v>4374</v>
      </c>
      <c r="Q15" s="1279" t="s">
        <v>4365</v>
      </c>
      <c r="R15" s="1279" t="s">
        <v>4364</v>
      </c>
      <c r="S15" s="1279" t="s">
        <v>4366</v>
      </c>
      <c r="T15" s="1279" t="s">
        <v>4367</v>
      </c>
      <c r="U15" s="1278" t="s">
        <v>1780</v>
      </c>
      <c r="V15" s="1627"/>
      <c r="W15" s="1280" t="s">
        <v>4365</v>
      </c>
      <c r="X15" s="1279" t="s">
        <v>4366</v>
      </c>
      <c r="Y15" s="1279" t="s">
        <v>4364</v>
      </c>
      <c r="Z15" s="1279" t="s">
        <v>1780</v>
      </c>
      <c r="AA15" s="1278" t="s">
        <v>4367</v>
      </c>
    </row>
    <row r="16" spans="1:29" x14ac:dyDescent="0.2">
      <c r="A16" s="1625"/>
      <c r="B16" s="1283" t="s">
        <v>960</v>
      </c>
      <c r="C16" s="1279" t="s">
        <v>4367</v>
      </c>
      <c r="D16" s="1279" t="s">
        <v>4366</v>
      </c>
      <c r="E16" s="1279" t="s">
        <v>4365</v>
      </c>
      <c r="F16" s="1279" t="s">
        <v>4364</v>
      </c>
      <c r="G16" s="1278" t="s">
        <v>1780</v>
      </c>
      <c r="I16" s="1280" t="s">
        <v>4365</v>
      </c>
      <c r="J16" s="1279" t="s">
        <v>4367</v>
      </c>
      <c r="K16" s="1279" t="s">
        <v>4364</v>
      </c>
      <c r="L16" s="1279" t="s">
        <v>4366</v>
      </c>
      <c r="M16" s="1278" t="s">
        <v>1780</v>
      </c>
      <c r="O16" s="1625"/>
      <c r="P16" s="1281" t="s">
        <v>959</v>
      </c>
      <c r="Q16" s="1279" t="s">
        <v>4366</v>
      </c>
      <c r="R16" s="1279" t="s">
        <v>4365</v>
      </c>
      <c r="S16" s="1279" t="s">
        <v>4367</v>
      </c>
      <c r="T16" s="1279" t="s">
        <v>1780</v>
      </c>
      <c r="U16" s="1278" t="s">
        <v>4364</v>
      </c>
      <c r="V16" s="1627"/>
      <c r="W16" s="1280" t="s">
        <v>4367</v>
      </c>
      <c r="X16" s="1279" t="s">
        <v>1780</v>
      </c>
      <c r="Y16" s="1279" t="s">
        <v>4366</v>
      </c>
      <c r="Z16" s="1279" t="s">
        <v>4365</v>
      </c>
      <c r="AA16" s="1278" t="s">
        <v>4364</v>
      </c>
    </row>
    <row r="17" spans="1:27" x14ac:dyDescent="0.2">
      <c r="A17" s="1625"/>
      <c r="B17" s="1283" t="s">
        <v>961</v>
      </c>
      <c r="C17" s="1279" t="s">
        <v>4366</v>
      </c>
      <c r="D17" s="1279" t="s">
        <v>4365</v>
      </c>
      <c r="E17" s="1279" t="s">
        <v>4364</v>
      </c>
      <c r="F17" s="1279" t="s">
        <v>1780</v>
      </c>
      <c r="G17" s="1278" t="s">
        <v>4367</v>
      </c>
      <c r="I17" s="1280" t="s">
        <v>1780</v>
      </c>
      <c r="J17" s="1279" t="s">
        <v>4365</v>
      </c>
      <c r="K17" s="1279" t="s">
        <v>4367</v>
      </c>
      <c r="L17" s="1279" t="s">
        <v>4364</v>
      </c>
      <c r="M17" s="1278" t="s">
        <v>4366</v>
      </c>
      <c r="O17" s="1625"/>
      <c r="P17" s="1281" t="s">
        <v>962</v>
      </c>
      <c r="Q17" s="1279" t="s">
        <v>4367</v>
      </c>
      <c r="R17" s="1279" t="s">
        <v>4366</v>
      </c>
      <c r="S17" s="1279" t="s">
        <v>1780</v>
      </c>
      <c r="T17" s="1279" t="s">
        <v>4364</v>
      </c>
      <c r="U17" s="1278" t="s">
        <v>4365</v>
      </c>
      <c r="V17" s="1627"/>
      <c r="W17" s="1280" t="s">
        <v>4364</v>
      </c>
      <c r="X17" s="1279" t="s">
        <v>4365</v>
      </c>
      <c r="Y17" s="1279" t="s">
        <v>1780</v>
      </c>
      <c r="Z17" s="1279" t="s">
        <v>4367</v>
      </c>
      <c r="AA17" s="1278" t="s">
        <v>4366</v>
      </c>
    </row>
    <row r="18" spans="1:27" ht="15.75" thickBot="1" x14ac:dyDescent="0.25">
      <c r="A18" s="1626"/>
      <c r="B18" s="1277" t="s">
        <v>962</v>
      </c>
      <c r="C18" s="1273" t="s">
        <v>4365</v>
      </c>
      <c r="D18" s="1273" t="s">
        <v>4364</v>
      </c>
      <c r="E18" s="1273" t="s">
        <v>1780</v>
      </c>
      <c r="F18" s="1273" t="s">
        <v>4367</v>
      </c>
      <c r="G18" s="1272" t="s">
        <v>4366</v>
      </c>
      <c r="I18" s="1274" t="s">
        <v>4366</v>
      </c>
      <c r="J18" s="1273" t="s">
        <v>1780</v>
      </c>
      <c r="K18" s="1273" t="s">
        <v>4365</v>
      </c>
      <c r="L18" s="1273" t="s">
        <v>4367</v>
      </c>
      <c r="M18" s="1272" t="s">
        <v>4364</v>
      </c>
      <c r="O18" s="1626"/>
      <c r="P18" s="1275" t="s">
        <v>960</v>
      </c>
      <c r="Q18" s="1273" t="s">
        <v>1780</v>
      </c>
      <c r="R18" s="1273" t="s">
        <v>4367</v>
      </c>
      <c r="S18" s="1273" t="s">
        <v>4364</v>
      </c>
      <c r="T18" s="1273" t="s">
        <v>4365</v>
      </c>
      <c r="U18" s="1272" t="s">
        <v>4366</v>
      </c>
      <c r="V18" s="1627"/>
      <c r="W18" s="1274" t="s">
        <v>4366</v>
      </c>
      <c r="X18" s="1273" t="s">
        <v>4367</v>
      </c>
      <c r="Y18" s="1273" t="s">
        <v>4365</v>
      </c>
      <c r="Z18" s="1273" t="s">
        <v>4364</v>
      </c>
      <c r="AA18" s="1272" t="s">
        <v>1780</v>
      </c>
    </row>
    <row r="19" spans="1:27" x14ac:dyDescent="0.2">
      <c r="A19" s="1624" t="s">
        <v>4397</v>
      </c>
      <c r="B19" s="1289" t="s">
        <v>4374</v>
      </c>
      <c r="C19" s="1285" t="s">
        <v>4365</v>
      </c>
      <c r="D19" s="1285" t="s">
        <v>4364</v>
      </c>
      <c r="E19" s="1285" t="s">
        <v>1780</v>
      </c>
      <c r="F19" s="1285" t="s">
        <v>4367</v>
      </c>
      <c r="G19" s="1284" t="s">
        <v>4366</v>
      </c>
      <c r="I19" s="1286" t="s">
        <v>4367</v>
      </c>
      <c r="J19" s="1285" t="s">
        <v>4364</v>
      </c>
      <c r="K19" s="1285" t="s">
        <v>4366</v>
      </c>
      <c r="L19" s="1285" t="s">
        <v>1780</v>
      </c>
      <c r="M19" s="1284" t="s">
        <v>4365</v>
      </c>
      <c r="O19" s="1288" t="s">
        <v>1643</v>
      </c>
      <c r="P19" s="1287" t="s">
        <v>961</v>
      </c>
      <c r="Q19" s="1285" t="s">
        <v>4366</v>
      </c>
      <c r="R19" s="1285" t="s">
        <v>4365</v>
      </c>
      <c r="S19" s="1285" t="s">
        <v>4367</v>
      </c>
      <c r="T19" s="1285" t="s">
        <v>1780</v>
      </c>
      <c r="U19" s="1284" t="s">
        <v>4364</v>
      </c>
      <c r="V19" s="1271"/>
      <c r="W19" s="1286" t="s">
        <v>4365</v>
      </c>
      <c r="X19" s="1285" t="s">
        <v>4366</v>
      </c>
      <c r="Y19" s="1285" t="s">
        <v>4364</v>
      </c>
      <c r="Z19" s="1285" t="s">
        <v>1780</v>
      </c>
      <c r="AA19" s="1284" t="s">
        <v>4367</v>
      </c>
    </row>
    <row r="20" spans="1:27" x14ac:dyDescent="0.2">
      <c r="A20" s="1625"/>
      <c r="B20" s="1283" t="s">
        <v>959</v>
      </c>
      <c r="C20" s="1279" t="s">
        <v>4364</v>
      </c>
      <c r="D20" s="1279" t="s">
        <v>1780</v>
      </c>
      <c r="E20" s="1279" t="s">
        <v>4367</v>
      </c>
      <c r="F20" s="1279" t="s">
        <v>4366</v>
      </c>
      <c r="G20" s="1278" t="s">
        <v>4365</v>
      </c>
      <c r="I20" s="1280" t="s">
        <v>4365</v>
      </c>
      <c r="J20" s="1279" t="s">
        <v>4367</v>
      </c>
      <c r="K20" s="1279" t="s">
        <v>4364</v>
      </c>
      <c r="L20" s="1279" t="s">
        <v>4366</v>
      </c>
      <c r="M20" s="1278" t="s">
        <v>1780</v>
      </c>
      <c r="O20" s="1282"/>
      <c r="P20" s="1281" t="s">
        <v>4374</v>
      </c>
      <c r="Q20" s="1279" t="s">
        <v>4367</v>
      </c>
      <c r="R20" s="1279" t="s">
        <v>4366</v>
      </c>
      <c r="S20" s="1279" t="s">
        <v>1780</v>
      </c>
      <c r="T20" s="1279" t="s">
        <v>4364</v>
      </c>
      <c r="U20" s="1278" t="s">
        <v>4365</v>
      </c>
      <c r="W20" s="1280" t="s">
        <v>4367</v>
      </c>
      <c r="X20" s="1279" t="s">
        <v>1780</v>
      </c>
      <c r="Y20" s="1279" t="s">
        <v>4366</v>
      </c>
      <c r="Z20" s="1279" t="s">
        <v>4365</v>
      </c>
      <c r="AA20" s="1278" t="s">
        <v>4364</v>
      </c>
    </row>
    <row r="21" spans="1:27" x14ac:dyDescent="0.2">
      <c r="A21" s="1625"/>
      <c r="B21" s="1283" t="s">
        <v>960</v>
      </c>
      <c r="C21" s="1279" t="s">
        <v>1780</v>
      </c>
      <c r="D21" s="1279" t="s">
        <v>4367</v>
      </c>
      <c r="E21" s="1279" t="s">
        <v>4366</v>
      </c>
      <c r="F21" s="1279" t="s">
        <v>4365</v>
      </c>
      <c r="G21" s="1278" t="s">
        <v>4364</v>
      </c>
      <c r="I21" s="1280" t="s">
        <v>1780</v>
      </c>
      <c r="J21" s="1279" t="s">
        <v>4365</v>
      </c>
      <c r="K21" s="1279" t="s">
        <v>4367</v>
      </c>
      <c r="L21" s="1279" t="s">
        <v>4364</v>
      </c>
      <c r="M21" s="1278" t="s">
        <v>4366</v>
      </c>
      <c r="O21" s="1282"/>
      <c r="P21" s="1281" t="s">
        <v>959</v>
      </c>
      <c r="Q21" s="1279" t="s">
        <v>1780</v>
      </c>
      <c r="R21" s="1279" t="s">
        <v>4367</v>
      </c>
      <c r="S21" s="1279" t="s">
        <v>4364</v>
      </c>
      <c r="T21" s="1279" t="s">
        <v>4365</v>
      </c>
      <c r="U21" s="1278" t="s">
        <v>4366</v>
      </c>
      <c r="W21" s="1280" t="s">
        <v>4364</v>
      </c>
      <c r="X21" s="1279" t="s">
        <v>4365</v>
      </c>
      <c r="Y21" s="1279" t="s">
        <v>1780</v>
      </c>
      <c r="Z21" s="1279" t="s">
        <v>4367</v>
      </c>
      <c r="AA21" s="1278" t="s">
        <v>4366</v>
      </c>
    </row>
    <row r="22" spans="1:27" x14ac:dyDescent="0.2">
      <c r="A22" s="1625"/>
      <c r="B22" s="1283" t="s">
        <v>961</v>
      </c>
      <c r="C22" s="1279" t="s">
        <v>4367</v>
      </c>
      <c r="D22" s="1279" t="s">
        <v>4366</v>
      </c>
      <c r="E22" s="1279" t="s">
        <v>4365</v>
      </c>
      <c r="F22" s="1279" t="s">
        <v>4364</v>
      </c>
      <c r="G22" s="1278" t="s">
        <v>1780</v>
      </c>
      <c r="I22" s="1280" t="s">
        <v>4366</v>
      </c>
      <c r="J22" s="1279" t="s">
        <v>1780</v>
      </c>
      <c r="K22" s="1279" t="s">
        <v>4365</v>
      </c>
      <c r="L22" s="1279" t="s">
        <v>4367</v>
      </c>
      <c r="M22" s="1278" t="s">
        <v>4364</v>
      </c>
      <c r="O22" s="1282"/>
      <c r="P22" s="1281" t="s">
        <v>962</v>
      </c>
      <c r="Q22" s="1279" t="s">
        <v>4364</v>
      </c>
      <c r="R22" s="1279" t="s">
        <v>1780</v>
      </c>
      <c r="S22" s="1279" t="s">
        <v>4365</v>
      </c>
      <c r="T22" s="1279" t="s">
        <v>4366</v>
      </c>
      <c r="U22" s="1278" t="s">
        <v>4367</v>
      </c>
      <c r="W22" s="1280" t="s">
        <v>4366</v>
      </c>
      <c r="X22" s="1279" t="s">
        <v>4367</v>
      </c>
      <c r="Y22" s="1279" t="s">
        <v>4365</v>
      </c>
      <c r="Z22" s="1279" t="s">
        <v>4364</v>
      </c>
      <c r="AA22" s="1278" t="s">
        <v>1780</v>
      </c>
    </row>
    <row r="23" spans="1:27" ht="15.75" thickBot="1" x14ac:dyDescent="0.25">
      <c r="A23" s="1626"/>
      <c r="B23" s="1277" t="s">
        <v>962</v>
      </c>
      <c r="C23" s="1273" t="s">
        <v>4366</v>
      </c>
      <c r="D23" s="1273" t="s">
        <v>4365</v>
      </c>
      <c r="E23" s="1273" t="s">
        <v>4364</v>
      </c>
      <c r="F23" s="1273" t="s">
        <v>1780</v>
      </c>
      <c r="G23" s="1272" t="s">
        <v>4367</v>
      </c>
      <c r="I23" s="1274" t="s">
        <v>4364</v>
      </c>
      <c r="J23" s="1273" t="s">
        <v>4366</v>
      </c>
      <c r="K23" s="1273" t="s">
        <v>1780</v>
      </c>
      <c r="L23" s="1273" t="s">
        <v>4365</v>
      </c>
      <c r="M23" s="1272" t="s">
        <v>4367</v>
      </c>
      <c r="O23" s="1282"/>
      <c r="P23" s="1275" t="s">
        <v>960</v>
      </c>
      <c r="Q23" s="1273" t="s">
        <v>4365</v>
      </c>
      <c r="R23" s="1273" t="s">
        <v>4364</v>
      </c>
      <c r="S23" s="1273" t="s">
        <v>4366</v>
      </c>
      <c r="T23" s="1273" t="s">
        <v>4367</v>
      </c>
      <c r="U23" s="1272" t="s">
        <v>1780</v>
      </c>
      <c r="W23" s="1274" t="s">
        <v>1780</v>
      </c>
      <c r="X23" s="1273" t="s">
        <v>4364</v>
      </c>
      <c r="Y23" s="1273" t="s">
        <v>4367</v>
      </c>
      <c r="Z23" s="1273" t="s">
        <v>4366</v>
      </c>
      <c r="AA23" s="1272" t="s">
        <v>4365</v>
      </c>
    </row>
    <row r="24" spans="1:27" x14ac:dyDescent="0.2">
      <c r="A24" s="1624" t="s">
        <v>1642</v>
      </c>
      <c r="B24" s="1289" t="s">
        <v>4374</v>
      </c>
      <c r="C24" s="1285" t="s">
        <v>4366</v>
      </c>
      <c r="D24" s="1285" t="s">
        <v>4365</v>
      </c>
      <c r="E24" s="1285" t="s">
        <v>4364</v>
      </c>
      <c r="F24" s="1285" t="s">
        <v>1780</v>
      </c>
      <c r="G24" s="1284" t="s">
        <v>4367</v>
      </c>
      <c r="I24" s="1286" t="s">
        <v>4365</v>
      </c>
      <c r="J24" s="1285" t="s">
        <v>4367</v>
      </c>
      <c r="K24" s="1285" t="s">
        <v>4364</v>
      </c>
      <c r="L24" s="1285" t="s">
        <v>4366</v>
      </c>
      <c r="M24" s="1284" t="s">
        <v>1780</v>
      </c>
      <c r="O24" s="1288" t="s">
        <v>1646</v>
      </c>
      <c r="P24" s="1287" t="s">
        <v>961</v>
      </c>
      <c r="Q24" s="1285" t="s">
        <v>1780</v>
      </c>
      <c r="R24" s="1285" t="s">
        <v>4367</v>
      </c>
      <c r="S24" s="1285" t="s">
        <v>4364</v>
      </c>
      <c r="T24" s="1285" t="s">
        <v>4365</v>
      </c>
      <c r="U24" s="1284" t="s">
        <v>4366</v>
      </c>
      <c r="V24" s="1271"/>
      <c r="W24" s="1286" t="s">
        <v>4364</v>
      </c>
      <c r="X24" s="1285" t="s">
        <v>4365</v>
      </c>
      <c r="Y24" s="1285" t="s">
        <v>1780</v>
      </c>
      <c r="Z24" s="1285" t="s">
        <v>4367</v>
      </c>
      <c r="AA24" s="1284" t="s">
        <v>4366</v>
      </c>
    </row>
    <row r="25" spans="1:27" x14ac:dyDescent="0.2">
      <c r="A25" s="1625"/>
      <c r="B25" s="1283" t="s">
        <v>959</v>
      </c>
      <c r="C25" s="1279" t="s">
        <v>4365</v>
      </c>
      <c r="D25" s="1279" t="s">
        <v>4364</v>
      </c>
      <c r="E25" s="1279" t="s">
        <v>1780</v>
      </c>
      <c r="F25" s="1279" t="s">
        <v>4367</v>
      </c>
      <c r="G25" s="1278" t="s">
        <v>4366</v>
      </c>
      <c r="I25" s="1280" t="s">
        <v>1780</v>
      </c>
      <c r="J25" s="1279" t="s">
        <v>4365</v>
      </c>
      <c r="K25" s="1279" t="s">
        <v>4367</v>
      </c>
      <c r="L25" s="1279" t="s">
        <v>4364</v>
      </c>
      <c r="M25" s="1278" t="s">
        <v>4366</v>
      </c>
      <c r="O25" s="1282"/>
      <c r="P25" s="1281" t="s">
        <v>4374</v>
      </c>
      <c r="Q25" s="1279" t="s">
        <v>4364</v>
      </c>
      <c r="R25" s="1279" t="s">
        <v>1780</v>
      </c>
      <c r="S25" s="1279" t="s">
        <v>4365</v>
      </c>
      <c r="T25" s="1279" t="s">
        <v>4366</v>
      </c>
      <c r="U25" s="1278" t="s">
        <v>4367</v>
      </c>
      <c r="W25" s="1280" t="s">
        <v>4366</v>
      </c>
      <c r="X25" s="1279" t="s">
        <v>4367</v>
      </c>
      <c r="Y25" s="1279" t="s">
        <v>4365</v>
      </c>
      <c r="Z25" s="1279" t="s">
        <v>4364</v>
      </c>
      <c r="AA25" s="1278" t="s">
        <v>1780</v>
      </c>
    </row>
    <row r="26" spans="1:27" x14ac:dyDescent="0.2">
      <c r="A26" s="1625"/>
      <c r="B26" s="1283" t="s">
        <v>960</v>
      </c>
      <c r="C26" s="1279" t="s">
        <v>4364</v>
      </c>
      <c r="D26" s="1279" t="s">
        <v>1780</v>
      </c>
      <c r="E26" s="1279" t="s">
        <v>4367</v>
      </c>
      <c r="F26" s="1279" t="s">
        <v>4366</v>
      </c>
      <c r="G26" s="1278" t="s">
        <v>4365</v>
      </c>
      <c r="I26" s="1280" t="s">
        <v>4366</v>
      </c>
      <c r="J26" s="1279" t="s">
        <v>1780</v>
      </c>
      <c r="K26" s="1279" t="s">
        <v>4365</v>
      </c>
      <c r="L26" s="1279" t="s">
        <v>4367</v>
      </c>
      <c r="M26" s="1278" t="s">
        <v>4364</v>
      </c>
      <c r="O26" s="1282"/>
      <c r="P26" s="1281" t="s">
        <v>959</v>
      </c>
      <c r="Q26" s="1279" t="s">
        <v>4365</v>
      </c>
      <c r="R26" s="1279" t="s">
        <v>4364</v>
      </c>
      <c r="S26" s="1279" t="s">
        <v>4366</v>
      </c>
      <c r="T26" s="1279" t="s">
        <v>4367</v>
      </c>
      <c r="U26" s="1278" t="s">
        <v>1780</v>
      </c>
      <c r="W26" s="1280" t="s">
        <v>1780</v>
      </c>
      <c r="X26" s="1279" t="s">
        <v>4364</v>
      </c>
      <c r="Y26" s="1279" t="s">
        <v>4367</v>
      </c>
      <c r="Z26" s="1279" t="s">
        <v>4366</v>
      </c>
      <c r="AA26" s="1278" t="s">
        <v>4365</v>
      </c>
    </row>
    <row r="27" spans="1:27" x14ac:dyDescent="0.2">
      <c r="A27" s="1625"/>
      <c r="B27" s="1283" t="s">
        <v>961</v>
      </c>
      <c r="C27" s="1279" t="s">
        <v>1780</v>
      </c>
      <c r="D27" s="1279" t="s">
        <v>4367</v>
      </c>
      <c r="E27" s="1279" t="s">
        <v>4366</v>
      </c>
      <c r="F27" s="1279" t="s">
        <v>4365</v>
      </c>
      <c r="G27" s="1278" t="s">
        <v>4364</v>
      </c>
      <c r="I27" s="1280" t="s">
        <v>4364</v>
      </c>
      <c r="J27" s="1279" t="s">
        <v>4366</v>
      </c>
      <c r="K27" s="1279" t="s">
        <v>1780</v>
      </c>
      <c r="L27" s="1279" t="s">
        <v>4365</v>
      </c>
      <c r="M27" s="1278" t="s">
        <v>4367</v>
      </c>
      <c r="O27" s="1282"/>
      <c r="P27" s="1281" t="s">
        <v>962</v>
      </c>
      <c r="Q27" s="1279" t="s">
        <v>4366</v>
      </c>
      <c r="R27" s="1279" t="s">
        <v>4365</v>
      </c>
      <c r="S27" s="1279" t="s">
        <v>4367</v>
      </c>
      <c r="T27" s="1279" t="s">
        <v>1780</v>
      </c>
      <c r="U27" s="1278" t="s">
        <v>4364</v>
      </c>
      <c r="W27" s="1280" t="s">
        <v>4365</v>
      </c>
      <c r="X27" s="1279" t="s">
        <v>4366</v>
      </c>
      <c r="Y27" s="1279" t="s">
        <v>4364</v>
      </c>
      <c r="Z27" s="1279" t="s">
        <v>1780</v>
      </c>
      <c r="AA27" s="1278" t="s">
        <v>4367</v>
      </c>
    </row>
    <row r="28" spans="1:27" ht="15.75" thickBot="1" x14ac:dyDescent="0.25">
      <c r="A28" s="1626"/>
      <c r="B28" s="1277" t="s">
        <v>962</v>
      </c>
      <c r="C28" s="1273" t="s">
        <v>4367</v>
      </c>
      <c r="D28" s="1273" t="s">
        <v>4366</v>
      </c>
      <c r="E28" s="1273" t="s">
        <v>4365</v>
      </c>
      <c r="F28" s="1273" t="s">
        <v>4364</v>
      </c>
      <c r="G28" s="1272" t="s">
        <v>1780</v>
      </c>
      <c r="I28" s="1274" t="s">
        <v>4367</v>
      </c>
      <c r="J28" s="1273" t="s">
        <v>4364</v>
      </c>
      <c r="K28" s="1273" t="s">
        <v>4366</v>
      </c>
      <c r="L28" s="1273" t="s">
        <v>1780</v>
      </c>
      <c r="M28" s="1272" t="s">
        <v>4365</v>
      </c>
      <c r="O28" s="1276"/>
      <c r="P28" s="1275" t="s">
        <v>960</v>
      </c>
      <c r="Q28" s="1273" t="s">
        <v>4367</v>
      </c>
      <c r="R28" s="1273" t="s">
        <v>4366</v>
      </c>
      <c r="S28" s="1273" t="s">
        <v>1780</v>
      </c>
      <c r="T28" s="1273" t="s">
        <v>4364</v>
      </c>
      <c r="U28" s="1272" t="s">
        <v>4365</v>
      </c>
      <c r="W28" s="1274" t="s">
        <v>4367</v>
      </c>
      <c r="X28" s="1273" t="s">
        <v>1780</v>
      </c>
      <c r="Y28" s="1273" t="s">
        <v>4366</v>
      </c>
      <c r="Z28" s="1273" t="s">
        <v>4365</v>
      </c>
      <c r="AA28" s="1272" t="s">
        <v>4364</v>
      </c>
    </row>
    <row r="29" spans="1:27" x14ac:dyDescent="0.2">
      <c r="A29" s="1271"/>
    </row>
    <row r="30" spans="1:27" x14ac:dyDescent="0.2">
      <c r="B30" s="1623" t="s">
        <v>4396</v>
      </c>
      <c r="C30" s="1623"/>
      <c r="D30" s="1623"/>
      <c r="E30" s="1623"/>
      <c r="F30" s="1623"/>
      <c r="G30" s="1623"/>
      <c r="H30" s="1623"/>
      <c r="I30" s="1623"/>
      <c r="J30" s="1623"/>
      <c r="K30" s="1623"/>
      <c r="L30" s="1623"/>
      <c r="M30" s="1623"/>
      <c r="N30" s="1269" t="s">
        <v>4395</v>
      </c>
      <c r="O30" s="1623" t="s">
        <v>4394</v>
      </c>
      <c r="P30" s="1623"/>
      <c r="Q30" s="1623"/>
      <c r="R30" s="1623"/>
      <c r="S30" s="1623"/>
      <c r="T30" s="1623"/>
      <c r="U30" s="1623"/>
      <c r="V30" s="1623"/>
      <c r="W30" s="1623"/>
      <c r="X30" s="1623"/>
      <c r="Y30" s="1623"/>
      <c r="Z30" s="1623"/>
    </row>
    <row r="31" spans="1:27" s="1297" customFormat="1" x14ac:dyDescent="0.2">
      <c r="A31" s="1297" t="s">
        <v>4393</v>
      </c>
      <c r="B31" s="1297" t="s">
        <v>4392</v>
      </c>
      <c r="C31" s="1297" t="s">
        <v>4410</v>
      </c>
      <c r="D31" s="1297" t="s">
        <v>4414</v>
      </c>
      <c r="E31" s="1297" t="s">
        <v>4391</v>
      </c>
      <c r="F31" s="1297" t="s">
        <v>1817</v>
      </c>
      <c r="G31" s="1297" t="s">
        <v>4390</v>
      </c>
      <c r="H31" s="1297" t="s">
        <v>4245</v>
      </c>
      <c r="I31" s="1297" t="s">
        <v>2881</v>
      </c>
      <c r="J31" s="1297" t="s">
        <v>4389</v>
      </c>
      <c r="K31" s="1297" t="s">
        <v>2417</v>
      </c>
      <c r="L31" s="1297" t="s">
        <v>3228</v>
      </c>
      <c r="M31" s="1297" t="s">
        <v>2418</v>
      </c>
      <c r="N31" s="1297" t="s">
        <v>2337</v>
      </c>
      <c r="O31" s="1297" t="s">
        <v>4388</v>
      </c>
      <c r="P31" s="1297" t="s">
        <v>4411</v>
      </c>
      <c r="Q31" s="1297" t="s">
        <v>4415</v>
      </c>
      <c r="R31" s="1297" t="s">
        <v>4416</v>
      </c>
      <c r="S31" s="1297" t="s">
        <v>4417</v>
      </c>
      <c r="T31" s="1297" t="s">
        <v>4418</v>
      </c>
      <c r="U31" s="1297" t="s">
        <v>2887</v>
      </c>
      <c r="V31" s="1297" t="s">
        <v>2888</v>
      </c>
      <c r="W31" s="1297" t="s">
        <v>2889</v>
      </c>
      <c r="X31" s="1297" t="s">
        <v>4387</v>
      </c>
      <c r="Y31" s="1297" t="s">
        <v>4386</v>
      </c>
      <c r="Z31" s="1297" t="s">
        <v>4385</v>
      </c>
      <c r="AA31" s="1297" t="s">
        <v>4384</v>
      </c>
    </row>
    <row r="32" spans="1:27" s="1297" customFormat="1" x14ac:dyDescent="0.2">
      <c r="A32" s="1297" t="s">
        <v>4374</v>
      </c>
      <c r="B32" s="1297" t="s">
        <v>4376</v>
      </c>
      <c r="C32" s="1297" t="s">
        <v>4408</v>
      </c>
      <c r="D32" s="1297" t="s">
        <v>962</v>
      </c>
      <c r="E32" s="1297" t="s">
        <v>959</v>
      </c>
      <c r="F32" s="1297" t="s">
        <v>960</v>
      </c>
      <c r="G32" s="1297" t="s">
        <v>961</v>
      </c>
      <c r="J32" s="1297" t="s">
        <v>4383</v>
      </c>
      <c r="N32" s="1298" t="s">
        <v>2343</v>
      </c>
      <c r="O32" s="1297" t="s">
        <v>4382</v>
      </c>
      <c r="P32" s="1297" t="s">
        <v>1634</v>
      </c>
      <c r="Q32" s="1297" t="s">
        <v>962</v>
      </c>
      <c r="R32" s="1297" t="s">
        <v>960</v>
      </c>
      <c r="S32" s="1297" t="s">
        <v>959</v>
      </c>
      <c r="T32" s="1297" t="s">
        <v>961</v>
      </c>
    </row>
    <row r="33" spans="1:20" s="1297" customFormat="1" x14ac:dyDescent="0.2">
      <c r="A33" s="1297" t="s">
        <v>959</v>
      </c>
      <c r="B33" s="1297" t="s">
        <v>4382</v>
      </c>
      <c r="C33" s="1297" t="s">
        <v>4409</v>
      </c>
      <c r="D33" s="1297" t="s">
        <v>4374</v>
      </c>
      <c r="E33" s="1297" t="s">
        <v>960</v>
      </c>
      <c r="F33" s="1297" t="s">
        <v>962</v>
      </c>
      <c r="G33" s="1297" t="s">
        <v>961</v>
      </c>
      <c r="J33" s="1297" t="s">
        <v>4381</v>
      </c>
      <c r="N33" s="1298" t="s">
        <v>2347</v>
      </c>
      <c r="O33" s="1297" t="s">
        <v>4380</v>
      </c>
      <c r="P33" s="1297" t="s">
        <v>1511</v>
      </c>
      <c r="Q33" s="1297" t="s">
        <v>961</v>
      </c>
      <c r="R33" s="1297" t="s">
        <v>960</v>
      </c>
      <c r="S33" s="1297" t="s">
        <v>4374</v>
      </c>
      <c r="T33" s="1297" t="s">
        <v>962</v>
      </c>
    </row>
    <row r="34" spans="1:20" s="1297" customFormat="1" x14ac:dyDescent="0.2">
      <c r="A34" s="1297" t="s">
        <v>960</v>
      </c>
      <c r="B34" s="1297" t="s">
        <v>4380</v>
      </c>
      <c r="C34" s="1297" t="s">
        <v>3337</v>
      </c>
      <c r="D34" s="1297" t="s">
        <v>959</v>
      </c>
      <c r="E34" s="1297" t="s">
        <v>961</v>
      </c>
      <c r="F34" s="1297" t="s">
        <v>4374</v>
      </c>
      <c r="G34" s="1297" t="s">
        <v>962</v>
      </c>
      <c r="J34" s="1297" t="s">
        <v>4379</v>
      </c>
      <c r="N34" s="1298" t="s">
        <v>2351</v>
      </c>
      <c r="O34" s="1297" t="s">
        <v>4375</v>
      </c>
      <c r="P34" s="1297" t="s">
        <v>4412</v>
      </c>
      <c r="Q34" s="1297" t="s">
        <v>959</v>
      </c>
      <c r="R34" s="1297" t="s">
        <v>4374</v>
      </c>
      <c r="S34" s="1297" t="s">
        <v>962</v>
      </c>
      <c r="T34" s="1297" t="s">
        <v>961</v>
      </c>
    </row>
    <row r="35" spans="1:20" s="1297" customFormat="1" x14ac:dyDescent="0.2">
      <c r="A35" s="1297" t="s">
        <v>961</v>
      </c>
      <c r="B35" s="1297" t="s">
        <v>4371</v>
      </c>
      <c r="C35" s="1297" t="s">
        <v>1640</v>
      </c>
      <c r="D35" s="1297" t="s">
        <v>962</v>
      </c>
      <c r="E35" s="1297" t="s">
        <v>960</v>
      </c>
      <c r="F35" s="1297" t="s">
        <v>4374</v>
      </c>
      <c r="G35" s="1297" t="s">
        <v>959</v>
      </c>
      <c r="J35" s="1297" t="s">
        <v>4378</v>
      </c>
      <c r="N35" s="1298" t="s">
        <v>4377</v>
      </c>
      <c r="O35" s="1297" t="s">
        <v>4376</v>
      </c>
      <c r="P35" s="1297" t="s">
        <v>1636</v>
      </c>
      <c r="Q35" s="1297" t="s">
        <v>962</v>
      </c>
      <c r="R35" s="1297" t="s">
        <v>959</v>
      </c>
      <c r="S35" s="1297" t="s">
        <v>960</v>
      </c>
      <c r="T35" s="1297" t="s">
        <v>4374</v>
      </c>
    </row>
    <row r="36" spans="1:20" s="1297" customFormat="1" x14ac:dyDescent="0.2">
      <c r="A36" s="1297" t="s">
        <v>962</v>
      </c>
      <c r="B36" s="1297" t="s">
        <v>4375</v>
      </c>
      <c r="C36" s="1297" t="s">
        <v>1641</v>
      </c>
      <c r="D36" s="1297" t="s">
        <v>959</v>
      </c>
      <c r="E36" s="1297" t="s">
        <v>961</v>
      </c>
      <c r="F36" s="1297" t="s">
        <v>959</v>
      </c>
      <c r="G36" s="1297" t="s">
        <v>960</v>
      </c>
      <c r="J36" s="1297" t="s">
        <v>4373</v>
      </c>
      <c r="N36" s="1298" t="s">
        <v>4372</v>
      </c>
      <c r="O36" s="1297" t="s">
        <v>4371</v>
      </c>
      <c r="P36" s="1297" t="s">
        <v>4413</v>
      </c>
      <c r="Q36" s="1297" t="s">
        <v>4374</v>
      </c>
      <c r="R36" s="1297" t="s">
        <v>961</v>
      </c>
      <c r="S36" s="1297" t="s">
        <v>959</v>
      </c>
      <c r="T36" s="1297" t="s">
        <v>960</v>
      </c>
    </row>
    <row r="38" spans="1:20" s="1296" customFormat="1" x14ac:dyDescent="0.2">
      <c r="A38" s="1296" t="s">
        <v>4370</v>
      </c>
      <c r="B38" s="1296" t="s">
        <v>4369</v>
      </c>
      <c r="C38" s="1296" t="s">
        <v>4368</v>
      </c>
      <c r="D38" s="1296" t="s">
        <v>4419</v>
      </c>
      <c r="E38" s="1296" t="s">
        <v>4420</v>
      </c>
      <c r="F38" s="1296" t="s">
        <v>4421</v>
      </c>
      <c r="G38" s="1296" t="s">
        <v>4422</v>
      </c>
    </row>
    <row r="39" spans="1:20" s="1296" customFormat="1" x14ac:dyDescent="0.2">
      <c r="A39" s="1296" t="s">
        <v>4367</v>
      </c>
      <c r="B39" s="1299">
        <f>B41/3</f>
        <v>0.33333333333333331</v>
      </c>
      <c r="D39" s="1299">
        <v>1.5</v>
      </c>
      <c r="E39" s="1304">
        <v>1.25</v>
      </c>
      <c r="F39" s="1299">
        <v>2</v>
      </c>
      <c r="G39" s="1304">
        <v>1.75</v>
      </c>
    </row>
    <row r="40" spans="1:20" s="1296" customFormat="1" x14ac:dyDescent="0.2">
      <c r="A40" s="1296" t="s">
        <v>4366</v>
      </c>
      <c r="B40" s="1299">
        <f>B39/2</f>
        <v>0.16666666666666666</v>
      </c>
      <c r="D40" s="1299">
        <v>1.25</v>
      </c>
      <c r="E40" s="1304">
        <v>1.25</v>
      </c>
      <c r="F40" s="1299">
        <v>1.5</v>
      </c>
      <c r="G40" s="1304">
        <v>1.75</v>
      </c>
    </row>
    <row r="41" spans="1:20" s="1296" customFormat="1" x14ac:dyDescent="0.2">
      <c r="A41" s="1296" t="s">
        <v>4365</v>
      </c>
      <c r="B41" s="1299">
        <v>1</v>
      </c>
      <c r="D41" s="1299">
        <v>2</v>
      </c>
      <c r="E41" s="1304">
        <v>1</v>
      </c>
      <c r="F41" s="1299">
        <v>0.75</v>
      </c>
      <c r="G41" s="1304">
        <v>0.75</v>
      </c>
    </row>
    <row r="42" spans="1:20" s="1296" customFormat="1" x14ac:dyDescent="0.2">
      <c r="A42" s="1296" t="s">
        <v>4364</v>
      </c>
      <c r="B42" s="1299">
        <f>B40/2</f>
        <v>8.3333333333333329E-2</v>
      </c>
      <c r="D42" s="1299">
        <v>0.75</v>
      </c>
      <c r="E42" s="1304">
        <v>1</v>
      </c>
      <c r="F42" s="1299">
        <v>0.5</v>
      </c>
      <c r="G42" s="1304">
        <v>0.75</v>
      </c>
      <c r="J42" s="1300"/>
      <c r="K42" s="1301"/>
    </row>
    <row r="43" spans="1:20" s="1296" customFormat="1" x14ac:dyDescent="0.2">
      <c r="A43" s="1296" t="s">
        <v>1780</v>
      </c>
      <c r="B43" s="1299">
        <f>B42/2</f>
        <v>4.1666666666666664E-2</v>
      </c>
      <c r="C43" s="1296" t="s">
        <v>4363</v>
      </c>
      <c r="D43" s="1299">
        <v>0.5</v>
      </c>
      <c r="E43" s="1304">
        <v>1.5</v>
      </c>
      <c r="F43" s="1299">
        <v>1.25</v>
      </c>
      <c r="G43" s="1304">
        <v>1</v>
      </c>
      <c r="J43" s="1300"/>
      <c r="K43" s="1301"/>
    </row>
    <row r="44" spans="1:20" x14ac:dyDescent="0.2">
      <c r="J44" s="1300"/>
      <c r="K44" s="1301"/>
    </row>
    <row r="45" spans="1:20" x14ac:dyDescent="0.2">
      <c r="J45" s="1300"/>
      <c r="K45" s="1301"/>
    </row>
    <row r="46" spans="1:20" x14ac:dyDescent="0.2">
      <c r="J46" s="1302"/>
      <c r="K46" s="1303"/>
    </row>
  </sheetData>
  <mergeCells count="17">
    <mergeCell ref="I2:M2"/>
    <mergeCell ref="C2:G2"/>
    <mergeCell ref="W2:AA2"/>
    <mergeCell ref="A14:A18"/>
    <mergeCell ref="A19:A23"/>
    <mergeCell ref="Q2:U2"/>
    <mergeCell ref="V4:V8"/>
    <mergeCell ref="V9:V13"/>
    <mergeCell ref="A4:A8"/>
    <mergeCell ref="A9:A13"/>
    <mergeCell ref="O4:O8"/>
    <mergeCell ref="O9:O13"/>
    <mergeCell ref="B30:M30"/>
    <mergeCell ref="O30:Z30"/>
    <mergeCell ref="A24:A28"/>
    <mergeCell ref="O14:O18"/>
    <mergeCell ref="V14:V18"/>
  </mergeCells>
  <pageMargins left="0.7" right="0.7" top="0.75" bottom="0.75" header="0.3" footer="0.3"/>
  <pageSetup orientation="portrait" r:id="rId1"/>
  <tableParts count="2">
    <tablePart r:id="rId2"/>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4"/>
  <dimension ref="M1:AX29"/>
  <sheetViews>
    <sheetView zoomScale="61" zoomScaleNormal="61" workbookViewId="0" xr3:uid="{23B2C380-326F-580B-8990-D38B2516F165}">
      <selection activeCell="AT18" sqref="AT18"/>
    </sheetView>
  </sheetViews>
  <sheetFormatPr defaultColWidth="4.5703125" defaultRowHeight="21.75" customHeight="1" x14ac:dyDescent="0.2"/>
  <cols>
    <col min="1" max="11" width="4.5703125" style="1312"/>
    <col min="12" max="39" width="4.5703125" style="1312" customWidth="1"/>
    <col min="40" max="40" width="4.5703125" style="1313" customWidth="1"/>
    <col min="41" max="16384" width="4.5703125" style="1312"/>
  </cols>
  <sheetData>
    <row r="1" spans="13:40" ht="21.75" customHeight="1" thickBot="1" x14ac:dyDescent="0.25"/>
    <row r="2" spans="13:40" ht="21.75" customHeight="1" thickBot="1" x14ac:dyDescent="0.25">
      <c r="M2" s="1314"/>
      <c r="N2" s="1315"/>
      <c r="O2" s="1316"/>
      <c r="P2" s="1316"/>
      <c r="Q2" s="1317"/>
      <c r="R2" s="1647" t="s">
        <v>164</v>
      </c>
      <c r="S2" s="1648"/>
      <c r="T2" s="1648"/>
      <c r="U2" s="1657"/>
      <c r="V2" s="1647" t="s">
        <v>1583</v>
      </c>
      <c r="W2" s="1648"/>
      <c r="X2" s="1648"/>
      <c r="Y2" s="1657"/>
      <c r="Z2" s="1647" t="s">
        <v>1510</v>
      </c>
      <c r="AA2" s="1648"/>
      <c r="AB2" s="1648"/>
      <c r="AC2" s="1657"/>
      <c r="AD2" s="1647" t="s">
        <v>1584</v>
      </c>
      <c r="AE2" s="1648"/>
      <c r="AF2" s="1648"/>
      <c r="AG2" s="1657"/>
      <c r="AH2" s="1647" t="s">
        <v>2180</v>
      </c>
      <c r="AI2" s="1648"/>
      <c r="AJ2" s="1648"/>
      <c r="AK2" s="1657"/>
      <c r="AL2" s="1647" t="s">
        <v>4101</v>
      </c>
      <c r="AM2" s="1648"/>
      <c r="AN2" s="1318" t="s">
        <v>1419</v>
      </c>
    </row>
    <row r="3" spans="13:40" ht="21.75" customHeight="1" thickBot="1" x14ac:dyDescent="0.25">
      <c r="M3" s="1319"/>
      <c r="N3" s="1637" t="s">
        <v>4480</v>
      </c>
      <c r="O3" s="1637"/>
      <c r="P3" s="1637"/>
      <c r="Q3" s="1638"/>
      <c r="R3" s="1633" t="s">
        <v>2034</v>
      </c>
      <c r="S3" s="1634"/>
      <c r="T3" s="1634"/>
      <c r="U3" s="1634"/>
      <c r="V3" s="1634"/>
      <c r="W3" s="1634"/>
      <c r="X3" s="1634"/>
      <c r="Y3" s="1634"/>
      <c r="Z3" s="1635"/>
      <c r="AA3" s="1633" t="s">
        <v>801</v>
      </c>
      <c r="AB3" s="1634"/>
      <c r="AC3" s="1634"/>
      <c r="AD3" s="1634"/>
      <c r="AE3" s="1634"/>
      <c r="AF3" s="1634"/>
      <c r="AG3" s="1634"/>
      <c r="AH3" s="1634"/>
      <c r="AI3" s="1642"/>
      <c r="AJ3" s="1637" t="s">
        <v>4471</v>
      </c>
      <c r="AK3" s="1637"/>
      <c r="AL3" s="1637"/>
      <c r="AM3" s="1637"/>
      <c r="AN3" s="1320" t="s">
        <v>1197</v>
      </c>
    </row>
    <row r="4" spans="13:40" ht="21.75" customHeight="1" x14ac:dyDescent="0.2">
      <c r="M4" s="1319"/>
      <c r="N4" s="1637"/>
      <c r="O4" s="1637"/>
      <c r="P4" s="1637"/>
      <c r="Q4" s="1638"/>
      <c r="R4" s="1636"/>
      <c r="S4" s="1637"/>
      <c r="T4" s="1637"/>
      <c r="U4" s="1637"/>
      <c r="V4" s="1637"/>
      <c r="W4" s="1637"/>
      <c r="X4" s="1637"/>
      <c r="Y4" s="1637"/>
      <c r="Z4" s="1638"/>
      <c r="AA4" s="1636"/>
      <c r="AB4" s="1637"/>
      <c r="AC4" s="1637"/>
      <c r="AD4" s="1637"/>
      <c r="AE4" s="1637"/>
      <c r="AF4" s="1637"/>
      <c r="AG4" s="1637"/>
      <c r="AH4" s="1637"/>
      <c r="AI4" s="1643"/>
      <c r="AJ4" s="1637"/>
      <c r="AK4" s="1637"/>
      <c r="AL4" s="1637"/>
      <c r="AM4" s="1637"/>
      <c r="AN4" s="1630" t="s">
        <v>1586</v>
      </c>
    </row>
    <row r="5" spans="13:40" ht="21.75" customHeight="1" thickBot="1" x14ac:dyDescent="0.25">
      <c r="M5" s="1321"/>
      <c r="N5" s="1637"/>
      <c r="O5" s="1637"/>
      <c r="P5" s="1637"/>
      <c r="Q5" s="1638"/>
      <c r="R5" s="1636"/>
      <c r="S5" s="1637"/>
      <c r="T5" s="1637"/>
      <c r="U5" s="1637"/>
      <c r="V5" s="1637"/>
      <c r="W5" s="1637"/>
      <c r="X5" s="1637"/>
      <c r="Y5" s="1637"/>
      <c r="Z5" s="1638"/>
      <c r="AA5" s="1636"/>
      <c r="AB5" s="1637"/>
      <c r="AC5" s="1637"/>
      <c r="AD5" s="1637"/>
      <c r="AE5" s="1637"/>
      <c r="AF5" s="1637"/>
      <c r="AG5" s="1637"/>
      <c r="AH5" s="1637"/>
      <c r="AI5" s="1643"/>
      <c r="AJ5" s="1637"/>
      <c r="AK5" s="1637"/>
      <c r="AL5" s="1637"/>
      <c r="AM5" s="1637"/>
      <c r="AN5" s="1631"/>
    </row>
    <row r="6" spans="13:40" ht="21.75" customHeight="1" thickBot="1" x14ac:dyDescent="0.25">
      <c r="M6" s="1314"/>
      <c r="N6" s="1645"/>
      <c r="O6" s="1645"/>
      <c r="P6" s="1645"/>
      <c r="Q6" s="1651"/>
      <c r="R6" s="1639"/>
      <c r="S6" s="1640"/>
      <c r="T6" s="1640"/>
      <c r="U6" s="1640"/>
      <c r="V6" s="1640"/>
      <c r="W6" s="1640"/>
      <c r="X6" s="1640"/>
      <c r="Y6" s="1640"/>
      <c r="Z6" s="1641"/>
      <c r="AA6" s="1639"/>
      <c r="AB6" s="1640"/>
      <c r="AC6" s="1640"/>
      <c r="AD6" s="1640"/>
      <c r="AE6" s="1640"/>
      <c r="AF6" s="1640"/>
      <c r="AG6" s="1640"/>
      <c r="AH6" s="1640"/>
      <c r="AI6" s="1644"/>
      <c r="AJ6" s="1645"/>
      <c r="AK6" s="1645"/>
      <c r="AL6" s="1645"/>
      <c r="AM6" s="1645"/>
      <c r="AN6" s="1631"/>
    </row>
    <row r="7" spans="13:40" ht="21.75" customHeight="1" thickTop="1" thickBot="1" x14ac:dyDescent="0.25">
      <c r="M7" s="1319"/>
      <c r="N7" s="1646" t="s">
        <v>4479</v>
      </c>
      <c r="O7" s="1646"/>
      <c r="P7" s="1646"/>
      <c r="Q7" s="1646"/>
      <c r="R7" s="1652"/>
      <c r="S7" s="1653"/>
      <c r="T7" s="1653"/>
      <c r="U7" s="1653"/>
      <c r="V7" s="1653"/>
      <c r="W7" s="1653"/>
      <c r="X7" s="1653"/>
      <c r="Y7" s="1653"/>
      <c r="Z7" s="1653"/>
      <c r="AA7" s="1653"/>
      <c r="AB7" s="1653"/>
      <c r="AC7" s="1653"/>
      <c r="AD7" s="1653"/>
      <c r="AE7" s="1653"/>
      <c r="AF7" s="1653"/>
      <c r="AG7" s="1653"/>
      <c r="AH7" s="1653"/>
      <c r="AI7" s="1654"/>
      <c r="AJ7" s="1646" t="s">
        <v>4472</v>
      </c>
      <c r="AK7" s="1646"/>
      <c r="AL7" s="1646"/>
      <c r="AM7" s="1646"/>
      <c r="AN7" s="1632"/>
    </row>
    <row r="8" spans="13:40" ht="21.75" customHeight="1" x14ac:dyDescent="0.2">
      <c r="M8" s="1319"/>
      <c r="N8" s="1637"/>
      <c r="O8" s="1637"/>
      <c r="P8" s="1637"/>
      <c r="Q8" s="1637"/>
      <c r="R8" s="1655"/>
      <c r="S8" s="1637"/>
      <c r="T8" s="1637"/>
      <c r="U8" s="1637"/>
      <c r="V8" s="1637"/>
      <c r="W8" s="1637"/>
      <c r="X8" s="1637"/>
      <c r="Y8" s="1637"/>
      <c r="Z8" s="1637"/>
      <c r="AA8" s="1637"/>
      <c r="AB8" s="1637"/>
      <c r="AC8" s="1637"/>
      <c r="AD8" s="1637"/>
      <c r="AE8" s="1637"/>
      <c r="AF8" s="1637"/>
      <c r="AG8" s="1637"/>
      <c r="AH8" s="1637"/>
      <c r="AI8" s="1643"/>
      <c r="AJ8" s="1637"/>
      <c r="AK8" s="1637"/>
      <c r="AL8" s="1637"/>
      <c r="AM8" s="1637"/>
      <c r="AN8" s="1630" t="s">
        <v>1523</v>
      </c>
    </row>
    <row r="9" spans="13:40" ht="21.75" customHeight="1" thickBot="1" x14ac:dyDescent="0.25">
      <c r="M9" s="1321"/>
      <c r="N9" s="1637"/>
      <c r="O9" s="1637"/>
      <c r="P9" s="1637"/>
      <c r="Q9" s="1637"/>
      <c r="R9" s="1655"/>
      <c r="S9" s="1637"/>
      <c r="T9" s="1637"/>
      <c r="U9" s="1637"/>
      <c r="V9" s="1637"/>
      <c r="W9" s="1637"/>
      <c r="X9" s="1637"/>
      <c r="Y9" s="1637"/>
      <c r="Z9" s="1637"/>
      <c r="AA9" s="1637"/>
      <c r="AB9" s="1637"/>
      <c r="AC9" s="1637"/>
      <c r="AD9" s="1637"/>
      <c r="AE9" s="1637"/>
      <c r="AF9" s="1637"/>
      <c r="AG9" s="1637"/>
      <c r="AH9" s="1637"/>
      <c r="AI9" s="1643"/>
      <c r="AJ9" s="1637"/>
      <c r="AK9" s="1637"/>
      <c r="AL9" s="1637"/>
      <c r="AM9" s="1637"/>
      <c r="AN9" s="1631"/>
    </row>
    <row r="10" spans="13:40" ht="21.75" customHeight="1" x14ac:dyDescent="0.2">
      <c r="M10" s="1314"/>
      <c r="N10" s="1637"/>
      <c r="O10" s="1637"/>
      <c r="P10" s="1637"/>
      <c r="Q10" s="1637"/>
      <c r="R10" s="1655"/>
      <c r="S10" s="1637"/>
      <c r="T10" s="1637"/>
      <c r="U10" s="1637"/>
      <c r="V10" s="1637"/>
      <c r="W10" s="1637"/>
      <c r="X10" s="1637"/>
      <c r="Y10" s="1637"/>
      <c r="Z10" s="1637"/>
      <c r="AA10" s="1637"/>
      <c r="AB10" s="1637"/>
      <c r="AC10" s="1637"/>
      <c r="AD10" s="1637"/>
      <c r="AE10" s="1637"/>
      <c r="AF10" s="1637"/>
      <c r="AG10" s="1637"/>
      <c r="AH10" s="1637"/>
      <c r="AI10" s="1643"/>
      <c r="AJ10" s="1637"/>
      <c r="AK10" s="1637"/>
      <c r="AL10" s="1637"/>
      <c r="AM10" s="1637"/>
      <c r="AN10" s="1631"/>
    </row>
    <row r="11" spans="13:40" ht="21.75" customHeight="1" thickBot="1" x14ac:dyDescent="0.25">
      <c r="M11" s="1319"/>
      <c r="N11" s="1637"/>
      <c r="O11" s="1637"/>
      <c r="P11" s="1637"/>
      <c r="Q11" s="1637"/>
      <c r="R11" s="1655"/>
      <c r="S11" s="1637"/>
      <c r="T11" s="1637"/>
      <c r="U11" s="1637"/>
      <c r="V11" s="1637"/>
      <c r="W11" s="1637"/>
      <c r="X11" s="1637"/>
      <c r="Y11" s="1637"/>
      <c r="Z11" s="1637"/>
      <c r="AA11" s="1637"/>
      <c r="AB11" s="1637"/>
      <c r="AC11" s="1637"/>
      <c r="AD11" s="1637"/>
      <c r="AE11" s="1637"/>
      <c r="AF11" s="1637"/>
      <c r="AG11" s="1637"/>
      <c r="AH11" s="1637"/>
      <c r="AI11" s="1643"/>
      <c r="AJ11" s="1637"/>
      <c r="AK11" s="1637"/>
      <c r="AL11" s="1637"/>
      <c r="AM11" s="1637"/>
      <c r="AN11" s="1632"/>
    </row>
    <row r="12" spans="13:40" ht="21.75" customHeight="1" x14ac:dyDescent="0.2">
      <c r="M12" s="1319"/>
      <c r="N12" s="1637"/>
      <c r="O12" s="1637"/>
      <c r="P12" s="1637"/>
      <c r="Q12" s="1637"/>
      <c r="R12" s="1655"/>
      <c r="S12" s="1637"/>
      <c r="T12" s="1637"/>
      <c r="U12" s="1637"/>
      <c r="V12" s="1637"/>
      <c r="W12" s="1637"/>
      <c r="X12" s="1637"/>
      <c r="Y12" s="1637"/>
      <c r="Z12" s="1637"/>
      <c r="AA12" s="1637"/>
      <c r="AB12" s="1637"/>
      <c r="AC12" s="1637"/>
      <c r="AD12" s="1637"/>
      <c r="AE12" s="1637"/>
      <c r="AF12" s="1637"/>
      <c r="AG12" s="1637"/>
      <c r="AH12" s="1637"/>
      <c r="AI12" s="1643"/>
      <c r="AJ12" s="1637"/>
      <c r="AK12" s="1637"/>
      <c r="AL12" s="1637"/>
      <c r="AM12" s="1637"/>
      <c r="AN12" s="1630" t="s">
        <v>1587</v>
      </c>
    </row>
    <row r="13" spans="13:40" ht="21.75" customHeight="1" thickBot="1" x14ac:dyDescent="0.25">
      <c r="M13" s="1321"/>
      <c r="N13" s="1637"/>
      <c r="O13" s="1637"/>
      <c r="P13" s="1637"/>
      <c r="Q13" s="1637"/>
      <c r="R13" s="1655"/>
      <c r="S13" s="1637"/>
      <c r="T13" s="1637"/>
      <c r="U13" s="1637"/>
      <c r="V13" s="1637"/>
      <c r="W13" s="1637"/>
      <c r="X13" s="1637"/>
      <c r="Y13" s="1637"/>
      <c r="Z13" s="1637"/>
      <c r="AA13" s="1637"/>
      <c r="AB13" s="1637"/>
      <c r="AC13" s="1637"/>
      <c r="AD13" s="1637"/>
      <c r="AE13" s="1637"/>
      <c r="AF13" s="1637"/>
      <c r="AG13" s="1637"/>
      <c r="AH13" s="1637"/>
      <c r="AI13" s="1643"/>
      <c r="AJ13" s="1637"/>
      <c r="AK13" s="1637"/>
      <c r="AL13" s="1637"/>
      <c r="AM13" s="1637"/>
      <c r="AN13" s="1631"/>
    </row>
    <row r="14" spans="13:40" ht="21.75" customHeight="1" x14ac:dyDescent="0.2">
      <c r="M14" s="1314"/>
      <c r="N14" s="1637"/>
      <c r="O14" s="1637"/>
      <c r="P14" s="1637"/>
      <c r="Q14" s="1637"/>
      <c r="R14" s="1655"/>
      <c r="S14" s="1637"/>
      <c r="T14" s="1637"/>
      <c r="U14" s="1637"/>
      <c r="V14" s="1637"/>
      <c r="W14" s="1637"/>
      <c r="X14" s="1637"/>
      <c r="Y14" s="1637"/>
      <c r="Z14" s="1637"/>
      <c r="AA14" s="1637"/>
      <c r="AB14" s="1637"/>
      <c r="AC14" s="1637"/>
      <c r="AD14" s="1637"/>
      <c r="AE14" s="1637"/>
      <c r="AF14" s="1637"/>
      <c r="AG14" s="1637"/>
      <c r="AH14" s="1637"/>
      <c r="AI14" s="1643"/>
      <c r="AJ14" s="1637"/>
      <c r="AK14" s="1637"/>
      <c r="AL14" s="1637"/>
      <c r="AM14" s="1637"/>
      <c r="AN14" s="1631"/>
    </row>
    <row r="15" spans="13:40" ht="21.75" customHeight="1" thickBot="1" x14ac:dyDescent="0.25">
      <c r="M15" s="1319"/>
      <c r="N15" s="1645"/>
      <c r="O15" s="1645"/>
      <c r="P15" s="1645"/>
      <c r="Q15" s="1645"/>
      <c r="R15" s="1655"/>
      <c r="S15" s="1637"/>
      <c r="T15" s="1637"/>
      <c r="U15" s="1637"/>
      <c r="V15" s="1637"/>
      <c r="W15" s="1637"/>
      <c r="X15" s="1637"/>
      <c r="Y15" s="1637"/>
      <c r="Z15" s="1637"/>
      <c r="AA15" s="1637"/>
      <c r="AB15" s="1637"/>
      <c r="AC15" s="1637"/>
      <c r="AD15" s="1637"/>
      <c r="AE15" s="1637"/>
      <c r="AF15" s="1637"/>
      <c r="AG15" s="1637"/>
      <c r="AH15" s="1637"/>
      <c r="AI15" s="1643"/>
      <c r="AJ15" s="1645"/>
      <c r="AK15" s="1645"/>
      <c r="AL15" s="1645"/>
      <c r="AM15" s="1645"/>
      <c r="AN15" s="1632"/>
    </row>
    <row r="16" spans="13:40" ht="21.75" customHeight="1" x14ac:dyDescent="0.2">
      <c r="M16" s="1319"/>
      <c r="N16" s="1646" t="s">
        <v>4478</v>
      </c>
      <c r="O16" s="1646"/>
      <c r="P16" s="1646"/>
      <c r="Q16" s="1646"/>
      <c r="R16" s="1655"/>
      <c r="S16" s="1637"/>
      <c r="T16" s="1637"/>
      <c r="U16" s="1637"/>
      <c r="V16" s="1637"/>
      <c r="W16" s="1637"/>
      <c r="X16" s="1637"/>
      <c r="Y16" s="1637"/>
      <c r="Z16" s="1637"/>
      <c r="AA16" s="1637"/>
      <c r="AB16" s="1637"/>
      <c r="AC16" s="1637"/>
      <c r="AD16" s="1637"/>
      <c r="AE16" s="1637"/>
      <c r="AF16" s="1637"/>
      <c r="AG16" s="1637"/>
      <c r="AH16" s="1637"/>
      <c r="AI16" s="1643"/>
      <c r="AJ16" s="1646" t="s">
        <v>4473</v>
      </c>
      <c r="AK16" s="1646"/>
      <c r="AL16" s="1646"/>
      <c r="AM16" s="1646"/>
      <c r="AN16" s="1630"/>
    </row>
    <row r="17" spans="13:50" ht="21.75" customHeight="1" thickBot="1" x14ac:dyDescent="0.25">
      <c r="M17" s="1321"/>
      <c r="N17" s="1637"/>
      <c r="O17" s="1637"/>
      <c r="P17" s="1637"/>
      <c r="Q17" s="1637"/>
      <c r="R17" s="1655"/>
      <c r="S17" s="1637"/>
      <c r="T17" s="1637"/>
      <c r="U17" s="1637"/>
      <c r="V17" s="1637"/>
      <c r="W17" s="1637"/>
      <c r="X17" s="1637"/>
      <c r="Y17" s="1637"/>
      <c r="Z17" s="1637"/>
      <c r="AA17" s="1637"/>
      <c r="AB17" s="1637"/>
      <c r="AC17" s="1637"/>
      <c r="AD17" s="1637"/>
      <c r="AE17" s="1637"/>
      <c r="AF17" s="1637"/>
      <c r="AG17" s="1637"/>
      <c r="AH17" s="1637"/>
      <c r="AI17" s="1643"/>
      <c r="AJ17" s="1637"/>
      <c r="AK17" s="1637"/>
      <c r="AL17" s="1637"/>
      <c r="AM17" s="1637"/>
      <c r="AN17" s="1631"/>
    </row>
    <row r="18" spans="13:50" ht="21.75" customHeight="1" x14ac:dyDescent="0.2">
      <c r="M18" s="1314"/>
      <c r="N18" s="1637"/>
      <c r="O18" s="1637"/>
      <c r="P18" s="1637"/>
      <c r="Q18" s="1637"/>
      <c r="R18" s="1655"/>
      <c r="S18" s="1637"/>
      <c r="T18" s="1637"/>
      <c r="U18" s="1637"/>
      <c r="V18" s="1637"/>
      <c r="W18" s="1637"/>
      <c r="X18" s="1637"/>
      <c r="Y18" s="1637"/>
      <c r="Z18" s="1637"/>
      <c r="AA18" s="1637"/>
      <c r="AB18" s="1637"/>
      <c r="AC18" s="1637"/>
      <c r="AD18" s="1637"/>
      <c r="AE18" s="1637"/>
      <c r="AF18" s="1637"/>
      <c r="AG18" s="1637"/>
      <c r="AH18" s="1637"/>
      <c r="AI18" s="1643"/>
      <c r="AJ18" s="1637"/>
      <c r="AK18" s="1637"/>
      <c r="AL18" s="1637"/>
      <c r="AM18" s="1637"/>
      <c r="AN18" s="1631"/>
      <c r="AW18" s="1324"/>
      <c r="AX18" s="1324"/>
    </row>
    <row r="19" spans="13:50" ht="21.75" customHeight="1" thickBot="1" x14ac:dyDescent="0.25">
      <c r="M19" s="1319"/>
      <c r="N19" s="1637"/>
      <c r="O19" s="1637"/>
      <c r="P19" s="1637"/>
      <c r="Q19" s="1637"/>
      <c r="R19" s="1655"/>
      <c r="S19" s="1637"/>
      <c r="T19" s="1637"/>
      <c r="U19" s="1637"/>
      <c r="V19" s="1637"/>
      <c r="W19" s="1637"/>
      <c r="X19" s="1637"/>
      <c r="Y19" s="1637"/>
      <c r="Z19" s="1637"/>
      <c r="AA19" s="1637"/>
      <c r="AB19" s="1637"/>
      <c r="AC19" s="1637"/>
      <c r="AD19" s="1637"/>
      <c r="AE19" s="1637"/>
      <c r="AF19" s="1637"/>
      <c r="AG19" s="1637"/>
      <c r="AH19" s="1637"/>
      <c r="AI19" s="1643"/>
      <c r="AJ19" s="1637"/>
      <c r="AK19" s="1637"/>
      <c r="AL19" s="1637"/>
      <c r="AM19" s="1637"/>
      <c r="AN19" s="1632"/>
    </row>
    <row r="20" spans="13:50" ht="21.75" customHeight="1" x14ac:dyDescent="0.2">
      <c r="M20" s="1319"/>
      <c r="N20" s="1637"/>
      <c r="O20" s="1637"/>
      <c r="P20" s="1637"/>
      <c r="Q20" s="1637"/>
      <c r="R20" s="1655"/>
      <c r="S20" s="1637"/>
      <c r="T20" s="1637"/>
      <c r="U20" s="1637"/>
      <c r="V20" s="1637"/>
      <c r="W20" s="1637"/>
      <c r="X20" s="1637"/>
      <c r="Y20" s="1637"/>
      <c r="Z20" s="1637"/>
      <c r="AA20" s="1637"/>
      <c r="AB20" s="1637"/>
      <c r="AC20" s="1637"/>
      <c r="AD20" s="1637"/>
      <c r="AE20" s="1637"/>
      <c r="AF20" s="1637"/>
      <c r="AG20" s="1637"/>
      <c r="AH20" s="1637"/>
      <c r="AI20" s="1643"/>
      <c r="AJ20" s="1637"/>
      <c r="AK20" s="1637"/>
      <c r="AL20" s="1637"/>
      <c r="AM20" s="1637"/>
      <c r="AN20" s="1322"/>
    </row>
    <row r="21" spans="13:50" ht="21.75" customHeight="1" thickBot="1" x14ac:dyDescent="0.25">
      <c r="M21" s="1321"/>
      <c r="N21" s="1637"/>
      <c r="O21" s="1637"/>
      <c r="P21" s="1637"/>
      <c r="Q21" s="1637"/>
      <c r="R21" s="1655"/>
      <c r="S21" s="1637"/>
      <c r="T21" s="1637"/>
      <c r="U21" s="1637"/>
      <c r="V21" s="1637"/>
      <c r="W21" s="1637"/>
      <c r="X21" s="1637"/>
      <c r="Y21" s="1637"/>
      <c r="Z21" s="1637"/>
      <c r="AA21" s="1637"/>
      <c r="AB21" s="1637"/>
      <c r="AC21" s="1637"/>
      <c r="AD21" s="1637"/>
      <c r="AE21" s="1637"/>
      <c r="AF21" s="1637"/>
      <c r="AG21" s="1637"/>
      <c r="AH21" s="1637"/>
      <c r="AI21" s="1643"/>
      <c r="AJ21" s="1637"/>
      <c r="AK21" s="1637"/>
      <c r="AL21" s="1637"/>
      <c r="AM21" s="1637"/>
      <c r="AN21" s="1323"/>
    </row>
    <row r="22" spans="13:50" ht="21.75" customHeight="1" x14ac:dyDescent="0.2">
      <c r="M22" s="1314"/>
      <c r="N22" s="1637"/>
      <c r="O22" s="1637"/>
      <c r="P22" s="1637"/>
      <c r="Q22" s="1637"/>
      <c r="R22" s="1655"/>
      <c r="S22" s="1637"/>
      <c r="T22" s="1637"/>
      <c r="U22" s="1637"/>
      <c r="V22" s="1637"/>
      <c r="W22" s="1637"/>
      <c r="X22" s="1637"/>
      <c r="Y22" s="1637"/>
      <c r="Z22" s="1637"/>
      <c r="AA22" s="1637"/>
      <c r="AB22" s="1637"/>
      <c r="AC22" s="1637"/>
      <c r="AD22" s="1637"/>
      <c r="AE22" s="1637"/>
      <c r="AF22" s="1637"/>
      <c r="AG22" s="1637"/>
      <c r="AH22" s="1637"/>
      <c r="AI22" s="1643"/>
      <c r="AJ22" s="1637"/>
      <c r="AK22" s="1637"/>
      <c r="AL22" s="1637"/>
      <c r="AM22" s="1637"/>
      <c r="AN22" s="1323"/>
    </row>
    <row r="23" spans="13:50" ht="21.75" customHeight="1" thickBot="1" x14ac:dyDescent="0.25">
      <c r="M23" s="1319"/>
      <c r="N23" s="1637"/>
      <c r="O23" s="1637"/>
      <c r="P23" s="1637"/>
      <c r="Q23" s="1637"/>
      <c r="R23" s="1655"/>
      <c r="S23" s="1637"/>
      <c r="T23" s="1637"/>
      <c r="U23" s="1637"/>
      <c r="V23" s="1637"/>
      <c r="W23" s="1637"/>
      <c r="X23" s="1637"/>
      <c r="Y23" s="1637"/>
      <c r="Z23" s="1637"/>
      <c r="AA23" s="1637"/>
      <c r="AB23" s="1637"/>
      <c r="AC23" s="1637"/>
      <c r="AD23" s="1637"/>
      <c r="AE23" s="1637"/>
      <c r="AF23" s="1637"/>
      <c r="AG23" s="1637"/>
      <c r="AH23" s="1637"/>
      <c r="AI23" s="1643"/>
      <c r="AJ23" s="1637"/>
      <c r="AK23" s="1637"/>
      <c r="AL23" s="1637"/>
      <c r="AM23" s="1637"/>
      <c r="AN23" s="1320"/>
    </row>
    <row r="24" spans="13:50" ht="21.75" customHeight="1" thickBot="1" x14ac:dyDescent="0.25">
      <c r="M24" s="1319"/>
      <c r="N24" s="1645"/>
      <c r="O24" s="1645"/>
      <c r="P24" s="1645"/>
      <c r="Q24" s="1645"/>
      <c r="R24" s="1656"/>
      <c r="S24" s="1640"/>
      <c r="T24" s="1640"/>
      <c r="U24" s="1640"/>
      <c r="V24" s="1640"/>
      <c r="W24" s="1640"/>
      <c r="X24" s="1640"/>
      <c r="Y24" s="1640"/>
      <c r="Z24" s="1640"/>
      <c r="AA24" s="1640"/>
      <c r="AB24" s="1640"/>
      <c r="AC24" s="1640"/>
      <c r="AD24" s="1640"/>
      <c r="AE24" s="1640"/>
      <c r="AF24" s="1640"/>
      <c r="AG24" s="1640"/>
      <c r="AH24" s="1640"/>
      <c r="AI24" s="1644"/>
      <c r="AJ24" s="1645"/>
      <c r="AK24" s="1645"/>
      <c r="AL24" s="1645"/>
      <c r="AM24" s="1645"/>
      <c r="AN24" s="1322"/>
    </row>
    <row r="25" spans="13:50" ht="21.75" customHeight="1" thickBot="1" x14ac:dyDescent="0.25">
      <c r="M25" s="1321"/>
      <c r="N25" s="1646" t="s">
        <v>4477</v>
      </c>
      <c r="O25" s="1646"/>
      <c r="P25" s="1646"/>
      <c r="Q25" s="1649"/>
      <c r="R25" s="1636" t="s">
        <v>4476</v>
      </c>
      <c r="S25" s="1637"/>
      <c r="T25" s="1637"/>
      <c r="U25" s="1637"/>
      <c r="V25" s="1637"/>
      <c r="W25" s="1637"/>
      <c r="X25" s="1637"/>
      <c r="Y25" s="1637"/>
      <c r="Z25" s="1638"/>
      <c r="AA25" s="1636" t="s">
        <v>4475</v>
      </c>
      <c r="AB25" s="1637"/>
      <c r="AC25" s="1637"/>
      <c r="AD25" s="1637"/>
      <c r="AE25" s="1637"/>
      <c r="AF25" s="1637"/>
      <c r="AG25" s="1637"/>
      <c r="AH25" s="1637"/>
      <c r="AI25" s="1638"/>
      <c r="AJ25" s="1658" t="s">
        <v>4474</v>
      </c>
      <c r="AK25" s="1646"/>
      <c r="AL25" s="1646"/>
      <c r="AM25" s="1646"/>
      <c r="AN25" s="1323"/>
    </row>
    <row r="26" spans="13:50" ht="21.75" customHeight="1" x14ac:dyDescent="0.2">
      <c r="M26" s="1314"/>
      <c r="N26" s="1637"/>
      <c r="O26" s="1650"/>
      <c r="P26" s="1650"/>
      <c r="Q26" s="1638"/>
      <c r="R26" s="1636"/>
      <c r="S26" s="1637"/>
      <c r="T26" s="1637"/>
      <c r="U26" s="1637"/>
      <c r="V26" s="1637"/>
      <c r="W26" s="1637"/>
      <c r="X26" s="1637"/>
      <c r="Y26" s="1637"/>
      <c r="Z26" s="1638"/>
      <c r="AA26" s="1636"/>
      <c r="AB26" s="1637"/>
      <c r="AC26" s="1637"/>
      <c r="AD26" s="1637"/>
      <c r="AE26" s="1637"/>
      <c r="AF26" s="1637"/>
      <c r="AG26" s="1637"/>
      <c r="AH26" s="1637"/>
      <c r="AI26" s="1638"/>
      <c r="AJ26" s="1636"/>
      <c r="AK26" s="1650"/>
      <c r="AL26" s="1650"/>
      <c r="AM26" s="1637"/>
      <c r="AN26" s="1323"/>
    </row>
    <row r="27" spans="13:50" ht="21.75" customHeight="1" thickBot="1" x14ac:dyDescent="0.25">
      <c r="M27" s="1319"/>
      <c r="N27" s="1637"/>
      <c r="O27" s="1650"/>
      <c r="P27" s="1650"/>
      <c r="Q27" s="1638"/>
      <c r="R27" s="1636"/>
      <c r="S27" s="1637"/>
      <c r="T27" s="1637"/>
      <c r="U27" s="1637"/>
      <c r="V27" s="1637"/>
      <c r="W27" s="1637"/>
      <c r="X27" s="1637"/>
      <c r="Y27" s="1637"/>
      <c r="Z27" s="1638"/>
      <c r="AA27" s="1636"/>
      <c r="AB27" s="1637"/>
      <c r="AC27" s="1637"/>
      <c r="AD27" s="1637"/>
      <c r="AE27" s="1637"/>
      <c r="AF27" s="1637"/>
      <c r="AG27" s="1637"/>
      <c r="AH27" s="1637"/>
      <c r="AI27" s="1638"/>
      <c r="AJ27" s="1636"/>
      <c r="AK27" s="1650"/>
      <c r="AL27" s="1650"/>
      <c r="AM27" s="1637"/>
      <c r="AN27" s="1320"/>
    </row>
    <row r="28" spans="13:50" ht="21.75" customHeight="1" thickBot="1" x14ac:dyDescent="0.25">
      <c r="M28" s="1319"/>
      <c r="N28" s="1637"/>
      <c r="O28" s="1637"/>
      <c r="P28" s="1637"/>
      <c r="Q28" s="1638"/>
      <c r="R28" s="1636"/>
      <c r="S28" s="1637"/>
      <c r="T28" s="1637"/>
      <c r="U28" s="1637"/>
      <c r="V28" s="1637"/>
      <c r="W28" s="1637"/>
      <c r="X28" s="1637"/>
      <c r="Y28" s="1637"/>
      <c r="Z28" s="1638"/>
      <c r="AA28" s="1636"/>
      <c r="AB28" s="1637"/>
      <c r="AC28" s="1637"/>
      <c r="AD28" s="1637"/>
      <c r="AE28" s="1637"/>
      <c r="AF28" s="1637"/>
      <c r="AG28" s="1637"/>
      <c r="AH28" s="1637"/>
      <c r="AI28" s="1638"/>
      <c r="AJ28" s="1636"/>
      <c r="AK28" s="1637"/>
      <c r="AL28" s="1637"/>
      <c r="AM28" s="1637"/>
      <c r="AN28" s="1322"/>
    </row>
    <row r="29" spans="13:50" ht="21.75" customHeight="1" thickBot="1" x14ac:dyDescent="0.25">
      <c r="M29" s="1321"/>
      <c r="N29" s="1316"/>
      <c r="O29" s="1316"/>
      <c r="P29" s="1316"/>
      <c r="Q29" s="1317"/>
      <c r="R29" s="1315"/>
      <c r="S29" s="1316"/>
      <c r="T29" s="1316"/>
      <c r="U29" s="1317"/>
      <c r="V29" s="1315"/>
      <c r="W29" s="1316"/>
      <c r="X29" s="1316"/>
      <c r="Y29" s="1317"/>
      <c r="Z29" s="1315"/>
      <c r="AA29" s="1316"/>
      <c r="AB29" s="1316"/>
      <c r="AC29" s="1317"/>
      <c r="AD29" s="1315"/>
      <c r="AE29" s="1316"/>
      <c r="AF29" s="1316"/>
      <c r="AG29" s="1317"/>
      <c r="AH29" s="1315"/>
      <c r="AI29" s="1316"/>
      <c r="AJ29" s="1316"/>
      <c r="AK29" s="1317"/>
      <c r="AL29" s="1315"/>
      <c r="AM29" s="1316"/>
      <c r="AN29" s="1325"/>
    </row>
  </sheetData>
  <mergeCells count="23">
    <mergeCell ref="AL2:AM2"/>
    <mergeCell ref="N25:Q28"/>
    <mergeCell ref="N16:Q24"/>
    <mergeCell ref="N7:Q15"/>
    <mergeCell ref="N3:Q6"/>
    <mergeCell ref="R7:AI24"/>
    <mergeCell ref="R2:U2"/>
    <mergeCell ref="AJ25:AM28"/>
    <mergeCell ref="AA25:AI28"/>
    <mergeCell ref="R25:Z28"/>
    <mergeCell ref="AJ16:AM24"/>
    <mergeCell ref="V2:Y2"/>
    <mergeCell ref="Z2:AC2"/>
    <mergeCell ref="AD2:AG2"/>
    <mergeCell ref="AH2:AK2"/>
    <mergeCell ref="AN16:AN19"/>
    <mergeCell ref="AN12:AN15"/>
    <mergeCell ref="R3:Z6"/>
    <mergeCell ref="AA3:AI6"/>
    <mergeCell ref="AJ3:AM6"/>
    <mergeCell ref="AJ7:AM15"/>
    <mergeCell ref="AN8:AN11"/>
    <mergeCell ref="AN4:AN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Excel Android</Application>
  <DocSecurity>0</DocSecurity>
  <ScaleCrop>false</ScaleCrop>
  <HeadingPairs>
    <vt:vector size="4" baseType="variant">
      <vt:variant>
        <vt:lpstr>Worksheets</vt:lpstr>
      </vt:variant>
      <vt:variant>
        <vt:i4>28</vt:i4>
      </vt:variant>
      <vt:variant>
        <vt:lpstr>Named Ranges</vt:lpstr>
      </vt:variant>
      <vt:variant>
        <vt:i4>159</vt:i4>
      </vt:variant>
    </vt:vector>
  </HeadingPairs>
  <TitlesOfParts>
    <vt:vector size="187" baseType="lpstr">
      <vt:lpstr>JHora</vt:lpstr>
      <vt:lpstr>Basics</vt:lpstr>
      <vt:lpstr>Charts</vt:lpstr>
      <vt:lpstr>Ayush</vt:lpstr>
      <vt:lpstr>Shadbala</vt:lpstr>
      <vt:lpstr>Vimshottari</vt:lpstr>
      <vt:lpstr>Vimshottari@Date</vt:lpstr>
      <vt:lpstr>Udu</vt:lpstr>
      <vt:lpstr>KalaChakra Dasa</vt:lpstr>
      <vt:lpstr>Ashtakavarga</vt:lpstr>
      <vt:lpstr>DATA</vt:lpstr>
      <vt:lpstr>Tattva</vt:lpstr>
      <vt:lpstr>NarayanaDasa</vt:lpstr>
      <vt:lpstr>Sp.Nakshatra</vt:lpstr>
      <vt:lpstr>Sahamas</vt:lpstr>
      <vt:lpstr>NavaTara</vt:lpstr>
      <vt:lpstr>Sarvotabhadra</vt:lpstr>
      <vt:lpstr>Shata Patha Chakra</vt:lpstr>
      <vt:lpstr>Kalachakra</vt:lpstr>
      <vt:lpstr>Lagna</vt:lpstr>
      <vt:lpstr>MatchMaking</vt:lpstr>
      <vt:lpstr>Murhurtha Rulers</vt:lpstr>
      <vt:lpstr>Navanayaka</vt:lpstr>
      <vt:lpstr>Progressions</vt:lpstr>
      <vt:lpstr>WorkSheet</vt:lpstr>
      <vt:lpstr>Rudra</vt:lpstr>
      <vt:lpstr>PanchaPakshi</vt:lpstr>
      <vt:lpstr>RashiNxPada</vt:lpstr>
      <vt:lpstr>DATA!_ftn1</vt:lpstr>
      <vt:lpstr>DATA!_ftn2</vt:lpstr>
      <vt:lpstr>DATA!_ftn3</vt:lpstr>
      <vt:lpstr>DATA!_ftn4</vt:lpstr>
      <vt:lpstr>DATA!_ftnref1</vt:lpstr>
      <vt:lpstr>DATA!_ftnref2</vt:lpstr>
      <vt:lpstr>DATA!_ftnref3</vt:lpstr>
      <vt:lpstr>DATA!_ftnref4</vt:lpstr>
      <vt:lpstr>Age</vt:lpstr>
      <vt:lpstr>Ahargana</vt:lpstr>
      <vt:lpstr>AharganaBase</vt:lpstr>
      <vt:lpstr>AharganaBaseDate</vt:lpstr>
      <vt:lpstr>AllPAV</vt:lpstr>
      <vt:lpstr>AshtottariNaxRulers</vt:lpstr>
      <vt:lpstr>AshtottariNaxYears</vt:lpstr>
      <vt:lpstr>Balance1</vt:lpstr>
      <vt:lpstr>BAV</vt:lpstr>
      <vt:lpstr>BhavaInfo</vt:lpstr>
      <vt:lpstr>BorderDegrees</vt:lpstr>
      <vt:lpstr>Chart</vt:lpstr>
      <vt:lpstr>ChartInfo</vt:lpstr>
      <vt:lpstr>D150EnglishNames</vt:lpstr>
      <vt:lpstr>D150InequalDegrees</vt:lpstr>
      <vt:lpstr>D20Deities</vt:lpstr>
      <vt:lpstr>D24Deities</vt:lpstr>
      <vt:lpstr>D27Deities</vt:lpstr>
      <vt:lpstr>D60Dieties</vt:lpstr>
      <vt:lpstr>DasaSpans</vt:lpstr>
      <vt:lpstr>DasaYears</vt:lpstr>
      <vt:lpstr>Date</vt:lpstr>
      <vt:lpstr>DayBirth</vt:lpstr>
      <vt:lpstr>DaysInYear</vt:lpstr>
      <vt:lpstr>DinaMaana</vt:lpstr>
      <vt:lpstr>DivCharts</vt:lpstr>
      <vt:lpstr>DoB</vt:lpstr>
      <vt:lpstr>DTattvaUnit</vt:lpstr>
      <vt:lpstr>Excel_BuiltIn__FilterDatabase_11</vt:lpstr>
      <vt:lpstr>FinancialRelations</vt:lpstr>
      <vt:lpstr>FirstDasaYrs1</vt:lpstr>
      <vt:lpstr>FourthLord</vt:lpstr>
      <vt:lpstr>GhatakaChakra</vt:lpstr>
      <vt:lpstr>GowriPanchanga</vt:lpstr>
      <vt:lpstr>GrahaOrder</vt:lpstr>
      <vt:lpstr>GrahaShayanadiGunanka</vt:lpstr>
      <vt:lpstr>GrahaWeekdayOrder</vt:lpstr>
      <vt:lpstr>Gunachakra</vt:lpstr>
      <vt:lpstr>Hora</vt:lpstr>
      <vt:lpstr>HoraLagna</vt:lpstr>
      <vt:lpstr>JanmaGhatika</vt:lpstr>
      <vt:lpstr>JupDeb</vt:lpstr>
      <vt:lpstr>JupEx</vt:lpstr>
      <vt:lpstr>Jupiter</vt:lpstr>
      <vt:lpstr>JupiterHouse</vt:lpstr>
      <vt:lpstr>Kalachakra</vt:lpstr>
      <vt:lpstr>KalachakraTbl</vt:lpstr>
      <vt:lpstr>Ketu</vt:lpstr>
      <vt:lpstr>KetuDeb</vt:lpstr>
      <vt:lpstr>KetuEx</vt:lpstr>
      <vt:lpstr>Lagna</vt:lpstr>
      <vt:lpstr>Lagnahouse</vt:lpstr>
      <vt:lpstr>LagnaLord</vt:lpstr>
      <vt:lpstr>LagnaLordD</vt:lpstr>
      <vt:lpstr>LL</vt:lpstr>
      <vt:lpstr>Lord2h</vt:lpstr>
      <vt:lpstr>LordsInHouses</vt:lpstr>
      <vt:lpstr>MahaDasaTable</vt:lpstr>
      <vt:lpstr>Mandi</vt:lpstr>
      <vt:lpstr>Mars</vt:lpstr>
      <vt:lpstr>MarsDeb</vt:lpstr>
      <vt:lpstr>MarsEx</vt:lpstr>
      <vt:lpstr>MarsHouse</vt:lpstr>
      <vt:lpstr>MercDeb</vt:lpstr>
      <vt:lpstr>MercEx</vt:lpstr>
      <vt:lpstr>Mercury</vt:lpstr>
      <vt:lpstr>MercuryHouse</vt:lpstr>
      <vt:lpstr>Moon</vt:lpstr>
      <vt:lpstr>MoonDeb</vt:lpstr>
      <vt:lpstr>MoonDeg</vt:lpstr>
      <vt:lpstr>MoonEx</vt:lpstr>
      <vt:lpstr>MoonHouse</vt:lpstr>
      <vt:lpstr>MoonPeriod</vt:lpstr>
      <vt:lpstr>NakshatraInfo</vt:lpstr>
      <vt:lpstr>NakshatraSpan</vt:lpstr>
      <vt:lpstr>NakshatraTbl</vt:lpstr>
      <vt:lpstr>NaxDeg28</vt:lpstr>
      <vt:lpstr>NaxNames28</vt:lpstr>
      <vt:lpstr>NDasaC</vt:lpstr>
      <vt:lpstr>NDasaSeq</vt:lpstr>
      <vt:lpstr>NDDaysInYEar</vt:lpstr>
      <vt:lpstr>NDDoB</vt:lpstr>
      <vt:lpstr>NDTable</vt:lpstr>
      <vt:lpstr>Pachakaadi</vt:lpstr>
      <vt:lpstr>palbhaa</vt:lpstr>
      <vt:lpstr>PanchangaVaara</vt:lpstr>
      <vt:lpstr>PanchangaYoga</vt:lpstr>
      <vt:lpstr>PlanetData</vt:lpstr>
      <vt:lpstr>PlanetDataSeq</vt:lpstr>
      <vt:lpstr>Basics!Print_Area</vt:lpstr>
      <vt:lpstr>PunyaSaham</vt:lpstr>
      <vt:lpstr>PushyaDegree</vt:lpstr>
      <vt:lpstr>RaashiMaan2</vt:lpstr>
      <vt:lpstr>RaashiMaana</vt:lpstr>
      <vt:lpstr>RaashiMaana1</vt:lpstr>
      <vt:lpstr>Raashimaana3</vt:lpstr>
      <vt:lpstr>Rahu</vt:lpstr>
      <vt:lpstr>RahuDeb</vt:lpstr>
      <vt:lpstr>RahuEx</vt:lpstr>
      <vt:lpstr>RahuHouse</vt:lpstr>
      <vt:lpstr>RasiDeg</vt:lpstr>
      <vt:lpstr>RasiInfo</vt:lpstr>
      <vt:lpstr>RasiNarayan</vt:lpstr>
      <vt:lpstr>RasiTbl_11</vt:lpstr>
      <vt:lpstr>RasiTbl_3</vt:lpstr>
      <vt:lpstr>RatriMaana</vt:lpstr>
      <vt:lpstr>RsInfo</vt:lpstr>
      <vt:lpstr>RsTbl</vt:lpstr>
      <vt:lpstr>SamvatsaraTable</vt:lpstr>
      <vt:lpstr>SatDeb</vt:lpstr>
      <vt:lpstr>SatEx</vt:lpstr>
      <vt:lpstr>Saturn</vt:lpstr>
      <vt:lpstr>SaturnHouse</vt:lpstr>
      <vt:lpstr>SecondLord</vt:lpstr>
      <vt:lpstr>ShayanaadiAvastha</vt:lpstr>
      <vt:lpstr>ShodhanaMinimum</vt:lpstr>
      <vt:lpstr>SignSym</vt:lpstr>
      <vt:lpstr>StarDeg</vt:lpstr>
      <vt:lpstr>Start1</vt:lpstr>
      <vt:lpstr>Sun</vt:lpstr>
      <vt:lpstr>SunDeb</vt:lpstr>
      <vt:lpstr>SunDeg</vt:lpstr>
      <vt:lpstr>SunEx</vt:lpstr>
      <vt:lpstr>SunHouse</vt:lpstr>
      <vt:lpstr>SunRise</vt:lpstr>
      <vt:lpstr>SunSet</vt:lpstr>
      <vt:lpstr>ThirdLord</vt:lpstr>
      <vt:lpstr>Tithi</vt:lpstr>
      <vt:lpstr>ToB</vt:lpstr>
      <vt:lpstr>triṁśāṁśa_phala</vt:lpstr>
      <vt:lpstr>VenuDeb</vt:lpstr>
      <vt:lpstr>Venus</vt:lpstr>
      <vt:lpstr>VenusEx</vt:lpstr>
      <vt:lpstr>VenusHouse</vt:lpstr>
      <vt:lpstr>VimAD</vt:lpstr>
      <vt:lpstr>VimAntarDasa</vt:lpstr>
      <vt:lpstr>VimFactor</vt:lpstr>
      <vt:lpstr>VimFrac</vt:lpstr>
      <vt:lpstr>VimMahaDasa</vt:lpstr>
      <vt:lpstr>VimMD</vt:lpstr>
      <vt:lpstr>VimPAD</vt:lpstr>
      <vt:lpstr>VimPD</vt:lpstr>
      <vt:lpstr>VimSD</vt:lpstr>
      <vt:lpstr>Vimshopaaka</vt:lpstr>
      <vt:lpstr>VimshottariDAP</vt:lpstr>
      <vt:lpstr>VimshottariDasa</vt:lpstr>
      <vt:lpstr>VimshottariMD</vt:lpstr>
      <vt:lpstr>VimTotal</vt:lpstr>
      <vt:lpstr>Year</vt:lpstr>
      <vt:lpstr>YogiDeg</vt:lpstr>
      <vt:lpstr>अकथह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Jyotish Work Sheet</dc:title>
  <dc:creator>sprabhak</dc:creator>
  <cp:lastModifiedBy>Prabhakaran, Sanjay</cp:lastModifiedBy>
  <cp:revision>900</cp:revision>
  <cp:lastPrinted>2018-02-16T14:19:34Z</cp:lastPrinted>
  <dcterms:created xsi:type="dcterms:W3CDTF">2000-07-28T15:28:39Z</dcterms:created>
  <dcterms:modified xsi:type="dcterms:W3CDTF">2018-11-19T12:27:50Z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lpwstr>462894101</vt:lpwstr>
  </property>
  <property fmtid="{D5CDD505-2E9C-101B-9397-08002B2CF9AE}" pid="3" name="_AuthorEmail">
    <vt:lpwstr>Prabhakaran.Sanjay@PBGC.GOV</vt:lpwstr>
  </property>
  <property fmtid="{D5CDD505-2E9C-101B-9397-08002B2CF9AE}" pid="4" name="_AuthorEmailDisplayName">
    <vt:lpwstr>Prabhakaran Sanjay</vt:lpwstr>
  </property>
  <property fmtid="{D5CDD505-2E9C-101B-9397-08002B2CF9AE}" pid="5" name="_EmailSubject">
    <vt:lpwstr>VDasa.xls</vt:lpwstr>
  </property>
</Properties>
</file>