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BC394BA1-0304-4AAB-8B17-7A73D6A4D310}" xr6:coauthVersionLast="47" xr6:coauthVersionMax="47" xr10:uidLastSave="{00000000-0000-0000-0000-000000000000}"/>
  <bookViews>
    <workbookView xWindow="-110" yWindow="-110" windowWidth="19420" windowHeight="10300" firstSheet="1" activeTab="4" xr2:uid="{00000000-000D-0000-FFFF-FFFF00000000}"/>
  </bookViews>
  <sheets>
    <sheet name="Free Cash Flow" sheetId="2" r:id="rId1"/>
    <sheet name="Fixed Assets" sheetId="3" r:id="rId2"/>
    <sheet name="Net Working Capital" sheetId="4" r:id="rId3"/>
    <sheet name="WACC" sheetId="6" r:id="rId4"/>
    <sheet name="DCF" sheetId="5" r:id="rId5"/>
    <sheet name="PG-IS" sheetId="11" r:id="rId6"/>
    <sheet name="PG-BS" sheetId="12" r:id="rId7"/>
    <sheet name="PG-CF" sheetId="13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4" roundtripDataSignature="AMtx7mgO+XDV4Zo2EE1nvNhM8Bphb5J3BQ=="/>
    </ext>
  </extLst>
</workbook>
</file>

<file path=xl/calcChain.xml><?xml version="1.0" encoding="utf-8"?>
<calcChain xmlns="http://schemas.openxmlformats.org/spreadsheetml/2006/main">
  <c r="F14" i="5" l="1"/>
  <c r="F13" i="5" s="1"/>
  <c r="J12" i="5"/>
  <c r="K12" i="5" s="1"/>
  <c r="H12" i="5"/>
  <c r="G12" i="5" s="1"/>
  <c r="I10" i="2"/>
  <c r="F8" i="2"/>
  <c r="E8" i="2"/>
  <c r="E28" i="2" s="1"/>
  <c r="D8" i="2"/>
  <c r="C18" i="5"/>
  <c r="C17" i="5"/>
  <c r="C16" i="5"/>
  <c r="C12" i="5"/>
  <c r="C13" i="6"/>
  <c r="C16" i="6"/>
  <c r="C9" i="6"/>
  <c r="C8" i="6"/>
  <c r="C15" i="6" s="1"/>
  <c r="C6" i="6"/>
  <c r="C4" i="6"/>
  <c r="J17" i="2"/>
  <c r="I17" i="2"/>
  <c r="H17" i="2"/>
  <c r="G17" i="2"/>
  <c r="F17" i="2"/>
  <c r="E17" i="2"/>
  <c r="D25" i="2"/>
  <c r="G18" i="2"/>
  <c r="H18" i="2"/>
  <c r="I18" i="2"/>
  <c r="J18" i="2"/>
  <c r="F18" i="2"/>
  <c r="G20" i="2"/>
  <c r="H20" i="2"/>
  <c r="I20" i="2"/>
  <c r="J20" i="2"/>
  <c r="F20" i="2"/>
  <c r="G19" i="2"/>
  <c r="H19" i="2"/>
  <c r="I19" i="2"/>
  <c r="J19" i="2"/>
  <c r="F19" i="2"/>
  <c r="H12" i="4"/>
  <c r="I12" i="4"/>
  <c r="J12" i="4"/>
  <c r="K12" i="4"/>
  <c r="G12" i="4"/>
  <c r="H11" i="4"/>
  <c r="I11" i="4"/>
  <c r="J11" i="4"/>
  <c r="K11" i="4"/>
  <c r="G11" i="4"/>
  <c r="H10" i="4"/>
  <c r="I10" i="4"/>
  <c r="J10" i="4"/>
  <c r="K10" i="4"/>
  <c r="G10" i="4"/>
  <c r="H7" i="4"/>
  <c r="I7" i="4"/>
  <c r="J7" i="4"/>
  <c r="K7" i="4"/>
  <c r="G7" i="4"/>
  <c r="H6" i="4"/>
  <c r="I6" i="4"/>
  <c r="J6" i="4"/>
  <c r="K6" i="4"/>
  <c r="G6" i="4"/>
  <c r="I23" i="4"/>
  <c r="J23" i="4" s="1"/>
  <c r="K23" i="4" s="1"/>
  <c r="I24" i="4"/>
  <c r="J24" i="4"/>
  <c r="K24" i="4" s="1"/>
  <c r="I25" i="4"/>
  <c r="J25" i="4" s="1"/>
  <c r="K25" i="4" s="1"/>
  <c r="H24" i="4"/>
  <c r="H25" i="4"/>
  <c r="H23" i="4"/>
  <c r="G24" i="4"/>
  <c r="G25" i="4"/>
  <c r="G23" i="4"/>
  <c r="D25" i="4"/>
  <c r="E25" i="4"/>
  <c r="F25" i="4"/>
  <c r="C25" i="4"/>
  <c r="F16" i="2"/>
  <c r="G6" i="2"/>
  <c r="H6" i="2"/>
  <c r="I6" i="2"/>
  <c r="J6" i="2"/>
  <c r="F6" i="2"/>
  <c r="G5" i="2"/>
  <c r="H5" i="2"/>
  <c r="I5" i="2"/>
  <c r="J5" i="2"/>
  <c r="F5" i="2"/>
  <c r="G4" i="2"/>
  <c r="H4" i="2"/>
  <c r="I4" i="2" s="1"/>
  <c r="J4" i="2" s="1"/>
  <c r="F4" i="2"/>
  <c r="D27" i="2"/>
  <c r="F11" i="4"/>
  <c r="E11" i="4"/>
  <c r="D11" i="4"/>
  <c r="C11" i="4"/>
  <c r="F10" i="4"/>
  <c r="E10" i="4"/>
  <c r="D10" i="4"/>
  <c r="C10" i="4"/>
  <c r="C24" i="4" s="1"/>
  <c r="F9" i="4"/>
  <c r="E9" i="4"/>
  <c r="D9" i="4"/>
  <c r="C9" i="4"/>
  <c r="C21" i="4" s="1"/>
  <c r="F16" i="5" l="1"/>
  <c r="F17" i="5" s="1"/>
  <c r="C18" i="6"/>
  <c r="F6" i="4" l="1"/>
  <c r="E6" i="4"/>
  <c r="D6" i="4"/>
  <c r="C6" i="4"/>
  <c r="C23" i="4" s="1"/>
  <c r="F5" i="4"/>
  <c r="E5" i="4"/>
  <c r="D5" i="4"/>
  <c r="C5" i="4"/>
  <c r="C20" i="4" s="1"/>
  <c r="F4" i="4"/>
  <c r="F19" i="4" s="1"/>
  <c r="E4" i="4"/>
  <c r="D4" i="4"/>
  <c r="C4" i="4"/>
  <c r="C19" i="4" s="1"/>
  <c r="E5" i="2"/>
  <c r="F17" i="4" s="1"/>
  <c r="F21" i="4" s="1"/>
  <c r="D5" i="2"/>
  <c r="C5" i="2"/>
  <c r="D17" i="4"/>
  <c r="D21" i="4" s="1"/>
  <c r="G21" i="4" s="1"/>
  <c r="E17" i="4"/>
  <c r="E21" i="4" s="1"/>
  <c r="F16" i="4"/>
  <c r="F24" i="4" s="1"/>
  <c r="E16" i="4"/>
  <c r="E24" i="4" s="1"/>
  <c r="D16" i="4"/>
  <c r="D24" i="4" s="1"/>
  <c r="F6" i="3"/>
  <c r="F4" i="3"/>
  <c r="E6" i="3"/>
  <c r="D6" i="3"/>
  <c r="C6" i="3"/>
  <c r="C4" i="3" s="1"/>
  <c r="E7" i="3"/>
  <c r="D7" i="3"/>
  <c r="C7" i="3"/>
  <c r="E5" i="3"/>
  <c r="D5" i="3"/>
  <c r="C5" i="3"/>
  <c r="E13" i="2"/>
  <c r="D13" i="2"/>
  <c r="C13" i="2"/>
  <c r="E11" i="2"/>
  <c r="D11" i="2"/>
  <c r="C11" i="2"/>
  <c r="E9" i="2"/>
  <c r="C8" i="2"/>
  <c r="E4" i="2"/>
  <c r="D4" i="2"/>
  <c r="C4" i="2"/>
  <c r="D4" i="3" l="1"/>
  <c r="D11" i="3" s="1"/>
  <c r="E4" i="3"/>
  <c r="E11" i="3" s="1"/>
  <c r="F23" i="4"/>
  <c r="G20" i="4"/>
  <c r="D20" i="4"/>
  <c r="E20" i="4"/>
  <c r="F20" i="4"/>
  <c r="H21" i="4"/>
  <c r="D19" i="4"/>
  <c r="G19" i="4" s="1"/>
  <c r="D23" i="4"/>
  <c r="E19" i="4"/>
  <c r="E23" i="4"/>
  <c r="H19" i="4" l="1"/>
  <c r="H20" i="4"/>
  <c r="I21" i="4"/>
  <c r="I19" i="4" l="1"/>
  <c r="J21" i="4"/>
  <c r="I20" i="4"/>
  <c r="J20" i="4" l="1"/>
  <c r="K21" i="4"/>
  <c r="J19" i="4"/>
  <c r="G16" i="4"/>
  <c r="G4" i="4" s="1"/>
  <c r="K17" i="4"/>
  <c r="J17" i="4"/>
  <c r="J9" i="4" s="1"/>
  <c r="I17" i="4"/>
  <c r="I9" i="4" s="1"/>
  <c r="H17" i="4"/>
  <c r="G17" i="4"/>
  <c r="K16" i="4"/>
  <c r="J16" i="4"/>
  <c r="I16" i="4"/>
  <c r="I4" i="4" s="1"/>
  <c r="H16" i="4"/>
  <c r="H4" i="4" s="1"/>
  <c r="C7" i="4"/>
  <c r="G12" i="3"/>
  <c r="H12" i="3" s="1"/>
  <c r="I12" i="3" s="1"/>
  <c r="J12" i="3" s="1"/>
  <c r="J24" i="2"/>
  <c r="I24" i="2"/>
  <c r="H24" i="2"/>
  <c r="G24" i="2"/>
  <c r="F24" i="2"/>
  <c r="E24" i="2"/>
  <c r="D24" i="2"/>
  <c r="C24" i="2"/>
  <c r="B24" i="2"/>
  <c r="E15" i="2"/>
  <c r="D15" i="2"/>
  <c r="C11" i="3"/>
  <c r="C9" i="2"/>
  <c r="D28" i="2"/>
  <c r="C28" i="2"/>
  <c r="E27" i="2"/>
  <c r="E6" i="2"/>
  <c r="C6" i="2"/>
  <c r="I5" i="4" l="1"/>
  <c r="K20" i="4"/>
  <c r="K5" i="4" s="1"/>
  <c r="J5" i="4"/>
  <c r="G9" i="4"/>
  <c r="G5" i="4"/>
  <c r="H9" i="4"/>
  <c r="H5" i="4"/>
  <c r="K19" i="4"/>
  <c r="K4" i="4" s="1"/>
  <c r="J4" i="4"/>
  <c r="K9" i="4"/>
  <c r="E12" i="4"/>
  <c r="D20" i="2" s="1"/>
  <c r="C10" i="2"/>
  <c r="C12" i="2" s="1"/>
  <c r="C14" i="2" s="1"/>
  <c r="D7" i="4"/>
  <c r="C19" i="2" s="1"/>
  <c r="C18" i="2" s="1"/>
  <c r="E7" i="4"/>
  <c r="D19" i="2" s="1"/>
  <c r="D12" i="4"/>
  <c r="C20" i="2" s="1"/>
  <c r="F12" i="4"/>
  <c r="E20" i="2" s="1"/>
  <c r="C12" i="4"/>
  <c r="F7" i="4"/>
  <c r="E19" i="2" s="1"/>
  <c r="F28" i="2"/>
  <c r="D9" i="2"/>
  <c r="E25" i="2"/>
  <c r="F11" i="3"/>
  <c r="E10" i="2"/>
  <c r="E12" i="2" s="1"/>
  <c r="E14" i="2" s="1"/>
  <c r="C15" i="2"/>
  <c r="C27" i="2"/>
  <c r="F27" i="2" s="1"/>
  <c r="G27" i="2" s="1"/>
  <c r="H27" i="2" s="1"/>
  <c r="I27" i="2" s="1"/>
  <c r="J27" i="2" s="1"/>
  <c r="D6" i="2"/>
  <c r="G11" i="3" l="1"/>
  <c r="H11" i="3" s="1"/>
  <c r="I11" i="3" s="1"/>
  <c r="J11" i="3" s="1"/>
  <c r="F5" i="3"/>
  <c r="G28" i="2"/>
  <c r="F9" i="2"/>
  <c r="F10" i="2" s="1"/>
  <c r="D18" i="2"/>
  <c r="E18" i="2"/>
  <c r="C17" i="2"/>
  <c r="C29" i="2"/>
  <c r="E29" i="2"/>
  <c r="C16" i="2"/>
  <c r="C12" i="3"/>
  <c r="D10" i="2"/>
  <c r="D12" i="2" s="1"/>
  <c r="F11" i="2" l="1"/>
  <c r="F15" i="2" s="1"/>
  <c r="F7" i="3"/>
  <c r="G4" i="3" s="1"/>
  <c r="H28" i="2"/>
  <c r="G8" i="2"/>
  <c r="G9" i="2" s="1"/>
  <c r="G10" i="2" s="1"/>
  <c r="D17" i="2"/>
  <c r="C21" i="2"/>
  <c r="D4" i="5" s="1"/>
  <c r="E12" i="3"/>
  <c r="E16" i="2"/>
  <c r="E21" i="2" s="1"/>
  <c r="F4" i="5" s="1"/>
  <c r="D14" i="2"/>
  <c r="D29" i="2"/>
  <c r="D16" i="2"/>
  <c r="D12" i="3"/>
  <c r="F12" i="2" l="1"/>
  <c r="F13" i="2" s="1"/>
  <c r="F14" i="2" s="1"/>
  <c r="F21" i="2" s="1"/>
  <c r="G4" i="5" s="1"/>
  <c r="G7" i="5" s="1"/>
  <c r="G6" i="3"/>
  <c r="G16" i="2" s="1"/>
  <c r="G5" i="3"/>
  <c r="G11" i="2" s="1"/>
  <c r="G15" i="2" s="1"/>
  <c r="I28" i="2"/>
  <c r="H8" i="2"/>
  <c r="H9" i="2" s="1"/>
  <c r="H10" i="2" s="1"/>
  <c r="D21" i="2"/>
  <c r="E4" i="5" s="1"/>
  <c r="G12" i="2" l="1"/>
  <c r="G13" i="2" s="1"/>
  <c r="G14" i="2" s="1"/>
  <c r="G21" i="2" s="1"/>
  <c r="H4" i="5" s="1"/>
  <c r="H7" i="5" s="1"/>
  <c r="G7" i="3"/>
  <c r="H4" i="3" s="1"/>
  <c r="J28" i="2"/>
  <c r="J8" i="2" s="1"/>
  <c r="J9" i="2" s="1"/>
  <c r="J10" i="2" s="1"/>
  <c r="I8" i="2"/>
  <c r="I9" i="2" s="1"/>
  <c r="H6" i="3" l="1"/>
  <c r="H16" i="2" s="1"/>
  <c r="H5" i="3"/>
  <c r="H7" i="3" l="1"/>
  <c r="I4" i="3" s="1"/>
  <c r="H11" i="2"/>
  <c r="H15" i="2" l="1"/>
  <c r="H12" i="2"/>
  <c r="H13" i="2" s="1"/>
  <c r="H14" i="2" s="1"/>
  <c r="I6" i="3"/>
  <c r="I16" i="2" s="1"/>
  <c r="I5" i="3"/>
  <c r="I7" i="3" l="1"/>
  <c r="J4" i="3" s="1"/>
  <c r="I11" i="2"/>
  <c r="H21" i="2"/>
  <c r="I4" i="5" s="1"/>
  <c r="I7" i="5" s="1"/>
  <c r="I15" i="2" l="1"/>
  <c r="I12" i="2"/>
  <c r="J6" i="3"/>
  <c r="J16" i="2" s="1"/>
  <c r="J5" i="3"/>
  <c r="J7" i="3" l="1"/>
  <c r="J11" i="2"/>
  <c r="I13" i="2"/>
  <c r="I14" i="2" s="1"/>
  <c r="I21" i="2" s="1"/>
  <c r="J4" i="5" s="1"/>
  <c r="J7" i="5" s="1"/>
  <c r="J15" i="2" l="1"/>
  <c r="J12" i="2"/>
  <c r="J13" i="2" s="1"/>
  <c r="J14" i="2" s="1"/>
  <c r="J21" i="2" l="1"/>
  <c r="K4" i="5" s="1"/>
  <c r="K7" i="5" s="1"/>
  <c r="C10" i="5" s="1"/>
  <c r="C13" i="5" l="1"/>
  <c r="C14" i="5" s="1"/>
  <c r="C15" i="5" s="1"/>
  <c r="C19" i="5" s="1"/>
  <c r="C21" i="5" s="1"/>
  <c r="F12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1" authorId="0" shapeId="0" xr:uid="{00000000-0006-0000-0400-000002000000}">
      <text>
        <r>
          <rPr>
            <sz val="11"/>
            <color theme="1"/>
            <rFont val="Calibri"/>
            <scheme val="minor"/>
          </rPr>
          <t>Industry Growth Rate (2024 to 2034 ) according to USA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LLZJ0isP2on7YGGbghdkv2AKwlA=="/>
    </ext>
  </extLst>
</comments>
</file>

<file path=xl/sharedStrings.xml><?xml version="1.0" encoding="utf-8"?>
<sst xmlns="http://schemas.openxmlformats.org/spreadsheetml/2006/main" count="204" uniqueCount="176">
  <si>
    <t>Unlevered Free Cash Flow (mm)</t>
  </si>
  <si>
    <t>Fiscal Year</t>
  </si>
  <si>
    <t>Revenue</t>
  </si>
  <si>
    <t>COGS</t>
  </si>
  <si>
    <t>Gross Profit</t>
  </si>
  <si>
    <t>Operating Expenses</t>
  </si>
  <si>
    <t>Selling, General, Administrative</t>
  </si>
  <si>
    <t>Total Operating Expenses</t>
  </si>
  <si>
    <t>EBITDA</t>
  </si>
  <si>
    <t>Depreciation &amp; Amortization</t>
  </si>
  <si>
    <t>Operating Profit (EBIT)</t>
  </si>
  <si>
    <t>Operating Taxes</t>
  </si>
  <si>
    <t>NOPAT (Net Operating Profit After Taxes)</t>
  </si>
  <si>
    <t>(+) Depreciation &amp; Amortization</t>
  </si>
  <si>
    <t>(-) Capital Expenditures</t>
  </si>
  <si>
    <t>(-) Change in NWC</t>
  </si>
  <si>
    <t>NWC</t>
  </si>
  <si>
    <t>Current Assets</t>
  </si>
  <si>
    <t>Current Liabilitites</t>
  </si>
  <si>
    <t>Unlevered Free Cash Flow</t>
  </si>
  <si>
    <t>Assumptions</t>
  </si>
  <si>
    <t>Revenue Growth</t>
  </si>
  <si>
    <t>COGS % of Revenue</t>
  </si>
  <si>
    <t>SG&amp;A % of Revenue</t>
  </si>
  <si>
    <t>Tax % of EBIT</t>
  </si>
  <si>
    <t>Fixed Assets Schedule</t>
  </si>
  <si>
    <t>Beginning PP&amp;E</t>
  </si>
  <si>
    <t>D&amp;A</t>
  </si>
  <si>
    <t>CapEx</t>
  </si>
  <si>
    <t>Ending PP&amp;E</t>
  </si>
  <si>
    <t>D&amp;A as a % of Beginning PP&amp;E</t>
  </si>
  <si>
    <t>CapEx as a % of Beginning PP&amp;E</t>
  </si>
  <si>
    <t>Net Working Capital</t>
  </si>
  <si>
    <t>Accounts Receivables</t>
  </si>
  <si>
    <t>Merchandise Inventory</t>
  </si>
  <si>
    <t>Other Current Assets</t>
  </si>
  <si>
    <t>Accounts Payable</t>
  </si>
  <si>
    <t>Accrued Salaries and Benefits</t>
  </si>
  <si>
    <t>Other Current Liabilities</t>
  </si>
  <si>
    <t>Current Liabilities</t>
  </si>
  <si>
    <t>Days Sales Outstanding (DSO)</t>
  </si>
  <si>
    <t>Days Inventory Outstanding (DIO)</t>
  </si>
  <si>
    <t>Days Payable Outstanding (DPO)</t>
  </si>
  <si>
    <t>Other Current Assets as a % of Revenue</t>
  </si>
  <si>
    <t>Accrued Salaries as a % of Revenue</t>
  </si>
  <si>
    <t>Other Current Liabilities as a % of Revenue</t>
  </si>
  <si>
    <t>Projection Year</t>
  </si>
  <si>
    <t>Present Value of Free Cash Flow</t>
  </si>
  <si>
    <t>Implied Share Price Calculation</t>
  </si>
  <si>
    <t>Sensitivity Table</t>
  </si>
  <si>
    <t>Sum of PV of FCF</t>
  </si>
  <si>
    <t>Growth Rate</t>
  </si>
  <si>
    <t>WACC</t>
  </si>
  <si>
    <t>Terminal Value</t>
  </si>
  <si>
    <t>PV of Terminal Value</t>
  </si>
  <si>
    <t>Enterprise Value</t>
  </si>
  <si>
    <t>(+) Cash</t>
  </si>
  <si>
    <t>(-) Debt</t>
  </si>
  <si>
    <t>(-) Minority Interest</t>
  </si>
  <si>
    <t>Equity Value</t>
  </si>
  <si>
    <t>Diluted Shares Outstanding (mm)</t>
  </si>
  <si>
    <t>Implied Share Price</t>
  </si>
  <si>
    <t>Weighted Average Cost of Capital (WACC)</t>
  </si>
  <si>
    <t>Equity (mm)</t>
  </si>
  <si>
    <t>Debt (mm)</t>
  </si>
  <si>
    <t>Cost of Debt</t>
  </si>
  <si>
    <t>Tax Rate</t>
  </si>
  <si>
    <t>D/(D+E)</t>
  </si>
  <si>
    <t>After Tax Cost of Debt</t>
  </si>
  <si>
    <t>Risk Free Rate (10-Yr Treasury Yield)</t>
  </si>
  <si>
    <t>Expected Market Return</t>
  </si>
  <si>
    <t>Market Risk Premium</t>
  </si>
  <si>
    <t>Levered Beta</t>
  </si>
  <si>
    <t>E/(D+E)</t>
  </si>
  <si>
    <t>Cost of Equity</t>
  </si>
  <si>
    <t>Interest expense</t>
  </si>
  <si>
    <t>CURRENT ASSETS</t>
  </si>
  <si>
    <t>Cash and cash equivalents</t>
  </si>
  <si>
    <t>TOTAL ASSETS</t>
  </si>
  <si>
    <t>CURRENT LIABILITIES</t>
  </si>
  <si>
    <t>Accounts payable</t>
  </si>
  <si>
    <t>Additional paid-in capital</t>
  </si>
  <si>
    <t>Accumulated other comprehensive loss</t>
  </si>
  <si>
    <t>Retained earnings</t>
  </si>
  <si>
    <t>Depreciation and amortization</t>
  </si>
  <si>
    <t>Deferred income taxes</t>
  </si>
  <si>
    <t>The Procter &amp; Gamble Company</t>
  </si>
  <si>
    <t>Consolidated Statements of Earnings</t>
  </si>
  <si>
    <t/>
  </si>
  <si>
    <t>Amounts in millions except per share amounts; fiscal years ended June 30</t>
  </si>
  <si>
    <t>NET SALES</t>
  </si>
  <si>
    <t>Cost of products sold</t>
  </si>
  <si>
    <t>Selling, general and administrative expense</t>
  </si>
  <si>
    <t>Indefinite-lived intangible asset impairment charge</t>
  </si>
  <si>
    <t xml:space="preserve">                      -  </t>
  </si>
  <si>
    <t>OPERATING INCOME</t>
  </si>
  <si>
    <t>Interest income</t>
  </si>
  <si>
    <t>Other non-operating income, net</t>
  </si>
  <si>
    <t>EARNINGS BEFORE INCOME TAXES</t>
  </si>
  <si>
    <t>Income taxes</t>
  </si>
  <si>
    <t>NET EARNINGS</t>
  </si>
  <si>
    <t>Less: Net earnings attributable to noncontrolling interests</t>
  </si>
  <si>
    <t>NET EARNINGS ATTRIBUTABLE TO PROCTER &amp; GAMBLE</t>
  </si>
  <si>
    <t>Basic</t>
  </si>
  <si>
    <t>Diluted</t>
  </si>
  <si>
    <t>NET EARNINGS PER COMMON SHARE (1)</t>
  </si>
  <si>
    <t>(1)       Basic net earnings per common share and Diluted net earnings per common share are calculated on Net earnings attributable to Procter &amp; Gamble.</t>
  </si>
  <si>
    <t>Consolidated Balance Sheets</t>
  </si>
  <si>
    <t>Amounts in millions except stated values; as of June 30</t>
  </si>
  <si>
    <t>Assets</t>
  </si>
  <si>
    <t>Accounts receivable</t>
  </si>
  <si>
    <t>INVENTORIES</t>
  </si>
  <si>
    <t>Materials and supplies</t>
  </si>
  <si>
    <t>Work in process</t>
  </si>
  <si>
    <t>Finished goods</t>
  </si>
  <si>
    <t>Total inventories</t>
  </si>
  <si>
    <t>Prepaid expenses and other current assets</t>
  </si>
  <si>
    <t>TOTAL CURRENT ASSETS</t>
  </si>
  <si>
    <t>PROPERTY, PLANT AND EQUIPMENT, NET</t>
  </si>
  <si>
    <t>GOODWILL</t>
  </si>
  <si>
    <t>TRADEMARKS AND OTHER INTANGIBLE ASSETS, NET</t>
  </si>
  <si>
    <t>OTHER NONCURRENT ASSETS</t>
  </si>
  <si>
    <t>Liabilities and Shareholders' Equity</t>
  </si>
  <si>
    <t>Accrued and other liabilities</t>
  </si>
  <si>
    <t>Debt due within one year</t>
  </si>
  <si>
    <t>TOTAL CURRENT LIABILITIES</t>
  </si>
  <si>
    <t>LONG-TERM DEBT</t>
  </si>
  <si>
    <t>DEFERRED INCOME TAXES</t>
  </si>
  <si>
    <t>OTHER NONCURRENT LIABILITIES</t>
  </si>
  <si>
    <t>TOTAL LIABILITIES</t>
  </si>
  <si>
    <t>SHAREHOLDERS' EQUITY</t>
  </si>
  <si>
    <t>Convertible Class A preferred stock, stated value $1 per share (600 shares authorized)</t>
  </si>
  <si>
    <t>Non-Voting Class B preferred stock, stated value $1 per share (200 shares authorized)</t>
  </si>
  <si>
    <t xml:space="preserve">— </t>
  </si>
  <si>
    <t>Common stock, stated value $1 per share (10,000 shares authorized; shares issued: 2024 - 4,009.2, 2023 - 4,009.2)</t>
  </si>
  <si>
    <t>Reserve for ESOP debt retirement</t>
  </si>
  <si>
    <t>Treasury stock (shares held: 2024 - 1,652.2; 2023 - 1,647.1)</t>
  </si>
  <si>
    <t>Noncontrolling interest</t>
  </si>
  <si>
    <t>TOTAL SHAREHOLDERS' EQUITY</t>
  </si>
  <si>
    <t>TOTAL LIABILITIES AND SHAREHOLDERS' EQUITY</t>
  </si>
  <si>
    <t>Consolidated Statements of Cash Flows</t>
  </si>
  <si>
    <t>Amounts in millions; fiscal years ended June 30</t>
  </si>
  <si>
    <t>CASH, CASH EQUIVALENTS AND RESTRICTED CASH, BEGINNING OF YEAR</t>
  </si>
  <si>
    <t>OPERATING ACTIVITIES</t>
  </si>
  <si>
    <t>Net earnings</t>
  </si>
  <si>
    <t>Share-based compensation expense</t>
  </si>
  <si>
    <t>Loss/(gain) on sale of assets</t>
  </si>
  <si>
    <t>Change in accounts receivable</t>
  </si>
  <si>
    <t>Change in inventories</t>
  </si>
  <si>
    <t>Change in accounts payable and accrued and other liabilities</t>
  </si>
  <si>
    <t>Change in other operating assets and liabilities</t>
  </si>
  <si>
    <t>Other</t>
  </si>
  <si>
    <t>TOTAL OPERATING ACTIVITIES</t>
  </si>
  <si>
    <t>INVESTING ACTIVITIES</t>
  </si>
  <si>
    <t>Capital expenditures</t>
  </si>
  <si>
    <t>Proceeds from asset sales</t>
  </si>
  <si>
    <t>Acquisitions, net of cash acquired</t>
  </si>
  <si>
    <t>Other investing activity</t>
  </si>
  <si>
    <t>TOTAL INVESTING ACTIVITIES</t>
  </si>
  <si>
    <t>FINANCING ACTIVITIES</t>
  </si>
  <si>
    <t>Dividends to shareholders</t>
  </si>
  <si>
    <t>Additions to short-term debt with original maturities of more than three months</t>
  </si>
  <si>
    <t>Reductions in short-term debt with original maturities of more than three months</t>
  </si>
  <si>
    <t>Net additions/(reductions) to other short-term debt</t>
  </si>
  <si>
    <t>Additions to long-term debt</t>
  </si>
  <si>
    <t>Reductions in long-term debt</t>
  </si>
  <si>
    <t>Treasury stock purchases</t>
  </si>
  <si>
    <t>Impact of stock options and other</t>
  </si>
  <si>
    <t>TOTAL FINANCING ACTIVITIES</t>
  </si>
  <si>
    <t>EFFECT OF EXCHANGE RATE CHANGES ON CASH, CASH EQUIVALENTS AND RESTRICTED CASH</t>
  </si>
  <si>
    <t>CHANGE IN CASH, CASH EQUIVALENTS AND RESTRICTED CASH</t>
  </si>
  <si>
    <t>CASH, CASH EQUIVALENTS AND RESTRICTED CASH, END OF YEAR</t>
  </si>
  <si>
    <t>SUPPLEMENTAL DISCLOSURE</t>
  </si>
  <si>
    <t>Cash payments for interest</t>
  </si>
  <si>
    <t>Cash payments for income taxes</t>
  </si>
  <si>
    <t>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</si>
</sst>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8" formatCode="&quot;$&quot;#,##0.00_);[Red]\(&quot;$&quot;#,##0.00\)"/>
    <numFmt numFmtId="43" formatCode="_(* #,##0.00_);_(* \(#,##0.00\);_(* &quot;-&quot;??_);_(@_)"/>
    <numFmt numFmtId="164" formatCode="yyyy\A"/>
    <numFmt numFmtId="165" formatCode="yyyy\E"/>
    <numFmt numFmtId="166" formatCode="#,##0_);\(#,##0\);\-\-_)"/>
    <numFmt numFmtId="167" formatCode="0.0%"/>
    <numFmt numFmtId="168" formatCode="0.0"/>
    <numFmt numFmtId="169" formatCode="_(* #,##0_);_(* \(#,##0\);_(* &quot;-&quot;??_);_(@_)"/>
    <numFmt numFmtId="170" formatCode="0.0000"/>
    <numFmt numFmtId="171" formatCode="0.000000"/>
  </numFmts>
  <fonts count="7" x14ac:knownFonts="1"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  <font>
      <sz val="11"/>
      <color theme="0"/>
      <name val="Calibri"/>
    </font>
    <font>
      <sz val="11"/>
      <color theme="1"/>
      <name val="Calibri"/>
      <scheme val="minor"/>
    </font>
    <font>
      <sz val="11"/>
      <name val="Calibri"/>
    </font>
    <font>
      <sz val="11"/>
      <color rgb="FF0000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2A3E68"/>
        <bgColor rgb="FF2A3E68"/>
      </patternFill>
    </fill>
    <fill>
      <patternFill patternType="solid">
        <fgColor rgb="FFFFFF99"/>
        <bgColor rgb="FFFFFF99"/>
      </patternFill>
    </fill>
    <fill>
      <patternFill patternType="solid">
        <fgColor rgb="FFE7E6E6"/>
        <bgColor rgb="FFE7E6E6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50">
    <xf numFmtId="0" fontId="0" fillId="0" borderId="0" xfId="0"/>
    <xf numFmtId="0" fontId="1" fillId="0" borderId="0" xfId="0" applyFont="1"/>
    <xf numFmtId="0" fontId="3" fillId="3" borderId="1" xfId="0" applyFont="1" applyFill="1" applyBorder="1"/>
    <xf numFmtId="0" fontId="1" fillId="2" borderId="2" xfId="0" applyFont="1" applyFill="1" applyBorder="1"/>
    <xf numFmtId="164" fontId="1" fillId="2" borderId="2" xfId="0" applyNumberFormat="1" applyFont="1" applyFill="1" applyBorder="1"/>
    <xf numFmtId="165" fontId="1" fillId="2" borderId="2" xfId="0" applyNumberFormat="1" applyFont="1" applyFill="1" applyBorder="1"/>
    <xf numFmtId="0" fontId="4" fillId="0" borderId="0" xfId="0" applyFont="1"/>
    <xf numFmtId="166" fontId="1" fillId="0" borderId="0" xfId="0" applyNumberFormat="1" applyFont="1"/>
    <xf numFmtId="0" fontId="1" fillId="0" borderId="3" xfId="0" applyFont="1" applyBorder="1"/>
    <xf numFmtId="166" fontId="1" fillId="0" borderId="3" xfId="0" applyNumberFormat="1" applyFont="1" applyBorder="1"/>
    <xf numFmtId="0" fontId="2" fillId="0" borderId="0" xfId="0" applyFont="1"/>
    <xf numFmtId="166" fontId="2" fillId="0" borderId="0" xfId="0" applyNumberFormat="1" applyFont="1"/>
    <xf numFmtId="0" fontId="1" fillId="0" borderId="0" xfId="0" applyFont="1" applyAlignment="1">
      <alignment horizontal="left"/>
    </xf>
    <xf numFmtId="0" fontId="2" fillId="4" borderId="4" xfId="0" applyFont="1" applyFill="1" applyBorder="1"/>
    <xf numFmtId="166" fontId="2" fillId="4" borderId="4" xfId="0" applyNumberFormat="1" applyFont="1" applyFill="1" applyBorder="1"/>
    <xf numFmtId="0" fontId="1" fillId="5" borderId="1" xfId="0" applyFont="1" applyFill="1" applyBorder="1"/>
    <xf numFmtId="167" fontId="1" fillId="5" borderId="1" xfId="0" applyNumberFormat="1" applyFont="1" applyFill="1" applyBorder="1"/>
    <xf numFmtId="3" fontId="1" fillId="0" borderId="0" xfId="0" applyNumberFormat="1" applyFont="1"/>
    <xf numFmtId="0" fontId="2" fillId="0" borderId="5" xfId="0" applyFont="1" applyBorder="1"/>
    <xf numFmtId="3" fontId="2" fillId="0" borderId="5" xfId="0" applyNumberFormat="1" applyFont="1" applyBorder="1"/>
    <xf numFmtId="167" fontId="1" fillId="0" borderId="0" xfId="0" applyNumberFormat="1" applyFont="1"/>
    <xf numFmtId="3" fontId="1" fillId="5" borderId="1" xfId="0" applyNumberFormat="1" applyFont="1" applyFill="1" applyBorder="1"/>
    <xf numFmtId="168" fontId="1" fillId="5" borderId="1" xfId="0" applyNumberFormat="1" applyFont="1" applyFill="1" applyBorder="1"/>
    <xf numFmtId="4" fontId="1" fillId="0" borderId="0" xfId="0" applyNumberFormat="1" applyFont="1"/>
    <xf numFmtId="10" fontId="1" fillId="2" borderId="1" xfId="0" applyNumberFormat="1" applyFont="1" applyFill="1" applyBorder="1"/>
    <xf numFmtId="4" fontId="1" fillId="2" borderId="1" xfId="0" applyNumberFormat="1" applyFont="1" applyFill="1" applyBorder="1"/>
    <xf numFmtId="4" fontId="3" fillId="3" borderId="1" xfId="0" applyNumberFormat="1" applyFont="1" applyFill="1" applyBorder="1"/>
    <xf numFmtId="0" fontId="1" fillId="0" borderId="5" xfId="0" applyFont="1" applyBorder="1"/>
    <xf numFmtId="3" fontId="1" fillId="0" borderId="5" xfId="0" applyNumberFormat="1" applyFont="1" applyBorder="1"/>
    <xf numFmtId="2" fontId="6" fillId="0" borderId="0" xfId="0" applyNumberFormat="1" applyFont="1"/>
    <xf numFmtId="4" fontId="2" fillId="4" borderId="4" xfId="0" applyNumberFormat="1" applyFont="1" applyFill="1" applyBorder="1"/>
    <xf numFmtId="3" fontId="6" fillId="0" borderId="0" xfId="0" applyNumberFormat="1" applyFont="1"/>
    <xf numFmtId="167" fontId="6" fillId="0" borderId="0" xfId="0" applyNumberFormat="1" applyFont="1"/>
    <xf numFmtId="167" fontId="2" fillId="0" borderId="0" xfId="0" applyNumberFormat="1" applyFont="1"/>
    <xf numFmtId="0" fontId="6" fillId="0" borderId="0" xfId="0" applyFont="1"/>
    <xf numFmtId="3" fontId="0" fillId="0" borderId="0" xfId="0" applyNumberFormat="1"/>
    <xf numFmtId="167" fontId="0" fillId="0" borderId="0" xfId="0" applyNumberFormat="1"/>
    <xf numFmtId="8" fontId="0" fillId="0" borderId="0" xfId="0" applyNumberFormat="1"/>
    <xf numFmtId="169" fontId="0" fillId="0" borderId="0" xfId="1" applyNumberFormat="1" applyFont="1"/>
    <xf numFmtId="170" fontId="1" fillId="0" borderId="0" xfId="0" applyNumberFormat="1" applyFont="1"/>
    <xf numFmtId="171" fontId="1" fillId="0" borderId="0" xfId="0" applyNumberFormat="1" applyFont="1"/>
    <xf numFmtId="10" fontId="2" fillId="0" borderId="5" xfId="0" applyNumberFormat="1" applyFont="1" applyBorder="1"/>
    <xf numFmtId="10" fontId="0" fillId="0" borderId="0" xfId="2" applyNumberFormat="1" applyFont="1"/>
    <xf numFmtId="10" fontId="2" fillId="4" borderId="4" xfId="0" applyNumberFormat="1" applyFont="1" applyFill="1" applyBorder="1"/>
    <xf numFmtId="0" fontId="3" fillId="3" borderId="6" xfId="0" applyFont="1" applyFill="1" applyBorder="1" applyAlignment="1">
      <alignment horizontal="center"/>
    </xf>
    <xf numFmtId="0" fontId="5" fillId="0" borderId="7" xfId="0" applyFont="1" applyBorder="1"/>
    <xf numFmtId="0" fontId="5" fillId="0" borderId="8" xfId="0" applyFont="1" applyBorder="1"/>
    <xf numFmtId="0" fontId="3" fillId="3" borderId="9" xfId="0" applyFont="1" applyFill="1" applyBorder="1" applyAlignment="1">
      <alignment horizontal="center" vertical="center" textRotation="90"/>
    </xf>
    <xf numFmtId="0" fontId="5" fillId="0" borderId="10" xfId="0" applyFont="1" applyBorder="1"/>
    <xf numFmtId="0" fontId="5" fillId="0" borderId="11" xfId="0" applyFont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4" Type="http://schemas.openxmlformats.org/officeDocument/2006/relationships/worksheet" Target="worksheets/sheet4.xml"/><Relationship Id="rId14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J1000"/>
  <sheetViews>
    <sheetView showGridLines="0" zoomScale="63" zoomScaleNormal="100" workbookViewId="0">
      <selection activeCell="N7" sqref="N7"/>
    </sheetView>
  </sheetViews>
  <sheetFormatPr defaultColWidth="14.453125" defaultRowHeight="15" customHeight="1" x14ac:dyDescent="0.35"/>
  <cols>
    <col min="1" max="1" width="8.81640625" customWidth="1"/>
    <col min="2" max="2" width="45.453125" customWidth="1"/>
    <col min="3" max="4" width="10.453125" customWidth="1"/>
    <col min="5" max="5" width="10" customWidth="1"/>
    <col min="6" max="9" width="10.453125" customWidth="1"/>
    <col min="10" max="10" width="10.90625" customWidth="1"/>
    <col min="11" max="26" width="8.81640625" customWidth="1"/>
  </cols>
  <sheetData>
    <row r="1" spans="2:10" ht="14.25" customHeight="1" x14ac:dyDescent="0.35"/>
    <row r="2" spans="2:10" ht="14.25" customHeight="1" x14ac:dyDescent="0.35">
      <c r="B2" s="2" t="s">
        <v>0</v>
      </c>
      <c r="C2" s="2"/>
      <c r="D2" s="2"/>
      <c r="E2" s="2"/>
      <c r="F2" s="2"/>
      <c r="G2" s="2"/>
      <c r="H2" s="2"/>
      <c r="I2" s="2"/>
      <c r="J2" s="2"/>
    </row>
    <row r="3" spans="2:10" ht="14.25" customHeight="1" x14ac:dyDescent="0.35">
      <c r="B3" s="3" t="s">
        <v>1</v>
      </c>
      <c r="C3" s="4">
        <v>44926</v>
      </c>
      <c r="D3" s="4">
        <v>45291</v>
      </c>
      <c r="E3" s="4">
        <v>45657</v>
      </c>
      <c r="F3" s="5">
        <v>46022</v>
      </c>
      <c r="G3" s="5">
        <v>46387</v>
      </c>
      <c r="H3" s="5">
        <v>46752</v>
      </c>
      <c r="I3" s="5">
        <v>47118</v>
      </c>
      <c r="J3" s="5">
        <v>47483</v>
      </c>
    </row>
    <row r="4" spans="2:10" ht="14.25" customHeight="1" x14ac:dyDescent="0.35">
      <c r="B4" s="6" t="s">
        <v>2</v>
      </c>
      <c r="C4" s="7">
        <f>'PG-IS'!D5</f>
        <v>80187</v>
      </c>
      <c r="D4" s="7">
        <f>'PG-IS'!C5</f>
        <v>82006</v>
      </c>
      <c r="E4" s="7">
        <f>'PG-IS'!B5</f>
        <v>84039</v>
      </c>
      <c r="F4" s="7">
        <f>E4*(1+F25)</f>
        <v>92442.900000000009</v>
      </c>
      <c r="G4" s="7">
        <f t="shared" ref="G4:J4" si="0">F4*(1+G25)</f>
        <v>101687.19000000002</v>
      </c>
      <c r="H4" s="7">
        <f t="shared" si="0"/>
        <v>110839.03710000003</v>
      </c>
      <c r="I4" s="7">
        <f t="shared" si="0"/>
        <v>118597.76969700004</v>
      </c>
      <c r="J4" s="7">
        <f t="shared" si="0"/>
        <v>124527.65818185004</v>
      </c>
    </row>
    <row r="5" spans="2:10" ht="14.25" customHeight="1" x14ac:dyDescent="0.35">
      <c r="B5" s="8" t="s">
        <v>3</v>
      </c>
      <c r="C5" s="9">
        <f>'PG-IS'!D6</f>
        <v>42157</v>
      </c>
      <c r="D5" s="9">
        <f>'PG-IS'!C6</f>
        <v>42760</v>
      </c>
      <c r="E5" s="9">
        <f>'PG-IS'!B6</f>
        <v>40848</v>
      </c>
      <c r="F5" s="9">
        <f>F4*F27</f>
        <v>47245.067237560004</v>
      </c>
      <c r="G5" s="9">
        <f t="shared" ref="G5:J5" si="1">G4*G27</f>
        <v>51969.573961316011</v>
      </c>
      <c r="H5" s="9">
        <f t="shared" si="1"/>
        <v>56646.835617834455</v>
      </c>
      <c r="I5" s="9">
        <f t="shared" si="1"/>
        <v>60612.114111082876</v>
      </c>
      <c r="J5" s="9">
        <f t="shared" si="1"/>
        <v>63642.719816637014</v>
      </c>
    </row>
    <row r="6" spans="2:10" ht="14.25" customHeight="1" x14ac:dyDescent="0.35">
      <c r="B6" s="10" t="s">
        <v>4</v>
      </c>
      <c r="C6" s="11">
        <f t="shared" ref="C6:E6" si="2">C4-C5</f>
        <v>38030</v>
      </c>
      <c r="D6" s="11">
        <f t="shared" si="2"/>
        <v>39246</v>
      </c>
      <c r="E6" s="11">
        <f t="shared" si="2"/>
        <v>43191</v>
      </c>
      <c r="F6" s="11">
        <f>F4-F5</f>
        <v>45197.832762440004</v>
      </c>
      <c r="G6" s="11">
        <f t="shared" ref="G6:J6" si="3">G4-G5</f>
        <v>49717.616038684006</v>
      </c>
      <c r="H6" s="11">
        <f t="shared" si="3"/>
        <v>54192.201482165576</v>
      </c>
      <c r="I6" s="11">
        <f t="shared" si="3"/>
        <v>57985.655585917164</v>
      </c>
      <c r="J6" s="11">
        <f t="shared" si="3"/>
        <v>60884.938365213027</v>
      </c>
    </row>
    <row r="7" spans="2:10" ht="14.25" customHeight="1" x14ac:dyDescent="0.35">
      <c r="B7" s="6" t="s">
        <v>5</v>
      </c>
      <c r="C7" s="7"/>
      <c r="D7" s="7"/>
      <c r="E7" s="7"/>
      <c r="F7" s="7"/>
      <c r="G7" s="7"/>
      <c r="H7" s="7"/>
      <c r="I7" s="7"/>
      <c r="J7" s="7"/>
    </row>
    <row r="8" spans="2:10" ht="14.25" customHeight="1" x14ac:dyDescent="0.35">
      <c r="B8" s="6" t="s">
        <v>6</v>
      </c>
      <c r="C8" s="7">
        <f>'PG-IS'!D7-'PG-CF'!D8</f>
        <v>17410</v>
      </c>
      <c r="D8" s="7">
        <f>'PG-IS'!C7-'PG-CF'!C8</f>
        <v>18398</v>
      </c>
      <c r="E8" s="7">
        <f>'PG-IS'!B7-'PG-CF'!B8</f>
        <v>20409</v>
      </c>
      <c r="F8" s="7">
        <f>F4*F28</f>
        <v>21086.794289155565</v>
      </c>
      <c r="G8" s="7">
        <f t="shared" ref="G8:J8" si="4">G4*G28</f>
        <v>23195.473718071124</v>
      </c>
      <c r="H8" s="7">
        <f t="shared" si="4"/>
        <v>25283.066352697526</v>
      </c>
      <c r="I8" s="7">
        <f t="shared" si="4"/>
        <v>27052.880997386354</v>
      </c>
      <c r="J8" s="7">
        <f t="shared" si="4"/>
        <v>28405.525047255673</v>
      </c>
    </row>
    <row r="9" spans="2:10" ht="14.25" customHeight="1" x14ac:dyDescent="0.35">
      <c r="B9" s="8" t="s">
        <v>7</v>
      </c>
      <c r="C9" s="9">
        <f t="shared" ref="C9:D9" si="5">SUM(C8)</f>
        <v>17410</v>
      </c>
      <c r="D9" s="9">
        <f t="shared" si="5"/>
        <v>18398</v>
      </c>
      <c r="E9" s="9">
        <f>'PG-IS'!B7+'PG-IS'!B8-'PG-CF'!B8</f>
        <v>21750</v>
      </c>
      <c r="F9" s="9">
        <f>F8</f>
        <v>21086.794289155565</v>
      </c>
      <c r="G9" s="9">
        <f t="shared" ref="G9:J9" si="6">G8</f>
        <v>23195.473718071124</v>
      </c>
      <c r="H9" s="9">
        <f t="shared" si="6"/>
        <v>25283.066352697526</v>
      </c>
      <c r="I9" s="9">
        <f t="shared" si="6"/>
        <v>27052.880997386354</v>
      </c>
      <c r="J9" s="9">
        <f t="shared" si="6"/>
        <v>28405.525047255673</v>
      </c>
    </row>
    <row r="10" spans="2:10" ht="14.25" customHeight="1" x14ac:dyDescent="0.35">
      <c r="B10" s="10" t="s">
        <v>8</v>
      </c>
      <c r="C10" s="11">
        <f t="shared" ref="C10:E10" si="7">C6-C9</f>
        <v>20620</v>
      </c>
      <c r="D10" s="11">
        <f t="shared" si="7"/>
        <v>20848</v>
      </c>
      <c r="E10" s="11">
        <f t="shared" si="7"/>
        <v>21441</v>
      </c>
      <c r="F10" s="11">
        <f>F6-F9</f>
        <v>24111.03847328444</v>
      </c>
      <c r="G10" s="11">
        <f t="shared" ref="G10:J10" si="8">G6-G9</f>
        <v>26522.142320612882</v>
      </c>
      <c r="H10" s="11">
        <f t="shared" si="8"/>
        <v>28909.13512946805</v>
      </c>
      <c r="I10" s="11">
        <f>I6-I9</f>
        <v>30932.77458853081</v>
      </c>
      <c r="J10" s="11">
        <f t="shared" si="8"/>
        <v>32479.413317957355</v>
      </c>
    </row>
    <row r="11" spans="2:10" ht="14.25" customHeight="1" x14ac:dyDescent="0.35">
      <c r="B11" s="8" t="s">
        <v>9</v>
      </c>
      <c r="C11" s="9">
        <f>'PG-CF'!D8</f>
        <v>2807</v>
      </c>
      <c r="D11" s="9">
        <f>'PG-CF'!C8</f>
        <v>2714</v>
      </c>
      <c r="E11" s="9">
        <f>'PG-CF'!B8</f>
        <v>2896</v>
      </c>
      <c r="F11" s="9">
        <f>'Fixed Assets'!F5</f>
        <v>3092.9613835304372</v>
      </c>
      <c r="G11" s="9">
        <f>'Fixed Assets'!G5</f>
        <v>3125.0524798280362</v>
      </c>
      <c r="H11" s="9">
        <f>'Fixed Assets'!H5</f>
        <v>3157.4765380782378</v>
      </c>
      <c r="I11" s="9">
        <f>'Fixed Assets'!I5</f>
        <v>3190.2370129359033</v>
      </c>
      <c r="J11" s="9">
        <f>'Fixed Assets'!J5</f>
        <v>3223.3373948997519</v>
      </c>
    </row>
    <row r="12" spans="2:10" ht="14.25" customHeight="1" x14ac:dyDescent="0.35">
      <c r="B12" s="10" t="s">
        <v>10</v>
      </c>
      <c r="C12" s="11">
        <f t="shared" ref="C12:E12" si="9">C10-C11</f>
        <v>17813</v>
      </c>
      <c r="D12" s="11">
        <f t="shared" si="9"/>
        <v>18134</v>
      </c>
      <c r="E12" s="11">
        <f t="shared" si="9"/>
        <v>18545</v>
      </c>
      <c r="F12" s="11">
        <f>F10-F11</f>
        <v>21018.077089754002</v>
      </c>
      <c r="G12" s="11">
        <f t="shared" ref="G12:J12" si="10">G10-G11</f>
        <v>23397.089840784847</v>
      </c>
      <c r="H12" s="11">
        <f t="shared" si="10"/>
        <v>25751.658591389812</v>
      </c>
      <c r="I12" s="11">
        <f t="shared" si="10"/>
        <v>27742.537575594906</v>
      </c>
      <c r="J12" s="11">
        <f t="shared" si="10"/>
        <v>29256.075923057604</v>
      </c>
    </row>
    <row r="13" spans="2:10" ht="14.25" customHeight="1" x14ac:dyDescent="0.35">
      <c r="B13" s="8" t="s">
        <v>11</v>
      </c>
      <c r="C13" s="9">
        <f>'PG-IS'!D14</f>
        <v>3202</v>
      </c>
      <c r="D13" s="9">
        <f>'PG-IS'!C14</f>
        <v>3615</v>
      </c>
      <c r="E13" s="9">
        <f>'PG-IS'!B14</f>
        <v>3787</v>
      </c>
      <c r="F13" s="9">
        <f>F12*F29</f>
        <v>4413.7961888483405</v>
      </c>
      <c r="G13" s="9">
        <f t="shared" ref="G13:J13" si="11">G12*G29</f>
        <v>4913.3888665648174</v>
      </c>
      <c r="H13" s="9">
        <f t="shared" si="11"/>
        <v>5407.8483041918607</v>
      </c>
      <c r="I13" s="9">
        <f t="shared" si="11"/>
        <v>5825.9328908749303</v>
      </c>
      <c r="J13" s="9">
        <f t="shared" si="11"/>
        <v>6143.7759438420962</v>
      </c>
    </row>
    <row r="14" spans="2:10" ht="14.25" customHeight="1" x14ac:dyDescent="0.35">
      <c r="B14" s="10" t="s">
        <v>12</v>
      </c>
      <c r="C14" s="11">
        <f t="shared" ref="C14:D14" si="12">C12-C13</f>
        <v>14611</v>
      </c>
      <c r="D14" s="11">
        <f t="shared" si="12"/>
        <v>14519</v>
      </c>
      <c r="E14" s="11">
        <f>E12-E13</f>
        <v>14758</v>
      </c>
      <c r="F14" s="11">
        <f>F12-F13</f>
        <v>16604.280900905662</v>
      </c>
      <c r="G14" s="11">
        <f t="shared" ref="G14:J14" si="13">G12-G13</f>
        <v>18483.700974220032</v>
      </c>
      <c r="H14" s="11">
        <f t="shared" si="13"/>
        <v>20343.81028719795</v>
      </c>
      <c r="I14" s="11">
        <f t="shared" si="13"/>
        <v>21916.604684719976</v>
      </c>
      <c r="J14" s="11">
        <f t="shared" si="13"/>
        <v>23112.29997921551</v>
      </c>
    </row>
    <row r="15" spans="2:10" ht="14.25" customHeight="1" x14ac:dyDescent="0.35">
      <c r="B15" s="6" t="s">
        <v>13</v>
      </c>
      <c r="C15" s="7">
        <f t="shared" ref="C15:E15" si="14">C11</f>
        <v>2807</v>
      </c>
      <c r="D15" s="7">
        <f t="shared" si="14"/>
        <v>2714</v>
      </c>
      <c r="E15" s="7">
        <f t="shared" si="14"/>
        <v>2896</v>
      </c>
      <c r="F15" s="7">
        <f>F11</f>
        <v>3092.9613835304372</v>
      </c>
      <c r="G15" s="7">
        <f t="shared" ref="G15:J15" si="15">G11</f>
        <v>3125.0524798280362</v>
      </c>
      <c r="H15" s="7">
        <f t="shared" si="15"/>
        <v>3157.4765380782378</v>
      </c>
      <c r="I15" s="7">
        <f t="shared" si="15"/>
        <v>3190.2370129359033</v>
      </c>
      <c r="J15" s="7">
        <f t="shared" si="15"/>
        <v>3223.3373948997519</v>
      </c>
    </row>
    <row r="16" spans="2:10" ht="14.25" customHeight="1" x14ac:dyDescent="0.35">
      <c r="B16" s="6" t="s">
        <v>14</v>
      </c>
      <c r="C16" s="7">
        <f>'Fixed Assets'!C6</f>
        <v>0</v>
      </c>
      <c r="D16" s="7">
        <f>'Fixed Assets'!D6</f>
        <v>0</v>
      </c>
      <c r="E16" s="7">
        <f>'Fixed Assets'!E6</f>
        <v>0</v>
      </c>
      <c r="F16" s="7">
        <f>'Fixed Assets'!F6</f>
        <v>3322.7999999999997</v>
      </c>
      <c r="G16" s="7">
        <f>'Fixed Assets'!G6</f>
        <v>3357.2757924704342</v>
      </c>
      <c r="H16" s="7">
        <f>'Fixed Assets'!H6</f>
        <v>3392.1092893667942</v>
      </c>
      <c r="I16" s="7">
        <f>'Fixed Assets'!I6</f>
        <v>3427.3042020600778</v>
      </c>
      <c r="J16" s="7">
        <f>'Fixed Assets'!J6</f>
        <v>3462.8642804287038</v>
      </c>
    </row>
    <row r="17" spans="2:10" ht="14.25" customHeight="1" x14ac:dyDescent="0.35">
      <c r="B17" s="6" t="s">
        <v>15</v>
      </c>
      <c r="C17" s="7">
        <f>C18-('Net Working Capital'!C7-'Net Working Capital'!C12)</f>
        <v>1687</v>
      </c>
      <c r="D17" s="7">
        <f t="shared" ref="D17" si="16">D18-C18</f>
        <v>-2712</v>
      </c>
      <c r="E17" s="7">
        <f t="shared" ref="E17:J17" si="17">E18-D18</f>
        <v>2955</v>
      </c>
      <c r="F17" s="7">
        <f t="shared" si="17"/>
        <v>-4349.3387022373026</v>
      </c>
      <c r="G17" s="7">
        <f t="shared" si="17"/>
        <v>-2274.8338702237379</v>
      </c>
      <c r="H17" s="7">
        <f t="shared" si="17"/>
        <v>-2252.0855315214903</v>
      </c>
      <c r="I17" s="7">
        <f t="shared" si="17"/>
        <v>-1909.2680672787792</v>
      </c>
      <c r="J17" s="7">
        <f t="shared" si="17"/>
        <v>-1459.226308563062</v>
      </c>
    </row>
    <row r="18" spans="2:10" ht="14.25" customHeight="1" x14ac:dyDescent="0.35">
      <c r="B18" s="12" t="s">
        <v>16</v>
      </c>
      <c r="C18" s="7">
        <f>C19-C20</f>
        <v>-18642</v>
      </c>
      <c r="D18" s="7">
        <f t="shared" ref="D18:E18" si="18">D19-D20</f>
        <v>-21354</v>
      </c>
      <c r="E18" s="7">
        <f t="shared" si="18"/>
        <v>-18399</v>
      </c>
      <c r="F18" s="7">
        <f>F19-F20</f>
        <v>-22748.338702237303</v>
      </c>
      <c r="G18" s="7">
        <f t="shared" ref="G18:J18" si="19">G19-G20</f>
        <v>-25023.172572461041</v>
      </c>
      <c r="H18" s="7">
        <f t="shared" si="19"/>
        <v>-27275.258103982531</v>
      </c>
      <c r="I18" s="7">
        <f t="shared" si="19"/>
        <v>-29184.52617126131</v>
      </c>
      <c r="J18" s="7">
        <f t="shared" si="19"/>
        <v>-30643.752479824372</v>
      </c>
    </row>
    <row r="19" spans="2:10" ht="14.25" customHeight="1" x14ac:dyDescent="0.35">
      <c r="B19" s="12" t="s">
        <v>17</v>
      </c>
      <c r="C19" s="7">
        <f>'Net Working Capital'!D7</f>
        <v>14439</v>
      </c>
      <c r="D19" s="7">
        <f>'Net Working Capital'!E7</f>
        <v>14402</v>
      </c>
      <c r="E19" s="7">
        <f>'Net Working Capital'!F7</f>
        <v>15229</v>
      </c>
      <c r="F19" s="7">
        <f>'Net Working Capital'!G7</f>
        <v>16387.268557811843</v>
      </c>
      <c r="G19" s="7">
        <f>'Net Working Capital'!H7</f>
        <v>18025.995413593027</v>
      </c>
      <c r="H19" s="7">
        <f>'Net Working Capital'!I7</f>
        <v>19648.335000816405</v>
      </c>
      <c r="I19" s="7">
        <f>'Net Working Capital'!J7</f>
        <v>21023.718450873555</v>
      </c>
      <c r="J19" s="7">
        <f>'Net Working Capital'!K7</f>
        <v>22074.904373417234</v>
      </c>
    </row>
    <row r="20" spans="2:10" ht="14.25" customHeight="1" x14ac:dyDescent="0.35">
      <c r="B20" s="12" t="s">
        <v>18</v>
      </c>
      <c r="C20" s="7">
        <f>'Net Working Capital'!D12</f>
        <v>33081</v>
      </c>
      <c r="D20" s="7">
        <f>'Net Working Capital'!E12</f>
        <v>35756</v>
      </c>
      <c r="E20" s="7">
        <f>'Net Working Capital'!F12</f>
        <v>33628</v>
      </c>
      <c r="F20" s="7">
        <f>'Net Working Capital'!G12</f>
        <v>39135.607260049146</v>
      </c>
      <c r="G20" s="7">
        <f>'Net Working Capital'!H12</f>
        <v>43049.167986054068</v>
      </c>
      <c r="H20" s="7">
        <f>'Net Working Capital'!I12</f>
        <v>46923.593104798936</v>
      </c>
      <c r="I20" s="7">
        <f>'Net Working Capital'!J12</f>
        <v>50208.244622134865</v>
      </c>
      <c r="J20" s="7">
        <f>'Net Working Capital'!K12</f>
        <v>52718.656853241606</v>
      </c>
    </row>
    <row r="21" spans="2:10" ht="14.25" customHeight="1" x14ac:dyDescent="0.35">
      <c r="B21" s="13" t="s">
        <v>19</v>
      </c>
      <c r="C21" s="14">
        <f t="shared" ref="C21:E21" si="20">C14+C15-C16-C17</f>
        <v>15731</v>
      </c>
      <c r="D21" s="14">
        <f t="shared" si="20"/>
        <v>19945</v>
      </c>
      <c r="E21" s="14">
        <f t="shared" si="20"/>
        <v>14699</v>
      </c>
      <c r="F21" s="14">
        <f>F14+F15-F16-F17</f>
        <v>20723.780986673402</v>
      </c>
      <c r="G21" s="14">
        <f t="shared" ref="G21:J21" si="21">G14+G15-G16-G17</f>
        <v>20526.31153180137</v>
      </c>
      <c r="H21" s="14">
        <f t="shared" si="21"/>
        <v>22361.263067430882</v>
      </c>
      <c r="I21" s="14">
        <f t="shared" si="21"/>
        <v>23588.805562874582</v>
      </c>
      <c r="J21" s="14">
        <f t="shared" si="21"/>
        <v>24331.999402249618</v>
      </c>
    </row>
    <row r="22" spans="2:10" ht="14.25" customHeight="1" x14ac:dyDescent="0.35"/>
    <row r="23" spans="2:10" ht="14.25" customHeight="1" x14ac:dyDescent="0.35">
      <c r="B23" s="2" t="s">
        <v>20</v>
      </c>
      <c r="C23" s="2"/>
      <c r="D23" s="2"/>
      <c r="E23" s="2"/>
      <c r="F23" s="2"/>
      <c r="G23" s="2"/>
      <c r="H23" s="2"/>
      <c r="I23" s="2"/>
      <c r="J23" s="2"/>
    </row>
    <row r="24" spans="2:10" ht="14.25" customHeight="1" x14ac:dyDescent="0.35">
      <c r="B24" s="3" t="str">
        <f t="shared" ref="B24:J24" si="22">B3</f>
        <v>Fiscal Year</v>
      </c>
      <c r="C24" s="4">
        <f t="shared" si="22"/>
        <v>44926</v>
      </c>
      <c r="D24" s="4">
        <f t="shared" si="22"/>
        <v>45291</v>
      </c>
      <c r="E24" s="4">
        <f t="shared" si="22"/>
        <v>45657</v>
      </c>
      <c r="F24" s="5">
        <f t="shared" si="22"/>
        <v>46022</v>
      </c>
      <c r="G24" s="5">
        <f t="shared" si="22"/>
        <v>46387</v>
      </c>
      <c r="H24" s="5">
        <f t="shared" si="22"/>
        <v>46752</v>
      </c>
      <c r="I24" s="5">
        <f t="shared" si="22"/>
        <v>47118</v>
      </c>
      <c r="J24" s="5">
        <f t="shared" si="22"/>
        <v>47483</v>
      </c>
    </row>
    <row r="25" spans="2:10" ht="14.25" customHeight="1" x14ac:dyDescent="0.35">
      <c r="B25" s="15" t="s">
        <v>21</v>
      </c>
      <c r="C25" s="15"/>
      <c r="D25" s="16">
        <f>D4/C4-1</f>
        <v>2.268447503959492E-2</v>
      </c>
      <c r="E25" s="16">
        <f t="shared" ref="E25" si="23">E4/D4-1</f>
        <v>2.4790868960807844E-2</v>
      </c>
      <c r="F25" s="16">
        <v>0.1</v>
      </c>
      <c r="G25" s="16">
        <v>0.1</v>
      </c>
      <c r="H25" s="16">
        <v>0.09</v>
      </c>
      <c r="I25" s="16">
        <v>7.0000000000000007E-2</v>
      </c>
      <c r="J25" s="16">
        <v>0.05</v>
      </c>
    </row>
    <row r="26" spans="2:10" ht="14.25" customHeight="1" x14ac:dyDescent="0.35">
      <c r="B26" s="15"/>
      <c r="C26" s="15"/>
      <c r="D26" s="15"/>
      <c r="E26" s="15"/>
      <c r="F26" s="15"/>
      <c r="G26" s="15"/>
      <c r="H26" s="15"/>
      <c r="I26" s="15"/>
      <c r="J26" s="15"/>
    </row>
    <row r="27" spans="2:10" ht="14.25" customHeight="1" x14ac:dyDescent="0.35">
      <c r="B27" s="15" t="s">
        <v>22</v>
      </c>
      <c r="C27" s="16">
        <f t="shared" ref="C27:E27" si="24">C5/C4</f>
        <v>0.52573359771534034</v>
      </c>
      <c r="D27" s="16">
        <f>D5/D4</f>
        <v>0.52142526156622682</v>
      </c>
      <c r="E27" s="16">
        <f t="shared" si="24"/>
        <v>0.48606004355120835</v>
      </c>
      <c r="F27" s="16">
        <f t="shared" ref="F27:F28" si="25">AVERAGE(C27:E27)</f>
        <v>0.51107296761092524</v>
      </c>
      <c r="G27" s="16">
        <f t="shared" ref="G27:J27" si="26">F27</f>
        <v>0.51107296761092524</v>
      </c>
      <c r="H27" s="16">
        <f t="shared" si="26"/>
        <v>0.51107296761092524</v>
      </c>
      <c r="I27" s="16">
        <f t="shared" si="26"/>
        <v>0.51107296761092524</v>
      </c>
      <c r="J27" s="16">
        <f t="shared" si="26"/>
        <v>0.51107296761092524</v>
      </c>
    </row>
    <row r="28" spans="2:10" ht="14.25" customHeight="1" x14ac:dyDescent="0.35">
      <c r="B28" s="15" t="s">
        <v>23</v>
      </c>
      <c r="C28" s="16">
        <f t="shared" ref="C28:D28" si="27">C8/C4</f>
        <v>0.21711748787209897</v>
      </c>
      <c r="D28" s="16">
        <f t="shared" si="27"/>
        <v>0.22434943784601127</v>
      </c>
      <c r="E28" s="16">
        <f>E8/E4</f>
        <v>0.24285153321672082</v>
      </c>
      <c r="F28" s="16">
        <f t="shared" si="25"/>
        <v>0.22810615297827699</v>
      </c>
      <c r="G28" s="16">
        <f t="shared" ref="G28:J28" si="28">F28</f>
        <v>0.22810615297827699</v>
      </c>
      <c r="H28" s="16">
        <f t="shared" si="28"/>
        <v>0.22810615297827699</v>
      </c>
      <c r="I28" s="16">
        <f t="shared" si="28"/>
        <v>0.22810615297827699</v>
      </c>
      <c r="J28" s="16">
        <f t="shared" si="28"/>
        <v>0.22810615297827699</v>
      </c>
    </row>
    <row r="29" spans="2:10" ht="14.25" customHeight="1" x14ac:dyDescent="0.35">
      <c r="B29" s="15" t="s">
        <v>24</v>
      </c>
      <c r="C29" s="16">
        <f t="shared" ref="C29:E29" si="29">C13/C12</f>
        <v>0.17975635771627463</v>
      </c>
      <c r="D29" s="16">
        <f t="shared" si="29"/>
        <v>0.19934928862909451</v>
      </c>
      <c r="E29" s="16">
        <f t="shared" si="29"/>
        <v>0.20420598544081964</v>
      </c>
      <c r="F29" s="16">
        <v>0.21</v>
      </c>
      <c r="G29" s="16">
        <v>0.21</v>
      </c>
      <c r="H29" s="16">
        <v>0.21</v>
      </c>
      <c r="I29" s="16">
        <v>0.21</v>
      </c>
      <c r="J29" s="16">
        <v>0.21</v>
      </c>
    </row>
    <row r="30" spans="2:10" ht="14.25" customHeight="1" x14ac:dyDescent="0.35"/>
    <row r="31" spans="2:10" ht="14.25" customHeight="1" x14ac:dyDescent="0.35"/>
    <row r="32" spans="2:10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1:M1000"/>
  <sheetViews>
    <sheetView showGridLines="0" workbookViewId="0">
      <selection activeCell="F5" sqref="F5"/>
    </sheetView>
  </sheetViews>
  <sheetFormatPr defaultColWidth="14.453125" defaultRowHeight="15" customHeight="1" x14ac:dyDescent="0.35"/>
  <cols>
    <col min="1" max="1" width="8.81640625" customWidth="1"/>
    <col min="2" max="2" width="27.81640625" customWidth="1"/>
    <col min="3" max="10" width="8.453125" customWidth="1"/>
    <col min="11" max="26" width="8.81640625" customWidth="1"/>
  </cols>
  <sheetData>
    <row r="1" spans="2:13" ht="14.25" customHeight="1" x14ac:dyDescent="0.35"/>
    <row r="2" spans="2:13" ht="14.25" customHeight="1" x14ac:dyDescent="0.35">
      <c r="B2" s="2" t="s">
        <v>25</v>
      </c>
      <c r="C2" s="2"/>
      <c r="D2" s="2"/>
      <c r="E2" s="2"/>
      <c r="F2" s="2"/>
      <c r="G2" s="2"/>
      <c r="H2" s="2"/>
      <c r="I2" s="2"/>
      <c r="J2" s="2"/>
    </row>
    <row r="3" spans="2:13" ht="14.25" customHeight="1" x14ac:dyDescent="0.35">
      <c r="B3" s="3" t="s">
        <v>1</v>
      </c>
      <c r="C3" s="4">
        <v>44926</v>
      </c>
      <c r="D3" s="4">
        <v>45291</v>
      </c>
      <c r="E3" s="4">
        <v>45657</v>
      </c>
      <c r="F3" s="5">
        <v>46022</v>
      </c>
      <c r="G3" s="5">
        <v>46387</v>
      </c>
      <c r="H3" s="5">
        <v>46752</v>
      </c>
      <c r="I3" s="5">
        <v>47118</v>
      </c>
      <c r="J3" s="5">
        <v>47483</v>
      </c>
    </row>
    <row r="4" spans="2:13" ht="14.25" customHeight="1" x14ac:dyDescent="0.35">
      <c r="B4" s="6" t="s">
        <v>26</v>
      </c>
      <c r="C4" s="17">
        <f>C7-C6+C5</f>
        <v>24397</v>
      </c>
      <c r="D4" s="17">
        <f t="shared" ref="D4:E4" si="0">D7-D6+D5</f>
        <v>25524</v>
      </c>
      <c r="E4" s="17">
        <f t="shared" si="0"/>
        <v>25939</v>
      </c>
      <c r="F4" s="17">
        <f>E7</f>
        <v>22152</v>
      </c>
      <c r="G4" s="17">
        <f t="shared" ref="G4:J4" si="1">F7</f>
        <v>22381.838616469562</v>
      </c>
      <c r="H4" s="17">
        <f t="shared" si="1"/>
        <v>22614.061929111962</v>
      </c>
      <c r="I4" s="17">
        <f t="shared" si="1"/>
        <v>22848.69468040052</v>
      </c>
      <c r="J4" s="17">
        <f t="shared" si="1"/>
        <v>23085.761869524693</v>
      </c>
    </row>
    <row r="5" spans="2:13" ht="14.25" customHeight="1" x14ac:dyDescent="0.35">
      <c r="B5" s="6" t="s">
        <v>27</v>
      </c>
      <c r="C5" s="17">
        <f>'PG-IS'!D14</f>
        <v>3202</v>
      </c>
      <c r="D5" s="17">
        <f>'PG-IS'!C14</f>
        <v>3615</v>
      </c>
      <c r="E5" s="17">
        <f>'PG-IS'!B14</f>
        <v>3787</v>
      </c>
      <c r="F5" s="17">
        <f>F4*F11</f>
        <v>3092.9613835304372</v>
      </c>
      <c r="G5" s="17">
        <f t="shared" ref="G5:J5" si="2">G4*G11</f>
        <v>3125.0524798280362</v>
      </c>
      <c r="H5" s="17">
        <f t="shared" si="2"/>
        <v>3157.4765380782378</v>
      </c>
      <c r="I5" s="17">
        <f t="shared" si="2"/>
        <v>3190.2370129359033</v>
      </c>
      <c r="J5" s="17">
        <f t="shared" si="2"/>
        <v>3223.3373948997519</v>
      </c>
    </row>
    <row r="6" spans="2:13" ht="14.25" customHeight="1" x14ac:dyDescent="0.35">
      <c r="B6" s="6" t="s">
        <v>28</v>
      </c>
      <c r="C6" s="17">
        <f>'PG-CF'!I20</f>
        <v>0</v>
      </c>
      <c r="D6" s="17">
        <f>'PG-CF'!H20</f>
        <v>0</v>
      </c>
      <c r="E6" s="17">
        <f>'PG-CF'!G20</f>
        <v>0</v>
      </c>
      <c r="F6" s="17">
        <f>F4*F12</f>
        <v>3322.7999999999997</v>
      </c>
      <c r="G6" s="17">
        <f t="shared" ref="G6:J6" si="3">G4*G12</f>
        <v>3357.2757924704342</v>
      </c>
      <c r="H6" s="17">
        <f t="shared" si="3"/>
        <v>3392.1092893667942</v>
      </c>
      <c r="I6" s="17">
        <f t="shared" si="3"/>
        <v>3427.3042020600778</v>
      </c>
      <c r="J6" s="17">
        <f t="shared" si="3"/>
        <v>3462.8642804287038</v>
      </c>
    </row>
    <row r="7" spans="2:13" ht="14.25" customHeight="1" x14ac:dyDescent="0.35">
      <c r="B7" s="18" t="s">
        <v>29</v>
      </c>
      <c r="C7" s="19">
        <f>'PG-BS'!D16</f>
        <v>21195</v>
      </c>
      <c r="D7" s="19">
        <f>'PG-BS'!C16</f>
        <v>21909</v>
      </c>
      <c r="E7" s="19">
        <f>'PG-BS'!B16</f>
        <v>22152</v>
      </c>
      <c r="F7" s="19">
        <f>F4-F5+F6</f>
        <v>22381.838616469562</v>
      </c>
      <c r="G7" s="19">
        <f t="shared" ref="G7:J7" si="4">G4-G5+G6</f>
        <v>22614.061929111962</v>
      </c>
      <c r="H7" s="19">
        <f t="shared" si="4"/>
        <v>22848.69468040052</v>
      </c>
      <c r="I7" s="19">
        <f t="shared" si="4"/>
        <v>23085.761869524693</v>
      </c>
      <c r="J7" s="19">
        <f t="shared" si="4"/>
        <v>23325.288755053647</v>
      </c>
      <c r="M7" s="35"/>
    </row>
    <row r="8" spans="2:13" ht="14.25" customHeight="1" x14ac:dyDescent="0.35">
      <c r="E8" s="17"/>
    </row>
    <row r="9" spans="2:13" ht="14.25" customHeight="1" x14ac:dyDescent="0.35">
      <c r="B9" s="2" t="s">
        <v>20</v>
      </c>
      <c r="C9" s="2"/>
      <c r="D9" s="2"/>
      <c r="E9" s="2"/>
      <c r="F9" s="2"/>
      <c r="G9" s="2"/>
      <c r="H9" s="2"/>
      <c r="I9" s="2"/>
      <c r="J9" s="2"/>
    </row>
    <row r="10" spans="2:13" ht="14.25" customHeight="1" x14ac:dyDescent="0.35">
      <c r="B10" s="3" t="s">
        <v>1</v>
      </c>
      <c r="C10" s="4">
        <v>44926</v>
      </c>
      <c r="D10" s="4">
        <v>45291</v>
      </c>
      <c r="E10" s="4">
        <v>45657</v>
      </c>
      <c r="F10" s="5">
        <v>46022</v>
      </c>
      <c r="G10" s="5">
        <v>46387</v>
      </c>
      <c r="H10" s="5">
        <v>46752</v>
      </c>
      <c r="I10" s="5">
        <v>47118</v>
      </c>
      <c r="J10" s="5">
        <v>47483</v>
      </c>
    </row>
    <row r="11" spans="2:13" ht="14.25" customHeight="1" x14ac:dyDescent="0.35">
      <c r="B11" s="15" t="s">
        <v>30</v>
      </c>
      <c r="C11" s="16">
        <f t="shared" ref="C11" si="5">C5/C4</f>
        <v>0.13124564495634708</v>
      </c>
      <c r="D11" s="16">
        <f>D5/D4</f>
        <v>0.14163140573577809</v>
      </c>
      <c r="E11" s="16">
        <f>E5/E4</f>
        <v>0.14599637611318864</v>
      </c>
      <c r="F11" s="16">
        <f>AVERAGE(C11:E11)</f>
        <v>0.13962447560177127</v>
      </c>
      <c r="G11" s="16">
        <f t="shared" ref="G11:J11" si="6">F11</f>
        <v>0.13962447560177127</v>
      </c>
      <c r="H11" s="16">
        <f t="shared" si="6"/>
        <v>0.13962447560177127</v>
      </c>
      <c r="I11" s="16">
        <f t="shared" si="6"/>
        <v>0.13962447560177127</v>
      </c>
      <c r="J11" s="16">
        <f t="shared" si="6"/>
        <v>0.13962447560177127</v>
      </c>
    </row>
    <row r="12" spans="2:13" ht="14.25" customHeight="1" x14ac:dyDescent="0.35">
      <c r="B12" s="15" t="s">
        <v>31</v>
      </c>
      <c r="C12" s="16">
        <f t="shared" ref="C12:E12" si="7">C6/C4</f>
        <v>0</v>
      </c>
      <c r="D12" s="16">
        <f t="shared" si="7"/>
        <v>0</v>
      </c>
      <c r="E12" s="16">
        <f t="shared" si="7"/>
        <v>0</v>
      </c>
      <c r="F12" s="16">
        <v>0.15</v>
      </c>
      <c r="G12" s="16">
        <f t="shared" ref="G12:J12" si="8">F12</f>
        <v>0.15</v>
      </c>
      <c r="H12" s="16">
        <f t="shared" si="8"/>
        <v>0.15</v>
      </c>
      <c r="I12" s="16">
        <f t="shared" si="8"/>
        <v>0.15</v>
      </c>
      <c r="J12" s="16">
        <f t="shared" si="8"/>
        <v>0.15</v>
      </c>
    </row>
    <row r="13" spans="2:13" ht="14.25" customHeight="1" x14ac:dyDescent="0.35">
      <c r="C13" s="20"/>
      <c r="D13" s="20"/>
      <c r="E13" s="20"/>
      <c r="F13" s="20"/>
      <c r="G13" s="20"/>
      <c r="H13" s="20"/>
      <c r="I13" s="20"/>
      <c r="J13" s="20"/>
    </row>
    <row r="14" spans="2:13" ht="14.25" customHeight="1" x14ac:dyDescent="0.35">
      <c r="C14" s="20"/>
      <c r="D14" s="20"/>
      <c r="E14" s="20"/>
      <c r="F14" s="20"/>
      <c r="G14" s="20"/>
      <c r="H14" s="20"/>
      <c r="I14" s="20"/>
      <c r="J14" s="20"/>
    </row>
    <row r="15" spans="2:13" ht="14.25" customHeight="1" x14ac:dyDescent="0.35">
      <c r="C15" s="20"/>
      <c r="D15" s="20"/>
      <c r="E15" s="20"/>
      <c r="F15" s="20"/>
      <c r="G15" s="20"/>
      <c r="H15" s="20"/>
      <c r="I15" s="20"/>
      <c r="J15" s="20"/>
    </row>
    <row r="16" spans="2:13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B1:K996"/>
  <sheetViews>
    <sheetView showGridLines="0" zoomScale="78" workbookViewId="0">
      <selection activeCell="G12" sqref="G12:K12"/>
    </sheetView>
  </sheetViews>
  <sheetFormatPr defaultColWidth="14.453125" defaultRowHeight="15" customHeight="1" x14ac:dyDescent="0.35"/>
  <cols>
    <col min="1" max="1" width="8.81640625" customWidth="1"/>
    <col min="2" max="2" width="40.54296875" customWidth="1"/>
    <col min="3" max="3" width="9.54296875" customWidth="1"/>
    <col min="4" max="26" width="8.81640625" customWidth="1"/>
  </cols>
  <sheetData>
    <row r="1" spans="2:11" ht="14.25" customHeight="1" x14ac:dyDescent="0.35"/>
    <row r="2" spans="2:11" ht="14.25" customHeight="1" x14ac:dyDescent="0.35">
      <c r="B2" s="2" t="s">
        <v>32</v>
      </c>
      <c r="C2" s="2"/>
      <c r="D2" s="2"/>
      <c r="E2" s="2"/>
      <c r="F2" s="2"/>
      <c r="G2" s="2"/>
      <c r="H2" s="2"/>
      <c r="I2" s="2"/>
      <c r="J2" s="2"/>
      <c r="K2" s="2"/>
    </row>
    <row r="3" spans="2:11" ht="14.25" customHeight="1" x14ac:dyDescent="0.35">
      <c r="B3" s="3" t="s">
        <v>1</v>
      </c>
      <c r="C3" s="4">
        <v>44561</v>
      </c>
      <c r="D3" s="4">
        <v>44926</v>
      </c>
      <c r="E3" s="4">
        <v>45291</v>
      </c>
      <c r="F3" s="4">
        <v>45657</v>
      </c>
      <c r="G3" s="5">
        <v>46022</v>
      </c>
      <c r="H3" s="5">
        <v>46023</v>
      </c>
      <c r="I3" s="5">
        <v>46389</v>
      </c>
      <c r="J3" s="5">
        <v>46755</v>
      </c>
      <c r="K3" s="5">
        <v>47122</v>
      </c>
    </row>
    <row r="4" spans="2:11" ht="14.25" customHeight="1" x14ac:dyDescent="0.35">
      <c r="B4" s="6" t="s">
        <v>33</v>
      </c>
      <c r="C4" s="17">
        <f>'PG-BS'!E8</f>
        <v>4725</v>
      </c>
      <c r="D4" s="17">
        <f>'PG-BS'!D8</f>
        <v>5143</v>
      </c>
      <c r="E4" s="17">
        <f>'PG-BS'!C8</f>
        <v>5471</v>
      </c>
      <c r="F4" s="17">
        <f>'PG-BS'!B8</f>
        <v>6118</v>
      </c>
      <c r="G4" s="17">
        <f>G19*G16/360</f>
        <v>6141.1301284239935</v>
      </c>
      <c r="H4" s="17">
        <f t="shared" ref="H4:K4" si="0">H19*H16/360</f>
        <v>6755.2431412663927</v>
      </c>
      <c r="I4" s="17">
        <f t="shared" si="0"/>
        <v>7363.2150239803696</v>
      </c>
      <c r="J4" s="17">
        <f t="shared" si="0"/>
        <v>7878.6400756589965</v>
      </c>
      <c r="K4" s="17">
        <f t="shared" si="0"/>
        <v>8272.5720794419467</v>
      </c>
    </row>
    <row r="5" spans="2:11" ht="14.25" customHeight="1" x14ac:dyDescent="0.35">
      <c r="B5" s="6" t="s">
        <v>34</v>
      </c>
      <c r="C5" s="17">
        <f>'PG-BS'!E13</f>
        <v>5983</v>
      </c>
      <c r="D5" s="17">
        <f>'PG-BS'!D13</f>
        <v>6924</v>
      </c>
      <c r="E5" s="17">
        <f>'PG-BS'!C13</f>
        <v>7073</v>
      </c>
      <c r="F5" s="17">
        <f>'PG-BS'!B13</f>
        <v>7016</v>
      </c>
      <c r="G5" s="17">
        <f>G20*G17/360</f>
        <v>7826.683749975703</v>
      </c>
      <c r="H5" s="17">
        <f t="shared" ref="H5:K5" si="1">H20*H17/360</f>
        <v>8609.3521249732748</v>
      </c>
      <c r="I5" s="17">
        <f t="shared" si="1"/>
        <v>9384.1938162208698</v>
      </c>
      <c r="J5" s="17">
        <f t="shared" si="1"/>
        <v>10041.087383356333</v>
      </c>
      <c r="K5" s="17">
        <f t="shared" si="1"/>
        <v>10543.141752524147</v>
      </c>
    </row>
    <row r="6" spans="2:11" ht="14.25" customHeight="1" x14ac:dyDescent="0.35">
      <c r="B6" s="6" t="s">
        <v>35</v>
      </c>
      <c r="C6" s="17">
        <f>'PG-BS'!E14</f>
        <v>2095</v>
      </c>
      <c r="D6" s="17">
        <f>'PG-BS'!D14</f>
        <v>2372</v>
      </c>
      <c r="E6" s="17">
        <f>'PG-BS'!C14</f>
        <v>1858</v>
      </c>
      <c r="F6" s="17">
        <f>'PG-BS'!B14</f>
        <v>2095</v>
      </c>
      <c r="G6" s="17">
        <f>G23*G16</f>
        <v>2419.4546794121475</v>
      </c>
      <c r="H6" s="17">
        <f t="shared" ref="H6:K6" si="2">H23*H16</f>
        <v>2661.4001473533622</v>
      </c>
      <c r="I6" s="17">
        <f t="shared" si="2"/>
        <v>2900.9261606151654</v>
      </c>
      <c r="J6" s="17">
        <f t="shared" si="2"/>
        <v>3103.9909918582271</v>
      </c>
      <c r="K6" s="17">
        <f t="shared" si="2"/>
        <v>3259.1905414511384</v>
      </c>
    </row>
    <row r="7" spans="2:11" ht="14.25" customHeight="1" x14ac:dyDescent="0.35">
      <c r="B7" s="18" t="s">
        <v>17</v>
      </c>
      <c r="C7" s="19">
        <f t="shared" ref="C7:F7" si="3">SUM(C4:C6)</f>
        <v>12803</v>
      </c>
      <c r="D7" s="19">
        <f t="shared" si="3"/>
        <v>14439</v>
      </c>
      <c r="E7" s="19">
        <f t="shared" si="3"/>
        <v>14402</v>
      </c>
      <c r="F7" s="19">
        <f t="shared" si="3"/>
        <v>15229</v>
      </c>
      <c r="G7" s="19">
        <f>SUM(G4:G6)</f>
        <v>16387.268557811843</v>
      </c>
      <c r="H7" s="19">
        <f t="shared" ref="H7:K7" si="4">SUM(H4:H6)</f>
        <v>18025.995413593027</v>
      </c>
      <c r="I7" s="19">
        <f t="shared" si="4"/>
        <v>19648.335000816405</v>
      </c>
      <c r="J7" s="19">
        <f t="shared" si="4"/>
        <v>21023.718450873555</v>
      </c>
      <c r="K7" s="19">
        <f t="shared" si="4"/>
        <v>22074.904373417234</v>
      </c>
    </row>
    <row r="8" spans="2:11" ht="14.25" customHeight="1" x14ac:dyDescent="0.35"/>
    <row r="9" spans="2:11" ht="14.25" customHeight="1" x14ac:dyDescent="0.35">
      <c r="B9" s="6" t="s">
        <v>36</v>
      </c>
      <c r="C9" s="17">
        <f>'PG-BS'!E24</f>
        <v>13720</v>
      </c>
      <c r="D9" s="17">
        <f>'PG-BS'!D24</f>
        <v>14882</v>
      </c>
      <c r="E9" s="17">
        <f>'PG-BS'!C24</f>
        <v>14598</v>
      </c>
      <c r="F9" s="17">
        <f>'PG-BS'!B24</f>
        <v>15364</v>
      </c>
      <c r="G9" s="17">
        <f>G21*G17/360</f>
        <v>17011.357507487453</v>
      </c>
      <c r="H9" s="17">
        <f t="shared" ref="H9:K9" si="5">H21*H17/360</f>
        <v>18712.493258236202</v>
      </c>
      <c r="I9" s="17">
        <f t="shared" si="5"/>
        <v>20396.61765147746</v>
      </c>
      <c r="J9" s="17">
        <f t="shared" si="5"/>
        <v>21824.380887080886</v>
      </c>
      <c r="K9" s="17">
        <f t="shared" si="5"/>
        <v>22915.599931434928</v>
      </c>
    </row>
    <row r="10" spans="2:11" ht="14.25" customHeight="1" x14ac:dyDescent="0.35">
      <c r="B10" s="6" t="s">
        <v>37</v>
      </c>
      <c r="C10" s="17">
        <f>'PG-BS'!E25</f>
        <v>10523</v>
      </c>
      <c r="D10" s="17">
        <f>'PG-BS'!D25</f>
        <v>9554</v>
      </c>
      <c r="E10" s="17">
        <f>'PG-BS'!C25</f>
        <v>10929</v>
      </c>
      <c r="F10" s="17">
        <f>'PG-BS'!B25</f>
        <v>11073</v>
      </c>
      <c r="G10" s="17">
        <f>G24*G16</f>
        <v>12073.582766410274</v>
      </c>
      <c r="H10" s="17">
        <f t="shared" ref="H10:K10" si="6">H24*H16</f>
        <v>13280.941043051302</v>
      </c>
      <c r="I10" s="17">
        <f t="shared" si="6"/>
        <v>14476.225736925921</v>
      </c>
      <c r="J10" s="17">
        <f t="shared" si="6"/>
        <v>15489.561538510736</v>
      </c>
      <c r="K10" s="17">
        <f t="shared" si="6"/>
        <v>16264.039615436273</v>
      </c>
    </row>
    <row r="11" spans="2:11" ht="14.25" customHeight="1" x14ac:dyDescent="0.35">
      <c r="B11" s="6" t="s">
        <v>38</v>
      </c>
      <c r="C11" s="17">
        <f>'PG-BS'!E26</f>
        <v>8889</v>
      </c>
      <c r="D11" s="17">
        <f>'PG-BS'!D26</f>
        <v>8645</v>
      </c>
      <c r="E11" s="17">
        <f>'PG-BS'!C26</f>
        <v>10229</v>
      </c>
      <c r="F11" s="17">
        <f>'PG-BS'!B26</f>
        <v>7191</v>
      </c>
      <c r="G11" s="17">
        <f>G25*G16</f>
        <v>10050.66698615142</v>
      </c>
      <c r="H11" s="17">
        <f t="shared" ref="H11:K11" si="7">H25*H16</f>
        <v>11055.733684766563</v>
      </c>
      <c r="I11" s="17">
        <f t="shared" si="7"/>
        <v>12050.749716395554</v>
      </c>
      <c r="J11" s="17">
        <f t="shared" si="7"/>
        <v>12894.302196543244</v>
      </c>
      <c r="K11" s="17">
        <f t="shared" si="7"/>
        <v>13539.017306370406</v>
      </c>
    </row>
    <row r="12" spans="2:11" ht="14.25" customHeight="1" x14ac:dyDescent="0.35">
      <c r="B12" s="18" t="s">
        <v>39</v>
      </c>
      <c r="C12" s="19">
        <f>SUM(C9:C11)</f>
        <v>33132</v>
      </c>
      <c r="D12" s="19">
        <f>SUM(D9:D11)</f>
        <v>33081</v>
      </c>
      <c r="E12" s="19">
        <f>SUM(E9:E11)</f>
        <v>35756</v>
      </c>
      <c r="F12" s="19">
        <f>SUM(F9:F11)</f>
        <v>33628</v>
      </c>
      <c r="G12" s="19">
        <f>SUM(G9:G11)</f>
        <v>39135.607260049146</v>
      </c>
      <c r="H12" s="19">
        <f t="shared" ref="H12:K12" si="8">SUM(H9:H11)</f>
        <v>43049.167986054068</v>
      </c>
      <c r="I12" s="19">
        <f t="shared" si="8"/>
        <v>46923.593104798936</v>
      </c>
      <c r="J12" s="19">
        <f t="shared" si="8"/>
        <v>50208.244622134865</v>
      </c>
      <c r="K12" s="19">
        <f t="shared" si="8"/>
        <v>52718.656853241606</v>
      </c>
    </row>
    <row r="13" spans="2:11" ht="14.25" customHeight="1" x14ac:dyDescent="0.35"/>
    <row r="14" spans="2:11" ht="14.25" customHeight="1" x14ac:dyDescent="0.35">
      <c r="B14" s="2" t="s">
        <v>20</v>
      </c>
      <c r="C14" s="2"/>
      <c r="D14" s="2"/>
      <c r="E14" s="2"/>
      <c r="F14" s="2"/>
      <c r="G14" s="2"/>
      <c r="H14" s="2"/>
      <c r="I14" s="2"/>
      <c r="J14" s="2"/>
      <c r="K14" s="2"/>
    </row>
    <row r="15" spans="2:11" ht="14.25" customHeight="1" x14ac:dyDescent="0.35">
      <c r="B15" s="3" t="s">
        <v>1</v>
      </c>
      <c r="C15" s="4">
        <v>44561</v>
      </c>
      <c r="D15" s="4">
        <v>44926</v>
      </c>
      <c r="E15" s="4">
        <v>45291</v>
      </c>
      <c r="F15" s="4">
        <v>45657</v>
      </c>
      <c r="G15" s="5">
        <v>46022</v>
      </c>
      <c r="H15" s="5">
        <v>46023</v>
      </c>
      <c r="I15" s="5">
        <v>46389</v>
      </c>
      <c r="J15" s="5">
        <v>46755</v>
      </c>
      <c r="K15" s="5">
        <v>47122</v>
      </c>
    </row>
    <row r="16" spans="2:11" ht="14.25" customHeight="1" x14ac:dyDescent="0.35">
      <c r="B16" s="15" t="s">
        <v>2</v>
      </c>
      <c r="C16" s="21">
        <v>76118</v>
      </c>
      <c r="D16" s="21">
        <f>'PG-IS'!D5</f>
        <v>80187</v>
      </c>
      <c r="E16" s="21">
        <f>'PG-IS'!C5</f>
        <v>82006</v>
      </c>
      <c r="F16" s="21">
        <f>'PG-IS'!B5</f>
        <v>84039</v>
      </c>
      <c r="G16" s="21">
        <f>'Free Cash Flow'!F4</f>
        <v>92442.900000000009</v>
      </c>
      <c r="H16" s="21">
        <f>'Free Cash Flow'!G4</f>
        <v>101687.19000000002</v>
      </c>
      <c r="I16" s="21">
        <f>'Free Cash Flow'!H4</f>
        <v>110839.03710000003</v>
      </c>
      <c r="J16" s="21">
        <f>'Free Cash Flow'!I4</f>
        <v>118597.76969700004</v>
      </c>
      <c r="K16" s="21">
        <f>'Free Cash Flow'!J4</f>
        <v>124527.65818185004</v>
      </c>
    </row>
    <row r="17" spans="2:11" ht="14.25" customHeight="1" x14ac:dyDescent="0.35">
      <c r="B17" s="15" t="s">
        <v>3</v>
      </c>
      <c r="C17" s="21">
        <v>37108</v>
      </c>
      <c r="D17" s="21">
        <f>'Free Cash Flow'!C5</f>
        <v>42157</v>
      </c>
      <c r="E17" s="21">
        <f>'Free Cash Flow'!D5</f>
        <v>42760</v>
      </c>
      <c r="F17" s="21">
        <f>'Free Cash Flow'!E5</f>
        <v>40848</v>
      </c>
      <c r="G17" s="21">
        <f>'Free Cash Flow'!F5</f>
        <v>47245.067237560004</v>
      </c>
      <c r="H17" s="21">
        <f>'Free Cash Flow'!G5</f>
        <v>51969.573961316011</v>
      </c>
      <c r="I17" s="21">
        <f>'Free Cash Flow'!H5</f>
        <v>56646.835617834455</v>
      </c>
      <c r="J17" s="21">
        <f>'Free Cash Flow'!I5</f>
        <v>60612.114111082876</v>
      </c>
      <c r="K17" s="21">
        <f>'Free Cash Flow'!J5</f>
        <v>63642.719816637014</v>
      </c>
    </row>
    <row r="18" spans="2:11" ht="14.25" customHeight="1" x14ac:dyDescent="0.35">
      <c r="B18" s="15"/>
      <c r="C18" s="15"/>
      <c r="D18" s="15"/>
      <c r="E18" s="15"/>
      <c r="F18" s="15"/>
      <c r="G18" s="15"/>
      <c r="H18" s="15"/>
      <c r="I18" s="15"/>
      <c r="J18" s="15"/>
      <c r="K18" s="15"/>
    </row>
    <row r="19" spans="2:11" ht="14.25" customHeight="1" x14ac:dyDescent="0.35">
      <c r="B19" s="15" t="s">
        <v>40</v>
      </c>
      <c r="C19" s="22">
        <f>C4/C16*360</f>
        <v>22.346882471951442</v>
      </c>
      <c r="D19" s="22">
        <f t="shared" ref="D19:F19" si="9">D4/D16*360</f>
        <v>23.089528227767595</v>
      </c>
      <c r="E19" s="22">
        <f t="shared" si="9"/>
        <v>24.017267029241765</v>
      </c>
      <c r="F19" s="22">
        <f t="shared" si="9"/>
        <v>26.207832077963801</v>
      </c>
      <c r="G19" s="22">
        <f>AVERAGE(C19:F19)</f>
        <v>23.91537745173115</v>
      </c>
      <c r="H19" s="22">
        <f>G19</f>
        <v>23.91537745173115</v>
      </c>
      <c r="I19" s="22">
        <f t="shared" ref="I19:K19" si="10">H19</f>
        <v>23.91537745173115</v>
      </c>
      <c r="J19" s="22">
        <f t="shared" si="10"/>
        <v>23.91537745173115</v>
      </c>
      <c r="K19" s="22">
        <f t="shared" si="10"/>
        <v>23.91537745173115</v>
      </c>
    </row>
    <row r="20" spans="2:11" ht="14.25" customHeight="1" x14ac:dyDescent="0.35">
      <c r="B20" s="15" t="s">
        <v>41</v>
      </c>
      <c r="C20" s="22">
        <f>C5/C17*360</f>
        <v>58.043548560957205</v>
      </c>
      <c r="D20" s="22">
        <f t="shared" ref="D20:F20" si="11">D5/D17*360</f>
        <v>59.127547026591074</v>
      </c>
      <c r="E20" s="22">
        <f t="shared" si="11"/>
        <v>59.548175865294667</v>
      </c>
      <c r="F20" s="22">
        <f t="shared" si="11"/>
        <v>61.833137485311397</v>
      </c>
      <c r="G20" s="22">
        <f>AVERAGE(C20:F20)</f>
        <v>59.638102234538586</v>
      </c>
      <c r="H20" s="22">
        <f t="shared" ref="H20:K21" si="12">G20</f>
        <v>59.638102234538586</v>
      </c>
      <c r="I20" s="22">
        <f t="shared" si="12"/>
        <v>59.638102234538586</v>
      </c>
      <c r="J20" s="22">
        <f t="shared" si="12"/>
        <v>59.638102234538586</v>
      </c>
      <c r="K20" s="22">
        <f t="shared" si="12"/>
        <v>59.638102234538586</v>
      </c>
    </row>
    <row r="21" spans="2:11" ht="14.25" customHeight="1" x14ac:dyDescent="0.35">
      <c r="B21" s="15" t="s">
        <v>42</v>
      </c>
      <c r="C21" s="22">
        <f>C9/C17*360</f>
        <v>133.10337393553951</v>
      </c>
      <c r="D21" s="22">
        <f t="shared" ref="D21:F21" si="13">D9/D17*360</f>
        <v>127.08494437459971</v>
      </c>
      <c r="E21" s="22">
        <f t="shared" si="13"/>
        <v>122.90177736202058</v>
      </c>
      <c r="F21" s="22">
        <f t="shared" si="13"/>
        <v>135.40540540540539</v>
      </c>
      <c r="G21" s="22">
        <f t="shared" ref="G21" si="14">AVERAGE(C21:F21)</f>
        <v>129.62387526939131</v>
      </c>
      <c r="H21" s="22">
        <f t="shared" si="12"/>
        <v>129.62387526939131</v>
      </c>
      <c r="I21" s="22">
        <f t="shared" si="12"/>
        <v>129.62387526939131</v>
      </c>
      <c r="J21" s="22">
        <f t="shared" si="12"/>
        <v>129.62387526939131</v>
      </c>
      <c r="K21" s="22">
        <f t="shared" si="12"/>
        <v>129.62387526939131</v>
      </c>
    </row>
    <row r="22" spans="2:11" ht="14.25" customHeight="1" x14ac:dyDescent="0.35">
      <c r="B22" s="15"/>
      <c r="C22" s="15"/>
      <c r="D22" s="15"/>
      <c r="E22" s="15"/>
      <c r="F22" s="15"/>
      <c r="G22" s="15"/>
      <c r="H22" s="15"/>
      <c r="I22" s="15"/>
      <c r="J22" s="15"/>
      <c r="K22" s="15"/>
    </row>
    <row r="23" spans="2:11" ht="14.25" customHeight="1" x14ac:dyDescent="0.35">
      <c r="B23" s="15" t="s">
        <v>43</v>
      </c>
      <c r="C23" s="16">
        <f>C6/C16</f>
        <v>2.7523056307312332E-2</v>
      </c>
      <c r="D23" s="16">
        <f t="shared" ref="D23:E23" si="15">D6/D16</f>
        <v>2.9580854752017161E-2</v>
      </c>
      <c r="E23" s="16">
        <f t="shared" si="15"/>
        <v>2.2656878764968417E-2</v>
      </c>
      <c r="F23" s="16">
        <f>F6/F16</f>
        <v>2.4928902057378122E-2</v>
      </c>
      <c r="G23" s="16">
        <f>AVERAGE(C23:F23)</f>
        <v>2.6172422970419006E-2</v>
      </c>
      <c r="H23" s="16">
        <f>G23</f>
        <v>2.6172422970419006E-2</v>
      </c>
      <c r="I23" s="16">
        <f t="shared" ref="I23:K23" si="16">H23</f>
        <v>2.6172422970419006E-2</v>
      </c>
      <c r="J23" s="16">
        <f t="shared" si="16"/>
        <v>2.6172422970419006E-2</v>
      </c>
      <c r="K23" s="16">
        <f t="shared" si="16"/>
        <v>2.6172422970419006E-2</v>
      </c>
    </row>
    <row r="24" spans="2:11" ht="14.25" customHeight="1" x14ac:dyDescent="0.35">
      <c r="B24" s="15" t="s">
        <v>44</v>
      </c>
      <c r="C24" s="16">
        <f>C10/C16</f>
        <v>0.1382458813946767</v>
      </c>
      <c r="D24" s="16">
        <f t="shared" ref="D24:F24" si="17">D10/D16</f>
        <v>0.11914649506777907</v>
      </c>
      <c r="E24" s="16">
        <f t="shared" si="17"/>
        <v>0.1332707362875887</v>
      </c>
      <c r="F24" s="16">
        <f t="shared" si="17"/>
        <v>0.13176025416770784</v>
      </c>
      <c r="G24" s="16">
        <f t="shared" ref="G24:G25" si="18">AVERAGE(C24:F24)</f>
        <v>0.13060584172943809</v>
      </c>
      <c r="H24" s="16">
        <f t="shared" ref="H24:K25" si="19">G24</f>
        <v>0.13060584172943809</v>
      </c>
      <c r="I24" s="16">
        <f t="shared" si="19"/>
        <v>0.13060584172943809</v>
      </c>
      <c r="J24" s="16">
        <f t="shared" si="19"/>
        <v>0.13060584172943809</v>
      </c>
      <c r="K24" s="16">
        <f t="shared" si="19"/>
        <v>0.13060584172943809</v>
      </c>
    </row>
    <row r="25" spans="2:11" ht="14.25" customHeight="1" x14ac:dyDescent="0.35">
      <c r="B25" s="15" t="s">
        <v>45</v>
      </c>
      <c r="C25" s="16">
        <f>C11/C16</f>
        <v>0.11677921122467748</v>
      </c>
      <c r="D25" s="16">
        <f t="shared" ref="D25:F25" si="20">D11/D16</f>
        <v>0.10781049297267636</v>
      </c>
      <c r="E25" s="16">
        <f t="shared" si="20"/>
        <v>0.1247347755042314</v>
      </c>
      <c r="F25" s="16">
        <f t="shared" si="20"/>
        <v>8.5567415128690247E-2</v>
      </c>
      <c r="G25" s="16">
        <f t="shared" si="18"/>
        <v>0.10872297370756888</v>
      </c>
      <c r="H25" s="16">
        <f t="shared" si="19"/>
        <v>0.10872297370756888</v>
      </c>
      <c r="I25" s="16">
        <f t="shared" si="19"/>
        <v>0.10872297370756888</v>
      </c>
      <c r="J25" s="16">
        <f t="shared" si="19"/>
        <v>0.10872297370756888</v>
      </c>
      <c r="K25" s="16">
        <f t="shared" si="19"/>
        <v>0.10872297370756888</v>
      </c>
    </row>
    <row r="26" spans="2:11" ht="14.25" customHeight="1" x14ac:dyDescent="0.35"/>
    <row r="27" spans="2:11" ht="14.25" customHeight="1" x14ac:dyDescent="0.35"/>
    <row r="28" spans="2:11" ht="14.25" customHeight="1" x14ac:dyDescent="0.35"/>
    <row r="29" spans="2:11" ht="14.25" customHeight="1" x14ac:dyDescent="0.35"/>
    <row r="30" spans="2:11" ht="14.25" customHeight="1" x14ac:dyDescent="0.35"/>
    <row r="31" spans="2:11" ht="14.25" customHeight="1" x14ac:dyDescent="0.35"/>
    <row r="32" spans="2:11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</sheetData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/>
  <dimension ref="B1:G1000"/>
  <sheetViews>
    <sheetView showGridLines="0" workbookViewId="0">
      <selection activeCell="C3" sqref="C3"/>
    </sheetView>
  </sheetViews>
  <sheetFormatPr defaultColWidth="14.453125" defaultRowHeight="15" customHeight="1" x14ac:dyDescent="0.35"/>
  <cols>
    <col min="1" max="1" width="8.81640625" customWidth="1"/>
    <col min="2" max="2" width="37.08984375" customWidth="1"/>
    <col min="3" max="3" width="10.81640625" customWidth="1"/>
    <col min="4" max="6" width="8.81640625" customWidth="1"/>
    <col min="7" max="7" width="23.1796875" customWidth="1"/>
    <col min="8" max="26" width="8.81640625" customWidth="1"/>
  </cols>
  <sheetData>
    <row r="1" spans="2:7" ht="14.25" customHeight="1" x14ac:dyDescent="0.35"/>
    <row r="2" spans="2:7" ht="14.25" customHeight="1" x14ac:dyDescent="0.35">
      <c r="B2" s="44" t="s">
        <v>62</v>
      </c>
      <c r="C2" s="45"/>
    </row>
    <row r="3" spans="2:7" ht="14.25" customHeight="1" x14ac:dyDescent="0.35">
      <c r="B3" s="1" t="s">
        <v>63</v>
      </c>
      <c r="C3" s="31">
        <v>402850</v>
      </c>
    </row>
    <row r="4" spans="2:7" ht="14.25" customHeight="1" x14ac:dyDescent="0.35">
      <c r="B4" s="1" t="s">
        <v>64</v>
      </c>
      <c r="C4" s="17">
        <f>'PG-BS'!B26+'PG-BS'!B28</f>
        <v>32460</v>
      </c>
    </row>
    <row r="5" spans="2:7" ht="14.25" customHeight="1" x14ac:dyDescent="0.35">
      <c r="B5" s="1"/>
      <c r="C5" s="1"/>
      <c r="G5" s="37"/>
    </row>
    <row r="6" spans="2:7" ht="14.25" customHeight="1" x14ac:dyDescent="0.35">
      <c r="B6" s="1" t="s">
        <v>65</v>
      </c>
      <c r="C6" s="42">
        <f>('PG-BS'!B26*3.2%+'PG-BS'!B28*3.7%)/('PG-BS'!B26+'PG-BS'!B28)</f>
        <v>3.5892329020332722E-2</v>
      </c>
      <c r="D6" s="36"/>
      <c r="F6" s="20"/>
    </row>
    <row r="7" spans="2:7" ht="14.25" customHeight="1" x14ac:dyDescent="0.35">
      <c r="B7" s="1" t="s">
        <v>66</v>
      </c>
      <c r="C7" s="29">
        <v>0.21</v>
      </c>
      <c r="G7" s="38"/>
    </row>
    <row r="8" spans="2:7" ht="14.25" customHeight="1" x14ac:dyDescent="0.35">
      <c r="B8" s="1" t="s">
        <v>67</v>
      </c>
      <c r="C8" s="40">
        <f>C4/(C4+C3)</f>
        <v>7.4567549562380833E-2</v>
      </c>
    </row>
    <row r="9" spans="2:7" ht="14.25" customHeight="1" x14ac:dyDescent="0.35">
      <c r="B9" s="18" t="s">
        <v>68</v>
      </c>
      <c r="C9" s="41">
        <f>C6*(1-C7)</f>
        <v>2.8354939926062851E-2</v>
      </c>
    </row>
    <row r="10" spans="2:7" ht="14.25" customHeight="1" x14ac:dyDescent="0.35">
      <c r="B10" s="10"/>
      <c r="C10" s="33"/>
    </row>
    <row r="11" spans="2:7" ht="14.25" customHeight="1" x14ac:dyDescent="0.35">
      <c r="B11" s="1" t="s">
        <v>69</v>
      </c>
      <c r="C11" s="32">
        <v>4.3999999999999997E-2</v>
      </c>
    </row>
    <row r="12" spans="2:7" ht="14.25" customHeight="1" x14ac:dyDescent="0.35">
      <c r="B12" s="1" t="s">
        <v>70</v>
      </c>
      <c r="C12" s="32">
        <v>0.105</v>
      </c>
    </row>
    <row r="13" spans="2:7" ht="14.25" customHeight="1" x14ac:dyDescent="0.35">
      <c r="B13" s="1" t="s">
        <v>71</v>
      </c>
      <c r="C13" s="20">
        <f>C12-C11</f>
        <v>6.0999999999999999E-2</v>
      </c>
    </row>
    <row r="14" spans="2:7" ht="14.25" customHeight="1" x14ac:dyDescent="0.35">
      <c r="B14" s="1" t="s">
        <v>72</v>
      </c>
      <c r="C14" s="34">
        <v>0.54</v>
      </c>
    </row>
    <row r="15" spans="2:7" ht="14.25" customHeight="1" x14ac:dyDescent="0.35">
      <c r="B15" s="1" t="s">
        <v>73</v>
      </c>
      <c r="C15" s="40">
        <f>1-C8</f>
        <v>0.92543245043761913</v>
      </c>
    </row>
    <row r="16" spans="2:7" ht="14.25" customHeight="1" x14ac:dyDescent="0.35">
      <c r="B16" s="18" t="s">
        <v>74</v>
      </c>
      <c r="C16" s="41">
        <f>C11+C14*C13</f>
        <v>7.6940000000000008E-2</v>
      </c>
    </row>
    <row r="17" spans="2:3" ht="14.25" customHeight="1" x14ac:dyDescent="0.35">
      <c r="B17" s="1"/>
      <c r="C17" s="1"/>
    </row>
    <row r="18" spans="2:3" ht="14.25" customHeight="1" x14ac:dyDescent="0.35">
      <c r="B18" s="13" t="s">
        <v>52</v>
      </c>
      <c r="C18" s="43">
        <f>C8*C9+C15*C16</f>
        <v>7.3317131124945437E-2</v>
      </c>
    </row>
    <row r="19" spans="2:3" ht="14.25" customHeight="1" x14ac:dyDescent="0.35"/>
    <row r="20" spans="2:3" ht="14.25" customHeight="1" x14ac:dyDescent="0.35"/>
    <row r="21" spans="2:3" ht="14.25" customHeight="1" x14ac:dyDescent="0.35"/>
    <row r="22" spans="2:3" ht="14.25" customHeight="1" x14ac:dyDescent="0.35"/>
    <row r="23" spans="2:3" ht="14.25" customHeight="1" x14ac:dyDescent="0.35"/>
    <row r="24" spans="2:3" ht="14.25" customHeight="1" x14ac:dyDescent="0.35"/>
    <row r="25" spans="2:3" ht="14.25" customHeight="1" x14ac:dyDescent="0.35"/>
    <row r="26" spans="2:3" ht="14.25" customHeight="1" x14ac:dyDescent="0.35"/>
    <row r="27" spans="2:3" ht="14.25" customHeight="1" x14ac:dyDescent="0.35"/>
    <row r="28" spans="2:3" ht="14.25" customHeight="1" x14ac:dyDescent="0.35"/>
    <row r="29" spans="2:3" ht="14.25" customHeight="1" x14ac:dyDescent="0.35"/>
    <row r="30" spans="2:3" ht="14.25" customHeight="1" x14ac:dyDescent="0.35"/>
    <row r="31" spans="2:3" ht="14.25" customHeight="1" x14ac:dyDescent="0.35"/>
    <row r="32" spans="2:3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mergeCells count="1">
    <mergeCell ref="B2:C2"/>
  </mergeCells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B1:K1000"/>
  <sheetViews>
    <sheetView showGridLines="0" tabSelected="1" zoomScale="82" workbookViewId="0">
      <selection activeCell="L19" sqref="L19"/>
    </sheetView>
  </sheetViews>
  <sheetFormatPr defaultColWidth="14.453125" defaultRowHeight="15" customHeight="1" x14ac:dyDescent="0.35"/>
  <cols>
    <col min="1" max="1" width="8.81640625" customWidth="1"/>
    <col min="2" max="2" width="28.54296875" customWidth="1"/>
    <col min="3" max="10" width="9.453125" customWidth="1"/>
    <col min="11" max="11" width="8.08984375" customWidth="1"/>
    <col min="12" max="26" width="8.81640625" customWidth="1"/>
  </cols>
  <sheetData>
    <row r="1" spans="2:11" ht="14.25" customHeight="1" x14ac:dyDescent="0.35"/>
    <row r="2" spans="2:11" ht="14.25" customHeight="1" x14ac:dyDescent="0.35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</row>
    <row r="3" spans="2:11" ht="14.25" customHeight="1" x14ac:dyDescent="0.35">
      <c r="B3" s="3" t="s">
        <v>1</v>
      </c>
      <c r="C3" s="4"/>
      <c r="D3" s="4">
        <v>44926</v>
      </c>
      <c r="E3" s="4">
        <v>45291</v>
      </c>
      <c r="F3" s="4">
        <v>45657</v>
      </c>
      <c r="G3" s="5">
        <v>46022</v>
      </c>
      <c r="H3" s="5">
        <v>46387</v>
      </c>
      <c r="I3" s="5">
        <v>46752</v>
      </c>
      <c r="J3" s="5">
        <v>47118</v>
      </c>
      <c r="K3" s="5">
        <v>47483</v>
      </c>
    </row>
    <row r="4" spans="2:11" ht="14.25" customHeight="1" x14ac:dyDescent="0.35">
      <c r="B4" s="6" t="s">
        <v>19</v>
      </c>
      <c r="C4" s="17"/>
      <c r="D4" s="17">
        <f>'Free Cash Flow'!C21</f>
        <v>15731</v>
      </c>
      <c r="E4" s="17">
        <f>'Free Cash Flow'!D21</f>
        <v>19945</v>
      </c>
      <c r="F4" s="17">
        <f>'Free Cash Flow'!E21</f>
        <v>14699</v>
      </c>
      <c r="G4" s="17">
        <f>'Free Cash Flow'!F21</f>
        <v>20723.780986673402</v>
      </c>
      <c r="H4" s="17">
        <f>'Free Cash Flow'!G21</f>
        <v>20526.31153180137</v>
      </c>
      <c r="I4" s="17">
        <f>'Free Cash Flow'!H21</f>
        <v>22361.263067430882</v>
      </c>
      <c r="J4" s="17">
        <f>'Free Cash Flow'!I21</f>
        <v>23588.805562874582</v>
      </c>
      <c r="K4" s="17">
        <f>'Free Cash Flow'!J21</f>
        <v>24331.999402249618</v>
      </c>
    </row>
    <row r="5" spans="2:11" ht="14.25" customHeight="1" x14ac:dyDescent="0.35"/>
    <row r="6" spans="2:11" ht="14.25" customHeight="1" x14ac:dyDescent="0.35">
      <c r="B6" s="6" t="s">
        <v>46</v>
      </c>
      <c r="G6" s="6">
        <v>1</v>
      </c>
      <c r="H6" s="6">
        <v>2</v>
      </c>
      <c r="I6" s="6">
        <v>3</v>
      </c>
      <c r="J6" s="6">
        <v>4</v>
      </c>
      <c r="K6" s="6">
        <v>5</v>
      </c>
    </row>
    <row r="7" spans="2:11" ht="14.25" customHeight="1" x14ac:dyDescent="0.35">
      <c r="B7" s="18" t="s">
        <v>47</v>
      </c>
      <c r="C7" s="18"/>
      <c r="D7" s="18"/>
      <c r="E7" s="18"/>
      <c r="F7" s="18"/>
      <c r="G7" s="19">
        <f>G4/(1+$C$12)^G6</f>
        <v>19308.16194553121</v>
      </c>
      <c r="H7" s="19">
        <f t="shared" ref="H7:K7" si="0">H4/(1+$C$12)^H6</f>
        <v>17817.82928897559</v>
      </c>
      <c r="I7" s="19">
        <f t="shared" si="0"/>
        <v>18084.734920155079</v>
      </c>
      <c r="J7" s="19">
        <f t="shared" si="0"/>
        <v>17774.34911016588</v>
      </c>
      <c r="K7" s="19">
        <f t="shared" si="0"/>
        <v>17081.951771137683</v>
      </c>
    </row>
    <row r="8" spans="2:11" ht="14.25" customHeight="1" x14ac:dyDescent="0.35"/>
    <row r="9" spans="2:11" ht="14.25" customHeight="1" x14ac:dyDescent="0.35">
      <c r="B9" s="44" t="s">
        <v>48</v>
      </c>
      <c r="C9" s="45"/>
      <c r="E9" s="44" t="s">
        <v>49</v>
      </c>
      <c r="F9" s="46"/>
      <c r="G9" s="46"/>
      <c r="H9" s="46"/>
      <c r="I9" s="46"/>
      <c r="J9" s="46"/>
      <c r="K9" s="45"/>
    </row>
    <row r="10" spans="2:11" ht="14.25" customHeight="1" x14ac:dyDescent="0.35">
      <c r="B10" s="1" t="s">
        <v>50</v>
      </c>
      <c r="C10" s="17">
        <f>SUM(G7:K7)</f>
        <v>90067.027035965439</v>
      </c>
    </row>
    <row r="11" spans="2:11" ht="14.25" customHeight="1" x14ac:dyDescent="0.35">
      <c r="B11" s="1" t="s">
        <v>51</v>
      </c>
      <c r="C11" s="32">
        <v>5.1999999999999998E-2</v>
      </c>
      <c r="E11" s="1"/>
      <c r="F11" s="1"/>
      <c r="G11" s="44" t="s">
        <v>51</v>
      </c>
      <c r="H11" s="46"/>
      <c r="I11" s="46"/>
      <c r="J11" s="46"/>
      <c r="K11" s="45"/>
    </row>
    <row r="12" spans="2:11" ht="15" customHeight="1" x14ac:dyDescent="0.35">
      <c r="B12" s="1" t="s">
        <v>52</v>
      </c>
      <c r="C12" s="39">
        <f>WACC!C18</f>
        <v>7.3317131124945437E-2</v>
      </c>
      <c r="E12" s="1"/>
      <c r="F12" s="23">
        <f>C21</f>
        <v>368.06141412309762</v>
      </c>
      <c r="G12" s="24">
        <f>H12-0.005</f>
        <v>4.2000000000000003E-2</v>
      </c>
      <c r="H12" s="24">
        <f>I12-0.005</f>
        <v>4.7E-2</v>
      </c>
      <c r="I12" s="24">
        <v>5.1999999999999998E-2</v>
      </c>
      <c r="J12" s="24">
        <f>I12+0.005</f>
        <v>5.6999999999999995E-2</v>
      </c>
      <c r="K12" s="24">
        <f>J12+0.005</f>
        <v>6.1999999999999993E-2</v>
      </c>
    </row>
    <row r="13" spans="2:11" ht="14.25" customHeight="1" x14ac:dyDescent="0.35">
      <c r="B13" s="1" t="s">
        <v>53</v>
      </c>
      <c r="C13" s="17">
        <f>K4*(1+C11)/(C12-C11)</f>
        <v>1200783.6899409285</v>
      </c>
      <c r="E13" s="47" t="s">
        <v>52</v>
      </c>
      <c r="F13" s="24">
        <f>F14-0.005</f>
        <v>6.3317131124945428E-2</v>
      </c>
      <c r="G13" s="23">
        <f t="dataTable" ref="G13:K17" dt2D="1" dtr="1" r1="C11" r2="C12"/>
        <v>382.02848712356285</v>
      </c>
      <c r="H13" s="23">
        <v>492.71459091630646</v>
      </c>
      <c r="I13" s="23">
        <v>701.20472522767432</v>
      </c>
      <c r="J13" s="23">
        <v>1239.7341292449855</v>
      </c>
      <c r="K13" s="23">
        <v>5866.9179870063826</v>
      </c>
    </row>
    <row r="14" spans="2:11" ht="14.25" customHeight="1" x14ac:dyDescent="0.35">
      <c r="B14" s="1" t="s">
        <v>54</v>
      </c>
      <c r="C14" s="17">
        <f>C13/(1+C12)^5</f>
        <v>842993.98253491952</v>
      </c>
      <c r="D14" s="17"/>
      <c r="E14" s="48"/>
      <c r="F14" s="24">
        <f>F15-0.005</f>
        <v>6.8317131124945432E-2</v>
      </c>
      <c r="G14" s="23">
        <v>307.61231984752715</v>
      </c>
      <c r="H14" s="25">
        <v>374.96406178069992</v>
      </c>
      <c r="I14" s="25">
        <v>483.5925094150399</v>
      </c>
      <c r="J14" s="25">
        <v>688.20680932504979</v>
      </c>
      <c r="K14" s="23">
        <v>1216.7249444776389</v>
      </c>
    </row>
    <row r="15" spans="2:11" ht="14.25" customHeight="1" x14ac:dyDescent="0.35">
      <c r="B15" s="1" t="s">
        <v>55</v>
      </c>
      <c r="C15" s="17">
        <f>C14+C10</f>
        <v>933061.00957088498</v>
      </c>
      <c r="E15" s="48"/>
      <c r="F15" s="24">
        <v>7.3317131124945437E-2</v>
      </c>
      <c r="G15" s="23">
        <v>256.95888950319267</v>
      </c>
      <c r="H15" s="25">
        <v>301.95595005646186</v>
      </c>
      <c r="I15" s="26">
        <v>368.06141412309762</v>
      </c>
      <c r="J15" s="25">
        <v>474.67979897246477</v>
      </c>
      <c r="K15" s="23">
        <v>675.5079121286434</v>
      </c>
    </row>
    <row r="16" spans="2:11" ht="14.25" customHeight="1" x14ac:dyDescent="0.35">
      <c r="B16" s="12" t="s">
        <v>56</v>
      </c>
      <c r="C16" s="17">
        <f>'PG-BS'!B7</f>
        <v>9482</v>
      </c>
      <c r="E16" s="48"/>
      <c r="F16" s="24">
        <f>F15+0.005</f>
        <v>7.8317131124945441E-2</v>
      </c>
      <c r="G16" s="23">
        <v>220.25350850389125</v>
      </c>
      <c r="H16" s="25">
        <v>252.25994912559801</v>
      </c>
      <c r="I16" s="25">
        <v>296.42821714017316</v>
      </c>
      <c r="J16" s="25">
        <v>361.31609688659574</v>
      </c>
      <c r="K16" s="23">
        <v>465.97069741840357</v>
      </c>
    </row>
    <row r="17" spans="2:11" ht="14.25" customHeight="1" x14ac:dyDescent="0.35">
      <c r="B17" s="12" t="s">
        <v>57</v>
      </c>
      <c r="C17" s="17">
        <f>WACC!C4</f>
        <v>32460</v>
      </c>
      <c r="E17" s="49"/>
      <c r="F17" s="24">
        <f>F16+0.005</f>
        <v>8.3317131124945445E-2</v>
      </c>
      <c r="G17" s="23">
        <v>192.43239396737326</v>
      </c>
      <c r="H17" s="23">
        <v>216.24751360721518</v>
      </c>
      <c r="I17" s="23">
        <v>247.667135570347</v>
      </c>
      <c r="J17" s="23">
        <v>291.02560520420747</v>
      </c>
      <c r="K17" s="23">
        <v>354.72380506711471</v>
      </c>
    </row>
    <row r="18" spans="2:11" ht="14.25" customHeight="1" x14ac:dyDescent="0.35">
      <c r="B18" s="12" t="s">
        <v>58</v>
      </c>
      <c r="C18" s="17">
        <f>'PG-BS'!B41</f>
        <v>272</v>
      </c>
    </row>
    <row r="19" spans="2:11" ht="14.25" customHeight="1" x14ac:dyDescent="0.35">
      <c r="B19" s="27" t="s">
        <v>59</v>
      </c>
      <c r="C19" s="28">
        <f>C15+C16-C17-C18</f>
        <v>909811.00957088498</v>
      </c>
    </row>
    <row r="20" spans="2:11" ht="14.25" customHeight="1" x14ac:dyDescent="0.35">
      <c r="B20" s="1" t="s">
        <v>60</v>
      </c>
      <c r="C20" s="29">
        <v>2471.9</v>
      </c>
    </row>
    <row r="21" spans="2:11" ht="14.25" customHeight="1" x14ac:dyDescent="0.35">
      <c r="B21" s="13" t="s">
        <v>61</v>
      </c>
      <c r="C21" s="30">
        <f>C19/C20</f>
        <v>368.06141412309762</v>
      </c>
    </row>
    <row r="22" spans="2:11" ht="14.25" customHeight="1" x14ac:dyDescent="0.35"/>
    <row r="23" spans="2:11" ht="14.25" customHeight="1" x14ac:dyDescent="0.35"/>
    <row r="24" spans="2:11" ht="14.25" customHeight="1" x14ac:dyDescent="0.35"/>
    <row r="25" spans="2:11" ht="14.25" customHeight="1" x14ac:dyDescent="0.35"/>
    <row r="26" spans="2:11" ht="14.25" customHeight="1" x14ac:dyDescent="0.35"/>
    <row r="27" spans="2:11" ht="14.25" customHeight="1" x14ac:dyDescent="0.35"/>
    <row r="28" spans="2:11" ht="14.25" customHeight="1" x14ac:dyDescent="0.35"/>
    <row r="29" spans="2:11" ht="14.25" customHeight="1" x14ac:dyDescent="0.35"/>
    <row r="30" spans="2:11" ht="14.25" customHeight="1" x14ac:dyDescent="0.35"/>
    <row r="31" spans="2:11" ht="14.25" customHeight="1" x14ac:dyDescent="0.35"/>
    <row r="32" spans="2:11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mergeCells count="4">
    <mergeCell ref="B9:C9"/>
    <mergeCell ref="E9:K9"/>
    <mergeCell ref="G11:K11"/>
    <mergeCell ref="E13:E17"/>
  </mergeCells>
  <pageMargins left="0.7" right="0.7" top="0.75" bottom="0.75" header="0" footer="0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FD45D-5D7A-4513-8DFE-DC6BB301DD40}">
  <sheetPr codeName="Sheet7"/>
  <dimension ref="A1:D23"/>
  <sheetViews>
    <sheetView workbookViewId="0">
      <selection activeCell="H7" sqref="H7"/>
    </sheetView>
  </sheetViews>
  <sheetFormatPr defaultRowHeight="14.5" x14ac:dyDescent="0.35"/>
  <cols>
    <col min="1" max="1" width="63.08984375" bestFit="1" customWidth="1"/>
    <col min="2" max="2" width="10.453125" customWidth="1"/>
    <col min="3" max="3" width="9.7265625" customWidth="1"/>
    <col min="4" max="4" width="9.26953125" customWidth="1"/>
    <col min="5" max="5" width="11.7265625" customWidth="1"/>
    <col min="6" max="6" width="13.08984375" customWidth="1"/>
  </cols>
  <sheetData>
    <row r="1" spans="1:4" x14ac:dyDescent="0.35">
      <c r="A1" t="s">
        <v>86</v>
      </c>
    </row>
    <row r="2" spans="1:4" x14ac:dyDescent="0.35">
      <c r="A2" t="s">
        <v>87</v>
      </c>
      <c r="B2" t="s">
        <v>88</v>
      </c>
      <c r="C2" t="s">
        <v>88</v>
      </c>
      <c r="D2" t="s">
        <v>88</v>
      </c>
    </row>
    <row r="3" spans="1:4" x14ac:dyDescent="0.35">
      <c r="C3" t="s">
        <v>88</v>
      </c>
      <c r="D3" t="s">
        <v>88</v>
      </c>
    </row>
    <row r="4" spans="1:4" x14ac:dyDescent="0.35">
      <c r="A4" t="s">
        <v>89</v>
      </c>
      <c r="B4">
        <v>2024</v>
      </c>
      <c r="C4">
        <v>2023</v>
      </c>
      <c r="D4">
        <v>2022</v>
      </c>
    </row>
    <row r="5" spans="1:4" x14ac:dyDescent="0.35">
      <c r="A5" t="s">
        <v>90</v>
      </c>
      <c r="B5">
        <v>84039</v>
      </c>
      <c r="C5">
        <v>82006</v>
      </c>
      <c r="D5">
        <v>80187</v>
      </c>
    </row>
    <row r="6" spans="1:4" x14ac:dyDescent="0.35">
      <c r="A6" t="s">
        <v>91</v>
      </c>
      <c r="B6">
        <v>40848</v>
      </c>
      <c r="C6">
        <v>42760</v>
      </c>
      <c r="D6">
        <v>42157</v>
      </c>
    </row>
    <row r="7" spans="1:4" x14ac:dyDescent="0.35">
      <c r="A7" t="s">
        <v>92</v>
      </c>
      <c r="B7">
        <v>23305</v>
      </c>
      <c r="C7">
        <v>21112</v>
      </c>
      <c r="D7">
        <v>20217</v>
      </c>
    </row>
    <row r="8" spans="1:4" x14ac:dyDescent="0.35">
      <c r="A8" t="s">
        <v>93</v>
      </c>
      <c r="B8">
        <v>1341</v>
      </c>
      <c r="C8" t="s">
        <v>94</v>
      </c>
      <c r="D8" t="s">
        <v>94</v>
      </c>
    </row>
    <row r="9" spans="1:4" x14ac:dyDescent="0.35">
      <c r="A9" t="s">
        <v>95</v>
      </c>
      <c r="B9">
        <v>18545</v>
      </c>
      <c r="C9">
        <v>18134</v>
      </c>
      <c r="D9">
        <v>17813</v>
      </c>
    </row>
    <row r="10" spans="1:4" x14ac:dyDescent="0.35">
      <c r="A10" t="s">
        <v>75</v>
      </c>
      <c r="B10">
        <v>-925</v>
      </c>
      <c r="C10">
        <v>-756</v>
      </c>
      <c r="D10">
        <v>-439</v>
      </c>
    </row>
    <row r="11" spans="1:4" x14ac:dyDescent="0.35">
      <c r="A11" t="s">
        <v>96</v>
      </c>
      <c r="B11">
        <v>473</v>
      </c>
      <c r="C11">
        <v>307</v>
      </c>
      <c r="D11">
        <v>51</v>
      </c>
    </row>
    <row r="12" spans="1:4" x14ac:dyDescent="0.35">
      <c r="A12" t="s">
        <v>97</v>
      </c>
      <c r="B12">
        <v>668</v>
      </c>
      <c r="C12">
        <v>668</v>
      </c>
      <c r="D12">
        <v>570</v>
      </c>
    </row>
    <row r="13" spans="1:4" x14ac:dyDescent="0.35">
      <c r="A13" t="s">
        <v>98</v>
      </c>
      <c r="B13">
        <v>18761</v>
      </c>
      <c r="C13">
        <v>18353</v>
      </c>
      <c r="D13">
        <v>17995</v>
      </c>
    </row>
    <row r="14" spans="1:4" x14ac:dyDescent="0.35">
      <c r="A14" t="s">
        <v>99</v>
      </c>
      <c r="B14">
        <v>3787</v>
      </c>
      <c r="C14">
        <v>3615</v>
      </c>
      <c r="D14">
        <v>3202</v>
      </c>
    </row>
    <row r="15" spans="1:4" x14ac:dyDescent="0.35">
      <c r="A15" t="s">
        <v>100</v>
      </c>
      <c r="B15">
        <v>14974</v>
      </c>
      <c r="C15">
        <v>14738</v>
      </c>
      <c r="D15">
        <v>14793</v>
      </c>
    </row>
    <row r="16" spans="1:4" x14ac:dyDescent="0.35">
      <c r="A16" t="s">
        <v>101</v>
      </c>
      <c r="B16">
        <v>95</v>
      </c>
      <c r="C16">
        <v>85</v>
      </c>
      <c r="D16">
        <v>51</v>
      </c>
    </row>
    <row r="17" spans="1:4" x14ac:dyDescent="0.35">
      <c r="A17" t="s">
        <v>102</v>
      </c>
      <c r="B17">
        <v>14879</v>
      </c>
      <c r="C17">
        <v>14653</v>
      </c>
      <c r="D17">
        <v>14742</v>
      </c>
    </row>
    <row r="19" spans="1:4" x14ac:dyDescent="0.35">
      <c r="A19" t="s">
        <v>105</v>
      </c>
    </row>
    <row r="20" spans="1:4" x14ac:dyDescent="0.35">
      <c r="A20" t="s">
        <v>103</v>
      </c>
      <c r="B20">
        <v>6.18</v>
      </c>
      <c r="C20">
        <v>6.07</v>
      </c>
      <c r="D20">
        <v>6</v>
      </c>
    </row>
    <row r="21" spans="1:4" x14ac:dyDescent="0.35">
      <c r="A21" t="s">
        <v>104</v>
      </c>
      <c r="B21">
        <v>6.02</v>
      </c>
      <c r="C21">
        <v>5.9</v>
      </c>
      <c r="D21">
        <v>5.81</v>
      </c>
    </row>
    <row r="23" spans="1:4" x14ac:dyDescent="0.35">
      <c r="A23" t="s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648CC-3FBC-4F74-AF0A-91355304D24F}">
  <sheetPr codeName="Sheet8"/>
  <dimension ref="A1:G43"/>
  <sheetViews>
    <sheetView topLeftCell="A26" workbookViewId="0">
      <selection activeCell="H35" sqref="H35"/>
    </sheetView>
  </sheetViews>
  <sheetFormatPr defaultRowHeight="14.5" x14ac:dyDescent="0.35"/>
  <cols>
    <col min="1" max="1" width="95.08984375" customWidth="1"/>
    <col min="2" max="3" width="7.453125" bestFit="1" customWidth="1"/>
    <col min="4" max="4" width="8.36328125" customWidth="1"/>
    <col min="7" max="7" width="10.90625" customWidth="1"/>
  </cols>
  <sheetData>
    <row r="1" spans="1:5" x14ac:dyDescent="0.35">
      <c r="A1" t="s">
        <v>86</v>
      </c>
    </row>
    <row r="2" spans="1:5" x14ac:dyDescent="0.35">
      <c r="A2" t="s">
        <v>107</v>
      </c>
    </row>
    <row r="4" spans="1:5" x14ac:dyDescent="0.35">
      <c r="A4" t="s">
        <v>108</v>
      </c>
      <c r="B4">
        <v>2024</v>
      </c>
      <c r="C4">
        <v>2023</v>
      </c>
      <c r="D4">
        <v>2022</v>
      </c>
      <c r="E4">
        <v>2021</v>
      </c>
    </row>
    <row r="5" spans="1:5" x14ac:dyDescent="0.35">
      <c r="A5" t="s">
        <v>109</v>
      </c>
    </row>
    <row r="6" spans="1:5" x14ac:dyDescent="0.35">
      <c r="A6" t="s">
        <v>76</v>
      </c>
    </row>
    <row r="7" spans="1:5" x14ac:dyDescent="0.35">
      <c r="A7" t="s">
        <v>77</v>
      </c>
      <c r="B7">
        <v>9482</v>
      </c>
      <c r="C7">
        <v>8246</v>
      </c>
      <c r="D7">
        <v>7214</v>
      </c>
      <c r="E7">
        <v>10288</v>
      </c>
    </row>
    <row r="8" spans="1:5" x14ac:dyDescent="0.35">
      <c r="A8" t="s">
        <v>110</v>
      </c>
      <c r="B8">
        <v>6118</v>
      </c>
      <c r="C8">
        <v>5471</v>
      </c>
      <c r="D8">
        <v>5143</v>
      </c>
      <c r="E8">
        <v>4725</v>
      </c>
    </row>
    <row r="9" spans="1:5" x14ac:dyDescent="0.35">
      <c r="A9" t="s">
        <v>111</v>
      </c>
    </row>
    <row r="10" spans="1:5" x14ac:dyDescent="0.35">
      <c r="A10" t="s">
        <v>112</v>
      </c>
      <c r="B10">
        <v>1617</v>
      </c>
      <c r="C10">
        <v>1863</v>
      </c>
      <c r="D10">
        <v>2168</v>
      </c>
      <c r="E10">
        <v>1645</v>
      </c>
    </row>
    <row r="11" spans="1:5" x14ac:dyDescent="0.35">
      <c r="A11" t="s">
        <v>113</v>
      </c>
      <c r="B11">
        <v>929</v>
      </c>
      <c r="C11">
        <v>956</v>
      </c>
      <c r="D11">
        <v>856</v>
      </c>
      <c r="E11">
        <v>719</v>
      </c>
    </row>
    <row r="12" spans="1:5" x14ac:dyDescent="0.35">
      <c r="A12" t="s">
        <v>114</v>
      </c>
      <c r="B12">
        <v>4470</v>
      </c>
      <c r="C12">
        <v>4254</v>
      </c>
      <c r="D12">
        <v>3900</v>
      </c>
      <c r="E12">
        <v>3619</v>
      </c>
    </row>
    <row r="13" spans="1:5" x14ac:dyDescent="0.35">
      <c r="A13" t="s">
        <v>115</v>
      </c>
      <c r="B13">
        <v>7016</v>
      </c>
      <c r="C13">
        <v>7073</v>
      </c>
      <c r="D13">
        <v>6924</v>
      </c>
      <c r="E13">
        <v>5983</v>
      </c>
    </row>
    <row r="14" spans="1:5" x14ac:dyDescent="0.35">
      <c r="A14" t="s">
        <v>116</v>
      </c>
      <c r="B14">
        <v>2095</v>
      </c>
      <c r="C14">
        <v>1858</v>
      </c>
      <c r="D14">
        <v>2372</v>
      </c>
      <c r="E14">
        <v>2095</v>
      </c>
    </row>
    <row r="15" spans="1:5" x14ac:dyDescent="0.35">
      <c r="A15" t="s">
        <v>117</v>
      </c>
      <c r="B15">
        <v>24709</v>
      </c>
      <c r="C15">
        <v>22648</v>
      </c>
      <c r="D15">
        <v>21653</v>
      </c>
      <c r="E15">
        <v>23091</v>
      </c>
    </row>
    <row r="16" spans="1:5" x14ac:dyDescent="0.35">
      <c r="A16" t="s">
        <v>118</v>
      </c>
      <c r="B16">
        <v>22152</v>
      </c>
      <c r="C16">
        <v>21909</v>
      </c>
      <c r="D16">
        <v>21195</v>
      </c>
      <c r="E16">
        <v>21686</v>
      </c>
    </row>
    <row r="17" spans="1:5" x14ac:dyDescent="0.35">
      <c r="A17" t="s">
        <v>119</v>
      </c>
      <c r="B17">
        <v>40303</v>
      </c>
      <c r="C17">
        <v>40659</v>
      </c>
      <c r="D17">
        <v>39700</v>
      </c>
      <c r="E17">
        <v>40924</v>
      </c>
    </row>
    <row r="18" spans="1:5" x14ac:dyDescent="0.35">
      <c r="A18" t="s">
        <v>120</v>
      </c>
      <c r="B18">
        <v>22047</v>
      </c>
      <c r="C18">
        <v>23783</v>
      </c>
      <c r="D18">
        <v>23679</v>
      </c>
      <c r="E18">
        <v>23642</v>
      </c>
    </row>
    <row r="19" spans="1:5" x14ac:dyDescent="0.35">
      <c r="A19" t="s">
        <v>121</v>
      </c>
      <c r="B19">
        <v>13158</v>
      </c>
      <c r="C19">
        <v>11830</v>
      </c>
      <c r="D19">
        <v>10981</v>
      </c>
      <c r="E19">
        <v>9964</v>
      </c>
    </row>
    <row r="20" spans="1:5" x14ac:dyDescent="0.35">
      <c r="A20" t="s">
        <v>78</v>
      </c>
      <c r="B20">
        <v>122370</v>
      </c>
      <c r="C20">
        <v>120829</v>
      </c>
      <c r="D20">
        <v>117208</v>
      </c>
      <c r="E20">
        <v>119307</v>
      </c>
    </row>
    <row r="22" spans="1:5" x14ac:dyDescent="0.35">
      <c r="A22" t="s">
        <v>122</v>
      </c>
    </row>
    <row r="23" spans="1:5" x14ac:dyDescent="0.35">
      <c r="A23" t="s">
        <v>79</v>
      </c>
    </row>
    <row r="24" spans="1:5" x14ac:dyDescent="0.35">
      <c r="A24" t="s">
        <v>80</v>
      </c>
      <c r="B24">
        <v>15364</v>
      </c>
      <c r="C24">
        <v>14598</v>
      </c>
      <c r="D24">
        <v>14882</v>
      </c>
      <c r="E24">
        <v>13720</v>
      </c>
    </row>
    <row r="25" spans="1:5" x14ac:dyDescent="0.35">
      <c r="A25" t="s">
        <v>123</v>
      </c>
      <c r="B25">
        <v>11073</v>
      </c>
      <c r="C25">
        <v>10929</v>
      </c>
      <c r="D25">
        <v>9554</v>
      </c>
      <c r="E25">
        <v>10523</v>
      </c>
    </row>
    <row r="26" spans="1:5" x14ac:dyDescent="0.35">
      <c r="A26" t="s">
        <v>124</v>
      </c>
      <c r="B26">
        <v>7191</v>
      </c>
      <c r="C26">
        <v>10229</v>
      </c>
      <c r="D26">
        <v>8645</v>
      </c>
      <c r="E26">
        <v>8889</v>
      </c>
    </row>
    <row r="27" spans="1:5" x14ac:dyDescent="0.35">
      <c r="A27" t="s">
        <v>125</v>
      </c>
      <c r="B27">
        <v>33627</v>
      </c>
      <c r="C27">
        <v>35756</v>
      </c>
      <c r="D27">
        <v>33081</v>
      </c>
      <c r="E27">
        <v>33132</v>
      </c>
    </row>
    <row r="28" spans="1:5" x14ac:dyDescent="0.35">
      <c r="A28" t="s">
        <v>126</v>
      </c>
      <c r="B28">
        <v>25269</v>
      </c>
      <c r="C28">
        <v>24378</v>
      </c>
      <c r="D28">
        <v>22848</v>
      </c>
      <c r="E28">
        <v>23099</v>
      </c>
    </row>
    <row r="29" spans="1:5" x14ac:dyDescent="0.35">
      <c r="A29" t="s">
        <v>127</v>
      </c>
      <c r="B29">
        <v>6516</v>
      </c>
      <c r="C29">
        <v>6478</v>
      </c>
      <c r="D29">
        <v>6809</v>
      </c>
      <c r="E29">
        <v>6153</v>
      </c>
    </row>
    <row r="30" spans="1:5" x14ac:dyDescent="0.35">
      <c r="A30" t="s">
        <v>128</v>
      </c>
      <c r="B30">
        <v>6398</v>
      </c>
      <c r="C30">
        <v>7152</v>
      </c>
      <c r="D30">
        <v>7616</v>
      </c>
      <c r="E30">
        <v>10269</v>
      </c>
    </row>
    <row r="31" spans="1:5" x14ac:dyDescent="0.35">
      <c r="A31" t="s">
        <v>129</v>
      </c>
      <c r="B31">
        <v>71811</v>
      </c>
      <c r="C31">
        <v>73764</v>
      </c>
      <c r="D31">
        <v>70354</v>
      </c>
      <c r="E31">
        <v>72653</v>
      </c>
    </row>
    <row r="32" spans="1:5" x14ac:dyDescent="0.35">
      <c r="A32" t="s">
        <v>130</v>
      </c>
    </row>
    <row r="33" spans="1:7" x14ac:dyDescent="0.35">
      <c r="A33" t="s">
        <v>131</v>
      </c>
      <c r="B33">
        <v>798</v>
      </c>
      <c r="C33">
        <v>819</v>
      </c>
      <c r="D33">
        <v>843</v>
      </c>
      <c r="E33">
        <v>870</v>
      </c>
    </row>
    <row r="34" spans="1:7" x14ac:dyDescent="0.35">
      <c r="A34" t="s">
        <v>132</v>
      </c>
      <c r="B34" t="s">
        <v>133</v>
      </c>
      <c r="C34" t="s">
        <v>133</v>
      </c>
      <c r="D34" t="s">
        <v>133</v>
      </c>
      <c r="E34" t="s">
        <v>175</v>
      </c>
    </row>
    <row r="35" spans="1:7" x14ac:dyDescent="0.35">
      <c r="A35" t="s">
        <v>134</v>
      </c>
      <c r="B35">
        <v>4009</v>
      </c>
      <c r="C35">
        <v>4009</v>
      </c>
      <c r="D35">
        <v>4009</v>
      </c>
      <c r="E35">
        <v>4009</v>
      </c>
      <c r="G35" s="38"/>
    </row>
    <row r="36" spans="1:7" x14ac:dyDescent="0.35">
      <c r="A36" t="s">
        <v>81</v>
      </c>
      <c r="B36">
        <v>67684</v>
      </c>
      <c r="C36">
        <v>66556</v>
      </c>
      <c r="D36">
        <v>65795</v>
      </c>
      <c r="E36">
        <v>64848</v>
      </c>
    </row>
    <row r="37" spans="1:7" x14ac:dyDescent="0.35">
      <c r="A37" t="s">
        <v>135</v>
      </c>
      <c r="B37">
        <v>-737</v>
      </c>
      <c r="C37">
        <v>-821</v>
      </c>
      <c r="D37">
        <v>-916</v>
      </c>
      <c r="E37">
        <v>-1006</v>
      </c>
    </row>
    <row r="38" spans="1:7" x14ac:dyDescent="0.35">
      <c r="A38" t="s">
        <v>82</v>
      </c>
      <c r="B38">
        <v>-11900</v>
      </c>
      <c r="C38">
        <v>-12220</v>
      </c>
      <c r="D38">
        <v>-12189</v>
      </c>
      <c r="E38">
        <v>-13744</v>
      </c>
    </row>
    <row r="39" spans="1:7" x14ac:dyDescent="0.35">
      <c r="A39" t="s">
        <v>136</v>
      </c>
      <c r="B39">
        <v>-133379</v>
      </c>
      <c r="C39">
        <v>-129736</v>
      </c>
      <c r="D39">
        <v>-123382</v>
      </c>
      <c r="E39">
        <v>-114973</v>
      </c>
    </row>
    <row r="40" spans="1:7" x14ac:dyDescent="0.35">
      <c r="A40" t="s">
        <v>83</v>
      </c>
      <c r="B40">
        <v>123811</v>
      </c>
      <c r="C40">
        <v>118170</v>
      </c>
      <c r="D40">
        <v>112429</v>
      </c>
      <c r="E40">
        <v>106374</v>
      </c>
    </row>
    <row r="41" spans="1:7" x14ac:dyDescent="0.35">
      <c r="A41" t="s">
        <v>137</v>
      </c>
      <c r="B41">
        <v>272</v>
      </c>
      <c r="C41">
        <v>288</v>
      </c>
      <c r="D41">
        <v>265</v>
      </c>
      <c r="E41">
        <v>276</v>
      </c>
    </row>
    <row r="42" spans="1:7" x14ac:dyDescent="0.35">
      <c r="A42" t="s">
        <v>138</v>
      </c>
      <c r="B42">
        <v>50559</v>
      </c>
      <c r="C42">
        <v>47065</v>
      </c>
      <c r="D42">
        <v>46854</v>
      </c>
      <c r="E42">
        <v>46654</v>
      </c>
    </row>
    <row r="43" spans="1:7" x14ac:dyDescent="0.35">
      <c r="A43" t="s">
        <v>139</v>
      </c>
      <c r="B43">
        <v>122370</v>
      </c>
      <c r="C43">
        <v>120829</v>
      </c>
      <c r="D43">
        <v>117208</v>
      </c>
      <c r="E43">
        <v>119307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66978-CF64-4278-BE0A-092AE970ADD8}">
  <sheetPr codeName="Sheet9"/>
  <dimension ref="A1:D41"/>
  <sheetViews>
    <sheetView workbookViewId="0">
      <selection activeCell="G23" sqref="G23"/>
    </sheetView>
  </sheetViews>
  <sheetFormatPr defaultRowHeight="14.5" x14ac:dyDescent="0.35"/>
  <cols>
    <col min="1" max="1" width="78.54296875" bestFit="1" customWidth="1"/>
    <col min="2" max="2" width="7.90625" customWidth="1"/>
    <col min="3" max="3" width="7.7265625" customWidth="1"/>
    <col min="4" max="4" width="10.36328125" customWidth="1"/>
  </cols>
  <sheetData>
    <row r="1" spans="1:4" x14ac:dyDescent="0.35">
      <c r="A1" t="s">
        <v>86</v>
      </c>
    </row>
    <row r="2" spans="1:4" x14ac:dyDescent="0.35">
      <c r="A2" t="s">
        <v>140</v>
      </c>
      <c r="B2" t="s">
        <v>88</v>
      </c>
      <c r="C2" t="s">
        <v>88</v>
      </c>
      <c r="D2" t="s">
        <v>88</v>
      </c>
    </row>
    <row r="4" spans="1:4" x14ac:dyDescent="0.35">
      <c r="A4" t="s">
        <v>141</v>
      </c>
      <c r="B4">
        <v>2024</v>
      </c>
      <c r="C4">
        <v>2023</v>
      </c>
      <c r="D4">
        <v>2022</v>
      </c>
    </row>
    <row r="5" spans="1:4" x14ac:dyDescent="0.35">
      <c r="A5" t="s">
        <v>142</v>
      </c>
      <c r="B5">
        <v>8246</v>
      </c>
      <c r="C5">
        <v>7214</v>
      </c>
      <c r="D5">
        <v>10288</v>
      </c>
    </row>
    <row r="6" spans="1:4" x14ac:dyDescent="0.35">
      <c r="A6" t="s">
        <v>143</v>
      </c>
    </row>
    <row r="7" spans="1:4" x14ac:dyDescent="0.35">
      <c r="A7" t="s">
        <v>144</v>
      </c>
      <c r="B7">
        <v>14974</v>
      </c>
      <c r="C7">
        <v>14738</v>
      </c>
      <c r="D7">
        <v>14793</v>
      </c>
    </row>
    <row r="8" spans="1:4" x14ac:dyDescent="0.35">
      <c r="A8" t="s">
        <v>84</v>
      </c>
      <c r="B8">
        <v>2896</v>
      </c>
      <c r="C8">
        <v>2714</v>
      </c>
      <c r="D8">
        <v>2807</v>
      </c>
    </row>
    <row r="9" spans="1:4" x14ac:dyDescent="0.35">
      <c r="A9" t="s">
        <v>145</v>
      </c>
      <c r="B9">
        <v>562</v>
      </c>
      <c r="C9">
        <v>545</v>
      </c>
      <c r="D9">
        <v>528</v>
      </c>
    </row>
    <row r="10" spans="1:4" x14ac:dyDescent="0.35">
      <c r="A10" t="s">
        <v>85</v>
      </c>
      <c r="B10">
        <v>-244</v>
      </c>
      <c r="C10">
        <v>-453</v>
      </c>
      <c r="D10">
        <v>-402</v>
      </c>
    </row>
    <row r="11" spans="1:4" x14ac:dyDescent="0.35">
      <c r="A11" t="s">
        <v>146</v>
      </c>
      <c r="B11">
        <v>-215</v>
      </c>
      <c r="C11">
        <v>-40</v>
      </c>
      <c r="D11">
        <v>-85</v>
      </c>
    </row>
    <row r="12" spans="1:4" x14ac:dyDescent="0.35">
      <c r="A12" t="s">
        <v>93</v>
      </c>
      <c r="B12">
        <v>1341</v>
      </c>
      <c r="C12">
        <v>0</v>
      </c>
      <c r="D12">
        <v>0</v>
      </c>
    </row>
    <row r="13" spans="1:4" x14ac:dyDescent="0.35">
      <c r="A13" t="s">
        <v>147</v>
      </c>
      <c r="B13">
        <v>-766</v>
      </c>
      <c r="C13">
        <v>-307</v>
      </c>
      <c r="D13">
        <v>-694</v>
      </c>
    </row>
    <row r="14" spans="1:4" x14ac:dyDescent="0.35">
      <c r="A14" t="s">
        <v>148</v>
      </c>
      <c r="B14">
        <v>-70</v>
      </c>
      <c r="C14">
        <v>-119</v>
      </c>
      <c r="D14">
        <v>-1247</v>
      </c>
    </row>
    <row r="15" spans="1:4" x14ac:dyDescent="0.35">
      <c r="A15" t="s">
        <v>149</v>
      </c>
      <c r="B15">
        <v>1814</v>
      </c>
      <c r="C15">
        <v>313</v>
      </c>
      <c r="D15">
        <v>1429</v>
      </c>
    </row>
    <row r="16" spans="1:4" x14ac:dyDescent="0.35">
      <c r="A16" t="s">
        <v>150</v>
      </c>
      <c r="B16">
        <v>-1414</v>
      </c>
      <c r="C16">
        <v>-1107</v>
      </c>
      <c r="D16">
        <v>-635</v>
      </c>
    </row>
    <row r="17" spans="1:4" x14ac:dyDescent="0.35">
      <c r="A17" t="s">
        <v>151</v>
      </c>
      <c r="B17">
        <v>969</v>
      </c>
      <c r="C17">
        <v>564</v>
      </c>
      <c r="D17">
        <v>229</v>
      </c>
    </row>
    <row r="18" spans="1:4" x14ac:dyDescent="0.35">
      <c r="A18" t="s">
        <v>152</v>
      </c>
      <c r="B18">
        <v>19846</v>
      </c>
      <c r="C18">
        <v>16848</v>
      </c>
      <c r="D18">
        <v>16723</v>
      </c>
    </row>
    <row r="19" spans="1:4" x14ac:dyDescent="0.35">
      <c r="A19" t="s">
        <v>153</v>
      </c>
    </row>
    <row r="20" spans="1:4" x14ac:dyDescent="0.35">
      <c r="A20" t="s">
        <v>154</v>
      </c>
      <c r="B20">
        <v>-3322</v>
      </c>
      <c r="C20">
        <v>-3062</v>
      </c>
      <c r="D20">
        <v>-3156</v>
      </c>
    </row>
    <row r="21" spans="1:4" x14ac:dyDescent="0.35">
      <c r="A21" t="s">
        <v>155</v>
      </c>
      <c r="B21">
        <v>346</v>
      </c>
      <c r="C21">
        <v>46</v>
      </c>
      <c r="D21">
        <v>110</v>
      </c>
    </row>
    <row r="22" spans="1:4" x14ac:dyDescent="0.35">
      <c r="A22" t="s">
        <v>156</v>
      </c>
      <c r="B22">
        <v>-21</v>
      </c>
      <c r="C22">
        <v>-765</v>
      </c>
      <c r="D22">
        <v>-1381</v>
      </c>
    </row>
    <row r="23" spans="1:4" x14ac:dyDescent="0.35">
      <c r="A23" t="s">
        <v>157</v>
      </c>
      <c r="B23">
        <v>-507</v>
      </c>
      <c r="C23">
        <v>281</v>
      </c>
      <c r="D23">
        <v>3</v>
      </c>
    </row>
    <row r="24" spans="1:4" x14ac:dyDescent="0.35">
      <c r="A24" t="s">
        <v>158</v>
      </c>
      <c r="B24">
        <v>-3504</v>
      </c>
      <c r="C24">
        <v>-3500</v>
      </c>
      <c r="D24">
        <v>-4424</v>
      </c>
    </row>
    <row r="25" spans="1:4" x14ac:dyDescent="0.35">
      <c r="A25" t="s">
        <v>159</v>
      </c>
    </row>
    <row r="26" spans="1:4" x14ac:dyDescent="0.35">
      <c r="A26" t="s">
        <v>160</v>
      </c>
      <c r="B26">
        <v>-9312</v>
      </c>
      <c r="C26">
        <v>-8999</v>
      </c>
      <c r="D26">
        <v>-8770</v>
      </c>
    </row>
    <row r="27" spans="1:4" x14ac:dyDescent="0.35">
      <c r="A27" t="s">
        <v>161</v>
      </c>
      <c r="B27">
        <v>3528</v>
      </c>
      <c r="C27">
        <v>17168</v>
      </c>
      <c r="D27">
        <v>10411</v>
      </c>
    </row>
    <row r="28" spans="1:4" x14ac:dyDescent="0.35">
      <c r="A28" t="s">
        <v>162</v>
      </c>
      <c r="B28">
        <v>-7689</v>
      </c>
      <c r="C28">
        <v>-13031</v>
      </c>
      <c r="D28">
        <v>-11478</v>
      </c>
    </row>
    <row r="29" spans="1:4" x14ac:dyDescent="0.35">
      <c r="A29" t="s">
        <v>163</v>
      </c>
      <c r="B29">
        <v>857</v>
      </c>
      <c r="C29">
        <v>-3319</v>
      </c>
      <c r="D29">
        <v>917</v>
      </c>
    </row>
    <row r="30" spans="1:4" x14ac:dyDescent="0.35">
      <c r="A30" t="s">
        <v>164</v>
      </c>
      <c r="B30">
        <v>3197</v>
      </c>
      <c r="C30">
        <v>3997</v>
      </c>
      <c r="D30">
        <v>4385</v>
      </c>
    </row>
    <row r="31" spans="1:4" x14ac:dyDescent="0.35">
      <c r="A31" t="s">
        <v>165</v>
      </c>
      <c r="B31">
        <v>-2335</v>
      </c>
      <c r="C31">
        <v>-1878</v>
      </c>
      <c r="D31">
        <v>-2343</v>
      </c>
    </row>
    <row r="32" spans="1:4" x14ac:dyDescent="0.35">
      <c r="A32" t="s">
        <v>166</v>
      </c>
      <c r="B32">
        <v>-5006</v>
      </c>
      <c r="C32">
        <v>-7353</v>
      </c>
      <c r="D32">
        <v>-10003</v>
      </c>
    </row>
    <row r="33" spans="1:4" x14ac:dyDescent="0.35">
      <c r="A33" t="s">
        <v>167</v>
      </c>
      <c r="B33">
        <v>1905</v>
      </c>
      <c r="C33">
        <v>1269</v>
      </c>
      <c r="D33">
        <v>2005</v>
      </c>
    </row>
    <row r="34" spans="1:4" x14ac:dyDescent="0.35">
      <c r="A34" t="s">
        <v>168</v>
      </c>
      <c r="B34">
        <v>-14855</v>
      </c>
      <c r="C34">
        <v>-12146</v>
      </c>
      <c r="D34">
        <v>-14876</v>
      </c>
    </row>
    <row r="35" spans="1:4" x14ac:dyDescent="0.35">
      <c r="A35" t="s">
        <v>169</v>
      </c>
      <c r="B35">
        <v>-251</v>
      </c>
      <c r="C35">
        <v>-170</v>
      </c>
      <c r="D35">
        <v>-497</v>
      </c>
    </row>
    <row r="36" spans="1:4" x14ac:dyDescent="0.35">
      <c r="A36" t="s">
        <v>170</v>
      </c>
      <c r="B36">
        <v>1235</v>
      </c>
      <c r="C36">
        <v>1032</v>
      </c>
      <c r="D36">
        <v>-3074</v>
      </c>
    </row>
    <row r="37" spans="1:4" x14ac:dyDescent="0.35">
      <c r="A37" t="s">
        <v>171</v>
      </c>
      <c r="B37">
        <v>9482</v>
      </c>
      <c r="C37">
        <v>8246</v>
      </c>
      <c r="D37">
        <v>7214</v>
      </c>
    </row>
    <row r="39" spans="1:4" x14ac:dyDescent="0.35">
      <c r="A39" t="s">
        <v>172</v>
      </c>
    </row>
    <row r="40" spans="1:4" x14ac:dyDescent="0.35">
      <c r="A40" t="s">
        <v>173</v>
      </c>
      <c r="B40">
        <v>878</v>
      </c>
      <c r="C40">
        <v>721</v>
      </c>
      <c r="D40">
        <v>451</v>
      </c>
    </row>
    <row r="41" spans="1:4" x14ac:dyDescent="0.35">
      <c r="A41" t="s">
        <v>174</v>
      </c>
      <c r="B41">
        <v>4363</v>
      </c>
      <c r="C41">
        <v>4278</v>
      </c>
      <c r="D41">
        <v>3818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Free Cash Flow</vt:lpstr>
      <vt:lpstr>Fixed Assets</vt:lpstr>
      <vt:lpstr>Net Working Capital</vt:lpstr>
      <vt:lpstr>WACC</vt:lpstr>
      <vt:lpstr>DCF</vt:lpstr>
      <vt:lpstr>PG-IS</vt:lpstr>
      <vt:lpstr>PG-BS</vt:lpstr>
      <vt:lpstr>PG-CF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Sanjeda Jahan</dc:creator>
  <cp:lastModifiedBy>Sanjeda Jahan</cp:lastModifiedBy>
  <cp:lastPrinted>2024-12-18T14:03:08Z</cp:lastPrinted>
  <dcterms:created xsi:type="dcterms:W3CDTF">2022-06-25T16:24:49Z</dcterms:created>
  <dcterms:modified xsi:type="dcterms:W3CDTF">2024-12-21T08:50:58Z</dcterms:modified>
</cp:coreProperties>
</file>