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"/>
    </mc:Choice>
  </mc:AlternateContent>
  <xr:revisionPtr revIDLastSave="0" documentId="13_ncr:1_{EEC612B1-78E7-4923-A32B-5E5D531E8E13}" xr6:coauthVersionLast="45" xr6:coauthVersionMax="45" xr10:uidLastSave="{00000000-0000-0000-0000-000000000000}"/>
  <bookViews>
    <workbookView xWindow="-120" yWindow="-120" windowWidth="20730" windowHeight="11280" firstSheet="1" activeTab="3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Level Transf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8" i="8" l="1"/>
  <c r="P98" i="8" s="1"/>
  <c r="Q98" i="8" s="1"/>
  <c r="K98" i="8"/>
  <c r="L97" i="8"/>
  <c r="K97" i="8"/>
  <c r="G97" i="8"/>
  <c r="P97" i="8" s="1"/>
  <c r="Q97" i="8" s="1"/>
  <c r="F97" i="8"/>
  <c r="M98" i="8" s="1"/>
  <c r="L96" i="8"/>
  <c r="K96" i="8"/>
  <c r="G96" i="8"/>
  <c r="P96" i="8" s="1"/>
  <c r="Q96" i="8" s="1"/>
  <c r="F96" i="8"/>
  <c r="L95" i="8"/>
  <c r="P95" i="8" s="1"/>
  <c r="Q95" i="8" s="1"/>
  <c r="K95" i="8"/>
  <c r="G95" i="8"/>
  <c r="F95" i="8"/>
  <c r="P94" i="8"/>
  <c r="Q94" i="8" s="1"/>
  <c r="L94" i="8"/>
  <c r="K94" i="8"/>
  <c r="G94" i="8"/>
  <c r="F94" i="8"/>
  <c r="N95" i="8" s="1"/>
  <c r="L93" i="8"/>
  <c r="K93" i="8"/>
  <c r="G93" i="8"/>
  <c r="P93" i="8" s="1"/>
  <c r="Q93" i="8" s="1"/>
  <c r="F93" i="8"/>
  <c r="N94" i="8" s="1"/>
  <c r="L92" i="8"/>
  <c r="K92" i="8"/>
  <c r="K99" i="8" s="1"/>
  <c r="G92" i="8"/>
  <c r="P92" i="8" s="1"/>
  <c r="Q92" i="8" s="1"/>
  <c r="F92" i="8"/>
  <c r="G91" i="8"/>
  <c r="P91" i="8" s="1"/>
  <c r="P99" i="8" s="1"/>
  <c r="Q99" i="8" s="1"/>
  <c r="F91" i="8"/>
  <c r="P108" i="8"/>
  <c r="Q108" i="8" s="1"/>
  <c r="P112" i="8"/>
  <c r="Q112" i="8" s="1"/>
  <c r="P68" i="8"/>
  <c r="Q68" i="8" s="1"/>
  <c r="P72" i="8"/>
  <c r="Q72" i="8" s="1"/>
  <c r="P77" i="8"/>
  <c r="Q77" i="8" s="1"/>
  <c r="P36" i="8"/>
  <c r="Q36" i="8" s="1"/>
  <c r="P40" i="8"/>
  <c r="Q40" i="8" s="1"/>
  <c r="P44" i="8"/>
  <c r="Q44" i="8" s="1"/>
  <c r="P48" i="8"/>
  <c r="Q48" i="8" s="1"/>
  <c r="P32" i="8"/>
  <c r="Q32" i="8" s="1"/>
  <c r="N111" i="8"/>
  <c r="M107" i="8"/>
  <c r="N60" i="8"/>
  <c r="N62" i="8"/>
  <c r="N64" i="8"/>
  <c r="N66" i="8"/>
  <c r="M71" i="8"/>
  <c r="M76" i="8"/>
  <c r="M78" i="8"/>
  <c r="N39" i="8"/>
  <c r="N43" i="8"/>
  <c r="N47" i="8"/>
  <c r="L108" i="8"/>
  <c r="L109" i="8"/>
  <c r="L110" i="8"/>
  <c r="L111" i="8"/>
  <c r="L112" i="8"/>
  <c r="L113" i="8"/>
  <c r="L114" i="8"/>
  <c r="P114" i="8" s="1"/>
  <c r="Q114" i="8" s="1"/>
  <c r="L59" i="8"/>
  <c r="P59" i="8" s="1"/>
  <c r="Q59" i="8" s="1"/>
  <c r="L60" i="8"/>
  <c r="L61" i="8"/>
  <c r="L62" i="8"/>
  <c r="L63" i="8"/>
  <c r="P63" i="8" s="1"/>
  <c r="Q63" i="8" s="1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P78" i="8" s="1"/>
  <c r="Q78" i="8" s="1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P49" i="8" s="1"/>
  <c r="Q49" i="8" s="1"/>
  <c r="L107" i="8"/>
  <c r="L58" i="8"/>
  <c r="L33" i="8"/>
  <c r="K108" i="8"/>
  <c r="K109" i="8"/>
  <c r="K110" i="8"/>
  <c r="K111" i="8"/>
  <c r="K112" i="8"/>
  <c r="K113" i="8"/>
  <c r="K114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107" i="8"/>
  <c r="K115" i="8" s="1"/>
  <c r="K58" i="8"/>
  <c r="K79" i="8" s="1"/>
  <c r="K33" i="8"/>
  <c r="G107" i="8"/>
  <c r="P107" i="8" s="1"/>
  <c r="Q107" i="8" s="1"/>
  <c r="G108" i="8"/>
  <c r="G109" i="8"/>
  <c r="P109" i="8" s="1"/>
  <c r="Q109" i="8" s="1"/>
  <c r="G110" i="8"/>
  <c r="P110" i="8" s="1"/>
  <c r="Q110" i="8" s="1"/>
  <c r="G111" i="8"/>
  <c r="P111" i="8" s="1"/>
  <c r="Q111" i="8" s="1"/>
  <c r="G112" i="8"/>
  <c r="G113" i="8"/>
  <c r="P113" i="8" s="1"/>
  <c r="Q113" i="8" s="1"/>
  <c r="G58" i="8"/>
  <c r="P58" i="8" s="1"/>
  <c r="Q58" i="8" s="1"/>
  <c r="G59" i="8"/>
  <c r="G60" i="8"/>
  <c r="P60" i="8" s="1"/>
  <c r="Q60" i="8" s="1"/>
  <c r="G61" i="8"/>
  <c r="P61" i="8" s="1"/>
  <c r="Q61" i="8" s="1"/>
  <c r="G62" i="8"/>
  <c r="P62" i="8" s="1"/>
  <c r="Q62" i="8" s="1"/>
  <c r="G63" i="8"/>
  <c r="G64" i="8"/>
  <c r="P64" i="8" s="1"/>
  <c r="Q64" i="8" s="1"/>
  <c r="G65" i="8"/>
  <c r="P65" i="8" s="1"/>
  <c r="Q65" i="8" s="1"/>
  <c r="G66" i="8"/>
  <c r="P66" i="8" s="1"/>
  <c r="G67" i="8"/>
  <c r="P67" i="8" s="1"/>
  <c r="Q67" i="8" s="1"/>
  <c r="G68" i="8"/>
  <c r="G69" i="8"/>
  <c r="P69" i="8" s="1"/>
  <c r="Q69" i="8" s="1"/>
  <c r="G70" i="8"/>
  <c r="P70" i="8" s="1"/>
  <c r="Q70" i="8" s="1"/>
  <c r="G71" i="8"/>
  <c r="P71" i="8" s="1"/>
  <c r="Q71" i="8" s="1"/>
  <c r="G72" i="8"/>
  <c r="G73" i="8"/>
  <c r="P73" i="8" s="1"/>
  <c r="Q73" i="8" s="1"/>
  <c r="G74" i="8"/>
  <c r="P74" i="8" s="1"/>
  <c r="Q74" i="8" s="1"/>
  <c r="G75" i="8"/>
  <c r="P75" i="8" s="1"/>
  <c r="Q75" i="8" s="1"/>
  <c r="G76" i="8"/>
  <c r="P76" i="8" s="1"/>
  <c r="Q76" i="8" s="1"/>
  <c r="G77" i="8"/>
  <c r="G106" i="8"/>
  <c r="P106" i="8" s="1"/>
  <c r="G57" i="8"/>
  <c r="P57" i="8" s="1"/>
  <c r="Q57" i="8" s="1"/>
  <c r="G33" i="8"/>
  <c r="P33" i="8" s="1"/>
  <c r="Q33" i="8" s="1"/>
  <c r="G34" i="8"/>
  <c r="P34" i="8" s="1"/>
  <c r="Q34" i="8" s="1"/>
  <c r="G35" i="8"/>
  <c r="G36" i="8"/>
  <c r="G37" i="8"/>
  <c r="P37" i="8" s="1"/>
  <c r="Q37" i="8" s="1"/>
  <c r="G38" i="8"/>
  <c r="P38" i="8" s="1"/>
  <c r="Q38" i="8" s="1"/>
  <c r="G39" i="8"/>
  <c r="P39" i="8" s="1"/>
  <c r="Q39" i="8" s="1"/>
  <c r="G40" i="8"/>
  <c r="G41" i="8"/>
  <c r="P41" i="8" s="1"/>
  <c r="Q41" i="8" s="1"/>
  <c r="G42" i="8"/>
  <c r="P42" i="8" s="1"/>
  <c r="Q42" i="8" s="1"/>
  <c r="G43" i="8"/>
  <c r="P43" i="8" s="1"/>
  <c r="Q43" i="8" s="1"/>
  <c r="G44" i="8"/>
  <c r="G45" i="8"/>
  <c r="P45" i="8" s="1"/>
  <c r="Q45" i="8" s="1"/>
  <c r="G46" i="8"/>
  <c r="P46" i="8" s="1"/>
  <c r="Q46" i="8" s="1"/>
  <c r="G47" i="8"/>
  <c r="P47" i="8" s="1"/>
  <c r="Q47" i="8" s="1"/>
  <c r="G48" i="8"/>
  <c r="G32" i="8"/>
  <c r="F107" i="8"/>
  <c r="M108" i="8" s="1"/>
  <c r="F108" i="8"/>
  <c r="N109" i="8" s="1"/>
  <c r="F109" i="8"/>
  <c r="M110" i="8" s="1"/>
  <c r="F110" i="8"/>
  <c r="M111" i="8" s="1"/>
  <c r="F111" i="8"/>
  <c r="M112" i="8" s="1"/>
  <c r="F112" i="8"/>
  <c r="M113" i="8" s="1"/>
  <c r="F113" i="8"/>
  <c r="M114" i="8" s="1"/>
  <c r="F58" i="8"/>
  <c r="M59" i="8" s="1"/>
  <c r="F59" i="8"/>
  <c r="M60" i="8" s="1"/>
  <c r="F60" i="8"/>
  <c r="M61" i="8" s="1"/>
  <c r="F61" i="8"/>
  <c r="M62" i="8" s="1"/>
  <c r="F62" i="8"/>
  <c r="M63" i="8" s="1"/>
  <c r="F63" i="8"/>
  <c r="M64" i="8" s="1"/>
  <c r="F64" i="8"/>
  <c r="M65" i="8" s="1"/>
  <c r="F65" i="8"/>
  <c r="M66" i="8" s="1"/>
  <c r="F66" i="8"/>
  <c r="N67" i="8" s="1"/>
  <c r="F67" i="8"/>
  <c r="M68" i="8" s="1"/>
  <c r="F68" i="8"/>
  <c r="N69" i="8" s="1"/>
  <c r="F69" i="8"/>
  <c r="M70" i="8" s="1"/>
  <c r="F70" i="8"/>
  <c r="N71" i="8" s="1"/>
  <c r="F71" i="8"/>
  <c r="M72" i="8" s="1"/>
  <c r="F72" i="8"/>
  <c r="N73" i="8" s="1"/>
  <c r="F73" i="8"/>
  <c r="M74" i="8" s="1"/>
  <c r="F74" i="8"/>
  <c r="M75" i="8" s="1"/>
  <c r="F75" i="8"/>
  <c r="N76" i="8" s="1"/>
  <c r="F76" i="8"/>
  <c r="M77" i="8" s="1"/>
  <c r="F77" i="8"/>
  <c r="N78" i="8" s="1"/>
  <c r="F106" i="8"/>
  <c r="F115" i="8" s="1"/>
  <c r="F57" i="8"/>
  <c r="N58" i="8" s="1"/>
  <c r="F33" i="8"/>
  <c r="N34" i="8" s="1"/>
  <c r="F34" i="8"/>
  <c r="M35" i="8" s="1"/>
  <c r="F35" i="8"/>
  <c r="N36" i="8" s="1"/>
  <c r="F36" i="8"/>
  <c r="N37" i="8" s="1"/>
  <c r="F37" i="8"/>
  <c r="M38" i="8" s="1"/>
  <c r="F38" i="8"/>
  <c r="M39" i="8" s="1"/>
  <c r="F39" i="8"/>
  <c r="N40" i="8" s="1"/>
  <c r="F40" i="8"/>
  <c r="N41" i="8" s="1"/>
  <c r="F41" i="8"/>
  <c r="N42" i="8" s="1"/>
  <c r="F42" i="8"/>
  <c r="M43" i="8" s="1"/>
  <c r="F43" i="8"/>
  <c r="N44" i="8" s="1"/>
  <c r="F44" i="8"/>
  <c r="N45" i="8" s="1"/>
  <c r="F45" i="8"/>
  <c r="M46" i="8" s="1"/>
  <c r="F46" i="8"/>
  <c r="M47" i="8" s="1"/>
  <c r="F47" i="8"/>
  <c r="N48" i="8" s="1"/>
  <c r="F48" i="8"/>
  <c r="N49" i="8" s="1"/>
  <c r="F32" i="8"/>
  <c r="F50" i="8" s="1"/>
  <c r="H16" i="8"/>
  <c r="D19" i="8" s="1"/>
  <c r="D20" i="8" s="1"/>
  <c r="H10" i="8"/>
  <c r="G17" i="8"/>
  <c r="G16" i="8"/>
  <c r="G11" i="8"/>
  <c r="G10" i="8"/>
  <c r="P115" i="8" l="1"/>
  <c r="Q115" i="8" s="1"/>
  <c r="F120" i="8" s="1"/>
  <c r="Q106" i="8"/>
  <c r="M115" i="8"/>
  <c r="F116" i="8"/>
  <c r="M33" i="8"/>
  <c r="M42" i="8"/>
  <c r="M34" i="8"/>
  <c r="M50" i="8" s="1"/>
  <c r="M73" i="8"/>
  <c r="N113" i="8"/>
  <c r="K50" i="8"/>
  <c r="F51" i="8" s="1"/>
  <c r="M49" i="8"/>
  <c r="M45" i="8"/>
  <c r="M41" i="8"/>
  <c r="M37" i="8"/>
  <c r="N33" i="8"/>
  <c r="N46" i="8"/>
  <c r="N38" i="8"/>
  <c r="M58" i="8"/>
  <c r="N77" i="8"/>
  <c r="N75" i="8"/>
  <c r="N72" i="8"/>
  <c r="N70" i="8"/>
  <c r="N68" i="8"/>
  <c r="N107" i="8"/>
  <c r="M109" i="8"/>
  <c r="N96" i="8"/>
  <c r="F99" i="8"/>
  <c r="F100" i="8" s="1"/>
  <c r="M48" i="8"/>
  <c r="M44" i="8"/>
  <c r="M40" i="8"/>
  <c r="M36" i="8"/>
  <c r="N65" i="8"/>
  <c r="N63" i="8"/>
  <c r="N61" i="8"/>
  <c r="N59" i="8"/>
  <c r="N114" i="8"/>
  <c r="N112" i="8"/>
  <c r="N110" i="8"/>
  <c r="N108" i="8"/>
  <c r="N115" i="8" s="1"/>
  <c r="M116" i="8" s="1"/>
  <c r="N93" i="8"/>
  <c r="N97" i="8"/>
  <c r="M69" i="8"/>
  <c r="P35" i="8"/>
  <c r="Q35" i="8" s="1"/>
  <c r="N92" i="8"/>
  <c r="N98" i="8"/>
  <c r="Q91" i="8"/>
  <c r="M92" i="8"/>
  <c r="M93" i="8"/>
  <c r="M94" i="8"/>
  <c r="M95" i="8"/>
  <c r="M96" i="8"/>
  <c r="M97" i="8"/>
  <c r="N35" i="8"/>
  <c r="N50" i="8" s="1"/>
  <c r="F79" i="8"/>
  <c r="F80" i="8" s="1"/>
  <c r="N74" i="8"/>
  <c r="P79" i="8"/>
  <c r="Q79" i="8" s="1"/>
  <c r="Q66" i="8"/>
  <c r="M67" i="8"/>
  <c r="M79" i="8" s="1"/>
  <c r="U10" i="6"/>
  <c r="U11" i="6"/>
  <c r="U12" i="6"/>
  <c r="U13" i="6"/>
  <c r="U14" i="6"/>
  <c r="U15" i="6"/>
  <c r="U16" i="6"/>
  <c r="U17" i="6"/>
  <c r="U18" i="6"/>
  <c r="U19" i="6"/>
  <c r="U9" i="6"/>
  <c r="T10" i="6"/>
  <c r="T11" i="6"/>
  <c r="T12" i="6"/>
  <c r="T13" i="6"/>
  <c r="T14" i="6"/>
  <c r="T15" i="6"/>
  <c r="T16" i="6"/>
  <c r="T17" i="6"/>
  <c r="T18" i="6"/>
  <c r="T19" i="6"/>
  <c r="R10" i="6"/>
  <c r="R11" i="6"/>
  <c r="R12" i="6"/>
  <c r="R13" i="6"/>
  <c r="R14" i="6"/>
  <c r="R15" i="6"/>
  <c r="R16" i="6"/>
  <c r="R17" i="6"/>
  <c r="R18" i="6"/>
  <c r="R19" i="6"/>
  <c r="R9" i="6"/>
  <c r="Q10" i="6"/>
  <c r="Q11" i="6"/>
  <c r="Q12" i="6"/>
  <c r="Q13" i="6"/>
  <c r="S13" i="6" s="1"/>
  <c r="Q14" i="6"/>
  <c r="Q15" i="6"/>
  <c r="Q16" i="6"/>
  <c r="Q17" i="6"/>
  <c r="S17" i="6" s="1"/>
  <c r="Q18" i="6"/>
  <c r="Q19" i="6"/>
  <c r="Q9" i="6"/>
  <c r="S9" i="6" s="1"/>
  <c r="S10" i="6"/>
  <c r="S11" i="6"/>
  <c r="S12" i="6"/>
  <c r="S14" i="6"/>
  <c r="S15" i="6"/>
  <c r="S16" i="6"/>
  <c r="S18" i="6"/>
  <c r="S19" i="6"/>
  <c r="T9" i="6"/>
  <c r="C21" i="6"/>
  <c r="S25" i="5"/>
  <c r="G8" i="6"/>
  <c r="F9" i="6" s="1"/>
  <c r="G9" i="6" s="1"/>
  <c r="F10" i="6" s="1"/>
  <c r="G10" i="6" s="1"/>
  <c r="B18" i="6"/>
  <c r="B17" i="6"/>
  <c r="B16" i="6"/>
  <c r="B15" i="6"/>
  <c r="B14" i="6"/>
  <c r="B13" i="6"/>
  <c r="B12" i="6"/>
  <c r="F27" i="5"/>
  <c r="E27" i="5"/>
  <c r="D27" i="5"/>
  <c r="D11" i="5"/>
  <c r="F11" i="5" s="1"/>
  <c r="C11" i="5"/>
  <c r="D10" i="5"/>
  <c r="F10" i="5" s="1"/>
  <c r="C10" i="5"/>
  <c r="B10" i="5"/>
  <c r="D9" i="5"/>
  <c r="F9" i="5" s="1"/>
  <c r="C9" i="5"/>
  <c r="C27" i="5" s="1"/>
  <c r="B9" i="5"/>
  <c r="S8" i="5"/>
  <c r="G8" i="5"/>
  <c r="H8" i="5" s="1"/>
  <c r="F8" i="5"/>
  <c r="D8" i="5"/>
  <c r="B8" i="5"/>
  <c r="D26" i="5"/>
  <c r="F26" i="5" s="1"/>
  <c r="C26" i="5"/>
  <c r="B26" i="5"/>
  <c r="D25" i="5"/>
  <c r="F25" i="5" s="1"/>
  <c r="C25" i="5"/>
  <c r="B25" i="5"/>
  <c r="D24" i="5"/>
  <c r="F24" i="5" s="1"/>
  <c r="C24" i="5"/>
  <c r="B24" i="5"/>
  <c r="D23" i="5"/>
  <c r="F23" i="5" s="1"/>
  <c r="C23" i="5"/>
  <c r="B23" i="5"/>
  <c r="F22" i="5"/>
  <c r="D22" i="5"/>
  <c r="C22" i="5"/>
  <c r="B22" i="5"/>
  <c r="D21" i="5"/>
  <c r="F21" i="5" s="1"/>
  <c r="C21" i="5"/>
  <c r="B21" i="5"/>
  <c r="D20" i="5"/>
  <c r="F20" i="5" s="1"/>
  <c r="C20" i="5"/>
  <c r="B20" i="5"/>
  <c r="D19" i="5"/>
  <c r="F19" i="5" s="1"/>
  <c r="C19" i="5"/>
  <c r="B19" i="5"/>
  <c r="D18" i="5"/>
  <c r="F18" i="5" s="1"/>
  <c r="C18" i="5"/>
  <c r="B18" i="5"/>
  <c r="D17" i="5"/>
  <c r="F17" i="5" s="1"/>
  <c r="C17" i="5"/>
  <c r="B17" i="5"/>
  <c r="D16" i="5"/>
  <c r="F16" i="5" s="1"/>
  <c r="C16" i="5"/>
  <c r="B16" i="5"/>
  <c r="D15" i="5"/>
  <c r="F15" i="5" s="1"/>
  <c r="C15" i="5"/>
  <c r="B15" i="5"/>
  <c r="D14" i="5"/>
  <c r="F14" i="5" s="1"/>
  <c r="C14" i="5"/>
  <c r="B14" i="5"/>
  <c r="D13" i="5"/>
  <c r="F13" i="5" s="1"/>
  <c r="C13" i="5"/>
  <c r="B13" i="5"/>
  <c r="D12" i="5"/>
  <c r="C12" i="5"/>
  <c r="P50" i="8" l="1"/>
  <c r="Q50" i="8" s="1"/>
  <c r="F84" i="8" s="1"/>
  <c r="N79" i="8"/>
  <c r="N99" i="8"/>
  <c r="M99" i="8"/>
  <c r="M51" i="8"/>
  <c r="M80" i="8"/>
  <c r="I9" i="6"/>
  <c r="J9" i="6" s="1"/>
  <c r="I10" i="6"/>
  <c r="J10" i="6" s="1"/>
  <c r="F11" i="6"/>
  <c r="K10" i="6"/>
  <c r="L10" i="6" s="1"/>
  <c r="M10" i="6" s="1"/>
  <c r="K9" i="6"/>
  <c r="L9" i="6" s="1"/>
  <c r="M9" i="6" s="1"/>
  <c r="O9" i="6" s="1"/>
  <c r="I8" i="5"/>
  <c r="G9" i="5" s="1"/>
  <c r="H9" i="5" s="1"/>
  <c r="V8" i="5"/>
  <c r="F12" i="5"/>
  <c r="J8" i="5"/>
  <c r="K8" i="5" s="1"/>
  <c r="L8" i="5" s="1"/>
  <c r="M100" i="8" l="1"/>
  <c r="F82" i="8"/>
  <c r="F83" i="8"/>
  <c r="O10" i="6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J9" i="5"/>
  <c r="K9" i="5" s="1"/>
  <c r="L9" i="5" s="1"/>
  <c r="I9" i="5"/>
  <c r="G10" i="5" s="1"/>
  <c r="H10" i="5" s="1"/>
  <c r="F119" i="8" l="1"/>
  <c r="F118" i="8"/>
  <c r="P10" i="6"/>
  <c r="G12" i="6"/>
  <c r="F13" i="6" s="1"/>
  <c r="I12" i="6"/>
  <c r="J12" i="6" s="1"/>
  <c r="K12" i="6" s="1"/>
  <c r="L12" i="6" s="1"/>
  <c r="N11" i="6"/>
  <c r="M11" i="6"/>
  <c r="O11" i="6" s="1"/>
  <c r="U8" i="5"/>
  <c r="I10" i="5"/>
  <c r="G11" i="5" s="1"/>
  <c r="H11" i="5" s="1"/>
  <c r="J10" i="5"/>
  <c r="K10" i="5" s="1"/>
  <c r="L10" i="5" s="1"/>
  <c r="N9" i="5"/>
  <c r="M9" i="5"/>
  <c r="I77" i="1"/>
  <c r="J3" i="1"/>
  <c r="I3" i="1"/>
  <c r="I9" i="1"/>
  <c r="I13" i="1"/>
  <c r="I17" i="1"/>
  <c r="I21" i="1"/>
  <c r="J21" i="1" s="1"/>
  <c r="I25" i="1"/>
  <c r="I29" i="1"/>
  <c r="I33" i="1"/>
  <c r="J33" i="1" s="1"/>
  <c r="I37" i="1"/>
  <c r="J37" i="1" s="1"/>
  <c r="I41" i="1"/>
  <c r="I45" i="1"/>
  <c r="I49" i="1"/>
  <c r="I53" i="1"/>
  <c r="J53" i="1" s="1"/>
  <c r="I57" i="1"/>
  <c r="I61" i="1"/>
  <c r="I65" i="1"/>
  <c r="J65" i="1" s="1"/>
  <c r="I69" i="1"/>
  <c r="J69" i="1" s="1"/>
  <c r="I73" i="1"/>
  <c r="J73" i="1" s="1"/>
  <c r="J9" i="1"/>
  <c r="J13" i="1"/>
  <c r="J17" i="1"/>
  <c r="J25" i="1"/>
  <c r="J29" i="1"/>
  <c r="J41" i="1"/>
  <c r="J45" i="1"/>
  <c r="J49" i="1"/>
  <c r="J57" i="1"/>
  <c r="J61" i="1"/>
  <c r="I5" i="1"/>
  <c r="J5" i="1" s="1"/>
  <c r="P11" i="6" l="1"/>
  <c r="G13" i="6"/>
  <c r="F14" i="6" s="1"/>
  <c r="I13" i="6"/>
  <c r="J13" i="6" s="1"/>
  <c r="K13" i="6" s="1"/>
  <c r="L13" i="6" s="1"/>
  <c r="M12" i="6"/>
  <c r="O12" i="6" s="1"/>
  <c r="N12" i="6"/>
  <c r="N10" i="5"/>
  <c r="M10" i="5"/>
  <c r="J11" i="5"/>
  <c r="K11" i="5" s="1"/>
  <c r="L11" i="5" s="1"/>
  <c r="I11" i="5"/>
  <c r="G12" i="5" s="1"/>
  <c r="H12" i="5" s="1"/>
  <c r="G7" i="1"/>
  <c r="G11" i="1"/>
  <c r="G19" i="1"/>
  <c r="G23" i="1"/>
  <c r="G27" i="1"/>
  <c r="G31" i="1"/>
  <c r="G35" i="1"/>
  <c r="G43" i="1"/>
  <c r="G47" i="1"/>
  <c r="G51" i="1"/>
  <c r="G55" i="1"/>
  <c r="G59" i="1"/>
  <c r="G63" i="1"/>
  <c r="G67" i="1"/>
  <c r="G71" i="1"/>
  <c r="G75" i="1"/>
  <c r="G3" i="1"/>
  <c r="P12" i="6" l="1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N11" i="5"/>
  <c r="M11" i="5"/>
  <c r="I12" i="5"/>
  <c r="G13" i="5" s="1"/>
  <c r="H13" i="5" s="1"/>
  <c r="J12" i="5"/>
  <c r="K12" i="5" s="1"/>
  <c r="L12" i="5" s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3" i="1"/>
  <c r="D3" i="1"/>
  <c r="D7" i="1"/>
  <c r="D11" i="1"/>
  <c r="D15" i="1"/>
  <c r="G15" i="1" s="1"/>
  <c r="D19" i="1"/>
  <c r="D23" i="1"/>
  <c r="D27" i="1"/>
  <c r="D31" i="1"/>
  <c r="D35" i="1"/>
  <c r="D39" i="1"/>
  <c r="G39" i="1" s="1"/>
  <c r="D43" i="1"/>
  <c r="D47" i="1"/>
  <c r="D51" i="1"/>
  <c r="D55" i="1"/>
  <c r="D75" i="1"/>
  <c r="D63" i="1"/>
  <c r="D59" i="1"/>
  <c r="D71" i="1"/>
  <c r="J77" i="1"/>
  <c r="D67" i="1"/>
  <c r="P13" i="6" l="1"/>
  <c r="G15" i="6"/>
  <c r="F16" i="6" s="1"/>
  <c r="I16" i="6" s="1"/>
  <c r="J16" i="6" s="1"/>
  <c r="M14" i="6"/>
  <c r="O14" i="6" s="1"/>
  <c r="N14" i="6"/>
  <c r="P14" i="6" s="1"/>
  <c r="K15" i="6"/>
  <c r="L15" i="6" s="1"/>
  <c r="M12" i="5"/>
  <c r="N12" i="5"/>
  <c r="J13" i="5"/>
  <c r="K13" i="5" s="1"/>
  <c r="L13" i="5" s="1"/>
  <c r="I13" i="5"/>
  <c r="G14" i="5" s="1"/>
  <c r="H14" i="5" s="1"/>
  <c r="G16" i="6" l="1"/>
  <c r="F17" i="6" s="1"/>
  <c r="K16" i="6"/>
  <c r="L16" i="6" s="1"/>
  <c r="M15" i="6"/>
  <c r="O15" i="6" s="1"/>
  <c r="N15" i="6"/>
  <c r="P15" i="6" s="1"/>
  <c r="I14" i="5"/>
  <c r="G15" i="5" s="1"/>
  <c r="H15" i="5" s="1"/>
  <c r="J14" i="5"/>
  <c r="K14" i="5" s="1"/>
  <c r="L14" i="5" s="1"/>
  <c r="N13" i="5"/>
  <c r="M13" i="5"/>
  <c r="G17" i="6" l="1"/>
  <c r="I17" i="6"/>
  <c r="J17" i="6" s="1"/>
  <c r="M16" i="6"/>
  <c r="O16" i="6" s="1"/>
  <c r="N16" i="6"/>
  <c r="P16" i="6" s="1"/>
  <c r="N14" i="5"/>
  <c r="M14" i="5"/>
  <c r="J15" i="5"/>
  <c r="K15" i="5" s="1"/>
  <c r="L15" i="5" s="1"/>
  <c r="I15" i="5"/>
  <c r="G16" i="5" s="1"/>
  <c r="H16" i="5" s="1"/>
  <c r="J16" i="5" l="1"/>
  <c r="K16" i="5" s="1"/>
  <c r="L16" i="5" s="1"/>
  <c r="I16" i="5"/>
  <c r="G17" i="5" s="1"/>
  <c r="H17" i="5" s="1"/>
  <c r="M15" i="5"/>
  <c r="N15" i="5"/>
  <c r="J17" i="5" l="1"/>
  <c r="K17" i="5" s="1"/>
  <c r="L17" i="5" s="1"/>
  <c r="I17" i="5"/>
  <c r="G18" i="5" s="1"/>
  <c r="H18" i="5" s="1"/>
  <c r="N16" i="5"/>
  <c r="M16" i="5"/>
  <c r="I18" i="5" l="1"/>
  <c r="G19" i="5" s="1"/>
  <c r="H19" i="5" s="1"/>
  <c r="J18" i="5"/>
  <c r="K18" i="5" s="1"/>
  <c r="L18" i="5" s="1"/>
  <c r="N17" i="5"/>
  <c r="M17" i="5"/>
  <c r="N18" i="5" l="1"/>
  <c r="M18" i="5"/>
  <c r="J19" i="5"/>
  <c r="K19" i="5" s="1"/>
  <c r="L19" i="5" s="1"/>
  <c r="I19" i="5"/>
  <c r="G20" i="5" s="1"/>
  <c r="H20" i="5" s="1"/>
  <c r="J20" i="5" l="1"/>
  <c r="K20" i="5" s="1"/>
  <c r="L20" i="5" s="1"/>
  <c r="I20" i="5"/>
  <c r="G21" i="5" s="1"/>
  <c r="H21" i="5" s="1"/>
  <c r="N19" i="5"/>
  <c r="M19" i="5"/>
  <c r="M20" i="5" l="1"/>
  <c r="N20" i="5"/>
  <c r="J21" i="5"/>
  <c r="K21" i="5" s="1"/>
  <c r="L21" i="5" s="1"/>
  <c r="I21" i="5"/>
  <c r="G22" i="5" s="1"/>
  <c r="H22" i="5" s="1"/>
  <c r="I22" i="5" l="1"/>
  <c r="G23" i="5" s="1"/>
  <c r="H23" i="5" s="1"/>
  <c r="J22" i="5"/>
  <c r="K22" i="5" s="1"/>
  <c r="L22" i="5" s="1"/>
  <c r="N21" i="5"/>
  <c r="M21" i="5"/>
  <c r="N22" i="5" l="1"/>
  <c r="M22" i="5"/>
  <c r="J23" i="5"/>
  <c r="K23" i="5" s="1"/>
  <c r="L23" i="5" s="1"/>
  <c r="I23" i="5"/>
  <c r="G24" i="5" s="1"/>
  <c r="H24" i="5" s="1"/>
  <c r="J24" i="5" l="1"/>
  <c r="K24" i="5" s="1"/>
  <c r="L24" i="5" s="1"/>
  <c r="I24" i="5"/>
  <c r="G25" i="5" s="1"/>
  <c r="H25" i="5" s="1"/>
  <c r="M23" i="5"/>
  <c r="N23" i="5"/>
  <c r="J25" i="5" l="1"/>
  <c r="K25" i="5" s="1"/>
  <c r="L25" i="5" s="1"/>
  <c r="I25" i="5"/>
  <c r="G26" i="5" s="1"/>
  <c r="H26" i="5" s="1"/>
  <c r="M24" i="5"/>
  <c r="N24" i="5"/>
  <c r="I26" i="5" l="1"/>
  <c r="J26" i="5"/>
  <c r="K26" i="5" s="1"/>
  <c r="L26" i="5" s="1"/>
  <c r="N25" i="5"/>
  <c r="M25" i="5"/>
  <c r="N26" i="5" l="1"/>
  <c r="N27" i="5" s="1"/>
  <c r="M26" i="5"/>
  <c r="M27" i="5" s="1"/>
  <c r="O20" i="5" l="1"/>
  <c r="O9" i="5"/>
  <c r="O22" i="5"/>
  <c r="O13" i="5"/>
  <c r="O10" i="5"/>
  <c r="O16" i="5"/>
  <c r="O15" i="5"/>
  <c r="O26" i="5"/>
  <c r="O14" i="5"/>
  <c r="O25" i="5"/>
  <c r="O23" i="5"/>
  <c r="O24" i="5"/>
  <c r="O18" i="5"/>
  <c r="O21" i="5"/>
  <c r="O19" i="5"/>
  <c r="O12" i="5"/>
  <c r="O17" i="5"/>
  <c r="O11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R27" i="5"/>
  <c r="P22" i="5"/>
  <c r="P10" i="5"/>
  <c r="P20" i="5"/>
  <c r="P17" i="5"/>
  <c r="P12" i="5"/>
  <c r="P9" i="5"/>
  <c r="P23" i="5"/>
  <c r="P11" i="5"/>
  <c r="P25" i="5"/>
  <c r="P24" i="5"/>
  <c r="P19" i="5"/>
  <c r="P15" i="5"/>
  <c r="P26" i="5"/>
  <c r="P16" i="5"/>
  <c r="P14" i="5"/>
  <c r="P13" i="5"/>
  <c r="P21" i="5"/>
  <c r="P18" i="5"/>
  <c r="R9" i="5"/>
  <c r="T9" i="5" s="1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Q26" i="5"/>
  <c r="Q27" i="5" l="1"/>
  <c r="P27" i="5"/>
  <c r="O27" i="5"/>
  <c r="U18" i="5"/>
  <c r="U10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U25" i="5"/>
  <c r="U21" i="5"/>
  <c r="U17" i="5"/>
  <c r="U13" i="5"/>
  <c r="U9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U14" i="5"/>
  <c r="U24" i="5"/>
  <c r="U20" i="5"/>
  <c r="U16" i="5"/>
  <c r="U12" i="5"/>
  <c r="U22" i="5"/>
  <c r="U26" i="5"/>
  <c r="U23" i="5"/>
  <c r="U19" i="5"/>
  <c r="U15" i="5"/>
  <c r="U11" i="5"/>
  <c r="F18" i="6" l="1"/>
  <c r="K17" i="6"/>
  <c r="L17" i="6" s="1"/>
  <c r="N17" i="6" s="1"/>
  <c r="P17" i="6" s="1"/>
  <c r="G18" i="6" l="1"/>
  <c r="F19" i="6" s="1"/>
  <c r="I18" i="6"/>
  <c r="J18" i="6" s="1"/>
  <c r="K18" i="6" s="1"/>
  <c r="L18" i="6" s="1"/>
  <c r="M17" i="6"/>
  <c r="O17" i="6" s="1"/>
  <c r="G19" i="6" l="1"/>
  <c r="F20" i="6" s="1"/>
  <c r="I19" i="6"/>
  <c r="J19" i="6" s="1"/>
  <c r="K19" i="6" s="1"/>
  <c r="L19" i="6" s="1"/>
  <c r="M18" i="6"/>
  <c r="O18" i="6" s="1"/>
  <c r="N18" i="6"/>
  <c r="P18" i="6" s="1"/>
  <c r="F21" i="6" l="1"/>
  <c r="G20" i="6"/>
  <c r="M19" i="6"/>
  <c r="O19" i="6" s="1"/>
  <c r="O21" i="6" s="1"/>
  <c r="N19" i="6"/>
  <c r="P19" i="6" s="1"/>
  <c r="P21" i="6" s="1"/>
  <c r="M21" i="6" l="1"/>
  <c r="N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<sst xmlns="http://schemas.openxmlformats.org/spreadsheetml/2006/main" count="329" uniqueCount="124">
  <si>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</si>
  <si>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</si>
  <si>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</si>
  <si>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</si>
  <si>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</si>
  <si>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</si>
  <si>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</si>
  <si>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</si>
  <si>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</si>
  <si>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</si>
  <si>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</si>
  <si>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</si>
  <si>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</si>
  <si>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</si>
  <si>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</si>
  <si>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</si>
  <si>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</si>
  <si>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</si>
  <si>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</si>
  <si>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</si>
  <si>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</si>
  <si>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</si>
  <si>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</si>
  <si>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</si>
  <si>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</si>
  <si>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</si>
  <si>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</si>
  <si>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</si>
  <si>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</si>
  <si>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</si>
  <si>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</si>
  <si>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</si>
  <si>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</si>
  <si>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</si>
  <si>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</si>
  <si>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</si>
  <si>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</si>
  <si>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</si>
  <si>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</si>
  <si>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</si>
  <si>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</si>
  <si>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</si>
  <si>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</si>
  <si>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</si>
  <si>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</si>
  <si>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</si>
  <si>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</si>
  <si>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</si>
  <si>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</si>
  <si>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</si>
  <si>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</si>
  <si>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</si>
  <si>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</si>
  <si>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</si>
  <si>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</si>
  <si>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</si>
  <si>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</si>
  <si>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</si>
  <si>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</si>
  <si>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</si>
  <si>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</si>
  <si>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Survey Camp Group 29 Major Traverse Observation</t>
  </si>
  <si>
    <t>Corrected WCB</t>
  </si>
  <si>
    <t>Corrected Independent Coordinate</t>
  </si>
  <si>
    <t>Original M14</t>
  </si>
  <si>
    <t>Two Peg Test</t>
  </si>
  <si>
    <t>When instrument is at midway of two pegs:</t>
  </si>
  <si>
    <t>Instrument</t>
  </si>
  <si>
    <t>Staff Readings (m)</t>
  </si>
  <si>
    <t>Sighted 
to</t>
  </si>
  <si>
    <t>True Height
Difference</t>
  </si>
  <si>
    <t>Top</t>
  </si>
  <si>
    <t>Mid</t>
  </si>
  <si>
    <t>Bottom</t>
  </si>
  <si>
    <t>When instrument is at near one peg:</t>
  </si>
  <si>
    <t>P</t>
  </si>
  <si>
    <t>Q</t>
  </si>
  <si>
    <t>A</t>
  </si>
  <si>
    <t>B</t>
  </si>
  <si>
    <t>Level Transfer</t>
  </si>
  <si>
    <t>Stations
Chainage</t>
  </si>
  <si>
    <t>BS</t>
  </si>
  <si>
    <t>Mean 
BS</t>
  </si>
  <si>
    <t>FS</t>
  </si>
  <si>
    <t>Mean
FS</t>
  </si>
  <si>
    <t>Rise</t>
  </si>
  <si>
    <t>Fall</t>
  </si>
  <si>
    <t>Elevation</t>
  </si>
  <si>
    <t>Stadia
Interval</t>
  </si>
  <si>
    <t>Horizontal
Distance</t>
  </si>
  <si>
    <t>Collimation Error</t>
  </si>
  <si>
    <t>Precision</t>
  </si>
  <si>
    <t>TBM3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</si>
  <si>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</si>
  <si>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</si>
  <si>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</si>
  <si>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</si>
  <si>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</si>
  <si>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</si>
  <si>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</si>
  <si>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</si>
  <si>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</si>
  <si>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</si>
  <si>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</si>
  <si>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</si>
  <si>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</si>
  <si>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</si>
  <si>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</si>
  <si>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</si>
  <si>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TBM5</t>
  </si>
  <si>
    <r>
      <t>S</t>
    </r>
    <r>
      <rPr>
        <vertAlign val="subscript"/>
        <sz val="11"/>
        <color theme="0"/>
        <rFont val="Calibri"/>
        <family val="2"/>
        <scheme val="minor"/>
      </rPr>
      <t>1</t>
    </r>
  </si>
  <si>
    <r>
      <t>S</t>
    </r>
    <r>
      <rPr>
        <vertAlign val="subscript"/>
        <sz val="11"/>
        <color theme="0"/>
        <rFont val="Calibri"/>
        <family val="2"/>
        <scheme val="minor"/>
      </rPr>
      <t>2</t>
    </r>
  </si>
  <si>
    <t>TP17</t>
  </si>
  <si>
    <t>TP18</t>
  </si>
  <si>
    <t>TP19</t>
  </si>
  <si>
    <t>TP20</t>
  </si>
  <si>
    <t>TP7[M17]</t>
  </si>
  <si>
    <t>TBM3 --&gt; TBM5 [Forward]</t>
  </si>
  <si>
    <t>TBM5 --&gt; TBM3 [Backward]</t>
  </si>
  <si>
    <t>Mean Height Difference</t>
  </si>
  <si>
    <t>Discrepancy</t>
  </si>
  <si>
    <t>Required Precision</t>
  </si>
  <si>
    <t>TBM5 --&gt; M17 [Forward]</t>
  </si>
  <si>
    <t>M17 --&gt; TBM5 [Backward]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</si>
</sst>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\°mm\'ss\'\'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7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dashDotDot">
        <color indexed="64"/>
      </left>
      <right/>
      <top/>
      <bottom style="slantDashDot">
        <color indexed="64"/>
      </bottom>
      <diagonal/>
    </border>
    <border>
      <left style="dashDotDot">
        <color indexed="64"/>
      </left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 style="slant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4" fontId="0" fillId="0" borderId="11" xfId="0" applyNumberFormat="1" applyFill="1" applyBorder="1"/>
    <xf numFmtId="165" fontId="0" fillId="0" borderId="11" xfId="0" applyNumberFormat="1" applyBorder="1"/>
    <xf numFmtId="0" fontId="0" fillId="0" borderId="11" xfId="0" applyBorder="1"/>
    <xf numFmtId="0" fontId="0" fillId="0" borderId="11" xfId="0" applyFill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0" fontId="0" fillId="0" borderId="17" xfId="0" applyBorder="1"/>
    <xf numFmtId="165" fontId="0" fillId="0" borderId="15" xfId="0" applyNumberFormat="1" applyBorder="1"/>
    <xf numFmtId="164" fontId="0" fillId="0" borderId="15" xfId="0" applyNumberFormat="1" applyBorder="1"/>
    <xf numFmtId="0" fontId="0" fillId="0" borderId="12" xfId="0" applyBorder="1"/>
    <xf numFmtId="0" fontId="0" fillId="0" borderId="19" xfId="0" applyBorder="1"/>
    <xf numFmtId="165" fontId="0" fillId="0" borderId="16" xfId="0" applyNumberFormat="1" applyBorder="1"/>
    <xf numFmtId="165" fontId="0" fillId="0" borderId="16" xfId="0" applyNumberFormat="1" applyFill="1" applyBorder="1"/>
    <xf numFmtId="165" fontId="0" fillId="0" borderId="20" xfId="0" applyNumberFormat="1" applyFill="1" applyBorder="1"/>
    <xf numFmtId="165" fontId="0" fillId="0" borderId="18" xfId="0" applyNumberFormat="1" applyBorder="1"/>
    <xf numFmtId="165" fontId="0" fillId="0" borderId="18" xfId="0" applyNumberFormat="1" applyFill="1" applyBorder="1"/>
    <xf numFmtId="0" fontId="0" fillId="0" borderId="14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20" xfId="0" applyNumberFormat="1" applyBorder="1"/>
    <xf numFmtId="164" fontId="0" fillId="0" borderId="13" xfId="0" applyNumberFormat="1" applyBorder="1"/>
    <xf numFmtId="164" fontId="0" fillId="0" borderId="22" xfId="0" applyNumberFormat="1" applyBorder="1"/>
    <xf numFmtId="164" fontId="0" fillId="0" borderId="21" xfId="0" applyNumberFormat="1" applyFill="1" applyBorder="1"/>
    <xf numFmtId="2" fontId="0" fillId="0" borderId="11" xfId="0" applyNumberFormat="1" applyFill="1" applyBorder="1"/>
    <xf numFmtId="0" fontId="0" fillId="3" borderId="11" xfId="0" applyFill="1" applyBorder="1"/>
    <xf numFmtId="165" fontId="0" fillId="3" borderId="11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21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2" fontId="0" fillId="3" borderId="11" xfId="0" applyNumberFormat="1" applyFill="1" applyBorder="1"/>
    <xf numFmtId="165" fontId="0" fillId="3" borderId="12" xfId="0" applyNumberFormat="1" applyFill="1" applyBorder="1"/>
    <xf numFmtId="165" fontId="0" fillId="3" borderId="15" xfId="0" applyNumberFormat="1" applyFill="1" applyBorder="1"/>
    <xf numFmtId="164" fontId="0" fillId="3" borderId="15" xfId="0" applyNumberFormat="1" applyFill="1" applyBorder="1"/>
    <xf numFmtId="165" fontId="8" fillId="0" borderId="11" xfId="0" applyNumberFormat="1" applyFont="1" applyBorder="1"/>
    <xf numFmtId="0" fontId="8" fillId="0" borderId="11" xfId="0" applyFont="1" applyBorder="1"/>
    <xf numFmtId="0" fontId="8" fillId="0" borderId="11" xfId="0" applyFont="1" applyFill="1" applyBorder="1"/>
    <xf numFmtId="0" fontId="8" fillId="0" borderId="16" xfId="0" applyFont="1" applyBorder="1" applyAlignment="1">
      <alignment vertical="center" wrapText="1"/>
    </xf>
    <xf numFmtId="2" fontId="0" fillId="0" borderId="0" xfId="0" applyNumberFormat="1" applyFill="1"/>
    <xf numFmtId="164" fontId="0" fillId="0" borderId="17" xfId="0" applyNumberFormat="1" applyFill="1" applyBorder="1"/>
    <xf numFmtId="165" fontId="8" fillId="0" borderId="11" xfId="0" applyNumberFormat="1" applyFont="1" applyFill="1" applyBorder="1"/>
    <xf numFmtId="0" fontId="8" fillId="0" borderId="11" xfId="0" applyFont="1" applyFill="1" applyBorder="1" applyAlignment="1">
      <alignment vertical="center" wrapText="1"/>
    </xf>
    <xf numFmtId="0" fontId="7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5" fontId="0" fillId="2" borderId="15" xfId="0" applyNumberForma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wrapText="1"/>
    </xf>
    <xf numFmtId="0" fontId="8" fillId="0" borderId="25" xfId="0" applyFont="1" applyBorder="1" applyAlignment="1">
      <alignment horizontal="center" vertical="center" wrapText="1"/>
    </xf>
    <xf numFmtId="0" fontId="0" fillId="0" borderId="26" xfId="0" applyBorder="1"/>
    <xf numFmtId="0" fontId="8" fillId="0" borderId="27" xfId="0" applyFont="1" applyBorder="1" applyAlignment="1">
      <alignment horizontal="center" vertical="center" wrapText="1"/>
    </xf>
    <xf numFmtId="0" fontId="0" fillId="0" borderId="27" xfId="0" applyFont="1" applyBorder="1" applyAlignment="1">
      <alignment vertical="center" wrapText="1"/>
    </xf>
    <xf numFmtId="165" fontId="0" fillId="0" borderId="28" xfId="0" applyNumberFormat="1" applyFill="1" applyBorder="1"/>
    <xf numFmtId="165" fontId="0" fillId="0" borderId="11" xfId="0" applyNumberFormat="1" applyFill="1" applyBorder="1" applyAlignment="1">
      <alignment horizontal="right"/>
    </xf>
    <xf numFmtId="0" fontId="0" fillId="0" borderId="29" xfId="0" applyFill="1" applyBorder="1"/>
    <xf numFmtId="165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165" fontId="0" fillId="4" borderId="1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6" borderId="0" xfId="0" applyFill="1" applyAlignment="1">
      <alignment horizontal="center"/>
    </xf>
    <xf numFmtId="0" fontId="0" fillId="0" borderId="0" xfId="0" applyFill="1" applyAlignment="1"/>
    <xf numFmtId="0" fontId="0" fillId="5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 wrapText="1"/>
    </xf>
    <xf numFmtId="0" fontId="10" fillId="8" borderId="30" xfId="0" applyFont="1" applyFill="1" applyBorder="1"/>
    <xf numFmtId="165" fontId="0" fillId="9" borderId="0" xfId="0" applyNumberFormat="1" applyFill="1"/>
    <xf numFmtId="0" fontId="0" fillId="5" borderId="35" xfId="0" applyFill="1" applyBorder="1" applyAlignment="1">
      <alignment horizontal="left"/>
    </xf>
    <xf numFmtId="165" fontId="0" fillId="0" borderId="31" xfId="0" applyNumberFormat="1" applyBorder="1"/>
    <xf numFmtId="165" fontId="0" fillId="0" borderId="33" xfId="0" applyNumberFormat="1" applyBorder="1" applyAlignment="1">
      <alignment horizontal="center" vertical="center"/>
    </xf>
    <xf numFmtId="165" fontId="0" fillId="0" borderId="35" xfId="0" applyNumberFormat="1" applyBorder="1"/>
    <xf numFmtId="165" fontId="0" fillId="0" borderId="36" xfId="0" applyNumberFormat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Fill="1"/>
    <xf numFmtId="166" fontId="10" fillId="8" borderId="30" xfId="0" applyNumberFormat="1" applyFont="1" applyFill="1" applyBorder="1" applyAlignment="1">
      <alignment horizontal="center" wrapText="1"/>
    </xf>
    <xf numFmtId="166" fontId="10" fillId="8" borderId="30" xfId="0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Fill="1" applyAlignment="1"/>
    <xf numFmtId="0" fontId="0" fillId="0" borderId="0" xfId="0" applyAlignment="1">
      <alignment horizontal="left"/>
    </xf>
    <xf numFmtId="0" fontId="0" fillId="0" borderId="0" xfId="0" applyFill="1" applyBorder="1"/>
    <xf numFmtId="166" fontId="0" fillId="0" borderId="0" xfId="0" applyNumberFormat="1" applyFill="1" applyBorder="1"/>
    <xf numFmtId="0" fontId="10" fillId="0" borderId="0" xfId="0" applyFont="1" applyFill="1" applyBorder="1"/>
    <xf numFmtId="165" fontId="0" fillId="0" borderId="0" xfId="0" applyNumberFormat="1" applyFill="1" applyBorder="1"/>
    <xf numFmtId="166" fontId="10" fillId="0" borderId="0" xfId="0" applyNumberFormat="1" applyFont="1" applyFill="1" applyBorder="1" applyAlignment="1">
      <alignment wrapText="1"/>
    </xf>
    <xf numFmtId="166" fontId="10" fillId="0" borderId="0" xfId="0" applyNumberFormat="1" applyFont="1" applyFill="1" applyBorder="1" applyAlignment="1"/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10" borderId="30" xfId="0" applyFill="1" applyBorder="1" applyAlignment="1">
      <alignment horizontal="left"/>
    </xf>
    <xf numFmtId="165" fontId="0" fillId="0" borderId="30" xfId="0" applyNumberFormat="1" applyBorder="1" applyAlignment="1"/>
    <xf numFmtId="165" fontId="0" fillId="0" borderId="30" xfId="0" applyNumberFormat="1" applyFill="1" applyBorder="1" applyAlignme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sheetPr>
    <pageSetUpPr fitToPage="1"/>
  </sheetPr>
  <dimension ref="A1:L78"/>
  <sheetViews>
    <sheetView zoomScaleNormal="100" workbookViewId="0">
      <selection activeCell="A2" sqref="A2"/>
    </sheetView>
  </sheetViews>
  <sheetFormatPr defaultRowHeight="15" x14ac:dyDescent="0.25"/>
  <cols>
    <col min="1" max="1" width="7.140625" bestFit="1" customWidth="1"/>
    <col min="2" max="2" width="9.140625" customWidth="1"/>
    <col min="3" max="3" width="12.5703125" bestFit="1" customWidth="1"/>
    <col min="4" max="4" width="10.85546875" bestFit="1" customWidth="1"/>
    <col min="5" max="5" width="13.42578125" bestFit="1" customWidth="1"/>
    <col min="6" max="6" width="10.85546875" bestFit="1" customWidth="1"/>
    <col min="7" max="7" width="22.7109375" customWidth="1"/>
    <col min="8" max="9" width="11.85546875" customWidth="1"/>
    <col min="10" max="10" width="20.42578125" style="10" customWidth="1"/>
    <col min="11" max="11" width="11.5703125" customWidth="1"/>
  </cols>
  <sheetData>
    <row r="1" spans="1:12" ht="31.5" x14ac:dyDescent="0.5">
      <c r="A1" s="89" t="s">
        <v>61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38.25" thickBot="1" x14ac:dyDescent="0.3">
      <c r="A2" s="1" t="s">
        <v>19</v>
      </c>
      <c r="B2" s="1" t="s">
        <v>20</v>
      </c>
      <c r="C2" s="3" t="s">
        <v>22</v>
      </c>
      <c r="D2" s="1" t="s">
        <v>21</v>
      </c>
      <c r="E2" s="1" t="s">
        <v>23</v>
      </c>
      <c r="F2" s="1" t="s">
        <v>21</v>
      </c>
      <c r="G2" s="1" t="s">
        <v>24</v>
      </c>
      <c r="H2" s="2" t="s">
        <v>27</v>
      </c>
      <c r="I2" s="2" t="s">
        <v>29</v>
      </c>
      <c r="J2" s="9" t="s">
        <v>26</v>
      </c>
      <c r="K2" s="2" t="s">
        <v>25</v>
      </c>
      <c r="L2" s="2" t="s">
        <v>28</v>
      </c>
    </row>
    <row r="3" spans="1:12" x14ac:dyDescent="0.25">
      <c r="A3" s="88" t="s">
        <v>1</v>
      </c>
      <c r="B3" s="91" t="s">
        <v>18</v>
      </c>
      <c r="C3" s="4">
        <v>0</v>
      </c>
      <c r="D3" s="85">
        <f t="shared" ref="D3" si="0">(C5-C3+C6-C4)/2</f>
        <v>8.3938078703703702</v>
      </c>
      <c r="E3" s="4">
        <v>3.75</v>
      </c>
      <c r="F3" s="87">
        <f>(E5-E3+E6-E4)/2</f>
        <v>8.3938194444444463</v>
      </c>
      <c r="G3" s="95">
        <f>(D3+F3)/2</f>
        <v>8.3938136574074083</v>
      </c>
      <c r="H3" s="84">
        <v>105.98099999999999</v>
      </c>
      <c r="I3" s="97">
        <f>AVERAGE(H3,H77)</f>
        <v>105.9735</v>
      </c>
      <c r="J3" s="90">
        <f>I3/ABS(H3-H77)</f>
        <v>7064.8999999997322</v>
      </c>
      <c r="K3" s="84">
        <v>3.67</v>
      </c>
      <c r="L3" s="84">
        <v>1.4</v>
      </c>
    </row>
    <row r="4" spans="1:12" x14ac:dyDescent="0.25">
      <c r="A4" s="88"/>
      <c r="B4" s="91"/>
      <c r="C4" s="5">
        <v>7.5</v>
      </c>
      <c r="D4" s="86"/>
      <c r="E4" s="5">
        <v>11.250023148148147</v>
      </c>
      <c r="F4" s="88"/>
      <c r="G4" s="96"/>
      <c r="H4" s="84"/>
      <c r="I4" s="98"/>
      <c r="J4" s="90"/>
      <c r="K4" s="84"/>
      <c r="L4" s="84"/>
    </row>
    <row r="5" spans="1:12" x14ac:dyDescent="0.25">
      <c r="A5" s="88"/>
      <c r="B5" s="91" t="s">
        <v>2</v>
      </c>
      <c r="C5" s="5">
        <v>8.3937847222222217</v>
      </c>
      <c r="D5" s="86"/>
      <c r="E5" s="5">
        <v>12.143819444444444</v>
      </c>
      <c r="F5" s="88"/>
      <c r="G5" s="96"/>
      <c r="H5" s="84">
        <v>113.554</v>
      </c>
      <c r="I5" s="92">
        <f>(H5+H7)/2</f>
        <v>113.545</v>
      </c>
      <c r="J5" s="90">
        <f>I5/ABS(H7-H5)</f>
        <v>6308.0555555553165</v>
      </c>
      <c r="K5" s="84">
        <v>-3.5289999999999999</v>
      </c>
      <c r="L5" s="84">
        <v>1.2849999999999999</v>
      </c>
    </row>
    <row r="6" spans="1:12" ht="15.75" thickBot="1" x14ac:dyDescent="0.3">
      <c r="A6" s="88"/>
      <c r="B6" s="91"/>
      <c r="C6" s="6">
        <v>15.893831018518519</v>
      </c>
      <c r="D6" s="86"/>
      <c r="E6" s="6">
        <v>19.643842592592595</v>
      </c>
      <c r="F6" s="88"/>
      <c r="G6" s="96"/>
      <c r="H6" s="84"/>
      <c r="I6" s="93"/>
      <c r="J6" s="90"/>
      <c r="K6" s="84"/>
      <c r="L6" s="84"/>
    </row>
    <row r="7" spans="1:12" x14ac:dyDescent="0.25">
      <c r="A7" s="88" t="s">
        <v>2</v>
      </c>
      <c r="B7" s="88" t="s">
        <v>1</v>
      </c>
      <c r="C7" s="4">
        <v>0</v>
      </c>
      <c r="D7" s="87">
        <f t="shared" ref="D7" si="1">(C9-C7+C10-C8)/2</f>
        <v>6.5883159722222242</v>
      </c>
      <c r="E7" s="4">
        <v>3.75</v>
      </c>
      <c r="F7" s="87">
        <f t="shared" ref="F7" si="2">(E9-E7+E10-E8)/2</f>
        <v>6.5883680555555557</v>
      </c>
      <c r="G7" s="95">
        <f t="shared" ref="G7" si="3">(D7+F7)/2</f>
        <v>6.58834201388889</v>
      </c>
      <c r="H7" s="84">
        <v>113.536</v>
      </c>
      <c r="I7" s="93"/>
      <c r="J7" s="90"/>
      <c r="K7" s="84">
        <v>3.746</v>
      </c>
      <c r="L7" s="84">
        <v>1.4</v>
      </c>
    </row>
    <row r="8" spans="1:12" x14ac:dyDescent="0.25">
      <c r="A8" s="88"/>
      <c r="B8" s="88"/>
      <c r="C8" s="5">
        <v>7.5001388888888885</v>
      </c>
      <c r="D8" s="88"/>
      <c r="E8" s="5">
        <v>11.250046296296297</v>
      </c>
      <c r="F8" s="88"/>
      <c r="G8" s="96"/>
      <c r="H8" s="84"/>
      <c r="I8" s="94"/>
      <c r="J8" s="90"/>
      <c r="K8" s="84"/>
      <c r="L8" s="84"/>
    </row>
    <row r="9" spans="1:12" x14ac:dyDescent="0.25">
      <c r="A9" s="88"/>
      <c r="B9" s="88" t="s">
        <v>3</v>
      </c>
      <c r="C9" s="5">
        <v>6.5884722222222223</v>
      </c>
      <c r="D9" s="88"/>
      <c r="E9" s="5">
        <v>10.338402777777778</v>
      </c>
      <c r="F9" s="88"/>
      <c r="G9" s="96"/>
      <c r="H9" s="84">
        <v>121.376</v>
      </c>
      <c r="I9" s="92">
        <f t="shared" ref="I9" si="4">(H9+H11)/2</f>
        <v>121.381</v>
      </c>
      <c r="J9" s="90">
        <f t="shared" ref="J9" si="5">I9/ABS(H11-H9)</f>
        <v>12138.10000001104</v>
      </c>
      <c r="K9" s="84">
        <v>-4.9420000000000002</v>
      </c>
      <c r="L9" s="84">
        <v>1.6</v>
      </c>
    </row>
    <row r="10" spans="1:12" ht="15.75" thickBot="1" x14ac:dyDescent="0.3">
      <c r="A10" s="88"/>
      <c r="B10" s="88"/>
      <c r="C10" s="6">
        <v>14.088298611111112</v>
      </c>
      <c r="D10" s="88"/>
      <c r="E10" s="6">
        <v>17.838379629629632</v>
      </c>
      <c r="F10" s="88"/>
      <c r="G10" s="96"/>
      <c r="H10" s="84"/>
      <c r="I10" s="93"/>
      <c r="J10" s="90"/>
      <c r="K10" s="84"/>
      <c r="L10" s="84"/>
    </row>
    <row r="11" spans="1:12" x14ac:dyDescent="0.25">
      <c r="A11" s="88" t="s">
        <v>3</v>
      </c>
      <c r="B11" s="88" t="s">
        <v>2</v>
      </c>
      <c r="C11" s="4">
        <v>0</v>
      </c>
      <c r="D11" s="87">
        <f t="shared" ref="D11" si="6">(C13-C11+C14-C12)/2</f>
        <v>5.7337326388888883</v>
      </c>
      <c r="E11" s="4">
        <v>3.75</v>
      </c>
      <c r="F11" s="87">
        <f t="shared" ref="F11" si="7">(E13-E11+E14-E12)/2</f>
        <v>5.7336168981481492</v>
      </c>
      <c r="G11" s="95">
        <f t="shared" ref="G11" si="8">(D11+F11)/2</f>
        <v>5.7336747685185188</v>
      </c>
      <c r="H11" s="84">
        <v>121.386</v>
      </c>
      <c r="I11" s="93"/>
      <c r="J11" s="90"/>
      <c r="K11" s="84">
        <v>5.149</v>
      </c>
      <c r="L11" s="84">
        <v>1.4</v>
      </c>
    </row>
    <row r="12" spans="1:12" x14ac:dyDescent="0.25">
      <c r="A12" s="88"/>
      <c r="B12" s="88"/>
      <c r="C12" s="5">
        <v>7.5000347222222219</v>
      </c>
      <c r="D12" s="88"/>
      <c r="E12" s="5">
        <v>7.5000115740740734</v>
      </c>
      <c r="F12" s="88"/>
      <c r="G12" s="96"/>
      <c r="H12" s="84"/>
      <c r="I12" s="94"/>
      <c r="J12" s="90"/>
      <c r="K12" s="84"/>
      <c r="L12" s="84"/>
    </row>
    <row r="13" spans="1:12" x14ac:dyDescent="0.25">
      <c r="A13" s="88"/>
      <c r="B13" s="88" t="s">
        <v>4</v>
      </c>
      <c r="C13" s="5">
        <v>5.733842592592592</v>
      </c>
      <c r="D13" s="88"/>
      <c r="E13" s="5">
        <v>9.4835879629629627</v>
      </c>
      <c r="F13" s="88"/>
      <c r="G13" s="96"/>
      <c r="H13" s="84">
        <v>78.108000000000004</v>
      </c>
      <c r="I13" s="92">
        <f t="shared" ref="I13" si="9">(H13+H15)/2</f>
        <v>78.103499999999997</v>
      </c>
      <c r="J13" s="90">
        <f t="shared" ref="J13" si="10">I13/ABS(H15-H13)</f>
        <v>8678.1666666663368</v>
      </c>
      <c r="K13" s="84">
        <v>-7.7629999999999999</v>
      </c>
      <c r="L13" s="84">
        <v>1.3</v>
      </c>
    </row>
    <row r="14" spans="1:12" ht="15.75" thickBot="1" x14ac:dyDescent="0.3">
      <c r="A14" s="88"/>
      <c r="B14" s="88"/>
      <c r="C14" s="6">
        <v>13.233657407407406</v>
      </c>
      <c r="D14" s="88"/>
      <c r="E14" s="6">
        <v>13.233657407407406</v>
      </c>
      <c r="F14" s="88"/>
      <c r="G14" s="96"/>
      <c r="H14" s="84"/>
      <c r="I14" s="93"/>
      <c r="J14" s="90"/>
      <c r="K14" s="84"/>
      <c r="L14" s="84"/>
    </row>
    <row r="15" spans="1:12" x14ac:dyDescent="0.25">
      <c r="A15" s="88" t="s">
        <v>4</v>
      </c>
      <c r="B15" s="88" t="s">
        <v>3</v>
      </c>
      <c r="C15" s="4">
        <v>0</v>
      </c>
      <c r="D15" s="87">
        <f t="shared" ref="D15" si="11">(C17-C15+C18-C16)/2</f>
        <v>6.2031944444444456</v>
      </c>
      <c r="E15" s="4">
        <v>3.75</v>
      </c>
      <c r="F15" s="87">
        <f t="shared" ref="F15" si="12">(E17-E15+E18-E16)/2</f>
        <v>6.2032002314814818</v>
      </c>
      <c r="G15" s="95">
        <f t="shared" ref="G15" si="13">(D15+F15)/2</f>
        <v>6.2031973379629637</v>
      </c>
      <c r="H15" s="84">
        <v>78.099000000000004</v>
      </c>
      <c r="I15" s="93"/>
      <c r="J15" s="90"/>
      <c r="K15" s="84">
        <v>7.5519999999999996</v>
      </c>
      <c r="L15" s="84">
        <v>1.3</v>
      </c>
    </row>
    <row r="16" spans="1:12" x14ac:dyDescent="0.25">
      <c r="A16" s="88"/>
      <c r="B16" s="88"/>
      <c r="C16" s="5">
        <v>7.4999537037037038</v>
      </c>
      <c r="D16" s="88"/>
      <c r="E16" s="5">
        <v>11.250046296296297</v>
      </c>
      <c r="F16" s="88"/>
      <c r="G16" s="96"/>
      <c r="H16" s="84"/>
      <c r="I16" s="94"/>
      <c r="J16" s="90"/>
      <c r="K16" s="84"/>
      <c r="L16" s="84"/>
    </row>
    <row r="17" spans="1:12" x14ac:dyDescent="0.25">
      <c r="A17" s="88"/>
      <c r="B17" s="88" t="s">
        <v>5</v>
      </c>
      <c r="C17" s="5">
        <v>6.2032407407407399</v>
      </c>
      <c r="D17" s="88"/>
      <c r="E17" s="5">
        <v>9.9531828703703713</v>
      </c>
      <c r="F17" s="88"/>
      <c r="G17" s="96"/>
      <c r="H17" s="84">
        <v>61.79</v>
      </c>
      <c r="I17" s="92">
        <f t="shared" ref="I17" si="14">(H17+H19)/2</f>
        <v>61.789500000000004</v>
      </c>
      <c r="J17" s="90">
        <f t="shared" ref="J17" si="15">I17/ABS(H19-H17)</f>
        <v>61789.500000144006</v>
      </c>
      <c r="K17" s="84">
        <v>-3.87</v>
      </c>
      <c r="L17" s="84">
        <v>1.3</v>
      </c>
    </row>
    <row r="18" spans="1:12" ht="15.75" thickBot="1" x14ac:dyDescent="0.3">
      <c r="A18" s="88"/>
      <c r="B18" s="88"/>
      <c r="C18" s="6">
        <v>13.703101851851853</v>
      </c>
      <c r="D18" s="88"/>
      <c r="E18" s="6">
        <v>17.453263888888888</v>
      </c>
      <c r="F18" s="88"/>
      <c r="G18" s="96"/>
      <c r="H18" s="84"/>
      <c r="I18" s="93"/>
      <c r="J18" s="90"/>
      <c r="K18" s="84"/>
      <c r="L18" s="84"/>
    </row>
    <row r="19" spans="1:12" x14ac:dyDescent="0.25">
      <c r="A19" s="88" t="s">
        <v>5</v>
      </c>
      <c r="B19" s="88" t="s">
        <v>4</v>
      </c>
      <c r="C19" s="4">
        <v>0</v>
      </c>
      <c r="D19" s="87">
        <f t="shared" ref="D19" si="16">(C21-C19+C22-C20)/2</f>
        <v>6.7329282407407423</v>
      </c>
      <c r="E19" s="4">
        <v>3.75</v>
      </c>
      <c r="F19" s="87">
        <f t="shared" ref="F19" si="17">(E21-E19+E22-E20)/2</f>
        <v>6.732945601851851</v>
      </c>
      <c r="G19" s="95">
        <f t="shared" ref="G19" si="18">(D19+F19)/2</f>
        <v>6.7329369212962966</v>
      </c>
      <c r="H19" s="84">
        <v>61.789000000000001</v>
      </c>
      <c r="I19" s="93"/>
      <c r="J19" s="90"/>
      <c r="K19" s="84">
        <v>3.75</v>
      </c>
      <c r="L19" s="84">
        <v>1.35</v>
      </c>
    </row>
    <row r="20" spans="1:12" x14ac:dyDescent="0.25">
      <c r="A20" s="88"/>
      <c r="B20" s="88"/>
      <c r="C20" s="5">
        <v>7.4999537037037038</v>
      </c>
      <c r="D20" s="88"/>
      <c r="E20" s="5">
        <v>11.250046296296297</v>
      </c>
      <c r="F20" s="88"/>
      <c r="G20" s="96"/>
      <c r="H20" s="84"/>
      <c r="I20" s="94"/>
      <c r="J20" s="90"/>
      <c r="K20" s="84"/>
      <c r="L20" s="84"/>
    </row>
    <row r="21" spans="1:12" x14ac:dyDescent="0.25">
      <c r="A21" s="88"/>
      <c r="B21" s="88" t="s">
        <v>6</v>
      </c>
      <c r="C21" s="5">
        <v>6.7329398148148156</v>
      </c>
      <c r="D21" s="88"/>
      <c r="E21" s="5">
        <v>10.48292824074074</v>
      </c>
      <c r="F21" s="88"/>
      <c r="G21" s="96"/>
      <c r="H21" s="84">
        <v>102.34</v>
      </c>
      <c r="I21" s="92">
        <f t="shared" ref="I21" si="19">(H21+H23)/2</f>
        <v>102.3415</v>
      </c>
      <c r="J21" s="90">
        <f t="shared" ref="J21" si="20">I21/ABS(H23-H21)</f>
        <v>34113.833333332041</v>
      </c>
      <c r="K21" s="84">
        <v>3.6360000000000001</v>
      </c>
      <c r="L21" s="84">
        <v>1.3049999999999999</v>
      </c>
    </row>
    <row r="22" spans="1:12" ht="15.75" thickBot="1" x14ac:dyDescent="0.3">
      <c r="A22" s="88"/>
      <c r="B22" s="88"/>
      <c r="C22" s="6">
        <v>14.232870370370371</v>
      </c>
      <c r="D22" s="88"/>
      <c r="E22" s="6">
        <v>17.983009259259259</v>
      </c>
      <c r="F22" s="88"/>
      <c r="G22" s="96"/>
      <c r="H22" s="84"/>
      <c r="I22" s="93"/>
      <c r="J22" s="90"/>
      <c r="K22" s="84"/>
      <c r="L22" s="84"/>
    </row>
    <row r="23" spans="1:12" x14ac:dyDescent="0.25">
      <c r="A23" s="88" t="s">
        <v>6</v>
      </c>
      <c r="B23" s="88" t="s">
        <v>5</v>
      </c>
      <c r="C23" s="4">
        <v>0</v>
      </c>
      <c r="D23" s="87">
        <f t="shared" ref="D23" si="21">(C25-C23+C26-C24)/2</f>
        <v>10.772997685185187</v>
      </c>
      <c r="E23" s="4">
        <v>3.75</v>
      </c>
      <c r="F23" s="87">
        <f t="shared" ref="F23" si="22">(E25-E23+E26-E24)/2</f>
        <v>10.773032407407406</v>
      </c>
      <c r="G23" s="95">
        <f t="shared" ref="G23" si="23">(D23+F23)/2</f>
        <v>10.773015046296297</v>
      </c>
      <c r="H23" s="84">
        <v>102.343</v>
      </c>
      <c r="I23" s="93"/>
      <c r="J23" s="90"/>
      <c r="K23" s="84">
        <v>-3.3839999999999999</v>
      </c>
      <c r="L23" s="84">
        <v>1.33</v>
      </c>
    </row>
    <row r="24" spans="1:12" x14ac:dyDescent="0.25">
      <c r="A24" s="88"/>
      <c r="B24" s="88"/>
      <c r="C24" s="5">
        <v>7.5001388888888885</v>
      </c>
      <c r="D24" s="88"/>
      <c r="E24" s="5">
        <v>11.250092592592592</v>
      </c>
      <c r="F24" s="88"/>
      <c r="G24" s="96"/>
      <c r="H24" s="84"/>
      <c r="I24" s="94"/>
      <c r="J24" s="90"/>
      <c r="K24" s="84"/>
      <c r="L24" s="84"/>
    </row>
    <row r="25" spans="1:12" x14ac:dyDescent="0.25">
      <c r="A25" s="88"/>
      <c r="B25" s="88" t="s">
        <v>7</v>
      </c>
      <c r="C25" s="5">
        <v>10.773159722222223</v>
      </c>
      <c r="D25" s="88"/>
      <c r="E25" s="5">
        <v>14.523055555555556</v>
      </c>
      <c r="F25" s="88"/>
      <c r="G25" s="96"/>
      <c r="H25" s="84">
        <v>88.995999999999995</v>
      </c>
      <c r="I25" s="92">
        <f t="shared" ref="I25" si="24">(H25+H27)/2</f>
        <v>88.996499999999997</v>
      </c>
      <c r="J25" s="90">
        <f t="shared" ref="J25" si="25">I25/ABS(H27-H25)</f>
        <v>88996.499999575055</v>
      </c>
      <c r="K25" s="84">
        <v>1.8260000000000001</v>
      </c>
      <c r="L25" s="84">
        <v>1.3</v>
      </c>
    </row>
    <row r="26" spans="1:12" ht="15.75" thickBot="1" x14ac:dyDescent="0.3">
      <c r="A26" s="88"/>
      <c r="B26" s="88"/>
      <c r="C26" s="6">
        <v>18.272974537037037</v>
      </c>
      <c r="D26" s="88"/>
      <c r="E26" s="6">
        <v>22.023101851851852</v>
      </c>
      <c r="F26" s="88"/>
      <c r="G26" s="96"/>
      <c r="H26" s="84"/>
      <c r="I26" s="93"/>
      <c r="J26" s="90"/>
      <c r="K26" s="84"/>
      <c r="L26" s="84"/>
    </row>
    <row r="27" spans="1:12" x14ac:dyDescent="0.25">
      <c r="A27" s="88" t="s">
        <v>7</v>
      </c>
      <c r="B27" s="88" t="s">
        <v>6</v>
      </c>
      <c r="C27" s="4">
        <v>0</v>
      </c>
      <c r="D27" s="87">
        <f t="shared" ref="D27" si="26">(C29-C27+C30-C28)/2</f>
        <v>5.9927488425925937</v>
      </c>
      <c r="E27" s="4">
        <v>3.75</v>
      </c>
      <c r="F27" s="87">
        <f t="shared" ref="F27" si="27">(E29-E27+E30-E28)/2</f>
        <v>5.9927199074074062</v>
      </c>
      <c r="G27" s="95">
        <f t="shared" ref="G27" si="28">(D27+F27)/2</f>
        <v>5.9927343749999995</v>
      </c>
      <c r="H27" s="84">
        <v>88.997</v>
      </c>
      <c r="I27" s="93"/>
      <c r="J27" s="90"/>
      <c r="K27" s="84">
        <v>-1.837</v>
      </c>
      <c r="L27" s="84">
        <v>1.4</v>
      </c>
    </row>
    <row r="28" spans="1:12" x14ac:dyDescent="0.25">
      <c r="A28" s="88"/>
      <c r="B28" s="88"/>
      <c r="C28" s="5">
        <v>7.4999305555555553</v>
      </c>
      <c r="D28" s="88"/>
      <c r="E28" s="5">
        <v>11.249976851851853</v>
      </c>
      <c r="F28" s="88"/>
      <c r="G28" s="96"/>
      <c r="H28" s="84"/>
      <c r="I28" s="94"/>
      <c r="J28" s="90"/>
      <c r="K28" s="84"/>
      <c r="L28" s="84"/>
    </row>
    <row r="29" spans="1:12" x14ac:dyDescent="0.25">
      <c r="A29" s="88"/>
      <c r="B29" s="88" t="s">
        <v>8</v>
      </c>
      <c r="C29" s="5">
        <v>5.992719907407408</v>
      </c>
      <c r="D29" s="88"/>
      <c r="E29" s="5">
        <v>9.7427314814814814</v>
      </c>
      <c r="F29" s="88"/>
      <c r="G29" s="96"/>
      <c r="H29" s="84">
        <v>64.725999999999999</v>
      </c>
      <c r="I29" s="92">
        <f t="shared" ref="I29" si="29">(H29+H31)/2</f>
        <v>64.722000000000008</v>
      </c>
      <c r="J29" s="90">
        <f t="shared" ref="J29" si="30">I29/ABS(H31-H29)</f>
        <v>8090.2500000044847</v>
      </c>
      <c r="K29" s="84">
        <v>2.16</v>
      </c>
      <c r="L29" s="84">
        <v>1.53</v>
      </c>
    </row>
    <row r="30" spans="1:12" ht="15.75" thickBot="1" x14ac:dyDescent="0.3">
      <c r="A30" s="88"/>
      <c r="B30" s="88"/>
      <c r="C30" s="6">
        <v>13.492708333333333</v>
      </c>
      <c r="D30" s="88"/>
      <c r="E30" s="6">
        <v>17.242685185185184</v>
      </c>
      <c r="F30" s="88"/>
      <c r="G30" s="96"/>
      <c r="H30" s="84"/>
      <c r="I30" s="93"/>
      <c r="J30" s="90"/>
      <c r="K30" s="84"/>
      <c r="L30" s="84"/>
    </row>
    <row r="31" spans="1:12" x14ac:dyDescent="0.25">
      <c r="A31" s="88" t="s">
        <v>8</v>
      </c>
      <c r="B31" s="88" t="s">
        <v>7</v>
      </c>
      <c r="C31" s="4">
        <v>0</v>
      </c>
      <c r="D31" s="87">
        <f t="shared" ref="D31" si="31">(C33-C31+C34-C32)/2</f>
        <v>5.3045543981481487</v>
      </c>
      <c r="E31" s="4">
        <v>3.75</v>
      </c>
      <c r="F31" s="87">
        <f t="shared" ref="F31" si="32">(E33-E31+E34-E32)/2</f>
        <v>5.3045370370370355</v>
      </c>
      <c r="G31" s="95">
        <f t="shared" ref="G31" si="33">(D31+F31)/2</f>
        <v>5.3045457175925925</v>
      </c>
      <c r="H31" s="84">
        <v>64.718000000000004</v>
      </c>
      <c r="I31" s="93"/>
      <c r="J31" s="90"/>
      <c r="K31" s="84">
        <v>-1.1619999999999999</v>
      </c>
      <c r="L31" s="84">
        <v>2.15</v>
      </c>
    </row>
    <row r="32" spans="1:12" x14ac:dyDescent="0.25">
      <c r="A32" s="88"/>
      <c r="B32" s="88"/>
      <c r="C32" s="5">
        <v>7.5001388888888885</v>
      </c>
      <c r="D32" s="88"/>
      <c r="E32" s="5">
        <v>11.250011574074074</v>
      </c>
      <c r="F32" s="88"/>
      <c r="G32" s="96"/>
      <c r="H32" s="84"/>
      <c r="I32" s="94"/>
      <c r="J32" s="90"/>
      <c r="K32" s="84"/>
      <c r="L32" s="84"/>
    </row>
    <row r="33" spans="1:12" x14ac:dyDescent="0.25">
      <c r="A33" s="88"/>
      <c r="B33" s="88" t="s">
        <v>9</v>
      </c>
      <c r="C33" s="5">
        <v>5.3047106481481476</v>
      </c>
      <c r="D33" s="88"/>
      <c r="E33" s="5">
        <v>9.0545717592592592</v>
      </c>
      <c r="F33" s="88"/>
      <c r="G33" s="96"/>
      <c r="H33" s="84">
        <v>69.39</v>
      </c>
      <c r="I33" s="92">
        <f t="shared" ref="I33" si="34">(H33+H35)/2</f>
        <v>69.385999999999996</v>
      </c>
      <c r="J33" s="90">
        <f t="shared" ref="J33" si="35">I33/ABS(H35-H33)</f>
        <v>8673.2500000048058</v>
      </c>
      <c r="K33" s="84">
        <v>-1.853</v>
      </c>
      <c r="L33" s="84">
        <v>1.35</v>
      </c>
    </row>
    <row r="34" spans="1:12" ht="15.75" thickBot="1" x14ac:dyDescent="0.3">
      <c r="A34" s="88"/>
      <c r="B34" s="88"/>
      <c r="C34" s="6">
        <v>12.804537037037036</v>
      </c>
      <c r="D34" s="88"/>
      <c r="E34" s="6">
        <v>16.554513888888888</v>
      </c>
      <c r="F34" s="88"/>
      <c r="G34" s="96"/>
      <c r="H34" s="84"/>
      <c r="I34" s="93"/>
      <c r="J34" s="90"/>
      <c r="K34" s="84"/>
      <c r="L34" s="84"/>
    </row>
    <row r="35" spans="1:12" x14ac:dyDescent="0.25">
      <c r="A35" s="88" t="s">
        <v>9</v>
      </c>
      <c r="B35" s="88" t="s">
        <v>8</v>
      </c>
      <c r="C35" s="4">
        <v>0</v>
      </c>
      <c r="D35" s="87">
        <f t="shared" ref="D35" si="36">(C37-C35+C38-C36)/2</f>
        <v>5.8596527777777769</v>
      </c>
      <c r="E35" s="4">
        <v>3.75</v>
      </c>
      <c r="F35" s="87">
        <f t="shared" ref="F35" si="37">(E37-E35+E38-E36)/2</f>
        <v>5.859652777777776</v>
      </c>
      <c r="G35" s="95">
        <f t="shared" ref="G35" si="38">(D35+F35)/2</f>
        <v>5.8596527777777769</v>
      </c>
      <c r="H35" s="84">
        <v>69.382000000000005</v>
      </c>
      <c r="I35" s="93"/>
      <c r="J35" s="90"/>
      <c r="K35" s="84">
        <v>2.0019999999999998</v>
      </c>
      <c r="L35" s="84">
        <v>1.31</v>
      </c>
    </row>
    <row r="36" spans="1:12" x14ac:dyDescent="0.25">
      <c r="A36" s="88"/>
      <c r="B36" s="88"/>
      <c r="C36" s="5">
        <v>7.5</v>
      </c>
      <c r="D36" s="88"/>
      <c r="E36" s="5">
        <v>11.25008101851852</v>
      </c>
      <c r="F36" s="88"/>
      <c r="G36" s="96"/>
      <c r="H36" s="84"/>
      <c r="I36" s="94"/>
      <c r="J36" s="90"/>
      <c r="K36" s="84"/>
      <c r="L36" s="84"/>
    </row>
    <row r="37" spans="1:12" x14ac:dyDescent="0.25">
      <c r="A37" s="88"/>
      <c r="B37" s="88" t="s">
        <v>10</v>
      </c>
      <c r="C37" s="5">
        <v>5.8597222222222216</v>
      </c>
      <c r="D37" s="88"/>
      <c r="E37" s="5">
        <v>9.6096759259259255</v>
      </c>
      <c r="F37" s="88"/>
      <c r="G37" s="96"/>
      <c r="H37" s="84">
        <v>96.554000000000002</v>
      </c>
      <c r="I37" s="92">
        <f t="shared" ref="I37" si="39">(H37+H39)/2</f>
        <v>96.5565</v>
      </c>
      <c r="J37" s="90">
        <f t="shared" ref="J37" si="40">I37/ABS(H39-H37)</f>
        <v>19311.300000017563</v>
      </c>
      <c r="K37" s="84">
        <v>10.016999999999999</v>
      </c>
      <c r="L37" s="84">
        <v>2.1</v>
      </c>
    </row>
    <row r="38" spans="1:12" ht="15.75" thickBot="1" x14ac:dyDescent="0.3">
      <c r="A38" s="88"/>
      <c r="B38" s="88"/>
      <c r="C38" s="6">
        <v>13.359583333333333</v>
      </c>
      <c r="D38" s="88"/>
      <c r="E38" s="6">
        <v>17.109710648148148</v>
      </c>
      <c r="F38" s="88"/>
      <c r="G38" s="96"/>
      <c r="H38" s="84"/>
      <c r="I38" s="93"/>
      <c r="J38" s="90"/>
      <c r="K38" s="84"/>
      <c r="L38" s="84"/>
    </row>
    <row r="39" spans="1:12" x14ac:dyDescent="0.25">
      <c r="A39" s="88" t="s">
        <v>10</v>
      </c>
      <c r="B39" s="88" t="s">
        <v>9</v>
      </c>
      <c r="C39" s="4">
        <v>0</v>
      </c>
      <c r="D39" s="87">
        <f t="shared" ref="D39" si="41">(C41-C39+C42-C40)/2</f>
        <v>7.2605208333333344</v>
      </c>
      <c r="E39" s="4">
        <v>3.75</v>
      </c>
      <c r="F39" s="87">
        <f t="shared" ref="F39" si="42">(E41-E39+E42-E40)/2</f>
        <v>7.2605439814814803</v>
      </c>
      <c r="G39" s="95">
        <f t="shared" ref="G39" si="43">(D39+F39)/2</f>
        <v>7.2605324074074069</v>
      </c>
      <c r="H39" s="84">
        <v>96.558999999999997</v>
      </c>
      <c r="I39" s="93"/>
      <c r="J39" s="90"/>
      <c r="K39" s="84">
        <v>-8.3979999999999997</v>
      </c>
      <c r="L39" s="84">
        <v>2.15</v>
      </c>
    </row>
    <row r="40" spans="1:12" x14ac:dyDescent="0.25">
      <c r="A40" s="88"/>
      <c r="B40" s="88"/>
      <c r="C40" s="5">
        <v>7.500162037037037</v>
      </c>
      <c r="D40" s="88"/>
      <c r="E40" s="5">
        <v>11.249976851851853</v>
      </c>
      <c r="F40" s="88"/>
      <c r="G40" s="96"/>
      <c r="H40" s="84"/>
      <c r="I40" s="94"/>
      <c r="J40" s="90"/>
      <c r="K40" s="84"/>
      <c r="L40" s="84"/>
    </row>
    <row r="41" spans="1:12" x14ac:dyDescent="0.25">
      <c r="A41" s="88"/>
      <c r="B41" s="88" t="s">
        <v>11</v>
      </c>
      <c r="C41" s="5">
        <v>7.2605439814814821</v>
      </c>
      <c r="D41" s="88"/>
      <c r="E41" s="5">
        <v>11.010509259259258</v>
      </c>
      <c r="F41" s="88"/>
      <c r="G41" s="96"/>
      <c r="H41" s="84">
        <v>71.870999999999995</v>
      </c>
      <c r="I41" s="92">
        <f t="shared" ref="I41" si="44">(H41+H43)/2</f>
        <v>71.872</v>
      </c>
      <c r="J41" s="90">
        <f t="shared" ref="J41" si="45">I41/ABS(H43-H41)</f>
        <v>35935.999999828411</v>
      </c>
      <c r="K41" s="84">
        <v>0.81200000000000006</v>
      </c>
      <c r="L41" s="84">
        <v>2.1</v>
      </c>
    </row>
    <row r="42" spans="1:12" ht="15.75" thickBot="1" x14ac:dyDescent="0.3">
      <c r="A42" s="88"/>
      <c r="B42" s="88"/>
      <c r="C42" s="6">
        <v>14.760659722222222</v>
      </c>
      <c r="D42" s="88"/>
      <c r="E42" s="6">
        <v>18.510555555555555</v>
      </c>
      <c r="F42" s="88"/>
      <c r="G42" s="96"/>
      <c r="H42" s="84"/>
      <c r="I42" s="93"/>
      <c r="J42" s="90"/>
      <c r="K42" s="84"/>
      <c r="L42" s="84"/>
    </row>
    <row r="43" spans="1:12" x14ac:dyDescent="0.25">
      <c r="A43" s="88" t="s">
        <v>11</v>
      </c>
      <c r="B43" s="88" t="s">
        <v>10</v>
      </c>
      <c r="C43" s="4">
        <v>0</v>
      </c>
      <c r="D43" s="87">
        <f t="shared" ref="D43" si="46">(C45-C43+C46-C44)/2</f>
        <v>4.1051620370370383</v>
      </c>
      <c r="E43" s="4">
        <v>3.75</v>
      </c>
      <c r="F43" s="87">
        <f t="shared" ref="F43" si="47">(E45-E43+E46-E44)/2</f>
        <v>4.1050115740740738</v>
      </c>
      <c r="G43" s="95">
        <f t="shared" ref="G43" si="48">(D43+F43)/2</f>
        <v>4.1050868055555565</v>
      </c>
      <c r="H43" s="84">
        <v>71.873000000000005</v>
      </c>
      <c r="I43" s="93"/>
      <c r="J43" s="90"/>
      <c r="K43" s="84">
        <v>0.71399999999999997</v>
      </c>
      <c r="L43" s="84">
        <v>2.1</v>
      </c>
    </row>
    <row r="44" spans="1:12" x14ac:dyDescent="0.25">
      <c r="A44" s="88"/>
      <c r="B44" s="88"/>
      <c r="C44" s="5">
        <v>7.4999305555555553</v>
      </c>
      <c r="D44" s="88"/>
      <c r="E44" s="5">
        <v>11.250127314814813</v>
      </c>
      <c r="F44" s="88"/>
      <c r="G44" s="96"/>
      <c r="H44" s="84"/>
      <c r="I44" s="94"/>
      <c r="J44" s="90"/>
      <c r="K44" s="84"/>
      <c r="L44" s="84"/>
    </row>
    <row r="45" spans="1:12" x14ac:dyDescent="0.25">
      <c r="A45" s="88"/>
      <c r="B45" s="88" t="s">
        <v>12</v>
      </c>
      <c r="C45" s="5">
        <v>4.1051388888888889</v>
      </c>
      <c r="D45" s="88"/>
      <c r="E45" s="5">
        <v>7.8551504629629632</v>
      </c>
      <c r="F45" s="88"/>
      <c r="G45" s="96"/>
      <c r="H45" s="84">
        <v>78.024000000000001</v>
      </c>
      <c r="I45" s="92">
        <f t="shared" ref="I45" si="49">(H45+H47)/2</f>
        <v>78.020499999999998</v>
      </c>
      <c r="J45" s="90">
        <f t="shared" ref="J45" si="50">I45/ABS(H47-H45)</f>
        <v>11145.785714277748</v>
      </c>
      <c r="K45" s="84">
        <v>1.214</v>
      </c>
      <c r="L45" s="84">
        <v>1.7</v>
      </c>
    </row>
    <row r="46" spans="1:12" ht="15.75" thickBot="1" x14ac:dyDescent="0.3">
      <c r="A46" s="88"/>
      <c r="B46" s="88"/>
      <c r="C46" s="6">
        <v>11.605115740740741</v>
      </c>
      <c r="D46" s="88"/>
      <c r="E46" s="6">
        <v>15.354999999999999</v>
      </c>
      <c r="F46" s="88"/>
      <c r="G46" s="96"/>
      <c r="H46" s="84"/>
      <c r="I46" s="93"/>
      <c r="J46" s="90"/>
      <c r="K46" s="84"/>
      <c r="L46" s="84"/>
    </row>
    <row r="47" spans="1:12" x14ac:dyDescent="0.25">
      <c r="A47" s="88" t="s">
        <v>12</v>
      </c>
      <c r="B47" s="88" t="s">
        <v>11</v>
      </c>
      <c r="C47" s="4">
        <v>0</v>
      </c>
      <c r="D47" s="87">
        <f t="shared" ref="D47" si="51">(C49-C47+C50-C48)/2</f>
        <v>10.859108796296297</v>
      </c>
      <c r="E47" s="4">
        <v>3.75</v>
      </c>
      <c r="F47" s="87">
        <f t="shared" ref="F47" si="52">(E49-E47+E50-E48)/2</f>
        <v>10.859021990740739</v>
      </c>
      <c r="G47" s="95">
        <f t="shared" ref="G47" si="53">(D47+F47)/2</f>
        <v>10.859065393518518</v>
      </c>
      <c r="H47" s="84">
        <v>78.016999999999996</v>
      </c>
      <c r="I47" s="93"/>
      <c r="J47" s="90"/>
      <c r="K47" s="84">
        <v>-0.81399999999999995</v>
      </c>
      <c r="L47" s="84">
        <v>1.4</v>
      </c>
    </row>
    <row r="48" spans="1:12" x14ac:dyDescent="0.25">
      <c r="A48" s="88"/>
      <c r="B48" s="88"/>
      <c r="C48" s="5">
        <v>7.4999884259259266</v>
      </c>
      <c r="D48" s="88"/>
      <c r="E48" s="5">
        <v>11.25005787037037</v>
      </c>
      <c r="F48" s="88"/>
      <c r="G48" s="96"/>
      <c r="H48" s="84"/>
      <c r="I48" s="94"/>
      <c r="J48" s="90"/>
      <c r="K48" s="84"/>
      <c r="L48" s="84"/>
    </row>
    <row r="49" spans="1:12" x14ac:dyDescent="0.25">
      <c r="A49" s="88"/>
      <c r="B49" s="88" t="s">
        <v>13</v>
      </c>
      <c r="C49" s="5">
        <v>10.859131944444444</v>
      </c>
      <c r="D49" s="88"/>
      <c r="E49" s="5">
        <v>14.609097222222223</v>
      </c>
      <c r="F49" s="88"/>
      <c r="G49" s="96"/>
      <c r="H49" s="84">
        <v>88.8</v>
      </c>
      <c r="I49" s="92">
        <f t="shared" ref="I49" si="54">(H49+H51)/2</f>
        <v>88.795500000000004</v>
      </c>
      <c r="J49" s="90">
        <f t="shared" ref="J49" si="55">I49/ABS(H51-H49)</f>
        <v>9866.1666666662932</v>
      </c>
      <c r="K49" s="84">
        <v>1.127</v>
      </c>
      <c r="L49" s="84">
        <v>1.3</v>
      </c>
    </row>
    <row r="50" spans="1:12" ht="15.75" thickBot="1" x14ac:dyDescent="0.3">
      <c r="A50" s="88"/>
      <c r="B50" s="88"/>
      <c r="C50" s="6">
        <v>18.359074074074076</v>
      </c>
      <c r="D50" s="88"/>
      <c r="E50" s="6">
        <v>22.109004629629627</v>
      </c>
      <c r="F50" s="88"/>
      <c r="G50" s="96"/>
      <c r="H50" s="84"/>
      <c r="I50" s="93"/>
      <c r="J50" s="90"/>
      <c r="K50" s="84"/>
      <c r="L50" s="84"/>
    </row>
    <row r="51" spans="1:12" x14ac:dyDescent="0.25">
      <c r="A51" s="88" t="s">
        <v>13</v>
      </c>
      <c r="B51" s="88" t="s">
        <v>12</v>
      </c>
      <c r="C51" s="4">
        <v>0</v>
      </c>
      <c r="D51" s="87">
        <f t="shared" ref="D51" si="56">(C53-C51+C54-C52)/2</f>
        <v>6.7550000000000008</v>
      </c>
      <c r="E51" s="4">
        <v>3.75</v>
      </c>
      <c r="F51" s="87">
        <f t="shared" ref="F51" si="57">(E53-E51+E54-E52)/2</f>
        <v>6.7549826388888894</v>
      </c>
      <c r="G51" s="95">
        <f t="shared" ref="G51" si="58">(D51+F51)/2</f>
        <v>6.7549913194444446</v>
      </c>
      <c r="H51" s="84">
        <v>88.790999999999997</v>
      </c>
      <c r="I51" s="93"/>
      <c r="J51" s="90"/>
      <c r="K51" s="84">
        <v>-1.258</v>
      </c>
      <c r="L51" s="84">
        <v>1.3</v>
      </c>
    </row>
    <row r="52" spans="1:12" x14ac:dyDescent="0.25">
      <c r="A52" s="88"/>
      <c r="B52" s="88"/>
      <c r="C52" s="5">
        <v>7.499837962962963</v>
      </c>
      <c r="D52" s="88"/>
      <c r="E52" s="5">
        <v>11.249965277777777</v>
      </c>
      <c r="F52" s="88"/>
      <c r="G52" s="96"/>
      <c r="H52" s="84"/>
      <c r="I52" s="94"/>
      <c r="J52" s="90"/>
      <c r="K52" s="84"/>
      <c r="L52" s="84"/>
    </row>
    <row r="53" spans="1:12" x14ac:dyDescent="0.25">
      <c r="A53" s="88"/>
      <c r="B53" s="88" t="s">
        <v>14</v>
      </c>
      <c r="C53" s="5">
        <v>6.7549305555555561</v>
      </c>
      <c r="D53" s="88"/>
      <c r="E53" s="5">
        <v>10.504976851851852</v>
      </c>
      <c r="F53" s="88"/>
      <c r="G53" s="96"/>
      <c r="H53" s="84">
        <v>112.032</v>
      </c>
      <c r="I53" s="92">
        <f t="shared" ref="I53" si="59">(H53+H55)/2</f>
        <v>112.0325</v>
      </c>
      <c r="J53" s="90">
        <f t="shared" ref="J53" si="60">I53/ABS(H55-H53)</f>
        <v>112032.49999946506</v>
      </c>
      <c r="K53" s="84">
        <v>5.5339999999999998</v>
      </c>
      <c r="L53" s="84">
        <v>1.35</v>
      </c>
    </row>
    <row r="54" spans="1:12" ht="15.75" thickBot="1" x14ac:dyDescent="0.3">
      <c r="A54" s="88"/>
      <c r="B54" s="88"/>
      <c r="C54" s="6">
        <v>14.254907407407408</v>
      </c>
      <c r="D54" s="88"/>
      <c r="E54" s="6">
        <v>18.004953703703702</v>
      </c>
      <c r="F54" s="88"/>
      <c r="G54" s="96"/>
      <c r="H54" s="84"/>
      <c r="I54" s="93"/>
      <c r="J54" s="90"/>
      <c r="K54" s="84"/>
      <c r="L54" s="84"/>
    </row>
    <row r="55" spans="1:12" x14ac:dyDescent="0.25">
      <c r="A55" s="88" t="s">
        <v>14</v>
      </c>
      <c r="B55" s="88" t="s">
        <v>13</v>
      </c>
      <c r="C55" s="4">
        <v>0</v>
      </c>
      <c r="D55" s="87">
        <f t="shared" ref="D55" si="61">(C57-C55+C58-C56)/2</f>
        <v>5.059942129629631</v>
      </c>
      <c r="E55" s="4">
        <v>3.75</v>
      </c>
      <c r="F55" s="87">
        <f t="shared" ref="F55" si="62">(E57-E55+E58-E56)/2</f>
        <v>5.0599768518518511</v>
      </c>
      <c r="G55" s="95">
        <f t="shared" ref="G55" si="63">(D55+F55)/2</f>
        <v>5.0599594907407415</v>
      </c>
      <c r="H55" s="84">
        <v>112.033</v>
      </c>
      <c r="I55" s="93"/>
      <c r="J55" s="90"/>
      <c r="K55" s="84">
        <v>-5.6920000000000002</v>
      </c>
      <c r="L55" s="84">
        <v>1.3</v>
      </c>
    </row>
    <row r="56" spans="1:12" x14ac:dyDescent="0.25">
      <c r="A56" s="88"/>
      <c r="B56" s="88"/>
      <c r="C56" s="5">
        <v>7.5000115740740734</v>
      </c>
      <c r="D56" s="88"/>
      <c r="E56" s="5">
        <v>11.250034722222223</v>
      </c>
      <c r="F56" s="88"/>
      <c r="G56" s="96"/>
      <c r="H56" s="84"/>
      <c r="I56" s="94"/>
      <c r="J56" s="90"/>
      <c r="K56" s="84"/>
      <c r="L56" s="84"/>
    </row>
    <row r="57" spans="1:12" x14ac:dyDescent="0.25">
      <c r="A57" s="88"/>
      <c r="B57" s="88" t="s">
        <v>15</v>
      </c>
      <c r="C57" s="5">
        <v>5.0599305555555558</v>
      </c>
      <c r="D57" s="88"/>
      <c r="E57" s="5">
        <v>8.809976851851852</v>
      </c>
      <c r="F57" s="88"/>
      <c r="G57" s="96"/>
      <c r="H57" s="84">
        <v>115.65600000000001</v>
      </c>
      <c r="I57" s="92">
        <f t="shared" ref="I57" si="64">(H57+H59)/2</f>
        <v>115.652</v>
      </c>
      <c r="J57" s="90">
        <f t="shared" ref="J57" si="65">I57/ABS(H59-H57)</f>
        <v>14456.499999982332</v>
      </c>
      <c r="K57" s="84">
        <v>2.5419999999999998</v>
      </c>
      <c r="L57" s="84">
        <v>1.35</v>
      </c>
    </row>
    <row r="58" spans="1:12" ht="15.75" thickBot="1" x14ac:dyDescent="0.3">
      <c r="A58" s="88"/>
      <c r="B58" s="88"/>
      <c r="C58" s="6">
        <v>12.559965277777778</v>
      </c>
      <c r="D58" s="88"/>
      <c r="E58" s="6">
        <v>16.310011574074075</v>
      </c>
      <c r="F58" s="88"/>
      <c r="G58" s="96"/>
      <c r="H58" s="84"/>
      <c r="I58" s="93"/>
      <c r="J58" s="90"/>
      <c r="K58" s="84"/>
      <c r="L58" s="84"/>
    </row>
    <row r="59" spans="1:12" x14ac:dyDescent="0.25">
      <c r="A59" s="88" t="s">
        <v>15</v>
      </c>
      <c r="B59" s="88" t="s">
        <v>14</v>
      </c>
      <c r="C59" s="4">
        <v>0</v>
      </c>
      <c r="D59" s="87">
        <f>(C61-C59+C62-C60)/2</f>
        <v>8.3021469907407397</v>
      </c>
      <c r="E59" s="4">
        <v>3.75</v>
      </c>
      <c r="F59" s="87">
        <f t="shared" ref="F59" si="66">(E61-E59+E62-E60)/2</f>
        <v>8.3020833333333321</v>
      </c>
      <c r="G59" s="95">
        <f t="shared" ref="G59" si="67">(D59+F59)/2</f>
        <v>8.3021151620370368</v>
      </c>
      <c r="H59" s="84">
        <v>115.648</v>
      </c>
      <c r="I59" s="93"/>
      <c r="J59" s="90"/>
      <c r="K59" s="84">
        <v>-2.8069999999999999</v>
      </c>
      <c r="L59" s="84">
        <v>1.3</v>
      </c>
    </row>
    <row r="60" spans="1:12" x14ac:dyDescent="0.25">
      <c r="A60" s="88"/>
      <c r="B60" s="88"/>
      <c r="C60" s="5">
        <v>7.5000925925925932</v>
      </c>
      <c r="D60" s="88"/>
      <c r="E60" s="5">
        <v>11.250150462962964</v>
      </c>
      <c r="F60" s="88"/>
      <c r="G60" s="96"/>
      <c r="H60" s="84"/>
      <c r="I60" s="94"/>
      <c r="J60" s="90"/>
      <c r="K60" s="84"/>
      <c r="L60" s="84"/>
    </row>
    <row r="61" spans="1:12" x14ac:dyDescent="0.25">
      <c r="A61" s="88"/>
      <c r="B61" s="88" t="s">
        <v>16</v>
      </c>
      <c r="C61" s="5">
        <v>8.3021296296296292</v>
      </c>
      <c r="D61" s="88"/>
      <c r="E61" s="5">
        <v>12.052175925925924</v>
      </c>
      <c r="F61" s="88"/>
      <c r="G61" s="96"/>
      <c r="H61" s="84">
        <v>88.119</v>
      </c>
      <c r="I61" s="92">
        <f t="shared" ref="I61" si="68">(H61+H63)/2</f>
        <v>88.111999999999995</v>
      </c>
      <c r="J61" s="90">
        <f t="shared" ref="J61" si="69">I61/ABS(H63-H61)</f>
        <v>6293.7142857161762</v>
      </c>
      <c r="K61" s="84">
        <v>5.22</v>
      </c>
      <c r="L61" s="84">
        <v>1.8</v>
      </c>
    </row>
    <row r="62" spans="1:12" ht="15.75" thickBot="1" x14ac:dyDescent="0.3">
      <c r="A62" s="88"/>
      <c r="B62" s="88"/>
      <c r="C62" s="6">
        <v>15.802256944444444</v>
      </c>
      <c r="D62" s="88"/>
      <c r="E62" s="6">
        <v>19.552141203703702</v>
      </c>
      <c r="F62" s="88"/>
      <c r="G62" s="96"/>
      <c r="H62" s="84"/>
      <c r="I62" s="93"/>
      <c r="J62" s="90"/>
      <c r="K62" s="84"/>
      <c r="L62" s="84"/>
    </row>
    <row r="63" spans="1:12" x14ac:dyDescent="0.25">
      <c r="A63" s="88" t="s">
        <v>16</v>
      </c>
      <c r="B63" s="88" t="s">
        <v>15</v>
      </c>
      <c r="C63" s="4">
        <v>0</v>
      </c>
      <c r="D63" s="87">
        <f>(C65-C63+C66-C64)/2</f>
        <v>4.7881134259259266</v>
      </c>
      <c r="E63" s="4">
        <v>3.75</v>
      </c>
      <c r="F63" s="87">
        <f t="shared" ref="F63" si="70">(E65-E63+E66-E64)/2</f>
        <v>4.7881597222222219</v>
      </c>
      <c r="G63" s="95">
        <f t="shared" ref="G63" si="71">(D63+F63)/2</f>
        <v>4.7881365740740742</v>
      </c>
      <c r="H63" s="84">
        <v>88.105000000000004</v>
      </c>
      <c r="I63" s="93"/>
      <c r="J63" s="90"/>
      <c r="K63" s="84">
        <v>-4.9249999999999998</v>
      </c>
      <c r="L63" s="84">
        <v>1.4</v>
      </c>
    </row>
    <row r="64" spans="1:12" x14ac:dyDescent="0.25">
      <c r="A64" s="88"/>
      <c r="B64" s="88"/>
      <c r="C64" s="5">
        <v>7.5001157407407399</v>
      </c>
      <c r="D64" s="88"/>
      <c r="E64" s="5">
        <v>11.25005787037037</v>
      </c>
      <c r="F64" s="88"/>
      <c r="G64" s="96"/>
      <c r="H64" s="84"/>
      <c r="I64" s="94"/>
      <c r="J64" s="90"/>
      <c r="K64" s="84"/>
      <c r="L64" s="84"/>
    </row>
    <row r="65" spans="1:12" x14ac:dyDescent="0.25">
      <c r="A65" s="88"/>
      <c r="B65" s="88" t="s">
        <v>0</v>
      </c>
      <c r="C65" s="5">
        <v>4.7882175925925923</v>
      </c>
      <c r="D65" s="88"/>
      <c r="E65" s="5">
        <v>8.5381481481481476</v>
      </c>
      <c r="F65" s="88"/>
      <c r="G65" s="96"/>
      <c r="H65" s="84">
        <v>126.755</v>
      </c>
      <c r="I65" s="92">
        <f t="shared" ref="I65" si="72">(H65+H67)/2</f>
        <v>126.747</v>
      </c>
      <c r="J65" s="90">
        <f t="shared" ref="J65" si="73">I65/ABS(H67-H65)</f>
        <v>7921.6875000043901</v>
      </c>
      <c r="K65" s="84">
        <v>-2.7429999999999999</v>
      </c>
      <c r="L65" s="84">
        <v>1.55</v>
      </c>
    </row>
    <row r="66" spans="1:12" ht="15.75" thickBot="1" x14ac:dyDescent="0.3">
      <c r="A66" s="88"/>
      <c r="B66" s="88"/>
      <c r="C66" s="6">
        <v>12.288125000000001</v>
      </c>
      <c r="D66" s="88"/>
      <c r="E66" s="6">
        <v>16.038229166666667</v>
      </c>
      <c r="F66" s="88"/>
      <c r="G66" s="96"/>
      <c r="H66" s="84"/>
      <c r="I66" s="93"/>
      <c r="J66" s="90"/>
      <c r="K66" s="84"/>
      <c r="L66" s="84"/>
    </row>
    <row r="67" spans="1:12" x14ac:dyDescent="0.25">
      <c r="A67" s="88" t="s">
        <v>0</v>
      </c>
      <c r="B67" s="88" t="s">
        <v>16</v>
      </c>
      <c r="C67" s="4">
        <v>0</v>
      </c>
      <c r="D67" s="87">
        <f>(C69-C67+C70-C68)/2</f>
        <v>7.9803587962962954</v>
      </c>
      <c r="E67" s="4">
        <v>3.75</v>
      </c>
      <c r="F67" s="87">
        <f t="shared" ref="F67" si="74">(E69-E67+E70-E68)/2</f>
        <v>7.9802256944444441</v>
      </c>
      <c r="G67" s="95">
        <f t="shared" ref="G67" si="75">(D67+F67)/2</f>
        <v>7.9802922453703697</v>
      </c>
      <c r="H67" s="84">
        <v>126.739</v>
      </c>
      <c r="I67" s="93"/>
      <c r="J67" s="90"/>
      <c r="K67" s="84">
        <v>3.444</v>
      </c>
      <c r="L67" s="84">
        <v>2</v>
      </c>
    </row>
    <row r="68" spans="1:12" x14ac:dyDescent="0.25">
      <c r="A68" s="88"/>
      <c r="B68" s="88"/>
      <c r="C68" s="5">
        <v>7.4998611111111115</v>
      </c>
      <c r="D68" s="88"/>
      <c r="E68" s="5">
        <v>11.24994212962963</v>
      </c>
      <c r="F68" s="88"/>
      <c r="G68" s="96"/>
      <c r="H68" s="84"/>
      <c r="I68" s="94"/>
      <c r="J68" s="90"/>
      <c r="K68" s="84"/>
      <c r="L68" s="84"/>
    </row>
    <row r="69" spans="1:12" x14ac:dyDescent="0.25">
      <c r="A69" s="88"/>
      <c r="B69" s="88" t="s">
        <v>17</v>
      </c>
      <c r="C69" s="5">
        <v>7.9803935185185182</v>
      </c>
      <c r="D69" s="88"/>
      <c r="E69" s="5">
        <v>11.730243055555555</v>
      </c>
      <c r="F69" s="88"/>
      <c r="G69" s="96"/>
      <c r="H69" s="84">
        <v>91.695999999999998</v>
      </c>
      <c r="I69" s="92">
        <f t="shared" ref="I69" si="76">(H69+H71)/2</f>
        <v>91.6875</v>
      </c>
      <c r="J69" s="90">
        <f t="shared" ref="J69" si="77">I69/ABS(H71-H69)</f>
        <v>5393.3823529424753</v>
      </c>
      <c r="K69" s="84">
        <v>-1.6160000000000001</v>
      </c>
      <c r="L69" s="84">
        <v>1.3</v>
      </c>
    </row>
    <row r="70" spans="1:12" ht="15.75" thickBot="1" x14ac:dyDescent="0.3">
      <c r="A70" s="88"/>
      <c r="B70" s="88"/>
      <c r="C70" s="6">
        <v>15.480185185185185</v>
      </c>
      <c r="D70" s="88"/>
      <c r="E70" s="6">
        <v>19.230150462962964</v>
      </c>
      <c r="F70" s="88"/>
      <c r="G70" s="96"/>
      <c r="H70" s="84"/>
      <c r="I70" s="93"/>
      <c r="J70" s="90"/>
      <c r="K70" s="84"/>
      <c r="L70" s="84"/>
    </row>
    <row r="71" spans="1:12" x14ac:dyDescent="0.25">
      <c r="A71" s="88" t="s">
        <v>17</v>
      </c>
      <c r="B71" s="88" t="s">
        <v>0</v>
      </c>
      <c r="C71" s="4">
        <v>0</v>
      </c>
      <c r="D71" s="87">
        <f>(C73-C71+C74-C72)/2</f>
        <v>6.2006828703703718</v>
      </c>
      <c r="E71" s="4">
        <v>3.75</v>
      </c>
      <c r="F71" s="87">
        <f t="shared" ref="F71" si="78">(E73-E71+E74-E72)/2</f>
        <v>6.2007118055555557</v>
      </c>
      <c r="G71" s="95">
        <f t="shared" ref="G71" si="79">(D71+F71)/2</f>
        <v>6.2006973379629642</v>
      </c>
      <c r="H71" s="84">
        <v>91.679000000000002</v>
      </c>
      <c r="I71" s="93"/>
      <c r="J71" s="90"/>
      <c r="K71" s="84">
        <v>1.788</v>
      </c>
      <c r="L71" s="84">
        <v>1.6</v>
      </c>
    </row>
    <row r="72" spans="1:12" x14ac:dyDescent="0.25">
      <c r="A72" s="88"/>
      <c r="B72" s="88"/>
      <c r="C72" s="5">
        <v>7.4999074074074068</v>
      </c>
      <c r="D72" s="88"/>
      <c r="E72" s="5">
        <v>11.250069444444444</v>
      </c>
      <c r="F72" s="88"/>
      <c r="G72" s="96"/>
      <c r="H72" s="84"/>
      <c r="I72" s="94"/>
      <c r="J72" s="90"/>
      <c r="K72" s="84"/>
      <c r="L72" s="84"/>
    </row>
    <row r="73" spans="1:12" x14ac:dyDescent="0.25">
      <c r="A73" s="88"/>
      <c r="B73" s="88" t="s">
        <v>18</v>
      </c>
      <c r="C73" s="5">
        <v>6.2005787037037043</v>
      </c>
      <c r="D73" s="88"/>
      <c r="E73" s="5">
        <v>9.9507291666666671</v>
      </c>
      <c r="F73" s="88"/>
      <c r="G73" s="96"/>
      <c r="H73" s="84">
        <v>92.477000000000004</v>
      </c>
      <c r="I73" s="92">
        <f t="shared" ref="I73" si="80">(H73+H75)/2</f>
        <v>92.484499999999997</v>
      </c>
      <c r="J73" s="90">
        <f t="shared" ref="J73" si="81">I73/ABS(H75-H73)</f>
        <v>6165.6333333330995</v>
      </c>
      <c r="K73" s="84">
        <v>0.90200000000000002</v>
      </c>
      <c r="L73" s="84">
        <v>1.75</v>
      </c>
    </row>
    <row r="74" spans="1:12" ht="15.75" thickBot="1" x14ac:dyDescent="0.3">
      <c r="A74" s="88"/>
      <c r="B74" s="88"/>
      <c r="C74" s="6">
        <v>13.700694444444444</v>
      </c>
      <c r="D74" s="88"/>
      <c r="E74" s="6">
        <v>17.45076388888889</v>
      </c>
      <c r="F74" s="88"/>
      <c r="G74" s="96"/>
      <c r="H74" s="84"/>
      <c r="I74" s="93"/>
      <c r="J74" s="90"/>
      <c r="K74" s="84"/>
      <c r="L74" s="84"/>
    </row>
    <row r="75" spans="1:12" x14ac:dyDescent="0.25">
      <c r="A75" s="88" t="s">
        <v>18</v>
      </c>
      <c r="B75" s="88" t="s">
        <v>17</v>
      </c>
      <c r="C75" s="4">
        <v>0</v>
      </c>
      <c r="D75" s="87">
        <f>(C77-C75+C78-C76)/2</f>
        <v>4.6066724537037054</v>
      </c>
      <c r="E75" s="4">
        <v>3.75</v>
      </c>
      <c r="F75" s="87">
        <f t="shared" ref="F75" si="82">(E77-E75+E78-E76)/2</f>
        <v>4.6066666666666682</v>
      </c>
      <c r="G75" s="95">
        <f t="shared" ref="G75" si="83">(D75+F75)/2</f>
        <v>4.6066695601851873</v>
      </c>
      <c r="H75" s="84">
        <v>92.492000000000004</v>
      </c>
      <c r="I75" s="93"/>
      <c r="J75" s="90"/>
      <c r="K75" s="84">
        <v>1.5860000000000001</v>
      </c>
      <c r="L75" s="84">
        <v>1.6</v>
      </c>
    </row>
    <row r="76" spans="1:12" x14ac:dyDescent="0.25">
      <c r="A76" s="88"/>
      <c r="B76" s="88"/>
      <c r="C76" s="5">
        <v>7.5000115740740734</v>
      </c>
      <c r="D76" s="88"/>
      <c r="E76" s="5">
        <v>11.250023148148147</v>
      </c>
      <c r="F76" s="88"/>
      <c r="G76" s="96"/>
      <c r="H76" s="84"/>
      <c r="I76" s="94"/>
      <c r="J76" s="90"/>
      <c r="K76" s="84"/>
      <c r="L76" s="84"/>
    </row>
    <row r="77" spans="1:12" x14ac:dyDescent="0.25">
      <c r="A77" s="88"/>
      <c r="B77" s="88" t="s">
        <v>1</v>
      </c>
      <c r="C77" s="5">
        <v>4.6067129629629635</v>
      </c>
      <c r="D77" s="88"/>
      <c r="E77" s="5">
        <v>8.3566666666666674</v>
      </c>
      <c r="F77" s="88"/>
      <c r="G77" s="96"/>
      <c r="H77" s="84">
        <v>105.96599999999999</v>
      </c>
      <c r="I77" s="97">
        <f>I3</f>
        <v>105.9735</v>
      </c>
      <c r="J77" s="90">
        <f>J3</f>
        <v>7064.8999999997322</v>
      </c>
      <c r="K77" s="84">
        <v>-3.3639999999999999</v>
      </c>
      <c r="L77" s="84">
        <v>1.65</v>
      </c>
    </row>
    <row r="78" spans="1:12" ht="15.75" thickBot="1" x14ac:dyDescent="0.3">
      <c r="A78" s="88"/>
      <c r="B78" s="88"/>
      <c r="C78" s="6">
        <v>12.106643518518519</v>
      </c>
      <c r="D78" s="88"/>
      <c r="E78" s="6">
        <v>15.856689814814814</v>
      </c>
      <c r="F78" s="88"/>
      <c r="G78" s="96"/>
      <c r="H78" s="84"/>
      <c r="I78" s="98"/>
      <c r="J78" s="90"/>
      <c r="K78" s="84"/>
      <c r="L78" s="84"/>
    </row>
  </sheetData>
  <mergeCells count="269">
    <mergeCell ref="I3:I4"/>
    <mergeCell ref="I77:I78"/>
    <mergeCell ref="I29:I32"/>
    <mergeCell ref="I33:I36"/>
    <mergeCell ref="I37:I40"/>
    <mergeCell ref="I41:I44"/>
    <mergeCell ref="I45:I48"/>
    <mergeCell ref="I49:I52"/>
    <mergeCell ref="I53:I56"/>
    <mergeCell ref="I57:I60"/>
    <mergeCell ref="I61:I64"/>
    <mergeCell ref="I25:I28"/>
    <mergeCell ref="A19:A22"/>
    <mergeCell ref="A67:A70"/>
    <mergeCell ref="A71:A74"/>
    <mergeCell ref="A75:A78"/>
    <mergeCell ref="A51:A54"/>
    <mergeCell ref="A55:A58"/>
    <mergeCell ref="A59:A62"/>
    <mergeCell ref="B73:B74"/>
    <mergeCell ref="B75:B76"/>
    <mergeCell ref="B77:B78"/>
    <mergeCell ref="B51:B52"/>
    <mergeCell ref="B53:B54"/>
    <mergeCell ref="B55:B56"/>
    <mergeCell ref="A23:A26"/>
    <mergeCell ref="A27:A30"/>
    <mergeCell ref="A31:A34"/>
    <mergeCell ref="A63:A66"/>
    <mergeCell ref="A35:A38"/>
    <mergeCell ref="A39:A42"/>
    <mergeCell ref="A43:A46"/>
    <mergeCell ref="A47:A50"/>
    <mergeCell ref="B57:B58"/>
    <mergeCell ref="B59:B60"/>
    <mergeCell ref="B61:B62"/>
    <mergeCell ref="B63:B64"/>
    <mergeCell ref="B65:B66"/>
    <mergeCell ref="B35:B36"/>
    <mergeCell ref="B67:B68"/>
    <mergeCell ref="B69:B70"/>
    <mergeCell ref="B71:B72"/>
    <mergeCell ref="B29:B30"/>
    <mergeCell ref="B31:B32"/>
    <mergeCell ref="B33:B34"/>
    <mergeCell ref="B49:B50"/>
    <mergeCell ref="B45:B46"/>
    <mergeCell ref="B47:B48"/>
    <mergeCell ref="B19:B20"/>
    <mergeCell ref="B21:B22"/>
    <mergeCell ref="B23:B24"/>
    <mergeCell ref="B25:B26"/>
    <mergeCell ref="B27:B28"/>
    <mergeCell ref="B37:B38"/>
    <mergeCell ref="B39:B40"/>
    <mergeCell ref="B41:B42"/>
    <mergeCell ref="B43:B44"/>
    <mergeCell ref="D71:D74"/>
    <mergeCell ref="D75:D78"/>
    <mergeCell ref="F3:F6"/>
    <mergeCell ref="F7:F10"/>
    <mergeCell ref="F11:F14"/>
    <mergeCell ref="F15:F18"/>
    <mergeCell ref="F19:F22"/>
    <mergeCell ref="F23:F26"/>
    <mergeCell ref="F27:F30"/>
    <mergeCell ref="F31:F34"/>
    <mergeCell ref="D47:D50"/>
    <mergeCell ref="D51:D54"/>
    <mergeCell ref="D55:D58"/>
    <mergeCell ref="D59:D62"/>
    <mergeCell ref="D63:D66"/>
    <mergeCell ref="D23:D26"/>
    <mergeCell ref="D27:D30"/>
    <mergeCell ref="D31:D34"/>
    <mergeCell ref="D35:D38"/>
    <mergeCell ref="D39:D42"/>
    <mergeCell ref="D43:D46"/>
    <mergeCell ref="D67:D70"/>
    <mergeCell ref="F59:F62"/>
    <mergeCell ref="F63:F66"/>
    <mergeCell ref="F67:F70"/>
    <mergeCell ref="F71:F74"/>
    <mergeCell ref="F75:F78"/>
    <mergeCell ref="G3:G6"/>
    <mergeCell ref="G7:G10"/>
    <mergeCell ref="G11:G14"/>
    <mergeCell ref="G15:G18"/>
    <mergeCell ref="G19:G22"/>
    <mergeCell ref="F35:F38"/>
    <mergeCell ref="F39:F42"/>
    <mergeCell ref="F43:F46"/>
    <mergeCell ref="F47:F50"/>
    <mergeCell ref="F51:F54"/>
    <mergeCell ref="F55:F58"/>
    <mergeCell ref="G71:G74"/>
    <mergeCell ref="G75:G78"/>
    <mergeCell ref="G67:G70"/>
    <mergeCell ref="G47:G50"/>
    <mergeCell ref="G51:G54"/>
    <mergeCell ref="G55:G58"/>
    <mergeCell ref="G59:G62"/>
    <mergeCell ref="G63:G66"/>
    <mergeCell ref="G23:G26"/>
    <mergeCell ref="G27:G30"/>
    <mergeCell ref="G31:G34"/>
    <mergeCell ref="G35:G38"/>
    <mergeCell ref="G39:G42"/>
    <mergeCell ref="G43:G46"/>
    <mergeCell ref="H51:H52"/>
    <mergeCell ref="H37:H38"/>
    <mergeCell ref="H39:H40"/>
    <mergeCell ref="H41:H42"/>
    <mergeCell ref="H43:H44"/>
    <mergeCell ref="H47:H48"/>
    <mergeCell ref="H49:H50"/>
    <mergeCell ref="H7:H8"/>
    <mergeCell ref="K7:K8"/>
    <mergeCell ref="H9:H10"/>
    <mergeCell ref="K9:K10"/>
    <mergeCell ref="I5:I8"/>
    <mergeCell ref="I9:I12"/>
    <mergeCell ref="I13:I16"/>
    <mergeCell ref="I17:I20"/>
    <mergeCell ref="I21:I24"/>
    <mergeCell ref="H19:H20"/>
    <mergeCell ref="H21:H22"/>
    <mergeCell ref="K29:K30"/>
    <mergeCell ref="K45:K46"/>
    <mergeCell ref="K19:K20"/>
    <mergeCell ref="K35:K36"/>
    <mergeCell ref="K21:K22"/>
    <mergeCell ref="K37:K38"/>
    <mergeCell ref="K23:K24"/>
    <mergeCell ref="K39:K40"/>
    <mergeCell ref="K51:K52"/>
    <mergeCell ref="L7:L8"/>
    <mergeCell ref="L9:L10"/>
    <mergeCell ref="L11:L12"/>
    <mergeCell ref="L13:L14"/>
    <mergeCell ref="L15:L16"/>
    <mergeCell ref="L17:L18"/>
    <mergeCell ref="H71:H72"/>
    <mergeCell ref="K71:K72"/>
    <mergeCell ref="H73:H74"/>
    <mergeCell ref="K73:K74"/>
    <mergeCell ref="H65:H66"/>
    <mergeCell ref="K65:K66"/>
    <mergeCell ref="H59:H60"/>
    <mergeCell ref="H61:H62"/>
    <mergeCell ref="H63:H64"/>
    <mergeCell ref="H57:H58"/>
    <mergeCell ref="K47:K48"/>
    <mergeCell ref="L67:L68"/>
    <mergeCell ref="L69:L70"/>
    <mergeCell ref="L71:L72"/>
    <mergeCell ref="K25:K26"/>
    <mergeCell ref="K15:K16"/>
    <mergeCell ref="K55:K56"/>
    <mergeCell ref="J53:J56"/>
    <mergeCell ref="L51:L52"/>
    <mergeCell ref="L53:L54"/>
    <mergeCell ref="L31:L32"/>
    <mergeCell ref="L33:L34"/>
    <mergeCell ref="L35:L36"/>
    <mergeCell ref="L37:L38"/>
    <mergeCell ref="L39:L40"/>
    <mergeCell ref="L41:L42"/>
    <mergeCell ref="H77:H78"/>
    <mergeCell ref="K77:K78"/>
    <mergeCell ref="H75:H76"/>
    <mergeCell ref="K75:K76"/>
    <mergeCell ref="K41:K42"/>
    <mergeCell ref="K43:K44"/>
    <mergeCell ref="K53:K54"/>
    <mergeCell ref="J49:J52"/>
    <mergeCell ref="L77:L78"/>
    <mergeCell ref="L55:L56"/>
    <mergeCell ref="L57:L58"/>
    <mergeCell ref="L59:L60"/>
    <mergeCell ref="L61:L62"/>
    <mergeCell ref="L63:L64"/>
    <mergeCell ref="L65:L66"/>
    <mergeCell ref="K69:K70"/>
    <mergeCell ref="H69:H70"/>
    <mergeCell ref="K67:K68"/>
    <mergeCell ref="H67:H68"/>
    <mergeCell ref="K59:K60"/>
    <mergeCell ref="K61:K62"/>
    <mergeCell ref="K63:K64"/>
    <mergeCell ref="K57:K58"/>
    <mergeCell ref="J57:J60"/>
    <mergeCell ref="I65:I68"/>
    <mergeCell ref="I69:I72"/>
    <mergeCell ref="I73:I76"/>
    <mergeCell ref="L73:L74"/>
    <mergeCell ref="L75:L76"/>
    <mergeCell ref="H3:H4"/>
    <mergeCell ref="K3:K4"/>
    <mergeCell ref="H35:H36"/>
    <mergeCell ref="A11:A14"/>
    <mergeCell ref="B11:B12"/>
    <mergeCell ref="B13:B14"/>
    <mergeCell ref="A15:A18"/>
    <mergeCell ref="B15:B16"/>
    <mergeCell ref="B17:B18"/>
    <mergeCell ref="A3:A6"/>
    <mergeCell ref="B3:B4"/>
    <mergeCell ref="B5:B6"/>
    <mergeCell ref="A7:A10"/>
    <mergeCell ref="B7:B8"/>
    <mergeCell ref="B9:B10"/>
    <mergeCell ref="H17:H18"/>
    <mergeCell ref="K17:K18"/>
    <mergeCell ref="K31:K32"/>
    <mergeCell ref="H11:H12"/>
    <mergeCell ref="K11:K12"/>
    <mergeCell ref="H13:H14"/>
    <mergeCell ref="K13:K14"/>
    <mergeCell ref="H15:H16"/>
    <mergeCell ref="K27:K28"/>
    <mergeCell ref="H55:H56"/>
    <mergeCell ref="L3:L4"/>
    <mergeCell ref="H5:H6"/>
    <mergeCell ref="K5:K6"/>
    <mergeCell ref="L5:L6"/>
    <mergeCell ref="J3:J4"/>
    <mergeCell ref="L43:L44"/>
    <mergeCell ref="L45:L46"/>
    <mergeCell ref="L47:L48"/>
    <mergeCell ref="L49:L50"/>
    <mergeCell ref="L21:L22"/>
    <mergeCell ref="L23:L24"/>
    <mergeCell ref="L25:L26"/>
    <mergeCell ref="L27:L28"/>
    <mergeCell ref="L29:L30"/>
    <mergeCell ref="K33:K34"/>
    <mergeCell ref="K49:K50"/>
    <mergeCell ref="H29:H30"/>
    <mergeCell ref="H31:H32"/>
    <mergeCell ref="H33:H34"/>
    <mergeCell ref="H23:H24"/>
    <mergeCell ref="H25:H26"/>
    <mergeCell ref="H45:H46"/>
    <mergeCell ref="H27:H28"/>
    <mergeCell ref="L19:L20"/>
    <mergeCell ref="D3:D6"/>
    <mergeCell ref="D7:D10"/>
    <mergeCell ref="D11:D14"/>
    <mergeCell ref="D15:D18"/>
    <mergeCell ref="D19:D22"/>
    <mergeCell ref="A1:L1"/>
    <mergeCell ref="J77:J78"/>
    <mergeCell ref="J5:J8"/>
    <mergeCell ref="J9:J12"/>
    <mergeCell ref="J13:J16"/>
    <mergeCell ref="J17:J20"/>
    <mergeCell ref="J21:J24"/>
    <mergeCell ref="J25:J28"/>
    <mergeCell ref="J29:J32"/>
    <mergeCell ref="J33:J36"/>
    <mergeCell ref="J37:J40"/>
    <mergeCell ref="J61:J64"/>
    <mergeCell ref="J65:J68"/>
    <mergeCell ref="J69:J72"/>
    <mergeCell ref="J73:J76"/>
    <mergeCell ref="J41:J44"/>
    <mergeCell ref="J45:J48"/>
    <mergeCell ref="H53:H54"/>
  </mergeCells>
  <conditionalFormatting sqref="J3:J78">
    <cfRule type="cellIs" dxfId="0" priority="1" operator="lessThan">
      <formula>5000</formula>
    </cfRule>
  </conditionalFormatting>
  <pageMargins left="0.7" right="0.7" top="0.75" bottom="0.75" header="0.3" footer="0.3"/>
  <pageSetup paperSize="8" scale="91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sheetPr>
    <pageSetUpPr fitToPage="1"/>
  </sheetPr>
  <dimension ref="A1:W30"/>
  <sheetViews>
    <sheetView zoomScale="85" zoomScaleNormal="85" workbookViewId="0">
      <selection activeCell="O17" sqref="O17"/>
    </sheetView>
  </sheetViews>
  <sheetFormatPr defaultRowHeight="15" x14ac:dyDescent="0.25"/>
  <cols>
    <col min="1" max="1" width="7.28515625" bestFit="1" customWidth="1"/>
    <col min="2" max="2" width="4.85546875" bestFit="1" customWidth="1"/>
    <col min="3" max="3" width="8.85546875" bestFit="1" customWidth="1"/>
    <col min="4" max="4" width="16.140625" bestFit="1" customWidth="1"/>
    <col min="5" max="5" width="10.28515625" bestFit="1" customWidth="1"/>
    <col min="6" max="6" width="16" bestFit="1" customWidth="1"/>
    <col min="7" max="9" width="10.42578125" bestFit="1" customWidth="1"/>
    <col min="10" max="10" width="5.85546875" bestFit="1" customWidth="1"/>
    <col min="11" max="11" width="6.85546875" bestFit="1" customWidth="1"/>
    <col min="12" max="12" width="5.85546875" bestFit="1" customWidth="1"/>
    <col min="13" max="13" width="8.42578125" style="8" bestFit="1" customWidth="1"/>
    <col min="14" max="14" width="10" bestFit="1" customWidth="1"/>
    <col min="15" max="15" width="8.28515625" bestFit="1" customWidth="1"/>
    <col min="16" max="16" width="10" bestFit="1" customWidth="1"/>
    <col min="17" max="17" width="8.85546875" style="12" bestFit="1" customWidth="1"/>
    <col min="18" max="18" width="10" style="12" customWidth="1"/>
    <col min="19" max="19" width="12.42578125" bestFit="1" customWidth="1"/>
    <col min="20" max="20" width="11.42578125" bestFit="1" customWidth="1"/>
    <col min="21" max="21" width="9" customWidth="1"/>
    <col min="22" max="22" width="10.42578125" bestFit="1" customWidth="1"/>
  </cols>
  <sheetData>
    <row r="1" spans="1:23" x14ac:dyDescent="0.25">
      <c r="A1" s="102" t="s">
        <v>44</v>
      </c>
      <c r="B1" s="102"/>
      <c r="C1" s="102"/>
      <c r="D1" s="19">
        <v>6.8352546296296302</v>
      </c>
      <c r="E1" s="19"/>
      <c r="F1" s="19">
        <v>7.5</v>
      </c>
      <c r="G1" s="19">
        <v>15</v>
      </c>
    </row>
    <row r="2" spans="1:23" ht="32.25" customHeight="1" x14ac:dyDescent="0.25">
      <c r="A2" s="68"/>
      <c r="B2" s="68"/>
      <c r="C2" s="68"/>
      <c r="D2" s="14"/>
      <c r="E2" s="14"/>
      <c r="F2" s="14"/>
      <c r="G2" s="14"/>
    </row>
    <row r="3" spans="1:23" ht="92.25" x14ac:dyDescent="1.35">
      <c r="A3" s="103" t="s">
        <v>59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3" ht="50.25" customHeight="1" x14ac:dyDescent="1.35">
      <c r="A4" s="67"/>
      <c r="B4" s="67"/>
      <c r="C4" s="67"/>
      <c r="D4" s="67"/>
      <c r="E4" s="67"/>
      <c r="F4" s="76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3" ht="42" customHeight="1" x14ac:dyDescent="0.25">
      <c r="A5" s="99" t="s">
        <v>30</v>
      </c>
      <c r="B5" s="99" t="s">
        <v>31</v>
      </c>
      <c r="C5" s="99" t="s">
        <v>32</v>
      </c>
      <c r="D5" s="99" t="s">
        <v>33</v>
      </c>
      <c r="E5" s="99" t="s">
        <v>34</v>
      </c>
      <c r="F5" s="104" t="s">
        <v>35</v>
      </c>
      <c r="G5" s="99" t="s">
        <v>36</v>
      </c>
      <c r="H5" s="99"/>
      <c r="I5" s="99" t="s">
        <v>58</v>
      </c>
      <c r="J5" s="100" t="s">
        <v>57</v>
      </c>
      <c r="K5" s="100"/>
      <c r="L5" s="100"/>
      <c r="M5" s="99" t="s">
        <v>37</v>
      </c>
      <c r="N5" s="99"/>
      <c r="O5" s="99" t="s">
        <v>34</v>
      </c>
      <c r="P5" s="99"/>
      <c r="Q5" s="99" t="s">
        <v>38</v>
      </c>
      <c r="R5" s="99"/>
      <c r="S5" s="99" t="s">
        <v>39</v>
      </c>
      <c r="T5" s="99"/>
      <c r="U5" s="99" t="s">
        <v>40</v>
      </c>
      <c r="V5" s="99" t="s">
        <v>41</v>
      </c>
      <c r="W5" s="7"/>
    </row>
    <row r="6" spans="1:23" x14ac:dyDescent="0.25">
      <c r="A6" s="99"/>
      <c r="B6" s="99"/>
      <c r="C6" s="99"/>
      <c r="D6" s="99"/>
      <c r="E6" s="99"/>
      <c r="F6" s="101"/>
      <c r="G6" s="99"/>
      <c r="H6" s="101"/>
      <c r="I6" s="99"/>
      <c r="J6" s="100"/>
      <c r="K6" s="100"/>
      <c r="L6" s="100"/>
      <c r="M6" s="59" t="s">
        <v>42</v>
      </c>
      <c r="N6" s="60" t="s">
        <v>43</v>
      </c>
      <c r="O6" s="60" t="s">
        <v>42</v>
      </c>
      <c r="P6" s="60" t="s">
        <v>43</v>
      </c>
      <c r="Q6" s="61" t="s">
        <v>42</v>
      </c>
      <c r="R6" s="61" t="s">
        <v>43</v>
      </c>
      <c r="S6" s="62" t="s">
        <v>45</v>
      </c>
      <c r="T6" s="62" t="s">
        <v>46</v>
      </c>
      <c r="U6" s="101"/>
      <c r="V6" s="99"/>
    </row>
    <row r="7" spans="1:23" ht="15.75" thickBot="1" x14ac:dyDescent="0.3">
      <c r="A7" s="70"/>
      <c r="B7" s="74" t="s">
        <v>16</v>
      </c>
      <c r="C7" s="70"/>
      <c r="D7" s="70"/>
      <c r="E7" s="72"/>
      <c r="F7" s="75"/>
      <c r="G7" s="72"/>
      <c r="H7" s="75"/>
      <c r="I7" s="70"/>
      <c r="J7" s="71"/>
      <c r="K7" s="71"/>
      <c r="L7" s="71"/>
      <c r="M7" s="59"/>
      <c r="N7" s="60"/>
      <c r="O7" s="60"/>
      <c r="P7" s="60"/>
      <c r="Q7" s="61"/>
      <c r="R7" s="73"/>
      <c r="S7" s="80">
        <v>3063184.895</v>
      </c>
      <c r="T7" s="80">
        <v>626844.92099999997</v>
      </c>
      <c r="U7" s="79"/>
      <c r="V7" s="77"/>
      <c r="W7" s="78"/>
    </row>
    <row r="8" spans="1:23" ht="15.75" thickBot="1" x14ac:dyDescent="0.3">
      <c r="A8" s="48" t="s">
        <v>16</v>
      </c>
      <c r="B8" s="48" t="str">
        <f>A9</f>
        <v>CP2</v>
      </c>
      <c r="C8" s="49">
        <v>126.73099999999999</v>
      </c>
      <c r="D8" s="50">
        <f>'HCR Distance Observation'!G63</f>
        <v>4.7881365740740742</v>
      </c>
      <c r="E8" s="51">
        <v>3.4722222222222222E-5</v>
      </c>
      <c r="F8" s="52">
        <f>D8+E8</f>
        <v>4.7881712962962961</v>
      </c>
      <c r="G8" s="53">
        <f>D1</f>
        <v>6.8352546296296302</v>
      </c>
      <c r="H8" s="52">
        <f>IF(G8&gt;$G$1,G8-$G$1,G8)</f>
        <v>6.8352546296296302</v>
      </c>
      <c r="I8" s="54">
        <f>IF(H8&lt;$F$1,H8+$F$1,H8-$F$1)</f>
        <v>14.335254629629631</v>
      </c>
      <c r="J8" s="55">
        <f>H8</f>
        <v>6.8352546296296302</v>
      </c>
      <c r="K8" s="55">
        <f>J8*24</f>
        <v>164.04611111111112</v>
      </c>
      <c r="L8" s="49">
        <f>RADIANS(K8)</f>
        <v>2.8631447639813423</v>
      </c>
      <c r="M8" s="49">
        <f>C8*COS(L8)</f>
        <v>-121.84972932003599</v>
      </c>
      <c r="N8" s="49">
        <f>C8*SIN(L8)</f>
        <v>34.833745501079299</v>
      </c>
      <c r="O8" s="49">
        <v>0</v>
      </c>
      <c r="P8" s="49">
        <v>0</v>
      </c>
      <c r="Q8" s="49">
        <f>M8</f>
        <v>-121.84972932003599</v>
      </c>
      <c r="R8" s="56">
        <f>N8</f>
        <v>34.833745501079299</v>
      </c>
      <c r="S8" s="57">
        <f>3063063.045</f>
        <v>3063063.0449999999</v>
      </c>
      <c r="T8" s="57">
        <v>626879.755</v>
      </c>
      <c r="U8" s="57">
        <f>SQRT((Q8^2+R8^2))</f>
        <v>126.73099999999999</v>
      </c>
      <c r="V8" s="58">
        <f>H8</f>
        <v>6.8352546296296302</v>
      </c>
    </row>
    <row r="9" spans="1:23" ht="15.75" thickBot="1" x14ac:dyDescent="0.3">
      <c r="A9" s="48" t="s">
        <v>0</v>
      </c>
      <c r="B9" s="48" t="str">
        <f>A10</f>
        <v>M1</v>
      </c>
      <c r="C9" s="49">
        <f>'HCR Distance Observation'!I69</f>
        <v>91.6875</v>
      </c>
      <c r="D9" s="50">
        <f>'HCR Distance Observation'!G67</f>
        <v>7.9802922453703697</v>
      </c>
      <c r="E9" s="51">
        <v>2.3148148148148147E-5</v>
      </c>
      <c r="F9" s="52">
        <f>D9+E9</f>
        <v>7.9803153935185183</v>
      </c>
      <c r="G9" s="53">
        <f>I8+F9</f>
        <v>22.315570023148148</v>
      </c>
      <c r="H9" s="52">
        <f>IF(G9&gt;$G$1,G9-$G$1,G9)</f>
        <v>7.3155700231481475</v>
      </c>
      <c r="I9" s="54">
        <f>IF(H9&lt;$F$1,H9+$F$1,H9-$F$1)</f>
        <v>14.815570023148148</v>
      </c>
      <c r="J9" s="55">
        <f>H9</f>
        <v>7.3155700231481475</v>
      </c>
      <c r="K9" s="55">
        <f>J9*24</f>
        <v>175.57368055555554</v>
      </c>
      <c r="L9" s="49">
        <f>RADIANS(K9)</f>
        <v>3.0643388055391911</v>
      </c>
      <c r="M9" s="49">
        <f>C9*COS(L9)</f>
        <v>-91.414033349015696</v>
      </c>
      <c r="N9" s="49">
        <f>C9*SIN(L9)</f>
        <v>7.0761686748582164</v>
      </c>
      <c r="O9" s="49">
        <f t="shared" ref="O9:O26" si="0">-$C9/$C$27*M$27</f>
        <v>6.3942047743406304E-3</v>
      </c>
      <c r="P9" s="49">
        <f t="shared" ref="P9:P26" si="1">-$C9/$C$27*N$27</f>
        <v>-5.0634518025758461E-3</v>
      </c>
      <c r="Q9" s="49">
        <f t="shared" ref="Q9:Q26" si="2">M9-C9/$C$27*$M$27</f>
        <v>-91.407639144241358</v>
      </c>
      <c r="R9" s="56">
        <f t="shared" ref="R9:R27" si="3">N9-C9/$C$27*$N$27</f>
        <v>7.0711052230556408</v>
      </c>
      <c r="S9" s="57">
        <f>S8+Q9</f>
        <v>3062971.6373608555</v>
      </c>
      <c r="T9" s="57">
        <f>T8+R9</f>
        <v>626886.82610522304</v>
      </c>
      <c r="U9" s="57">
        <f>SQRT((Q9^2+R9^2))</f>
        <v>91.68073419753668</v>
      </c>
      <c r="V9" s="58">
        <v>7.3156944444444436</v>
      </c>
    </row>
    <row r="10" spans="1:23" ht="15.75" thickBot="1" x14ac:dyDescent="0.3">
      <c r="A10" s="21" t="s">
        <v>17</v>
      </c>
      <c r="B10" s="21" t="str">
        <f>A11</f>
        <v>M2</v>
      </c>
      <c r="C10" s="20">
        <f>'HCR Distance Observation'!I73</f>
        <v>92.484499999999997</v>
      </c>
      <c r="D10" s="23">
        <f>'HCR Distance Observation'!G71</f>
        <v>6.2006973379629642</v>
      </c>
      <c r="E10" s="40">
        <v>3.4722222222222222E-5</v>
      </c>
      <c r="F10" s="42">
        <f>D10+E10</f>
        <v>6.2007320601851861</v>
      </c>
      <c r="G10" s="44">
        <f t="shared" ref="G10:G11" si="4">I9+F10</f>
        <v>21.016302083333333</v>
      </c>
      <c r="H10" s="42">
        <f>IF(G10&gt;$G$1,G10-$G$1,G10)</f>
        <v>6.0163020833333327</v>
      </c>
      <c r="I10" s="41">
        <f>IF(H10&lt;$F$1,H10+$F$1,H10-$F$1)</f>
        <v>13.516302083333333</v>
      </c>
      <c r="J10" s="24">
        <f>H10</f>
        <v>6.0163020833333327</v>
      </c>
      <c r="K10" s="24">
        <f>J10*24</f>
        <v>144.39124999999999</v>
      </c>
      <c r="L10" s="20">
        <f>RADIANS(K10)</f>
        <v>2.520102723570262</v>
      </c>
      <c r="M10" s="20">
        <f>C10*COS(L10)</f>
        <v>-75.190994616489562</v>
      </c>
      <c r="N10" s="20">
        <f>C10*SIN(L10)</f>
        <v>53.848835352614984</v>
      </c>
      <c r="O10" s="20">
        <f t="shared" si="0"/>
        <v>6.4497868461077679E-3</v>
      </c>
      <c r="P10" s="20">
        <f t="shared" si="1"/>
        <v>-5.1074662111555641E-3</v>
      </c>
      <c r="Q10" s="25">
        <f t="shared" si="2"/>
        <v>-75.184544829643457</v>
      </c>
      <c r="R10" s="26">
        <f t="shared" si="3"/>
        <v>53.843727886403826</v>
      </c>
      <c r="S10" s="28">
        <f t="shared" ref="S10:T11" si="5">S9+Q10</f>
        <v>3062896.4528160258</v>
      </c>
      <c r="T10" s="28">
        <f t="shared" si="5"/>
        <v>626940.66983310948</v>
      </c>
      <c r="U10" s="28">
        <f>SQRT((Q10^2+R10^2))</f>
        <v>92.47628244012499</v>
      </c>
      <c r="V10" s="29">
        <v>6.0163078703703698</v>
      </c>
    </row>
    <row r="11" spans="1:23" ht="15.75" thickBot="1" x14ac:dyDescent="0.3">
      <c r="A11" s="21" t="s">
        <v>18</v>
      </c>
      <c r="B11" s="21" t="s">
        <v>1</v>
      </c>
      <c r="C11" s="32">
        <f>'HCR Distance Observation'!I77</f>
        <v>105.9735</v>
      </c>
      <c r="D11" s="38">
        <f>'HCR Distance Observation'!G75</f>
        <v>4.6066695601851873</v>
      </c>
      <c r="E11" s="43">
        <v>3.4722222222222222E-5</v>
      </c>
      <c r="F11" s="42">
        <f>D11+E11</f>
        <v>4.6067042824074091</v>
      </c>
      <c r="G11" s="44">
        <f t="shared" si="4"/>
        <v>18.123006365740743</v>
      </c>
      <c r="H11" s="42">
        <f>IF(G11&gt;$G$1,G11-$G$1,G11)</f>
        <v>3.1230063657407428</v>
      </c>
      <c r="I11" s="41">
        <f>IF(H11&lt;$F$1,H11+$F$1,H11-$F$1)</f>
        <v>10.623006365740743</v>
      </c>
      <c r="J11" s="24">
        <f>H11</f>
        <v>3.1230063657407428</v>
      </c>
      <c r="K11" s="24">
        <f>J11*24</f>
        <v>74.952152777777826</v>
      </c>
      <c r="L11" s="20">
        <f>RADIANS(K11)</f>
        <v>1.3081618474300367</v>
      </c>
      <c r="M11" s="32">
        <f>C11*COS(L11)</f>
        <v>27.513432596669944</v>
      </c>
      <c r="N11" s="32">
        <f>C11*SIN(L11)</f>
        <v>102.33960000409665</v>
      </c>
      <c r="O11" s="32">
        <f t="shared" si="0"/>
        <v>7.3904977194665213E-3</v>
      </c>
      <c r="P11" s="32">
        <f t="shared" si="1"/>
        <v>-5.852397650718706E-3</v>
      </c>
      <c r="Q11" s="33">
        <f t="shared" si="2"/>
        <v>27.52082309438941</v>
      </c>
      <c r="R11" s="34">
        <f t="shared" si="3"/>
        <v>102.33374760644594</v>
      </c>
      <c r="S11" s="28">
        <f t="shared" si="5"/>
        <v>3062923.9736391203</v>
      </c>
      <c r="T11" s="28">
        <f t="shared" si="5"/>
        <v>627043.00358071597</v>
      </c>
      <c r="U11" s="28">
        <f>SQRT((Q11^2+R11^2))</f>
        <v>105.96976740076605</v>
      </c>
      <c r="V11" s="29">
        <v>3.1228125000000002</v>
      </c>
    </row>
    <row r="12" spans="1:23" ht="15.75" thickBot="1" x14ac:dyDescent="0.3">
      <c r="A12" s="21" t="s">
        <v>1</v>
      </c>
      <c r="B12" s="21" t="s">
        <v>2</v>
      </c>
      <c r="C12" s="20">
        <f>'HCR Distance Observation'!I5</f>
        <v>113.545</v>
      </c>
      <c r="D12" s="23">
        <f>'HCR Distance Observation'!G3</f>
        <v>8.3938136574074083</v>
      </c>
      <c r="E12" s="40">
        <v>2.3148148148148147E-5</v>
      </c>
      <c r="F12" s="42">
        <f>D12+E12</f>
        <v>8.3938368055555568</v>
      </c>
      <c r="G12" s="44">
        <f>I11+F12</f>
        <v>19.016843171296301</v>
      </c>
      <c r="H12" s="42">
        <f>IF(G12&gt;$G$1,G12-$G$1,G12)</f>
        <v>4.0168431712963013</v>
      </c>
      <c r="I12" s="41">
        <f>IF(H12&lt;$F$1,H12+$F$1,H12-$F$1)</f>
        <v>11.516843171296301</v>
      </c>
      <c r="J12" s="24">
        <f>H12</f>
        <v>4.0168431712963013</v>
      </c>
      <c r="K12" s="24">
        <f>J12*24</f>
        <v>96.404236111111231</v>
      </c>
      <c r="L12" s="20">
        <f>RADIANS(K12)</f>
        <v>1.6825713330089049</v>
      </c>
      <c r="M12" s="20">
        <f t="shared" ref="M12:M26" si="6">C12*COS(L12)</f>
        <v>-12.665082401246309</v>
      </c>
      <c r="N12" s="20">
        <f t="shared" ref="N12:N26" si="7">C12*SIN(L12)</f>
        <v>112.83644230819067</v>
      </c>
      <c r="O12" s="20">
        <f t="shared" si="0"/>
        <v>7.9185274012543352E-3</v>
      </c>
      <c r="P12" s="20">
        <f t="shared" si="1"/>
        <v>-6.2705345322260327E-3</v>
      </c>
      <c r="Q12" s="25">
        <f t="shared" si="2"/>
        <v>-12.657163873845054</v>
      </c>
      <c r="R12" s="26">
        <f t="shared" si="3"/>
        <v>112.83017177365845</v>
      </c>
      <c r="S12" s="28">
        <f>S11+Q12</f>
        <v>3062911.3164752466</v>
      </c>
      <c r="T12" s="28">
        <f>T11+R12</f>
        <v>627155.83375248965</v>
      </c>
      <c r="U12" s="28">
        <f>SQRT((Q12^2+R12^2))</f>
        <v>113.53788557042375</v>
      </c>
      <c r="V12" s="29">
        <v>4.0166898148148151</v>
      </c>
    </row>
    <row r="13" spans="1:23" ht="15.75" thickBot="1" x14ac:dyDescent="0.3">
      <c r="A13" s="21" t="s">
        <v>2</v>
      </c>
      <c r="B13" s="21" t="str">
        <f>A14</f>
        <v>M5</v>
      </c>
      <c r="C13" s="20">
        <f>'HCR Distance Observation'!I9</f>
        <v>121.381</v>
      </c>
      <c r="D13" s="23">
        <f>'HCR Distance Observation'!G7</f>
        <v>6.58834201388889</v>
      </c>
      <c r="E13" s="40">
        <v>2.3148148148148147E-5</v>
      </c>
      <c r="F13" s="42">
        <f t="shared" ref="F13:F26" si="8">D13+E13</f>
        <v>6.5883651620370385</v>
      </c>
      <c r="G13" s="44">
        <f>I12+F13</f>
        <v>18.105208333333341</v>
      </c>
      <c r="H13" s="42">
        <f t="shared" ref="H13:H26" si="9">IF(G13&gt;$G$1,G13-$G$1,G13)</f>
        <v>3.1052083333333407</v>
      </c>
      <c r="I13" s="41">
        <f t="shared" ref="I13:I26" si="10">IF(H13&lt;$F$1,H13+$F$1,H13-$F$1)</f>
        <v>10.605208333333341</v>
      </c>
      <c r="J13" s="24">
        <f t="shared" ref="J13:J26" si="11">H13</f>
        <v>3.1052083333333407</v>
      </c>
      <c r="K13" s="24">
        <f t="shared" ref="K13:K26" si="12">J13*24</f>
        <v>74.525000000000176</v>
      </c>
      <c r="L13" s="20">
        <f t="shared" ref="L13:L26" si="13">RADIANS(K13)</f>
        <v>1.3007066250487771</v>
      </c>
      <c r="M13" s="20">
        <f t="shared" si="6"/>
        <v>32.38662200844729</v>
      </c>
      <c r="N13" s="20">
        <f t="shared" si="7"/>
        <v>116.98057050588341</v>
      </c>
      <c r="O13" s="20">
        <f t="shared" si="0"/>
        <v>8.4650030780012552E-3</v>
      </c>
      <c r="P13" s="20">
        <f t="shared" si="1"/>
        <v>-6.7032784539709208E-3</v>
      </c>
      <c r="Q13" s="25">
        <f t="shared" si="2"/>
        <v>32.395087011525291</v>
      </c>
      <c r="R13" s="26">
        <f t="shared" si="3"/>
        <v>116.97386722742944</v>
      </c>
      <c r="S13" s="28">
        <f>S12+Q13</f>
        <v>3062943.7115622582</v>
      </c>
      <c r="T13" s="28">
        <f>T12+R13</f>
        <v>627272.80761971709</v>
      </c>
      <c r="U13" s="28">
        <f t="shared" ref="U13:U26" si="14">SQRT((Q13^2+R13^2))</f>
        <v>121.37679875752443</v>
      </c>
      <c r="V13" s="29">
        <v>3.1050115740740742</v>
      </c>
    </row>
    <row r="14" spans="1:23" ht="15.75" thickBot="1" x14ac:dyDescent="0.3">
      <c r="A14" s="21" t="s">
        <v>3</v>
      </c>
      <c r="B14" s="21" t="str">
        <f t="shared" ref="B14:B25" si="15">A15</f>
        <v>M6</v>
      </c>
      <c r="C14" s="20">
        <f>'HCR Distance Observation'!I13</f>
        <v>78.103499999999997</v>
      </c>
      <c r="D14" s="23">
        <f>'HCR Distance Observation'!G11</f>
        <v>5.7336747685185188</v>
      </c>
      <c r="E14" s="40">
        <v>3.4722222222222222E-5</v>
      </c>
      <c r="F14" s="42">
        <f t="shared" si="8"/>
        <v>5.7337094907407407</v>
      </c>
      <c r="G14" s="44">
        <f t="shared" ref="G14:G26" si="16">I13+F14</f>
        <v>16.33891782407408</v>
      </c>
      <c r="H14" s="42">
        <f t="shared" si="9"/>
        <v>1.3389178240740804</v>
      </c>
      <c r="I14" s="41">
        <f t="shared" si="10"/>
        <v>8.8389178240740804</v>
      </c>
      <c r="J14" s="24">
        <f t="shared" si="11"/>
        <v>1.3389178240740804</v>
      </c>
      <c r="K14" s="24">
        <f t="shared" si="12"/>
        <v>32.134027777777931</v>
      </c>
      <c r="L14" s="20">
        <f t="shared" si="13"/>
        <v>0.56084458664954162</v>
      </c>
      <c r="M14" s="20">
        <f t="shared" si="6"/>
        <v>66.138526175868208</v>
      </c>
      <c r="N14" s="20">
        <f t="shared" si="7"/>
        <v>41.543375735897961</v>
      </c>
      <c r="O14" s="20">
        <f t="shared" si="0"/>
        <v>5.4468686854011001E-3</v>
      </c>
      <c r="P14" s="20">
        <f t="shared" si="1"/>
        <v>-4.313273978050253E-3</v>
      </c>
      <c r="Q14" s="25">
        <f t="shared" si="2"/>
        <v>66.143973044553604</v>
      </c>
      <c r="R14" s="26">
        <f t="shared" si="3"/>
        <v>41.539062461919912</v>
      </c>
      <c r="S14" s="28">
        <f t="shared" ref="S14:T25" si="17">S13+Q14</f>
        <v>3063009.8555353028</v>
      </c>
      <c r="T14" s="28">
        <f t="shared" si="17"/>
        <v>627314.34668217902</v>
      </c>
      <c r="U14" s="28">
        <f t="shared" si="14"/>
        <v>78.105818479380375</v>
      </c>
      <c r="V14" s="29">
        <v>1.338715277777778</v>
      </c>
    </row>
    <row r="15" spans="1:23" ht="15.75" thickBot="1" x14ac:dyDescent="0.3">
      <c r="A15" s="21" t="s">
        <v>4</v>
      </c>
      <c r="B15" s="21" t="str">
        <f t="shared" si="15"/>
        <v>M7</v>
      </c>
      <c r="C15" s="20">
        <f>'HCR Distance Observation'!I17</f>
        <v>61.789500000000004</v>
      </c>
      <c r="D15" s="23">
        <f>'HCR Distance Observation'!G15</f>
        <v>6.2031973379629637</v>
      </c>
      <c r="E15" s="40">
        <v>2.3148148148148147E-5</v>
      </c>
      <c r="F15" s="42">
        <f t="shared" si="8"/>
        <v>6.2032204861111122</v>
      </c>
      <c r="G15" s="44">
        <f t="shared" si="16"/>
        <v>15.042138310185193</v>
      </c>
      <c r="H15" s="42">
        <f t="shared" si="9"/>
        <v>4.2138310185192651E-2</v>
      </c>
      <c r="I15" s="41">
        <f t="shared" si="10"/>
        <v>7.5421383101851927</v>
      </c>
      <c r="J15" s="24">
        <f t="shared" si="11"/>
        <v>4.2138310185192651E-2</v>
      </c>
      <c r="K15" s="24">
        <f t="shared" si="12"/>
        <v>1.0113194444446236</v>
      </c>
      <c r="L15" s="20">
        <f t="shared" si="13"/>
        <v>1.7650854094998558E-2</v>
      </c>
      <c r="M15" s="20">
        <f t="shared" si="6"/>
        <v>61.779874908655131</v>
      </c>
      <c r="N15" s="20">
        <f t="shared" si="7"/>
        <v>1.0905808181538026</v>
      </c>
      <c r="O15" s="20">
        <f t="shared" si="0"/>
        <v>4.3091448224034943E-3</v>
      </c>
      <c r="P15" s="20">
        <f t="shared" si="1"/>
        <v>-3.4123316172352852E-3</v>
      </c>
      <c r="Q15" s="25">
        <f t="shared" si="2"/>
        <v>61.784184053477532</v>
      </c>
      <c r="R15" s="26">
        <f t="shared" si="3"/>
        <v>1.0871684865365674</v>
      </c>
      <c r="S15" s="28">
        <f t="shared" si="17"/>
        <v>3063071.6397193563</v>
      </c>
      <c r="T15" s="28">
        <f t="shared" si="17"/>
        <v>627315.43385066558</v>
      </c>
      <c r="U15" s="28">
        <f t="shared" si="14"/>
        <v>61.793748344570467</v>
      </c>
      <c r="V15" s="29">
        <v>4.2002314814814812E-2</v>
      </c>
    </row>
    <row r="16" spans="1:23" ht="15.75" thickBot="1" x14ac:dyDescent="0.3">
      <c r="A16" s="21" t="s">
        <v>5</v>
      </c>
      <c r="B16" s="21" t="str">
        <f t="shared" si="15"/>
        <v>M8</v>
      </c>
      <c r="C16" s="20">
        <f>'HCR Distance Observation'!I21</f>
        <v>102.3415</v>
      </c>
      <c r="D16" s="23">
        <f>'HCR Distance Observation'!G19</f>
        <v>6.7329369212962966</v>
      </c>
      <c r="E16" s="40">
        <v>2.3148148148148147E-5</v>
      </c>
      <c r="F16" s="42">
        <f t="shared" si="8"/>
        <v>6.7329600694444451</v>
      </c>
      <c r="G16" s="44">
        <f t="shared" si="16"/>
        <v>14.275098379629638</v>
      </c>
      <c r="H16" s="42">
        <f t="shared" si="9"/>
        <v>14.275098379629638</v>
      </c>
      <c r="I16" s="41">
        <f t="shared" si="10"/>
        <v>6.7750983796296378</v>
      </c>
      <c r="J16" s="24">
        <f t="shared" si="11"/>
        <v>14.275098379629638</v>
      </c>
      <c r="K16" s="24">
        <f t="shared" si="12"/>
        <v>342.60236111111129</v>
      </c>
      <c r="L16" s="20">
        <f t="shared" si="13"/>
        <v>5.9795392264954703</v>
      </c>
      <c r="M16" s="20">
        <f t="shared" si="6"/>
        <v>97.659647674820107</v>
      </c>
      <c r="N16" s="20">
        <f t="shared" si="7"/>
        <v>-30.600258794330522</v>
      </c>
      <c r="O16" s="20">
        <f t="shared" si="0"/>
        <v>7.1372052669467657E-3</v>
      </c>
      <c r="P16" s="20">
        <f t="shared" si="1"/>
        <v>-5.6518200698384832E-3</v>
      </c>
      <c r="Q16" s="25">
        <f t="shared" si="2"/>
        <v>97.66678488008705</v>
      </c>
      <c r="R16" s="26">
        <f t="shared" si="3"/>
        <v>-30.605910614400361</v>
      </c>
      <c r="S16" s="28">
        <f t="shared" si="17"/>
        <v>3063169.3065042365</v>
      </c>
      <c r="T16" s="28">
        <f t="shared" si="17"/>
        <v>627284.82794005121</v>
      </c>
      <c r="U16" s="28">
        <f t="shared" si="14"/>
        <v>102.35000065144048</v>
      </c>
      <c r="V16" s="29">
        <v>14.275023148148149</v>
      </c>
    </row>
    <row r="17" spans="1:22" ht="15.75" thickBot="1" x14ac:dyDescent="0.3">
      <c r="A17" s="21" t="s">
        <v>6</v>
      </c>
      <c r="B17" s="21" t="str">
        <f t="shared" si="15"/>
        <v>M9</v>
      </c>
      <c r="C17" s="20">
        <f>'HCR Distance Observation'!I25</f>
        <v>88.996499999999997</v>
      </c>
      <c r="D17" s="23">
        <f>'HCR Distance Observation'!G23</f>
        <v>10.773015046296297</v>
      </c>
      <c r="E17" s="40">
        <v>2.3148148148148147E-5</v>
      </c>
      <c r="F17" s="42">
        <f t="shared" si="8"/>
        <v>10.773038194444446</v>
      </c>
      <c r="G17" s="44">
        <f t="shared" si="16"/>
        <v>17.548136574074086</v>
      </c>
      <c r="H17" s="42">
        <f t="shared" si="9"/>
        <v>2.5481365740740856</v>
      </c>
      <c r="I17" s="41">
        <f t="shared" si="10"/>
        <v>10.048136574074086</v>
      </c>
      <c r="J17" s="24">
        <f t="shared" si="11"/>
        <v>2.5481365740740856</v>
      </c>
      <c r="K17" s="24">
        <f t="shared" si="12"/>
        <v>61.155277777778053</v>
      </c>
      <c r="L17" s="20">
        <f t="shared" si="13"/>
        <v>1.0673609521939482</v>
      </c>
      <c r="M17" s="20">
        <f t="shared" si="6"/>
        <v>42.935251503232024</v>
      </c>
      <c r="N17" s="20">
        <f t="shared" si="7"/>
        <v>77.954738089510712</v>
      </c>
      <c r="O17" s="20">
        <f t="shared" si="0"/>
        <v>6.2065368256262396E-3</v>
      </c>
      <c r="P17" s="20">
        <f t="shared" si="1"/>
        <v>-4.9148410453763195E-3</v>
      </c>
      <c r="Q17" s="25">
        <f t="shared" si="2"/>
        <v>42.941458040057647</v>
      </c>
      <c r="R17" s="26">
        <f t="shared" si="3"/>
        <v>77.949823248465336</v>
      </c>
      <c r="S17" s="28">
        <f t="shared" si="17"/>
        <v>3063212.2479622765</v>
      </c>
      <c r="T17" s="28">
        <f t="shared" si="17"/>
        <v>627362.77776329964</v>
      </c>
      <c r="U17" s="28">
        <f t="shared" si="14"/>
        <v>88.995189550183099</v>
      </c>
      <c r="V17" s="29">
        <v>2.5479398148148147</v>
      </c>
    </row>
    <row r="18" spans="1:22" ht="15.75" thickBot="1" x14ac:dyDescent="0.3">
      <c r="A18" s="21" t="s">
        <v>7</v>
      </c>
      <c r="B18" s="21" t="str">
        <f t="shared" si="15"/>
        <v>M10</v>
      </c>
      <c r="C18" s="20">
        <f>'HCR Distance Observation'!I29</f>
        <v>64.722000000000008</v>
      </c>
      <c r="D18" s="23">
        <f>'HCR Distance Observation'!G27</f>
        <v>5.9927343749999995</v>
      </c>
      <c r="E18" s="40">
        <v>3.4722222222222222E-5</v>
      </c>
      <c r="F18" s="42">
        <f t="shared" si="8"/>
        <v>5.9927690972222214</v>
      </c>
      <c r="G18" s="44">
        <f t="shared" si="16"/>
        <v>16.040905671296308</v>
      </c>
      <c r="H18" s="42">
        <f t="shared" si="9"/>
        <v>1.0409056712963078</v>
      </c>
      <c r="I18" s="41">
        <f t="shared" si="10"/>
        <v>8.5409056712963078</v>
      </c>
      <c r="J18" s="24">
        <f t="shared" si="11"/>
        <v>1.0409056712963078</v>
      </c>
      <c r="K18" s="24">
        <f t="shared" si="12"/>
        <v>24.981736111111388</v>
      </c>
      <c r="L18" s="20">
        <f t="shared" si="13"/>
        <v>0.4360135480032577</v>
      </c>
      <c r="M18" s="20">
        <f t="shared" si="6"/>
        <v>58.666768695295481</v>
      </c>
      <c r="N18" s="20">
        <f t="shared" si="7"/>
        <v>27.333999613168558</v>
      </c>
      <c r="O18" s="20">
        <f t="shared" si="0"/>
        <v>4.5136547665153301E-3</v>
      </c>
      <c r="P18" s="20">
        <f t="shared" si="1"/>
        <v>-3.5742792372604111E-3</v>
      </c>
      <c r="Q18" s="25">
        <f t="shared" si="2"/>
        <v>58.671282350061993</v>
      </c>
      <c r="R18" s="26">
        <f t="shared" si="3"/>
        <v>27.330425333931299</v>
      </c>
      <c r="S18" s="28">
        <f t="shared" si="17"/>
        <v>3063270.9192446265</v>
      </c>
      <c r="T18" s="28">
        <f t="shared" si="17"/>
        <v>627390.10818863357</v>
      </c>
      <c r="U18" s="28">
        <f t="shared" si="14"/>
        <v>64.724582049900405</v>
      </c>
      <c r="V18" s="29">
        <v>1.0407060185185186</v>
      </c>
    </row>
    <row r="19" spans="1:22" ht="15.75" thickBot="1" x14ac:dyDescent="0.3">
      <c r="A19" s="21" t="s">
        <v>8</v>
      </c>
      <c r="B19" s="21" t="str">
        <f t="shared" si="15"/>
        <v>M11</v>
      </c>
      <c r="C19" s="20">
        <f>'HCR Distance Observation'!I33</f>
        <v>69.385999999999996</v>
      </c>
      <c r="D19" s="23">
        <f>'HCR Distance Observation'!G31</f>
        <v>5.3045457175925925</v>
      </c>
      <c r="E19" s="40">
        <v>3.4722222222222222E-5</v>
      </c>
      <c r="F19" s="42">
        <f t="shared" si="8"/>
        <v>5.3045804398148144</v>
      </c>
      <c r="G19" s="44">
        <f t="shared" si="16"/>
        <v>13.845486111111121</v>
      </c>
      <c r="H19" s="42">
        <f t="shared" si="9"/>
        <v>13.845486111111121</v>
      </c>
      <c r="I19" s="41">
        <f t="shared" si="10"/>
        <v>6.3454861111111214</v>
      </c>
      <c r="J19" s="24">
        <f t="shared" si="11"/>
        <v>13.845486111111121</v>
      </c>
      <c r="K19" s="24">
        <f t="shared" si="12"/>
        <v>332.29166666666691</v>
      </c>
      <c r="L19" s="20">
        <f t="shared" si="13"/>
        <v>5.7995836602728286</v>
      </c>
      <c r="M19" s="20">
        <f t="shared" si="6"/>
        <v>61.429230381017085</v>
      </c>
      <c r="N19" s="20">
        <f t="shared" si="7"/>
        <v>-32.262465045249208</v>
      </c>
      <c r="O19" s="20">
        <f t="shared" si="0"/>
        <v>4.8389179819757211E-3</v>
      </c>
      <c r="P19" s="20">
        <f t="shared" si="1"/>
        <v>-3.8318491263643092E-3</v>
      </c>
      <c r="Q19" s="25">
        <f t="shared" si="2"/>
        <v>61.434069298999063</v>
      </c>
      <c r="R19" s="26">
        <f t="shared" si="3"/>
        <v>-32.266296894375571</v>
      </c>
      <c r="S19" s="28">
        <f t="shared" si="17"/>
        <v>3063332.3533139257</v>
      </c>
      <c r="T19" s="28">
        <f t="shared" si="17"/>
        <v>627357.84189173917</v>
      </c>
      <c r="U19" s="28">
        <f t="shared" si="14"/>
        <v>69.392065727359707</v>
      </c>
      <c r="V19" s="29">
        <v>13.84545138888889</v>
      </c>
    </row>
    <row r="20" spans="1:22" ht="15.75" thickBot="1" x14ac:dyDescent="0.3">
      <c r="A20" s="21" t="s">
        <v>9</v>
      </c>
      <c r="B20" s="21" t="str">
        <f t="shared" si="15"/>
        <v>M12</v>
      </c>
      <c r="C20" s="20">
        <f>'HCR Distance Observation'!I37</f>
        <v>96.5565</v>
      </c>
      <c r="D20" s="23">
        <f>'HCR Distance Observation'!G35</f>
        <v>5.8596527777777769</v>
      </c>
      <c r="E20" s="40">
        <v>3.4722222222222222E-5</v>
      </c>
      <c r="F20" s="42">
        <f t="shared" si="8"/>
        <v>5.8596874999999988</v>
      </c>
      <c r="G20" s="44">
        <f t="shared" si="16"/>
        <v>12.205173611111121</v>
      </c>
      <c r="H20" s="42">
        <f t="shared" si="9"/>
        <v>12.205173611111121</v>
      </c>
      <c r="I20" s="41">
        <f t="shared" si="10"/>
        <v>4.7051736111111211</v>
      </c>
      <c r="J20" s="24">
        <f t="shared" si="11"/>
        <v>12.205173611111121</v>
      </c>
      <c r="K20" s="24">
        <f t="shared" si="12"/>
        <v>292.92416666666691</v>
      </c>
      <c r="L20" s="20">
        <f t="shared" si="13"/>
        <v>5.1124911669939603</v>
      </c>
      <c r="M20" s="20">
        <f t="shared" si="6"/>
        <v>37.609959880220117</v>
      </c>
      <c r="N20" s="20">
        <f t="shared" si="7"/>
        <v>-88.930583097482469</v>
      </c>
      <c r="O20" s="20">
        <f t="shared" si="0"/>
        <v>6.7337645076332216E-3</v>
      </c>
      <c r="P20" s="20">
        <f t="shared" si="1"/>
        <v>-5.3323428381776656E-3</v>
      </c>
      <c r="Q20" s="25">
        <f t="shared" si="2"/>
        <v>37.616693644727754</v>
      </c>
      <c r="R20" s="26">
        <f t="shared" si="3"/>
        <v>-88.935915440320642</v>
      </c>
      <c r="S20" s="28">
        <f t="shared" si="17"/>
        <v>3063369.9700075705</v>
      </c>
      <c r="T20" s="28">
        <f t="shared" si="17"/>
        <v>627268.90597629885</v>
      </c>
      <c r="U20" s="28">
        <f t="shared" si="14"/>
        <v>96.564034174060708</v>
      </c>
      <c r="V20" s="29">
        <v>12.205277777777779</v>
      </c>
    </row>
    <row r="21" spans="1:22" ht="15.75" thickBot="1" x14ac:dyDescent="0.3">
      <c r="A21" s="21" t="s">
        <v>10</v>
      </c>
      <c r="B21" s="21" t="str">
        <f t="shared" si="15"/>
        <v>M13</v>
      </c>
      <c r="C21" s="20">
        <f>'HCR Distance Observation'!I41</f>
        <v>71.872</v>
      </c>
      <c r="D21" s="23">
        <f>'HCR Distance Observation'!G39</f>
        <v>7.2605324074074069</v>
      </c>
      <c r="E21" s="40">
        <v>2.3148148148148147E-5</v>
      </c>
      <c r="F21" s="42">
        <f t="shared" si="8"/>
        <v>7.2605555555555554</v>
      </c>
      <c r="G21" s="44">
        <f t="shared" si="16"/>
        <v>11.965729166666677</v>
      </c>
      <c r="H21" s="42">
        <f t="shared" si="9"/>
        <v>11.965729166666677</v>
      </c>
      <c r="I21" s="41">
        <f t="shared" si="10"/>
        <v>4.4657291666666765</v>
      </c>
      <c r="J21" s="24">
        <f t="shared" si="11"/>
        <v>11.965729166666677</v>
      </c>
      <c r="K21" s="24">
        <f t="shared" si="12"/>
        <v>287.17750000000024</v>
      </c>
      <c r="L21" s="20">
        <f t="shared" si="13"/>
        <v>5.0121929126460198</v>
      </c>
      <c r="M21" s="20">
        <f t="shared" si="6"/>
        <v>21.226165492875751</v>
      </c>
      <c r="N21" s="20">
        <f t="shared" si="7"/>
        <v>-68.66610723252812</v>
      </c>
      <c r="O21" s="20">
        <f t="shared" si="0"/>
        <v>5.0122894128579116E-3</v>
      </c>
      <c r="P21" s="20">
        <f t="shared" si="1"/>
        <v>-3.9691387370659166E-3</v>
      </c>
      <c r="Q21" s="25">
        <f t="shared" si="2"/>
        <v>21.231177782288608</v>
      </c>
      <c r="R21" s="26">
        <f t="shared" si="3"/>
        <v>-68.670076371265182</v>
      </c>
      <c r="S21" s="28">
        <f t="shared" si="17"/>
        <v>3063391.2011853526</v>
      </c>
      <c r="T21" s="28">
        <f t="shared" si="17"/>
        <v>627200.23589992756</v>
      </c>
      <c r="U21" s="28">
        <f t="shared" si="14"/>
        <v>71.877272477873959</v>
      </c>
      <c r="V21" s="29">
        <v>11.965844907407408</v>
      </c>
    </row>
    <row r="22" spans="1:22" ht="15.75" thickBot="1" x14ac:dyDescent="0.3">
      <c r="A22" s="21" t="s">
        <v>11</v>
      </c>
      <c r="B22" s="21" t="str">
        <f t="shared" si="15"/>
        <v>M14</v>
      </c>
      <c r="C22" s="20">
        <f>'HCR Distance Observation'!I45</f>
        <v>78.020499999999998</v>
      </c>
      <c r="D22" s="23">
        <f>'HCR Distance Observation'!G43</f>
        <v>4.1050868055555565</v>
      </c>
      <c r="E22" s="40">
        <v>3.4722222222222222E-5</v>
      </c>
      <c r="F22" s="42">
        <f t="shared" si="8"/>
        <v>4.1051215277777784</v>
      </c>
      <c r="G22" s="44">
        <f t="shared" si="16"/>
        <v>8.5708506944444558</v>
      </c>
      <c r="H22" s="42">
        <f t="shared" si="9"/>
        <v>8.5708506944444558</v>
      </c>
      <c r="I22" s="41">
        <f t="shared" si="10"/>
        <v>1.0708506944444558</v>
      </c>
      <c r="J22" s="24">
        <f t="shared" si="11"/>
        <v>8.5708506944444558</v>
      </c>
      <c r="K22" s="24">
        <f t="shared" si="12"/>
        <v>205.70041666666694</v>
      </c>
      <c r="L22" s="20">
        <f t="shared" si="13"/>
        <v>3.5901495435575574</v>
      </c>
      <c r="M22" s="20">
        <f t="shared" si="6"/>
        <v>-70.302233690238268</v>
      </c>
      <c r="N22" s="20">
        <f t="shared" si="7"/>
        <v>-33.834809862228099</v>
      </c>
      <c r="O22" s="20">
        <f t="shared" si="0"/>
        <v>5.4410803391568442E-3</v>
      </c>
      <c r="P22" s="20">
        <f t="shared" si="1"/>
        <v>-4.3086902943462171E-3</v>
      </c>
      <c r="Q22" s="25">
        <f t="shared" si="2"/>
        <v>-70.296792609899114</v>
      </c>
      <c r="R22" s="26">
        <f t="shared" si="3"/>
        <v>-33.839118552522443</v>
      </c>
      <c r="S22" s="28">
        <f t="shared" si="17"/>
        <v>3063320.9043927426</v>
      </c>
      <c r="T22" s="28">
        <f t="shared" si="17"/>
        <v>627166.39678137505</v>
      </c>
      <c r="U22" s="28">
        <f t="shared" si="14"/>
        <v>78.017465965326224</v>
      </c>
      <c r="V22" s="29">
        <v>8.5710300925925917</v>
      </c>
    </row>
    <row r="23" spans="1:22" s="12" customFormat="1" ht="15.75" thickBot="1" x14ac:dyDescent="0.3">
      <c r="A23" s="21" t="s">
        <v>12</v>
      </c>
      <c r="B23" s="21" t="str">
        <f t="shared" si="15"/>
        <v>M15</v>
      </c>
      <c r="C23" s="20">
        <f>'HCR Distance Observation'!I49</f>
        <v>88.795500000000004</v>
      </c>
      <c r="D23" s="23">
        <f>'HCR Distance Observation'!G47</f>
        <v>10.859065393518518</v>
      </c>
      <c r="E23" s="40">
        <v>2.3148148148148147E-5</v>
      </c>
      <c r="F23" s="42">
        <f t="shared" si="8"/>
        <v>10.859088541666667</v>
      </c>
      <c r="G23" s="44">
        <f t="shared" si="16"/>
        <v>11.929939236111123</v>
      </c>
      <c r="H23" s="42">
        <f t="shared" si="9"/>
        <v>11.929939236111123</v>
      </c>
      <c r="I23" s="41">
        <f t="shared" si="10"/>
        <v>4.4299392361111227</v>
      </c>
      <c r="J23" s="24">
        <f t="shared" si="11"/>
        <v>11.929939236111123</v>
      </c>
      <c r="K23" s="24">
        <f t="shared" si="12"/>
        <v>286.31854166666693</v>
      </c>
      <c r="L23" s="20">
        <f t="shared" si="13"/>
        <v>4.9972012615919104</v>
      </c>
      <c r="M23" s="20">
        <f t="shared" si="6"/>
        <v>24.949519825782929</v>
      </c>
      <c r="N23" s="20">
        <f t="shared" si="7"/>
        <v>-85.218321273731192</v>
      </c>
      <c r="O23" s="20">
        <f t="shared" si="0"/>
        <v>6.1925192642395465E-3</v>
      </c>
      <c r="P23" s="20">
        <f t="shared" si="1"/>
        <v>-4.9037407992978711E-3</v>
      </c>
      <c r="Q23" s="25">
        <f t="shared" si="2"/>
        <v>24.955712345047168</v>
      </c>
      <c r="R23" s="26">
        <f t="shared" si="3"/>
        <v>-85.223225014530485</v>
      </c>
      <c r="S23" s="28">
        <f t="shared" si="17"/>
        <v>3063345.8601050875</v>
      </c>
      <c r="T23" s="28">
        <f t="shared" si="17"/>
        <v>627081.17355636053</v>
      </c>
      <c r="U23" s="28">
        <f t="shared" si="14"/>
        <v>88.801946265417143</v>
      </c>
      <c r="V23" s="29">
        <v>11.930069444444444</v>
      </c>
    </row>
    <row r="24" spans="1:22" ht="15.75" thickBot="1" x14ac:dyDescent="0.3">
      <c r="A24" s="21" t="s">
        <v>13</v>
      </c>
      <c r="B24" s="21" t="str">
        <f t="shared" si="15"/>
        <v>M16</v>
      </c>
      <c r="C24" s="20">
        <f>'HCR Distance Observation'!I53</f>
        <v>112.0325</v>
      </c>
      <c r="D24" s="23">
        <f>'HCR Distance Observation'!G51</f>
        <v>6.7549913194444446</v>
      </c>
      <c r="E24" s="40">
        <v>2.3148148148148147E-5</v>
      </c>
      <c r="F24" s="42">
        <f t="shared" si="8"/>
        <v>6.7550144675925932</v>
      </c>
      <c r="G24" s="44">
        <f t="shared" si="16"/>
        <v>11.184953703703716</v>
      </c>
      <c r="H24" s="42">
        <f t="shared" si="9"/>
        <v>11.184953703703716</v>
      </c>
      <c r="I24" s="41">
        <f t="shared" si="10"/>
        <v>3.6849537037037159</v>
      </c>
      <c r="J24" s="24">
        <f t="shared" si="11"/>
        <v>11.184953703703716</v>
      </c>
      <c r="K24" s="24">
        <f t="shared" si="12"/>
        <v>268.43888888888921</v>
      </c>
      <c r="L24" s="20">
        <f t="shared" si="13"/>
        <v>4.6851424515063398</v>
      </c>
      <c r="M24" s="20">
        <f t="shared" si="6"/>
        <v>-3.0521190785504548</v>
      </c>
      <c r="N24" s="20">
        <f t="shared" si="7"/>
        <v>-111.99091760218927</v>
      </c>
      <c r="O24" s="20">
        <f t="shared" si="0"/>
        <v>7.8130469952972514E-3</v>
      </c>
      <c r="P24" s="20">
        <f t="shared" si="1"/>
        <v>-6.1870065611133304E-3</v>
      </c>
      <c r="Q24" s="25">
        <f t="shared" si="2"/>
        <v>-3.0443060315551578</v>
      </c>
      <c r="R24" s="26">
        <f t="shared" si="3"/>
        <v>-111.99710460875039</v>
      </c>
      <c r="S24" s="28">
        <f t="shared" si="17"/>
        <v>3063342.8157990561</v>
      </c>
      <c r="T24" s="28">
        <f t="shared" si="17"/>
        <v>626969.17645175173</v>
      </c>
      <c r="U24" s="28">
        <f t="shared" si="14"/>
        <v>112.03847214219383</v>
      </c>
      <c r="V24" s="29">
        <v>11.185127314814814</v>
      </c>
    </row>
    <row r="25" spans="1:22" ht="15.75" thickBot="1" x14ac:dyDescent="0.3">
      <c r="A25" s="21" t="s">
        <v>14</v>
      </c>
      <c r="B25" s="21" t="str">
        <f t="shared" si="15"/>
        <v>M17</v>
      </c>
      <c r="C25" s="20">
        <f>'HCR Distance Observation'!I57</f>
        <v>115.652</v>
      </c>
      <c r="D25" s="23">
        <f>'HCR Distance Observation'!G55</f>
        <v>5.0599594907407415</v>
      </c>
      <c r="E25" s="40">
        <v>3.4722222222222222E-5</v>
      </c>
      <c r="F25" s="42">
        <f t="shared" si="8"/>
        <v>5.0599942129629634</v>
      </c>
      <c r="G25" s="44">
        <f t="shared" si="16"/>
        <v>8.7449479166666784</v>
      </c>
      <c r="H25" s="42">
        <f t="shared" si="9"/>
        <v>8.7449479166666784</v>
      </c>
      <c r="I25" s="41">
        <f t="shared" si="10"/>
        <v>1.2449479166666784</v>
      </c>
      <c r="J25" s="24">
        <f t="shared" si="11"/>
        <v>8.7449479166666784</v>
      </c>
      <c r="K25" s="24">
        <f t="shared" si="12"/>
        <v>209.87875000000028</v>
      </c>
      <c r="L25" s="20">
        <f t="shared" si="13"/>
        <v>3.663075217470054</v>
      </c>
      <c r="M25" s="20">
        <f t="shared" si="6"/>
        <v>-100.27971769560261</v>
      </c>
      <c r="N25" s="20">
        <f t="shared" si="7"/>
        <v>-57.613916052376126</v>
      </c>
      <c r="O25" s="20">
        <f t="shared" si="0"/>
        <v>8.0654677089247988E-3</v>
      </c>
      <c r="P25" s="20">
        <f t="shared" si="1"/>
        <v>-6.3868938281827041E-3</v>
      </c>
      <c r="Q25" s="25">
        <f t="shared" si="2"/>
        <v>-100.27165222789368</v>
      </c>
      <c r="R25" s="26">
        <f t="shared" si="3"/>
        <v>-57.620302946204312</v>
      </c>
      <c r="S25" s="28">
        <f>S24+Q25</f>
        <v>3063242.5441468284</v>
      </c>
      <c r="T25" s="28">
        <f t="shared" si="17"/>
        <v>626911.55614880554</v>
      </c>
      <c r="U25" s="28">
        <f t="shared" si="14"/>
        <v>115.64818871095223</v>
      </c>
      <c r="V25" s="29">
        <v>8.7451388888888886</v>
      </c>
    </row>
    <row r="26" spans="1:22" ht="15.75" thickBot="1" x14ac:dyDescent="0.3">
      <c r="A26" s="21" t="s">
        <v>15</v>
      </c>
      <c r="B26" s="21" t="str">
        <f>A8</f>
        <v>CP1</v>
      </c>
      <c r="C26" s="20">
        <f>'HCR Distance Observation'!I61</f>
        <v>88.111999999999995</v>
      </c>
      <c r="D26" s="23">
        <f>'HCR Distance Observation'!G59</f>
        <v>8.3021151620370368</v>
      </c>
      <c r="E26" s="40">
        <v>2.3148148148148147E-5</v>
      </c>
      <c r="F26" s="42">
        <f t="shared" si="8"/>
        <v>8.3021383101851853</v>
      </c>
      <c r="G26" s="44">
        <f t="shared" si="16"/>
        <v>9.5470862268518637</v>
      </c>
      <c r="H26" s="42">
        <f t="shared" si="9"/>
        <v>9.5470862268518637</v>
      </c>
      <c r="I26" s="41">
        <f t="shared" si="10"/>
        <v>2.0470862268518637</v>
      </c>
      <c r="J26" s="24">
        <f t="shared" si="11"/>
        <v>9.5470862268518637</v>
      </c>
      <c r="K26" s="24">
        <f t="shared" si="12"/>
        <v>229.13006944444473</v>
      </c>
      <c r="L26" s="20">
        <f t="shared" si="13"/>
        <v>3.9990741271288148</v>
      </c>
      <c r="M26" s="20">
        <f t="shared" si="6"/>
        <v>-57.655562360682971</v>
      </c>
      <c r="N26" s="20">
        <f t="shared" si="7"/>
        <v>-66.630028312116124</v>
      </c>
      <c r="O26" s="20">
        <f t="shared" si="0"/>
        <v>6.1448525816136497E-3</v>
      </c>
      <c r="P26" s="20">
        <f t="shared" si="1"/>
        <v>-4.8659944401206589E-3</v>
      </c>
      <c r="Q26" s="25">
        <f t="shared" si="2"/>
        <v>-57.649417508101358</v>
      </c>
      <c r="R26" s="26">
        <f t="shared" si="3"/>
        <v>-66.634894306556248</v>
      </c>
      <c r="S26" s="69">
        <v>3063184.895</v>
      </c>
      <c r="T26" s="69">
        <v>626844.92099999997</v>
      </c>
      <c r="U26" s="28">
        <f t="shared" si="14"/>
        <v>88.111659150587471</v>
      </c>
      <c r="V26" s="29">
        <v>9.5473032407407405</v>
      </c>
    </row>
    <row r="27" spans="1:22" ht="15" customHeight="1" thickTop="1" thickBot="1" x14ac:dyDescent="0.3">
      <c r="A27" s="21"/>
      <c r="B27" s="30"/>
      <c r="C27" s="35">
        <f>SUM(C8:C26)-C8</f>
        <v>1641.4515000000001</v>
      </c>
      <c r="D27" s="39">
        <f>SUM(D8:D26)</f>
        <v>127.49945891203704</v>
      </c>
      <c r="E27" s="39">
        <f>SUM(E8:E26)</f>
        <v>5.4398148148148155E-4</v>
      </c>
      <c r="F27" s="45">
        <f>SUM(F8:F26)</f>
        <v>127.50000289351853</v>
      </c>
      <c r="G27" s="37"/>
      <c r="H27" s="27"/>
      <c r="I27" s="21"/>
      <c r="J27" s="21"/>
      <c r="K27" s="21"/>
      <c r="L27" s="30"/>
      <c r="M27" s="36">
        <f>SUM(M8:M26)</f>
        <v>-0.11447336897776239</v>
      </c>
      <c r="N27" s="36">
        <f>SUM(N8:N26)</f>
        <v>9.0649331223076501E-2</v>
      </c>
      <c r="O27" s="35">
        <f>SUM(O8:O26)</f>
        <v>0.11447336897776238</v>
      </c>
      <c r="P27" s="35">
        <f>SUM(P8:P26)</f>
        <v>-9.0649331223076487E-2</v>
      </c>
      <c r="Q27" s="36">
        <f>SUM(Q8:Q26)</f>
        <v>-7.815970093361102E-14</v>
      </c>
      <c r="R27" s="36">
        <f t="shared" si="3"/>
        <v>0</v>
      </c>
      <c r="S27" s="31"/>
      <c r="T27" s="27"/>
      <c r="U27" s="27"/>
      <c r="V27" s="27"/>
    </row>
    <row r="28" spans="1:22" ht="15.75" thickTop="1" x14ac:dyDescent="0.25">
      <c r="D28" s="11"/>
    </row>
    <row r="29" spans="1:22" x14ac:dyDescent="0.25">
      <c r="L29" s="8"/>
      <c r="M29"/>
      <c r="P29" s="12"/>
      <c r="R29"/>
    </row>
    <row r="30" spans="1:22" x14ac:dyDescent="0.25">
      <c r="D30" s="11"/>
    </row>
  </sheetData>
  <mergeCells count="17"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  <mergeCell ref="V5:V6"/>
    <mergeCell ref="J5:L6"/>
    <mergeCell ref="M5:N5"/>
    <mergeCell ref="O5:P5"/>
    <mergeCell ref="Q5:R5"/>
    <mergeCell ref="S5:T5"/>
    <mergeCell ref="U5:U6"/>
  </mergeCells>
  <pageMargins left="0.7" right="0.7" top="0.75" bottom="0.75" header="0.3" footer="0.3"/>
  <pageSetup paperSize="8" scale="9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sheetPr>
    <pageSetUpPr fitToPage="1"/>
  </sheetPr>
  <dimension ref="A1:V52"/>
  <sheetViews>
    <sheetView topLeftCell="E6" zoomScale="85" zoomScaleNormal="85" workbookViewId="0">
      <selection activeCell="T19" sqref="T19"/>
    </sheetView>
  </sheetViews>
  <sheetFormatPr defaultRowHeight="15" x14ac:dyDescent="0.25"/>
  <cols>
    <col min="1" max="1" width="8.140625" style="12" bestFit="1" customWidth="1"/>
    <col min="2" max="2" width="5" style="12" bestFit="1" customWidth="1"/>
    <col min="3" max="3" width="9.7109375" style="12" bestFit="1" customWidth="1"/>
    <col min="4" max="4" width="17.7109375" style="12" bestFit="1" customWidth="1"/>
    <col min="5" max="5" width="11.140625" style="12" bestFit="1" customWidth="1"/>
    <col min="6" max="6" width="17.7109375" style="12" bestFit="1" customWidth="1"/>
    <col min="7" max="8" width="11.7109375" style="12" bestFit="1" customWidth="1"/>
    <col min="9" max="9" width="14" style="12" bestFit="1" customWidth="1"/>
    <col min="10" max="10" width="6.42578125" style="12" bestFit="1" customWidth="1"/>
    <col min="11" max="11" width="8.140625" style="12" bestFit="1" customWidth="1"/>
    <col min="12" max="12" width="6.85546875" style="12" bestFit="1" customWidth="1"/>
    <col min="13" max="13" width="10" style="12" bestFit="1" customWidth="1"/>
    <col min="14" max="14" width="14.85546875" style="12" customWidth="1"/>
    <col min="15" max="15" width="11.5703125" style="12" bestFit="1" customWidth="1"/>
    <col min="16" max="16" width="10.7109375" style="12" bestFit="1" customWidth="1"/>
    <col min="17" max="17" width="10" style="12" customWidth="1"/>
    <col min="18" max="18" width="10.7109375" style="12" customWidth="1"/>
    <col min="19" max="19" width="14.28515625" style="12" bestFit="1" customWidth="1"/>
    <col min="20" max="20" width="13" style="12" bestFit="1" customWidth="1"/>
    <col min="21" max="21" width="16.28515625" style="12" bestFit="1" customWidth="1"/>
    <col min="22" max="22" width="17.7109375" style="12" bestFit="1" customWidth="1"/>
    <col min="23" max="16384" width="9.140625" style="12"/>
  </cols>
  <sheetData>
    <row r="1" spans="1:22" x14ac:dyDescent="0.25">
      <c r="A1" s="102" t="s">
        <v>44</v>
      </c>
      <c r="B1" s="102"/>
      <c r="C1" s="102"/>
      <c r="D1" s="19">
        <v>6.8352546296296302</v>
      </c>
      <c r="E1" s="19"/>
      <c r="F1" s="19">
        <v>7.5</v>
      </c>
      <c r="G1" s="19">
        <v>15</v>
      </c>
      <c r="M1" s="13"/>
    </row>
    <row r="2" spans="1:22" ht="34.5" customHeight="1" x14ac:dyDescent="0.25">
      <c r="A2" s="68"/>
      <c r="B2" s="68"/>
      <c r="C2" s="68"/>
      <c r="D2" s="14"/>
      <c r="E2" s="14"/>
      <c r="F2" s="14"/>
      <c r="G2" s="14"/>
      <c r="M2" s="13"/>
    </row>
    <row r="3" spans="1:22" ht="92.25" x14ac:dyDescent="1.35">
      <c r="A3" s="103" t="s">
        <v>60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ht="18.75" customHeight="1" x14ac:dyDescent="1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8.75" customHeight="1" x14ac:dyDescent="1.3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x14ac:dyDescent="0.25">
      <c r="A6" s="105" t="s">
        <v>30</v>
      </c>
      <c r="B6" s="105" t="s">
        <v>31</v>
      </c>
      <c r="C6" s="105" t="s">
        <v>32</v>
      </c>
      <c r="D6" s="105" t="s">
        <v>33</v>
      </c>
      <c r="E6" s="105" t="s">
        <v>36</v>
      </c>
      <c r="F6" s="105"/>
      <c r="G6" s="106" t="s">
        <v>58</v>
      </c>
      <c r="H6" s="105" t="s">
        <v>34</v>
      </c>
      <c r="I6" s="105" t="s">
        <v>62</v>
      </c>
      <c r="J6" s="105" t="s">
        <v>57</v>
      </c>
      <c r="K6" s="105"/>
      <c r="L6" s="105"/>
      <c r="M6" s="105" t="s">
        <v>37</v>
      </c>
      <c r="N6" s="105"/>
      <c r="O6" s="105" t="s">
        <v>39</v>
      </c>
      <c r="P6" s="105"/>
      <c r="Q6" s="105" t="s">
        <v>34</v>
      </c>
      <c r="R6" s="105"/>
      <c r="S6" s="105" t="s">
        <v>63</v>
      </c>
      <c r="T6" s="105"/>
      <c r="U6" s="105" t="s">
        <v>40</v>
      </c>
      <c r="V6" s="105" t="s">
        <v>41</v>
      </c>
    </row>
    <row r="7" spans="1:22" ht="15.75" thickBot="1" x14ac:dyDescent="0.3">
      <c r="A7" s="105"/>
      <c r="B7" s="105"/>
      <c r="C7" s="105"/>
      <c r="D7" s="105"/>
      <c r="E7" s="105"/>
      <c r="F7" s="106"/>
      <c r="G7" s="107"/>
      <c r="H7" s="105"/>
      <c r="I7" s="106"/>
      <c r="J7" s="105"/>
      <c r="K7" s="105"/>
      <c r="L7" s="105"/>
      <c r="M7" s="65" t="s">
        <v>42</v>
      </c>
      <c r="N7" s="61" t="s">
        <v>43</v>
      </c>
      <c r="O7" s="66" t="s">
        <v>45</v>
      </c>
      <c r="P7" s="66" t="s">
        <v>46</v>
      </c>
      <c r="Q7" s="61" t="s">
        <v>42</v>
      </c>
      <c r="R7" s="61" t="s">
        <v>43</v>
      </c>
      <c r="S7" s="61" t="s">
        <v>42</v>
      </c>
      <c r="T7" s="61" t="s">
        <v>43</v>
      </c>
      <c r="U7" s="105"/>
      <c r="V7" s="105"/>
    </row>
    <row r="8" spans="1:22" ht="15.75" thickBot="1" x14ac:dyDescent="0.3">
      <c r="A8" s="22" t="s">
        <v>14</v>
      </c>
      <c r="B8" s="22" t="s">
        <v>15</v>
      </c>
      <c r="C8" s="25"/>
      <c r="D8" s="19"/>
      <c r="E8" s="17">
        <v>8.7451388888888886</v>
      </c>
      <c r="F8" s="46"/>
      <c r="G8" s="18">
        <f>IF(E8&lt;$F$1,E8+$F$1,E8-$F$1)</f>
        <v>1.2451388888888886</v>
      </c>
      <c r="H8" s="16"/>
      <c r="I8" s="46"/>
      <c r="J8" s="47"/>
      <c r="K8" s="47"/>
      <c r="L8" s="25"/>
      <c r="M8" s="25"/>
      <c r="N8" s="25"/>
      <c r="O8" s="28">
        <v>3063242.5441468302</v>
      </c>
      <c r="P8" s="28">
        <v>626911.55614880554</v>
      </c>
      <c r="Q8" s="25"/>
      <c r="R8" s="25"/>
      <c r="S8" s="25">
        <v>3063242.5441468302</v>
      </c>
      <c r="T8" s="25">
        <v>626911.55614880554</v>
      </c>
      <c r="U8" s="28"/>
      <c r="V8" s="29"/>
    </row>
    <row r="9" spans="1:22" ht="15.75" thickBot="1" x14ac:dyDescent="0.3">
      <c r="A9" s="22" t="s">
        <v>15</v>
      </c>
      <c r="B9" s="22" t="s">
        <v>47</v>
      </c>
      <c r="C9" s="25">
        <v>38.515999999999998</v>
      </c>
      <c r="D9" s="19">
        <v>4.0867245370370373</v>
      </c>
      <c r="E9" s="17"/>
      <c r="F9" s="46">
        <f t="shared" ref="F9:F20" si="0">IF(D9+G8&gt;$G$1,D9+G8-$G$1,D9+G8)</f>
        <v>5.3318634259259259</v>
      </c>
      <c r="G9" s="18">
        <f>IF(F9&lt;$F$1,F9+$F$1,F9-$F$1)</f>
        <v>12.831863425925926</v>
      </c>
      <c r="H9" s="16">
        <v>1.109182098765432E-4</v>
      </c>
      <c r="I9" s="46">
        <f>F9-H9</f>
        <v>5.3317525077160495</v>
      </c>
      <c r="J9" s="47">
        <f>I9</f>
        <v>5.3317525077160495</v>
      </c>
      <c r="K9" s="47">
        <f t="shared" ref="K9:K19" si="1">J9*24</f>
        <v>127.96206018518518</v>
      </c>
      <c r="L9" s="25">
        <f t="shared" ref="L9:L19" si="2">RADIANS(K9)</f>
        <v>2.2333592678666263</v>
      </c>
      <c r="M9" s="25">
        <f t="shared" ref="M9:M19" si="3">C9*COS(L9)</f>
        <v>-23.692714507780185</v>
      </c>
      <c r="N9" s="25">
        <f t="shared" ref="N9:N19" si="4">C9*SIN(L9)</f>
        <v>30.366717558090173</v>
      </c>
      <c r="O9" s="28">
        <f>O8+M9</f>
        <v>3063218.8514323225</v>
      </c>
      <c r="P9" s="28">
        <f>P8+N9</f>
        <v>626941.92286636366</v>
      </c>
      <c r="Q9" s="25">
        <f>-SUM($C$9:C9)/$C$21*$O$21</f>
        <v>-8.1883642971604161E-3</v>
      </c>
      <c r="R9" s="25">
        <f>-SUM($C$9:C9)/$C$21*$P$21</f>
        <v>-3.7205660247886787E-3</v>
      </c>
      <c r="S9" s="25">
        <f>O9+Q9</f>
        <v>3063218.8432439584</v>
      </c>
      <c r="T9" s="25">
        <f>P9+R9</f>
        <v>626941.91914579761</v>
      </c>
      <c r="U9" s="28">
        <f>SQRT((S9-S8)^2+(T9-T8)^2)</f>
        <v>38.518104616901162</v>
      </c>
      <c r="V9" s="29">
        <v>5.3323032407407407</v>
      </c>
    </row>
    <row r="10" spans="1:22" ht="15.75" thickBot="1" x14ac:dyDescent="0.3">
      <c r="A10" s="22" t="s">
        <v>47</v>
      </c>
      <c r="B10" s="22" t="s">
        <v>48</v>
      </c>
      <c r="C10" s="25">
        <v>72.355999999999995</v>
      </c>
      <c r="D10" s="19">
        <v>6.1402314814814813</v>
      </c>
      <c r="E10" s="17"/>
      <c r="F10" s="46">
        <f t="shared" si="0"/>
        <v>3.9720949074074063</v>
      </c>
      <c r="G10" s="18">
        <f t="shared" ref="G10:G20" si="5">IF(F10&lt;$F$1,F10+$F$1,F10-$F$1)</f>
        <v>11.472094907407406</v>
      </c>
      <c r="H10" s="16">
        <v>2.218364197530864E-4</v>
      </c>
      <c r="I10" s="46">
        <f t="shared" ref="I10:I19" si="6">F10-H10</f>
        <v>3.9718730709876531</v>
      </c>
      <c r="J10" s="47">
        <f t="shared" ref="J10:J19" si="7">I10</f>
        <v>3.9718730709876531</v>
      </c>
      <c r="K10" s="47">
        <f t="shared" si="1"/>
        <v>95.32495370370367</v>
      </c>
      <c r="L10" s="25">
        <f t="shared" si="2"/>
        <v>1.6637343014407922</v>
      </c>
      <c r="M10" s="25">
        <f t="shared" si="3"/>
        <v>-6.714943659246762</v>
      </c>
      <c r="N10" s="25">
        <f t="shared" si="4"/>
        <v>72.043738573543919</v>
      </c>
      <c r="O10" s="28">
        <f t="shared" ref="O10:O19" si="8">O9+M10</f>
        <v>3063212.1364886635</v>
      </c>
      <c r="P10" s="28">
        <f t="shared" ref="P10:P19" si="9">P9+N10</f>
        <v>627013.96660493722</v>
      </c>
      <c r="Q10" s="25">
        <f>-SUM($C$9:C10)/$C$21*$O$21</f>
        <v>-2.3570991960607791E-2</v>
      </c>
      <c r="R10" s="25">
        <f>-SUM($C$9:C10)/$C$21*$P$21</f>
        <v>-1.0710006135122296E-2</v>
      </c>
      <c r="S10" s="25">
        <f t="shared" ref="S10:S19" si="10">O10+Q10</f>
        <v>3063212.1129176714</v>
      </c>
      <c r="T10" s="25">
        <f t="shared" ref="T10:T19" si="11">P10+R10</f>
        <v>627013.9558949311</v>
      </c>
      <c r="U10" s="28">
        <f t="shared" ref="U10:U19" si="12">SQRT((S10-S9)^2+(T10-T9)^2)</f>
        <v>72.350470058257116</v>
      </c>
      <c r="V10" s="29">
        <v>3.9723842592592593</v>
      </c>
    </row>
    <row r="11" spans="1:22" ht="15.75" thickBot="1" x14ac:dyDescent="0.3">
      <c r="A11" s="22" t="s">
        <v>48</v>
      </c>
      <c r="B11" s="22" t="s">
        <v>49</v>
      </c>
      <c r="C11" s="25">
        <v>86.4345</v>
      </c>
      <c r="D11" s="19">
        <v>4.3280439814814811</v>
      </c>
      <c r="E11" s="17"/>
      <c r="F11" s="46">
        <f t="shared" si="0"/>
        <v>0.80013888888888829</v>
      </c>
      <c r="G11" s="18">
        <f t="shared" si="5"/>
        <v>8.3001388888888883</v>
      </c>
      <c r="H11" s="16">
        <v>3.3275462962962962E-4</v>
      </c>
      <c r="I11" s="46">
        <f t="shared" si="6"/>
        <v>0.79980613425925862</v>
      </c>
      <c r="J11" s="47">
        <f t="shared" si="7"/>
        <v>0.79980613425925862</v>
      </c>
      <c r="K11" s="47">
        <f t="shared" si="1"/>
        <v>19.195347222222207</v>
      </c>
      <c r="L11" s="25">
        <f t="shared" si="2"/>
        <v>0.33502201009132515</v>
      </c>
      <c r="M11" s="25">
        <f t="shared" si="3"/>
        <v>81.629007427431162</v>
      </c>
      <c r="N11" s="25">
        <f t="shared" si="4"/>
        <v>28.41879548225765</v>
      </c>
      <c r="O11" s="28">
        <f t="shared" si="8"/>
        <v>3063293.765496091</v>
      </c>
      <c r="P11" s="28">
        <f t="shared" si="9"/>
        <v>627042.38540041947</v>
      </c>
      <c r="Q11" s="25">
        <f>-SUM($C$9:C11)/$C$21*$O$21</f>
        <v>-4.1946658536651825E-2</v>
      </c>
      <c r="R11" s="25">
        <f>-SUM($C$9:C11)/$C$21*$P$21</f>
        <v>-1.9059400258852617E-2</v>
      </c>
      <c r="S11" s="25">
        <f t="shared" si="10"/>
        <v>3063293.7235494326</v>
      </c>
      <c r="T11" s="25">
        <f t="shared" si="11"/>
        <v>627042.36634101917</v>
      </c>
      <c r="U11" s="28">
        <f t="shared" si="12"/>
        <v>86.414400786994335</v>
      </c>
      <c r="V11" s="29">
        <v>0.79974537037037041</v>
      </c>
    </row>
    <row r="12" spans="1:22" ht="15.75" thickBot="1" x14ac:dyDescent="0.3">
      <c r="A12" s="22" t="s">
        <v>49</v>
      </c>
      <c r="B12" s="22" t="str">
        <f t="shared" ref="B12:B18" si="13">A13</f>
        <v>m7</v>
      </c>
      <c r="C12" s="25">
        <v>56.266999999999996</v>
      </c>
      <c r="D12" s="19">
        <v>12.664895833333333</v>
      </c>
      <c r="E12" s="17"/>
      <c r="F12" s="46">
        <f t="shared" si="0"/>
        <v>5.9650347222222209</v>
      </c>
      <c r="G12" s="18">
        <f t="shared" si="5"/>
        <v>13.465034722222221</v>
      </c>
      <c r="H12" s="16">
        <v>4.4367283950617279E-4</v>
      </c>
      <c r="I12" s="46">
        <f t="shared" si="6"/>
        <v>5.9645910493827143</v>
      </c>
      <c r="J12" s="47">
        <f t="shared" si="7"/>
        <v>5.9645910493827143</v>
      </c>
      <c r="K12" s="47">
        <f t="shared" si="1"/>
        <v>143.15018518518514</v>
      </c>
      <c r="L12" s="25">
        <f t="shared" si="2"/>
        <v>2.4984420563210894</v>
      </c>
      <c r="M12" s="25">
        <f t="shared" si="3"/>
        <v>-45.025430573782032</v>
      </c>
      <c r="N12" s="25">
        <f t="shared" si="4"/>
        <v>33.744420140899351</v>
      </c>
      <c r="O12" s="28">
        <f t="shared" si="8"/>
        <v>3063248.7400655174</v>
      </c>
      <c r="P12" s="28">
        <f t="shared" si="9"/>
        <v>627076.12982056034</v>
      </c>
      <c r="Q12" s="25">
        <f>-SUM($C$9:C12)/$C$21*$O$21</f>
        <v>-5.3908822154585284E-2</v>
      </c>
      <c r="R12" s="25">
        <f>-SUM($C$9:C12)/$C$21*$P$21</f>
        <v>-2.4494676209542838E-2</v>
      </c>
      <c r="S12" s="25">
        <f t="shared" si="10"/>
        <v>3063248.6861566952</v>
      </c>
      <c r="T12" s="25">
        <f t="shared" si="11"/>
        <v>627076.10532588419</v>
      </c>
      <c r="U12" s="28">
        <f t="shared" si="12"/>
        <v>56.273313784597832</v>
      </c>
      <c r="V12" s="29">
        <v>5.9650925925925931</v>
      </c>
    </row>
    <row r="13" spans="1:22" ht="15.75" thickBot="1" x14ac:dyDescent="0.3">
      <c r="A13" s="22" t="s">
        <v>50</v>
      </c>
      <c r="B13" s="22" t="str">
        <f t="shared" si="13"/>
        <v>m6</v>
      </c>
      <c r="C13" s="25">
        <v>34.634</v>
      </c>
      <c r="D13" s="19">
        <v>5.7414004629629636</v>
      </c>
      <c r="E13" s="17"/>
      <c r="F13" s="46">
        <f t="shared" si="0"/>
        <v>4.2064351851851853</v>
      </c>
      <c r="G13" s="18">
        <f t="shared" si="5"/>
        <v>11.706435185185185</v>
      </c>
      <c r="H13" s="16">
        <v>5.5459104938271602E-4</v>
      </c>
      <c r="I13" s="46">
        <f t="shared" si="6"/>
        <v>4.2058805941358024</v>
      </c>
      <c r="J13" s="47">
        <f t="shared" si="7"/>
        <v>4.2058805941358024</v>
      </c>
      <c r="K13" s="47">
        <f t="shared" si="1"/>
        <v>100.94113425925926</v>
      </c>
      <c r="L13" s="25">
        <f t="shared" si="2"/>
        <v>1.7617551435217216</v>
      </c>
      <c r="M13" s="25">
        <f t="shared" si="3"/>
        <v>-6.5735460182825394</v>
      </c>
      <c r="N13" s="25">
        <f t="shared" si="4"/>
        <v>34.004447484785302</v>
      </c>
      <c r="O13" s="28">
        <f t="shared" si="8"/>
        <v>3063242.1665194989</v>
      </c>
      <c r="P13" s="28">
        <f t="shared" si="9"/>
        <v>627110.13426804508</v>
      </c>
      <c r="Q13" s="25">
        <f>-SUM($C$9:C13)/$C$21*$O$21</f>
        <v>-6.1271887090400372E-2</v>
      </c>
      <c r="R13" s="25">
        <f>-SUM($C$9:C13)/$C$21*$P$21</f>
        <v>-2.7840249054659962E-2</v>
      </c>
      <c r="S13" s="25">
        <f t="shared" si="10"/>
        <v>3063242.1052476116</v>
      </c>
      <c r="T13" s="25">
        <f t="shared" si="11"/>
        <v>627110.10642779607</v>
      </c>
      <c r="U13" s="28">
        <f t="shared" si="12"/>
        <v>34.632113645990756</v>
      </c>
      <c r="V13" s="29">
        <v>4.2064351851851853</v>
      </c>
    </row>
    <row r="14" spans="1:22" ht="15.75" thickBot="1" x14ac:dyDescent="0.3">
      <c r="A14" s="22" t="s">
        <v>51</v>
      </c>
      <c r="B14" s="22" t="str">
        <f t="shared" si="13"/>
        <v>m5</v>
      </c>
      <c r="C14" s="25">
        <v>34.566500000000005</v>
      </c>
      <c r="D14" s="19">
        <v>10.394456018518518</v>
      </c>
      <c r="E14" s="17"/>
      <c r="F14" s="46">
        <f t="shared" si="0"/>
        <v>7.1008912037037035</v>
      </c>
      <c r="G14" s="18">
        <f t="shared" si="5"/>
        <v>14.600891203703704</v>
      </c>
      <c r="H14" s="16">
        <v>6.6550925925925924E-4</v>
      </c>
      <c r="I14" s="46">
        <f t="shared" si="6"/>
        <v>7.1002256944444442</v>
      </c>
      <c r="J14" s="47">
        <f t="shared" si="7"/>
        <v>7.1002256944444442</v>
      </c>
      <c r="K14" s="47">
        <f t="shared" si="1"/>
        <v>170.40541666666667</v>
      </c>
      <c r="L14" s="25">
        <f t="shared" si="2"/>
        <v>2.9741355840661541</v>
      </c>
      <c r="M14" s="25">
        <f t="shared" si="3"/>
        <v>-34.082976841817853</v>
      </c>
      <c r="N14" s="25">
        <f t="shared" si="4"/>
        <v>5.7613897498874866</v>
      </c>
      <c r="O14" s="28">
        <f t="shared" si="8"/>
        <v>3063208.0835426571</v>
      </c>
      <c r="P14" s="28">
        <f t="shared" si="9"/>
        <v>627115.89565779502</v>
      </c>
      <c r="Q14" s="25">
        <f>-SUM($C$9:C14)/$C$21*$O$21</f>
        <v>-6.8620601766841219E-2</v>
      </c>
      <c r="R14" s="25">
        <f>-SUM($C$9:C14)/$C$21*$P$21</f>
        <v>-3.1179301539234108E-2</v>
      </c>
      <c r="S14" s="25">
        <f t="shared" si="10"/>
        <v>3063208.0149220554</v>
      </c>
      <c r="T14" s="25">
        <f t="shared" si="11"/>
        <v>627115.86447849346</v>
      </c>
      <c r="U14" s="28">
        <f t="shared" si="12"/>
        <v>34.573189675866587</v>
      </c>
      <c r="V14" s="29">
        <v>7.1005324074074077</v>
      </c>
    </row>
    <row r="15" spans="1:22" ht="15.75" thickBot="1" x14ac:dyDescent="0.3">
      <c r="A15" s="22" t="s">
        <v>52</v>
      </c>
      <c r="B15" s="22" t="str">
        <f t="shared" si="13"/>
        <v>m4</v>
      </c>
      <c r="C15" s="25">
        <v>69.064999999999998</v>
      </c>
      <c r="D15" s="19">
        <v>4.4050578703703707</v>
      </c>
      <c r="E15" s="17"/>
      <c r="F15" s="46">
        <f t="shared" si="0"/>
        <v>4.0059490740740742</v>
      </c>
      <c r="G15" s="18">
        <f t="shared" si="5"/>
        <v>11.505949074074074</v>
      </c>
      <c r="H15" s="16">
        <v>7.7642746913580247E-4</v>
      </c>
      <c r="I15" s="46">
        <f t="shared" si="6"/>
        <v>4.0051726466049384</v>
      </c>
      <c r="J15" s="47">
        <f t="shared" si="7"/>
        <v>4.0051726466049384</v>
      </c>
      <c r="K15" s="47">
        <f t="shared" si="1"/>
        <v>96.124143518518522</v>
      </c>
      <c r="L15" s="25">
        <f t="shared" si="2"/>
        <v>1.6776827950577151</v>
      </c>
      <c r="M15" s="25">
        <f t="shared" si="3"/>
        <v>-7.3680655307163203</v>
      </c>
      <c r="N15" s="25">
        <f t="shared" si="4"/>
        <v>68.670851424276577</v>
      </c>
      <c r="O15" s="28">
        <f t="shared" si="8"/>
        <v>3063200.7154771262</v>
      </c>
      <c r="P15" s="28">
        <f t="shared" si="9"/>
        <v>627184.56650921924</v>
      </c>
      <c r="Q15" s="25">
        <f>-SUM($C$9:C15)/$C$21*$O$21</f>
        <v>-8.3303574562131083E-2</v>
      </c>
      <c r="R15" s="25">
        <f>-SUM($C$9:C15)/$C$21*$P$21</f>
        <v>-3.785083784887245E-2</v>
      </c>
      <c r="S15" s="25">
        <f t="shared" si="10"/>
        <v>3063200.6321735517</v>
      </c>
      <c r="T15" s="25">
        <f t="shared" si="11"/>
        <v>627184.52865838143</v>
      </c>
      <c r="U15" s="28">
        <f t="shared" si="12"/>
        <v>69.059934659371748</v>
      </c>
      <c r="V15" s="29">
        <v>4.0057060185185183</v>
      </c>
    </row>
    <row r="16" spans="1:22" ht="15.75" thickBot="1" x14ac:dyDescent="0.3">
      <c r="A16" s="22" t="s">
        <v>53</v>
      </c>
      <c r="B16" s="22" t="str">
        <f t="shared" si="13"/>
        <v>m3</v>
      </c>
      <c r="C16" s="25">
        <v>61.176500000000004</v>
      </c>
      <c r="D16" s="19">
        <v>6.7496875000000003</v>
      </c>
      <c r="E16" s="17"/>
      <c r="F16" s="46">
        <f t="shared" si="0"/>
        <v>3.2556365740740745</v>
      </c>
      <c r="G16" s="18">
        <f t="shared" si="5"/>
        <v>10.755636574074074</v>
      </c>
      <c r="H16" s="16">
        <v>8.8734567901234559E-4</v>
      </c>
      <c r="I16" s="46">
        <f t="shared" si="6"/>
        <v>3.2547492283950623</v>
      </c>
      <c r="J16" s="47">
        <f t="shared" si="7"/>
        <v>3.2547492283950623</v>
      </c>
      <c r="K16" s="47">
        <f t="shared" si="1"/>
        <v>78.113981481481488</v>
      </c>
      <c r="L16" s="25">
        <f t="shared" si="2"/>
        <v>1.36334616869373</v>
      </c>
      <c r="M16" s="25">
        <f t="shared" si="3"/>
        <v>12.600242334264749</v>
      </c>
      <c r="N16" s="25">
        <f t="shared" si="4"/>
        <v>59.864831456939747</v>
      </c>
      <c r="O16" s="28">
        <f t="shared" si="8"/>
        <v>3063213.3157194606</v>
      </c>
      <c r="P16" s="28">
        <f t="shared" si="9"/>
        <v>627244.43134067615</v>
      </c>
      <c r="Q16" s="25">
        <f>-SUM($C$9:C16)/$C$21*$O$21</f>
        <v>-9.630948037855111E-2</v>
      </c>
      <c r="R16" s="25">
        <f>-SUM($C$9:C16)/$C$21*$P$21</f>
        <v>-4.3760361356388403E-2</v>
      </c>
      <c r="S16" s="25">
        <f t="shared" si="10"/>
        <v>3063213.2194099803</v>
      </c>
      <c r="T16" s="25">
        <f t="shared" si="11"/>
        <v>627244.38758031477</v>
      </c>
      <c r="U16" s="28">
        <f t="shared" si="12"/>
        <v>61.168039497205243</v>
      </c>
      <c r="V16" s="29">
        <v>3.2552083333333335</v>
      </c>
    </row>
    <row r="17" spans="1:22" ht="15.75" thickBot="1" x14ac:dyDescent="0.3">
      <c r="A17" s="22" t="s">
        <v>54</v>
      </c>
      <c r="B17" s="22" t="str">
        <f t="shared" si="13"/>
        <v>m2</v>
      </c>
      <c r="C17" s="25">
        <v>39.650500000000001</v>
      </c>
      <c r="D17" s="19">
        <v>2.6861921296296298</v>
      </c>
      <c r="E17" s="17"/>
      <c r="F17" s="46">
        <f t="shared" si="0"/>
        <v>13.441828703703704</v>
      </c>
      <c r="G17" s="18">
        <f t="shared" si="5"/>
        <v>5.9418287037037043</v>
      </c>
      <c r="H17" s="16">
        <v>9.9826388888888881E-4</v>
      </c>
      <c r="I17" s="46">
        <f t="shared" si="6"/>
        <v>13.440830439814816</v>
      </c>
      <c r="J17" s="47">
        <f t="shared" si="7"/>
        <v>13.440830439814816</v>
      </c>
      <c r="K17" s="47">
        <f t="shared" si="1"/>
        <v>322.57993055555556</v>
      </c>
      <c r="L17" s="25">
        <f t="shared" si="2"/>
        <v>5.630081889049106</v>
      </c>
      <c r="M17" s="25">
        <f t="shared" si="3"/>
        <v>31.490499322603938</v>
      </c>
      <c r="N17" s="25">
        <f t="shared" si="4"/>
        <v>-24.093787636299133</v>
      </c>
      <c r="O17" s="28">
        <f t="shared" si="8"/>
        <v>3063244.8062187834</v>
      </c>
      <c r="P17" s="28">
        <f t="shared" si="9"/>
        <v>627220.33755303989</v>
      </c>
      <c r="Q17" s="25">
        <f>-SUM($C$9:C17)/$C$21*$O$21</f>
        <v>-0.1047390353314164</v>
      </c>
      <c r="R17" s="25">
        <f>-SUM($C$9:C17)/$C$21*$P$21</f>
        <v>-4.7590517737266053E-2</v>
      </c>
      <c r="S17" s="25">
        <f t="shared" si="10"/>
        <v>3063244.7014797479</v>
      </c>
      <c r="T17" s="25">
        <f t="shared" si="11"/>
        <v>627220.2899625221</v>
      </c>
      <c r="U17" s="28">
        <f t="shared" si="12"/>
        <v>39.646133482723755</v>
      </c>
      <c r="V17" s="29">
        <v>13.440312499999999</v>
      </c>
    </row>
    <row r="18" spans="1:22" ht="15.75" thickBot="1" x14ac:dyDescent="0.3">
      <c r="A18" s="22" t="s">
        <v>55</v>
      </c>
      <c r="B18" s="22" t="str">
        <f t="shared" si="13"/>
        <v>m1</v>
      </c>
      <c r="C18" s="25">
        <v>73.330999999999989</v>
      </c>
      <c r="D18" s="19">
        <v>9.8203819444444438</v>
      </c>
      <c r="E18" s="17"/>
      <c r="F18" s="46">
        <f t="shared" si="0"/>
        <v>0.7622106481481481</v>
      </c>
      <c r="G18" s="18">
        <f t="shared" si="5"/>
        <v>8.2622106481481481</v>
      </c>
      <c r="H18" s="16">
        <v>1.109182098765432E-3</v>
      </c>
      <c r="I18" s="46">
        <f t="shared" si="6"/>
        <v>0.76110146604938267</v>
      </c>
      <c r="J18" s="47">
        <f t="shared" si="7"/>
        <v>0.76110146604938267</v>
      </c>
      <c r="K18" s="47">
        <f t="shared" si="1"/>
        <v>18.266435185185184</v>
      </c>
      <c r="L18" s="25">
        <f t="shared" si="2"/>
        <v>0.3188094365836216</v>
      </c>
      <c r="M18" s="25">
        <f t="shared" si="3"/>
        <v>69.635796402364676</v>
      </c>
      <c r="N18" s="25">
        <f t="shared" si="4"/>
        <v>22.984590934110894</v>
      </c>
      <c r="O18" s="28">
        <f t="shared" si="8"/>
        <v>3063314.442015186</v>
      </c>
      <c r="P18" s="28">
        <f t="shared" si="9"/>
        <v>627243.32214397402</v>
      </c>
      <c r="Q18" s="25">
        <f>-SUM($C$9:C18)/$C$21*$O$21</f>
        <v>-0.12032894451915839</v>
      </c>
      <c r="R18" s="25">
        <f>-SUM($C$9:C18)/$C$21*$P$21</f>
        <v>-5.4674140833220426E-2</v>
      </c>
      <c r="S18" s="25">
        <f t="shared" si="10"/>
        <v>3063314.3216862413</v>
      </c>
      <c r="T18" s="25">
        <f t="shared" si="11"/>
        <v>627243.26746983314</v>
      </c>
      <c r="U18" s="28">
        <f t="shared" si="12"/>
        <v>73.313975437258634</v>
      </c>
      <c r="V18" s="29">
        <v>0.76101851851851843</v>
      </c>
    </row>
    <row r="19" spans="1:22" ht="15.75" thickBot="1" x14ac:dyDescent="0.3">
      <c r="A19" s="22" t="s">
        <v>56</v>
      </c>
      <c r="B19" s="22" t="s">
        <v>12</v>
      </c>
      <c r="C19" s="25">
        <v>77.146000000000001</v>
      </c>
      <c r="D19" s="19">
        <v>3.1934722222222223</v>
      </c>
      <c r="E19" s="17"/>
      <c r="F19" s="46">
        <f t="shared" si="0"/>
        <v>11.455682870370371</v>
      </c>
      <c r="G19" s="18">
        <f t="shared" si="5"/>
        <v>3.9556828703703708</v>
      </c>
      <c r="H19" s="16">
        <v>1.2201003086419753E-3</v>
      </c>
      <c r="I19" s="46">
        <f t="shared" si="6"/>
        <v>11.454462770061729</v>
      </c>
      <c r="J19" s="47">
        <f t="shared" si="7"/>
        <v>11.454462770061729</v>
      </c>
      <c r="K19" s="47">
        <f t="shared" si="1"/>
        <v>274.90710648148149</v>
      </c>
      <c r="L19" s="25">
        <f t="shared" si="2"/>
        <v>4.7980341452324957</v>
      </c>
      <c r="M19" s="25">
        <f t="shared" si="3"/>
        <v>6.5991074655919348</v>
      </c>
      <c r="N19" s="25">
        <f t="shared" si="4"/>
        <v>-76.863236313972422</v>
      </c>
      <c r="O19" s="28">
        <f t="shared" si="8"/>
        <v>3063321.0411226517</v>
      </c>
      <c r="P19" s="28">
        <f t="shared" si="9"/>
        <v>627166.4589076601</v>
      </c>
      <c r="Q19" s="25">
        <f>-SUM($C$9:C19)/$C$21*$O$21</f>
        <v>-0.13672990910708904</v>
      </c>
      <c r="R19" s="25">
        <f>-SUM($C$9:C19)/$C$21*$P$21</f>
        <v>-6.2126285047270358E-2</v>
      </c>
      <c r="S19" s="108">
        <f t="shared" si="10"/>
        <v>3063320.9043927426</v>
      </c>
      <c r="T19" s="108">
        <f t="shared" si="11"/>
        <v>627166.39678137505</v>
      </c>
      <c r="U19" s="28">
        <f t="shared" si="12"/>
        <v>77.152023751176984</v>
      </c>
      <c r="V19" s="29">
        <v>11.453912037037037</v>
      </c>
    </row>
    <row r="20" spans="1:22" ht="15.75" thickBot="1" x14ac:dyDescent="0.3">
      <c r="A20" s="22" t="s">
        <v>12</v>
      </c>
      <c r="B20" s="22" t="s">
        <v>13</v>
      </c>
      <c r="C20" s="25"/>
      <c r="D20" s="19">
        <v>7.9757175925925923</v>
      </c>
      <c r="E20" s="17">
        <v>11.930069444444444</v>
      </c>
      <c r="F20" s="46">
        <f t="shared" si="0"/>
        <v>11.931400462962962</v>
      </c>
      <c r="G20" s="18">
        <f t="shared" si="5"/>
        <v>4.4314004629629622</v>
      </c>
      <c r="H20" s="16">
        <v>1.3310185185185185E-3</v>
      </c>
      <c r="I20" s="46"/>
      <c r="J20" s="47"/>
      <c r="K20" s="47"/>
      <c r="L20" s="25"/>
      <c r="M20" s="25"/>
      <c r="N20" s="82" t="s">
        <v>64</v>
      </c>
      <c r="O20" s="28">
        <v>3063320.9043927426</v>
      </c>
      <c r="P20" s="28">
        <v>627166.39678137505</v>
      </c>
      <c r="Q20" s="25"/>
      <c r="R20" s="25"/>
      <c r="S20" s="25"/>
      <c r="T20" s="25"/>
      <c r="U20" s="28"/>
      <c r="V20" s="29"/>
    </row>
    <row r="21" spans="1:22" ht="16.5" thickTop="1" thickBot="1" x14ac:dyDescent="0.3">
      <c r="A21" s="22"/>
      <c r="B21" s="22"/>
      <c r="C21" s="35">
        <f>SUM(C9:C19)</f>
        <v>643.14299999999992</v>
      </c>
      <c r="D21" s="39"/>
      <c r="E21" s="19"/>
      <c r="F21" s="64">
        <f>F20-E20</f>
        <v>1.3310185185186896E-3</v>
      </c>
      <c r="G21" s="19"/>
      <c r="H21" s="39"/>
      <c r="I21" s="45"/>
      <c r="J21" s="47"/>
      <c r="K21" s="47"/>
      <c r="L21" s="25"/>
      <c r="M21" s="36">
        <f>SUM(M8:M20)</f>
        <v>78.49697582063078</v>
      </c>
      <c r="N21" s="36">
        <f>SUM(N8:N20)</f>
        <v>254.90275885451956</v>
      </c>
      <c r="O21" s="81">
        <f>ABS(O20-O19)</f>
        <v>0.13672990910708904</v>
      </c>
      <c r="P21" s="81">
        <f>ABS(P20-P19)</f>
        <v>6.2126285047270358E-2</v>
      </c>
      <c r="Q21" s="35"/>
      <c r="R21" s="35"/>
      <c r="S21" s="36"/>
      <c r="T21" s="36"/>
      <c r="U21" s="25"/>
      <c r="V21" s="19"/>
    </row>
    <row r="22" spans="1:22" ht="15.75" thickTop="1" x14ac:dyDescent="0.25">
      <c r="C22" s="13"/>
      <c r="D22" s="14"/>
      <c r="J22" s="63"/>
      <c r="K22" s="63"/>
      <c r="L22" s="13"/>
      <c r="M22" s="13"/>
      <c r="N22" s="13"/>
      <c r="O22" s="83"/>
      <c r="P22" s="83"/>
      <c r="U22" s="13"/>
      <c r="V22" s="14"/>
    </row>
    <row r="23" spans="1:22" x14ac:dyDescent="0.25">
      <c r="C23" s="13"/>
      <c r="D23" s="13"/>
      <c r="L23" s="13"/>
      <c r="M23" s="13"/>
      <c r="N23" s="13"/>
    </row>
    <row r="24" spans="1:22" x14ac:dyDescent="0.25">
      <c r="D24" s="13"/>
      <c r="M24" s="13"/>
    </row>
    <row r="25" spans="1:22" x14ac:dyDescent="0.25">
      <c r="L25" s="13"/>
      <c r="M25" s="14"/>
    </row>
    <row r="26" spans="1:22" x14ac:dyDescent="0.25">
      <c r="M26" s="14"/>
    </row>
    <row r="27" spans="1:22" x14ac:dyDescent="0.25">
      <c r="M27" s="14"/>
    </row>
    <row r="28" spans="1:22" x14ac:dyDescent="0.25">
      <c r="L28" s="14"/>
    </row>
    <row r="29" spans="1:22" x14ac:dyDescent="0.25">
      <c r="M29" s="14"/>
    </row>
    <row r="30" spans="1:22" x14ac:dyDescent="0.25">
      <c r="M30" s="14"/>
    </row>
    <row r="31" spans="1:22" x14ac:dyDescent="0.25">
      <c r="M31" s="14"/>
    </row>
    <row r="32" spans="1:22" x14ac:dyDescent="0.25">
      <c r="M32" s="14"/>
    </row>
    <row r="33" spans="5:20" x14ac:dyDescent="0.25">
      <c r="M33" s="14"/>
    </row>
    <row r="34" spans="5:20" x14ac:dyDescent="0.25">
      <c r="M34" s="14"/>
    </row>
    <row r="35" spans="5:20" x14ac:dyDescent="0.25">
      <c r="M35" s="14"/>
    </row>
    <row r="36" spans="5:20" x14ac:dyDescent="0.25">
      <c r="M36" s="14"/>
    </row>
    <row r="37" spans="5:20" x14ac:dyDescent="0.25">
      <c r="M37" s="14"/>
      <c r="O37" s="13"/>
      <c r="P37" s="13"/>
      <c r="S37" s="25"/>
      <c r="T37" s="25"/>
    </row>
    <row r="38" spans="5:20" x14ac:dyDescent="0.25">
      <c r="E38" s="14"/>
      <c r="F38" s="14"/>
      <c r="G38" s="15"/>
      <c r="H38" s="15"/>
      <c r="I38" s="15"/>
      <c r="M38" s="14"/>
      <c r="O38" s="13"/>
      <c r="Q38" s="13"/>
      <c r="R38" s="13"/>
      <c r="S38" s="13"/>
      <c r="T38" s="13"/>
    </row>
    <row r="39" spans="5:20" x14ac:dyDescent="0.25">
      <c r="E39" s="13"/>
      <c r="F39" s="13"/>
      <c r="S39" s="13"/>
    </row>
    <row r="40" spans="5:20" x14ac:dyDescent="0.25">
      <c r="E40" s="13"/>
      <c r="F40" s="13"/>
    </row>
    <row r="41" spans="5:20" x14ac:dyDescent="0.25">
      <c r="E41" s="13"/>
      <c r="F41" s="13"/>
    </row>
    <row r="42" spans="5:20" x14ac:dyDescent="0.25">
      <c r="E42" s="13"/>
      <c r="F42" s="13"/>
    </row>
    <row r="43" spans="5:20" x14ac:dyDescent="0.25">
      <c r="E43" s="13"/>
      <c r="F43" s="13"/>
    </row>
    <row r="44" spans="5:20" x14ac:dyDescent="0.25">
      <c r="E44" s="13"/>
      <c r="F44" s="13"/>
    </row>
    <row r="45" spans="5:20" x14ac:dyDescent="0.25">
      <c r="E45" s="13"/>
      <c r="F45" s="13"/>
    </row>
    <row r="46" spans="5:20" x14ac:dyDescent="0.25">
      <c r="E46" s="13"/>
      <c r="F46" s="13"/>
    </row>
    <row r="47" spans="5:20" x14ac:dyDescent="0.25">
      <c r="E47" s="13"/>
      <c r="F47" s="13"/>
    </row>
    <row r="48" spans="5:20" x14ac:dyDescent="0.25">
      <c r="E48" s="13"/>
      <c r="F48" s="13"/>
    </row>
    <row r="49" spans="5:6" x14ac:dyDescent="0.25">
      <c r="E49" s="13"/>
      <c r="F49" s="13"/>
    </row>
    <row r="50" spans="5:6" x14ac:dyDescent="0.25">
      <c r="E50" s="13"/>
      <c r="F50" s="13"/>
    </row>
    <row r="51" spans="5:6" x14ac:dyDescent="0.25">
      <c r="E51" s="13"/>
      <c r="F51" s="13"/>
    </row>
    <row r="52" spans="5:6" x14ac:dyDescent="0.25">
      <c r="E52" s="13"/>
      <c r="F52" s="13"/>
    </row>
  </sheetData>
  <mergeCells count="17">
    <mergeCell ref="A1:C1"/>
    <mergeCell ref="A3:V3"/>
    <mergeCell ref="A6:A7"/>
    <mergeCell ref="B6:B7"/>
    <mergeCell ref="C6:C7"/>
    <mergeCell ref="D6:D7"/>
    <mergeCell ref="H6:H7"/>
    <mergeCell ref="I6:I7"/>
    <mergeCell ref="E6:F7"/>
    <mergeCell ref="G6:G7"/>
    <mergeCell ref="V6:V7"/>
    <mergeCell ref="J6:L7"/>
    <mergeCell ref="M6:N6"/>
    <mergeCell ref="Q6:R6"/>
    <mergeCell ref="S6:T6"/>
    <mergeCell ref="O6:P6"/>
    <mergeCell ref="U6:U7"/>
  </mergeCells>
  <pageMargins left="0.25" right="0.25" top="0.75" bottom="0.75" header="0.3" footer="0.3"/>
  <pageSetup paperSize="8"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030-2ACE-423F-B5B3-AA9E08D1B57B}">
  <dimension ref="A3:R129"/>
  <sheetViews>
    <sheetView tabSelected="1" topLeftCell="A76" workbookViewId="0">
      <selection activeCell="F22" sqref="F22"/>
    </sheetView>
  </sheetViews>
  <sheetFormatPr defaultRowHeight="15" x14ac:dyDescent="0.25"/>
  <cols>
    <col min="2" max="2" width="12.7109375" customWidth="1"/>
    <col min="3" max="3" width="10.28515625" customWidth="1"/>
    <col min="6" max="6" width="10.5703125" bestFit="1" customWidth="1"/>
    <col min="8" max="8" width="11.7109375" customWidth="1"/>
    <col min="17" max="17" width="10.7109375" style="129" customWidth="1"/>
  </cols>
  <sheetData>
    <row r="3" spans="1:17" ht="15" customHeight="1" x14ac:dyDescent="0.25">
      <c r="B3" s="133" t="s">
        <v>65</v>
      </c>
      <c r="C3" s="133"/>
      <c r="D3" s="133"/>
      <c r="E3" s="133"/>
      <c r="F3" s="133"/>
      <c r="G3" s="133"/>
      <c r="H3" s="133"/>
    </row>
    <row r="4" spans="1:17" ht="15" customHeight="1" x14ac:dyDescent="0.25">
      <c r="B4" s="133"/>
      <c r="C4" s="133"/>
      <c r="D4" s="133"/>
      <c r="E4" s="133"/>
      <c r="F4" s="133"/>
      <c r="G4" s="133"/>
      <c r="H4" s="133"/>
    </row>
    <row r="5" spans="1:17" x14ac:dyDescent="0.25">
      <c r="D5" s="109"/>
      <c r="E5" s="109"/>
      <c r="F5" s="109"/>
      <c r="G5" s="109"/>
      <c r="H5" s="109"/>
    </row>
    <row r="7" spans="1:17" s="12" customFormat="1" x14ac:dyDescent="0.25">
      <c r="A7" s="117"/>
      <c r="B7" s="118" t="s">
        <v>66</v>
      </c>
      <c r="C7" s="118"/>
      <c r="D7" s="118"/>
      <c r="E7" s="118"/>
      <c r="F7" s="118"/>
      <c r="G7" s="118"/>
      <c r="H7" s="118"/>
      <c r="Q7" s="130"/>
    </row>
    <row r="8" spans="1:17" x14ac:dyDescent="0.25">
      <c r="B8" s="120" t="s">
        <v>67</v>
      </c>
      <c r="C8" s="121" t="s">
        <v>69</v>
      </c>
      <c r="D8" s="120" t="s">
        <v>68</v>
      </c>
      <c r="E8" s="120"/>
      <c r="F8" s="120"/>
      <c r="G8" s="120" t="s">
        <v>29</v>
      </c>
      <c r="H8" s="121" t="s">
        <v>70</v>
      </c>
    </row>
    <row r="9" spans="1:17" x14ac:dyDescent="0.25">
      <c r="B9" s="120"/>
      <c r="C9" s="120"/>
      <c r="D9" s="122" t="s">
        <v>71</v>
      </c>
      <c r="E9" s="122" t="s">
        <v>72</v>
      </c>
      <c r="F9" s="122" t="s">
        <v>73</v>
      </c>
      <c r="G9" s="120"/>
      <c r="H9" s="120"/>
    </row>
    <row r="10" spans="1:17" x14ac:dyDescent="0.25">
      <c r="B10" s="112" t="s">
        <v>75</v>
      </c>
      <c r="C10" s="113" t="s">
        <v>77</v>
      </c>
      <c r="D10" s="125">
        <v>1.216</v>
      </c>
      <c r="E10" s="125">
        <v>1.115</v>
      </c>
      <c r="F10" s="125">
        <v>1.0149999999999999</v>
      </c>
      <c r="G10" s="125">
        <f>(D10+E10+F10)/3</f>
        <v>1.1153333333333333</v>
      </c>
      <c r="H10" s="126">
        <f>E11-E10</f>
        <v>5.0000000000000044E-2</v>
      </c>
    </row>
    <row r="11" spans="1:17" x14ac:dyDescent="0.25">
      <c r="B11" s="114"/>
      <c r="C11" s="115" t="s">
        <v>78</v>
      </c>
      <c r="D11" s="127">
        <v>1.2649999999999999</v>
      </c>
      <c r="E11" s="127">
        <v>1.165</v>
      </c>
      <c r="F11" s="127">
        <v>1.0640000000000001</v>
      </c>
      <c r="G11" s="127">
        <f>(D11+E11+F11)/3</f>
        <v>1.1646666666666665</v>
      </c>
      <c r="H11" s="128"/>
    </row>
    <row r="13" spans="1:17" s="12" customFormat="1" x14ac:dyDescent="0.25">
      <c r="A13" s="117"/>
      <c r="B13" s="118" t="s">
        <v>74</v>
      </c>
      <c r="C13" s="118"/>
      <c r="D13" s="118"/>
      <c r="E13" s="118"/>
      <c r="F13" s="118"/>
      <c r="G13" s="118"/>
      <c r="H13" s="118"/>
      <c r="Q13" s="130"/>
    </row>
    <row r="14" spans="1:17" x14ac:dyDescent="0.25">
      <c r="B14" s="120" t="s">
        <v>67</v>
      </c>
      <c r="C14" s="121" t="s">
        <v>69</v>
      </c>
      <c r="D14" s="120" t="s">
        <v>68</v>
      </c>
      <c r="E14" s="120"/>
      <c r="F14" s="120"/>
      <c r="G14" s="120" t="s">
        <v>29</v>
      </c>
      <c r="H14" s="121" t="s">
        <v>70</v>
      </c>
    </row>
    <row r="15" spans="1:17" x14ac:dyDescent="0.25">
      <c r="B15" s="120"/>
      <c r="C15" s="120"/>
      <c r="D15" s="122" t="s">
        <v>71</v>
      </c>
      <c r="E15" s="122" t="s">
        <v>72</v>
      </c>
      <c r="F15" s="122" t="s">
        <v>73</v>
      </c>
      <c r="G15" s="120"/>
      <c r="H15" s="120"/>
    </row>
    <row r="16" spans="1:17" x14ac:dyDescent="0.25">
      <c r="B16" s="112" t="s">
        <v>76</v>
      </c>
      <c r="C16" s="113" t="s">
        <v>77</v>
      </c>
      <c r="D16" s="125">
        <v>1.167</v>
      </c>
      <c r="E16" s="125">
        <v>1.147</v>
      </c>
      <c r="F16" s="125">
        <v>1.127</v>
      </c>
      <c r="G16" s="125">
        <f>(D16+E16+F16)/3</f>
        <v>1.147</v>
      </c>
      <c r="H16" s="126">
        <f>E17-E16</f>
        <v>5.600000000000005E-2</v>
      </c>
    </row>
    <row r="17" spans="2:17" x14ac:dyDescent="0.25">
      <c r="B17" s="114"/>
      <c r="C17" s="115" t="s">
        <v>78</v>
      </c>
      <c r="D17" s="127">
        <v>1.3839999999999999</v>
      </c>
      <c r="E17" s="127">
        <v>1.2030000000000001</v>
      </c>
      <c r="F17" s="127">
        <v>1.022</v>
      </c>
      <c r="G17" s="127">
        <f>(D17+E17+F17)/3</f>
        <v>1.2030000000000001</v>
      </c>
      <c r="H17" s="128"/>
    </row>
    <row r="19" spans="2:17" x14ac:dyDescent="0.25">
      <c r="B19" s="119" t="s">
        <v>90</v>
      </c>
      <c r="C19" s="119"/>
      <c r="D19">
        <f>H16-H10</f>
        <v>6.0000000000000053E-3</v>
      </c>
    </row>
    <row r="20" spans="2:17" x14ac:dyDescent="0.25">
      <c r="B20" s="116" t="s">
        <v>91</v>
      </c>
      <c r="C20" s="116"/>
      <c r="D20">
        <f>32/D19</f>
        <v>5333.3333333333285</v>
      </c>
    </row>
    <row r="26" spans="2:17" ht="15" customHeight="1" x14ac:dyDescent="0.25">
      <c r="B26" s="133" t="s">
        <v>79</v>
      </c>
      <c r="C26" s="133"/>
      <c r="D26" s="133"/>
      <c r="E26" s="133"/>
      <c r="F26" s="133"/>
      <c r="G26" s="133"/>
      <c r="H26" s="133"/>
    </row>
    <row r="27" spans="2:17" ht="15" customHeight="1" x14ac:dyDescent="0.25">
      <c r="B27" s="133"/>
      <c r="C27" s="133"/>
      <c r="D27" s="133"/>
      <c r="E27" s="133"/>
      <c r="F27" s="133"/>
      <c r="G27" s="133"/>
      <c r="H27" s="133"/>
    </row>
    <row r="28" spans="2:17" ht="15" customHeight="1" x14ac:dyDescent="0.25">
      <c r="D28" s="111"/>
      <c r="E28" s="111"/>
      <c r="F28" s="111"/>
      <c r="G28" s="111"/>
      <c r="H28" s="111"/>
    </row>
    <row r="29" spans="2:17" ht="15" customHeight="1" x14ac:dyDescent="0.25">
      <c r="B29" s="124" t="s">
        <v>117</v>
      </c>
      <c r="C29" s="124"/>
      <c r="D29" s="124"/>
      <c r="E29" s="124"/>
      <c r="F29" s="124"/>
      <c r="G29" s="124"/>
      <c r="H29" s="124"/>
    </row>
    <row r="30" spans="2:17" ht="15" customHeight="1" x14ac:dyDescent="0.25">
      <c r="B30" s="121" t="s">
        <v>80</v>
      </c>
      <c r="C30" s="120" t="s">
        <v>81</v>
      </c>
      <c r="D30" s="120"/>
      <c r="E30" s="120"/>
      <c r="F30" s="121" t="s">
        <v>82</v>
      </c>
      <c r="G30" s="120" t="s">
        <v>110</v>
      </c>
      <c r="H30" s="120" t="s">
        <v>83</v>
      </c>
      <c r="I30" s="120"/>
      <c r="J30" s="120"/>
      <c r="K30" s="121" t="s">
        <v>84</v>
      </c>
      <c r="L30" s="120" t="s">
        <v>111</v>
      </c>
      <c r="M30" s="120" t="s">
        <v>85</v>
      </c>
      <c r="N30" s="120" t="s">
        <v>86</v>
      </c>
      <c r="O30" s="120" t="s">
        <v>87</v>
      </c>
      <c r="P30" s="121" t="s">
        <v>88</v>
      </c>
      <c r="Q30" s="131" t="s">
        <v>89</v>
      </c>
    </row>
    <row r="31" spans="2:17" x14ac:dyDescent="0.25">
      <c r="B31" s="121"/>
      <c r="C31" s="122" t="s">
        <v>71</v>
      </c>
      <c r="D31" s="122" t="s">
        <v>72</v>
      </c>
      <c r="E31" s="122" t="s">
        <v>73</v>
      </c>
      <c r="F31" s="120"/>
      <c r="G31" s="120"/>
      <c r="H31" s="122" t="s">
        <v>71</v>
      </c>
      <c r="I31" s="122" t="s">
        <v>72</v>
      </c>
      <c r="J31" s="122" t="s">
        <v>73</v>
      </c>
      <c r="K31" s="120"/>
      <c r="L31" s="120"/>
      <c r="M31" s="120"/>
      <c r="N31" s="120"/>
      <c r="O31" s="120"/>
      <c r="P31" s="120"/>
      <c r="Q31" s="132"/>
    </row>
    <row r="32" spans="2:17" x14ac:dyDescent="0.25">
      <c r="B32" t="s">
        <v>92</v>
      </c>
      <c r="C32" s="8">
        <v>0.79</v>
      </c>
      <c r="D32" s="8">
        <v>0.72</v>
      </c>
      <c r="E32" s="8">
        <v>0.65</v>
      </c>
      <c r="F32" s="8">
        <f>(C32+D32+E32)/3</f>
        <v>0.72000000000000008</v>
      </c>
      <c r="G32" s="8">
        <f>C32-E32</f>
        <v>0.14000000000000001</v>
      </c>
      <c r="H32" s="123"/>
      <c r="I32" s="123"/>
      <c r="J32" s="123"/>
      <c r="K32" s="123"/>
      <c r="L32" s="123"/>
      <c r="M32" s="123"/>
      <c r="N32" s="123"/>
      <c r="O32" s="8"/>
      <c r="P32" s="8">
        <f>(G32+L32)</f>
        <v>0.14000000000000001</v>
      </c>
      <c r="Q32" s="129">
        <f>P32*100</f>
        <v>14.000000000000002</v>
      </c>
    </row>
    <row r="33" spans="2:17" x14ac:dyDescent="0.25">
      <c r="B33" t="s">
        <v>93</v>
      </c>
      <c r="C33" s="8">
        <v>1.8360000000000001</v>
      </c>
      <c r="D33" s="8">
        <v>1.724</v>
      </c>
      <c r="E33" s="8">
        <v>1.6180000000000001</v>
      </c>
      <c r="F33" s="8">
        <f t="shared" ref="F33:F48" si="0">(C33+D33+E33)/3</f>
        <v>1.726</v>
      </c>
      <c r="G33" s="8">
        <f t="shared" ref="G33:G48" si="1">C33-E33</f>
        <v>0.21799999999999997</v>
      </c>
      <c r="H33" s="8">
        <v>1.2649999999999999</v>
      </c>
      <c r="I33" s="8">
        <v>1.194</v>
      </c>
      <c r="J33" s="8">
        <v>1.123</v>
      </c>
      <c r="K33" s="8">
        <f>(H33+I33+J33)/3</f>
        <v>1.194</v>
      </c>
      <c r="L33" s="8">
        <f>H33-J33</f>
        <v>0.1419999999999999</v>
      </c>
      <c r="M33" s="8" t="str">
        <f>IF(SIGN(F32-K33)=1,F32-K33,"")</f>
        <v/>
      </c>
      <c r="N33" s="8">
        <f>IF(SIGN(F32-K33)=-1,ABS(F32-K33),"")</f>
        <v>0.47399999999999987</v>
      </c>
      <c r="O33" s="8"/>
      <c r="P33" s="8">
        <f t="shared" ref="P33:P49" si="2">(G33+L33)</f>
        <v>0.35999999999999988</v>
      </c>
      <c r="Q33" s="129">
        <f t="shared" ref="Q33:Q50" si="3">P33*100</f>
        <v>35.999999999999986</v>
      </c>
    </row>
    <row r="34" spans="2:17" x14ac:dyDescent="0.25">
      <c r="B34" t="s">
        <v>94</v>
      </c>
      <c r="C34" s="8">
        <v>1.708</v>
      </c>
      <c r="D34" s="8">
        <v>1.6359999999999999</v>
      </c>
      <c r="E34" s="8">
        <v>1.5649999999999999</v>
      </c>
      <c r="F34" s="8">
        <f t="shared" si="0"/>
        <v>1.6363333333333332</v>
      </c>
      <c r="G34" s="8">
        <f t="shared" si="1"/>
        <v>0.14300000000000002</v>
      </c>
      <c r="H34" s="8">
        <v>1.288</v>
      </c>
      <c r="I34" s="8">
        <v>1.1819999999999999</v>
      </c>
      <c r="J34" s="8">
        <v>1.0780000000000001</v>
      </c>
      <c r="K34" s="8">
        <f t="shared" ref="K34:K49" si="4">(H34+I34+J34)/3</f>
        <v>1.1826666666666668</v>
      </c>
      <c r="L34" s="8">
        <f t="shared" ref="L34:L49" si="5">H34-J34</f>
        <v>0.20999999999999996</v>
      </c>
      <c r="M34" s="8">
        <f t="shared" ref="M34:M49" si="6">IF(SIGN(F33-K34)=1,F33-K34,"")</f>
        <v>0.54333333333333322</v>
      </c>
      <c r="N34" s="8" t="str">
        <f t="shared" ref="N34:N49" si="7">IF(SIGN(F33-K34)=-1,ABS(F33-K34),"")</f>
        <v/>
      </c>
      <c r="O34" s="8"/>
      <c r="P34" s="8">
        <f t="shared" si="2"/>
        <v>0.35299999999999998</v>
      </c>
      <c r="Q34" s="129">
        <f t="shared" si="3"/>
        <v>35.299999999999997</v>
      </c>
    </row>
    <row r="35" spans="2:17" x14ac:dyDescent="0.25">
      <c r="B35" t="s">
        <v>95</v>
      </c>
      <c r="C35" s="8">
        <v>1.6639999999999999</v>
      </c>
      <c r="D35" s="8">
        <v>1.585</v>
      </c>
      <c r="E35" s="8">
        <v>1.506</v>
      </c>
      <c r="F35" s="8">
        <f t="shared" si="0"/>
        <v>1.585</v>
      </c>
      <c r="G35" s="8">
        <f t="shared" si="1"/>
        <v>0.15799999999999992</v>
      </c>
      <c r="H35" s="8">
        <v>0.93899999999999995</v>
      </c>
      <c r="I35" s="8">
        <v>0.86599999999999999</v>
      </c>
      <c r="J35" s="8">
        <v>0.79500000000000004</v>
      </c>
      <c r="K35" s="8">
        <f t="shared" si="4"/>
        <v>0.8666666666666667</v>
      </c>
      <c r="L35" s="8">
        <f t="shared" si="5"/>
        <v>0.14399999999999991</v>
      </c>
      <c r="M35" s="8">
        <f t="shared" si="6"/>
        <v>0.7696666666666665</v>
      </c>
      <c r="N35" s="8" t="str">
        <f t="shared" si="7"/>
        <v/>
      </c>
      <c r="O35" s="8"/>
      <c r="P35" s="8">
        <f t="shared" si="2"/>
        <v>0.30199999999999982</v>
      </c>
      <c r="Q35" s="129">
        <f t="shared" si="3"/>
        <v>30.199999999999982</v>
      </c>
    </row>
    <row r="36" spans="2:17" x14ac:dyDescent="0.25">
      <c r="B36" t="s">
        <v>96</v>
      </c>
      <c r="C36" s="8">
        <v>1.698</v>
      </c>
      <c r="D36" s="8">
        <v>1.599</v>
      </c>
      <c r="E36" s="8">
        <v>1.4990000000000001</v>
      </c>
      <c r="F36" s="8">
        <f t="shared" si="0"/>
        <v>1.5986666666666665</v>
      </c>
      <c r="G36" s="8">
        <f t="shared" si="1"/>
        <v>0.19899999999999984</v>
      </c>
      <c r="H36" s="8">
        <v>1.1100000000000001</v>
      </c>
      <c r="I36" s="8">
        <v>1.0309999999999999</v>
      </c>
      <c r="J36" s="8">
        <v>0.95199999999999996</v>
      </c>
      <c r="K36" s="8">
        <f t="shared" si="4"/>
        <v>1.0309999999999999</v>
      </c>
      <c r="L36" s="8">
        <f t="shared" si="5"/>
        <v>0.15800000000000014</v>
      </c>
      <c r="M36" s="8">
        <f t="shared" si="6"/>
        <v>0.55400000000000005</v>
      </c>
      <c r="N36" s="8" t="str">
        <f t="shared" si="7"/>
        <v/>
      </c>
      <c r="O36" s="8"/>
      <c r="P36" s="8">
        <f t="shared" si="2"/>
        <v>0.35699999999999998</v>
      </c>
      <c r="Q36" s="129">
        <f t="shared" si="3"/>
        <v>35.699999999999996</v>
      </c>
    </row>
    <row r="37" spans="2:17" x14ac:dyDescent="0.25">
      <c r="B37" t="s">
        <v>97</v>
      </c>
      <c r="C37" s="8">
        <v>1.08</v>
      </c>
      <c r="D37" s="8">
        <v>0.96499999999999997</v>
      </c>
      <c r="E37" s="8">
        <v>0.85</v>
      </c>
      <c r="F37" s="8">
        <f t="shared" si="0"/>
        <v>0.96499999999999997</v>
      </c>
      <c r="G37" s="8">
        <f t="shared" si="1"/>
        <v>0.23000000000000009</v>
      </c>
      <c r="H37" s="8">
        <v>1.621</v>
      </c>
      <c r="I37" s="8">
        <v>1.524</v>
      </c>
      <c r="J37" s="8">
        <v>1.4259999999999999</v>
      </c>
      <c r="K37" s="8">
        <f t="shared" si="4"/>
        <v>1.5236666666666665</v>
      </c>
      <c r="L37" s="8">
        <f t="shared" si="5"/>
        <v>0.19500000000000006</v>
      </c>
      <c r="M37" s="8">
        <f t="shared" si="6"/>
        <v>7.4999999999999956E-2</v>
      </c>
      <c r="N37" s="8" t="str">
        <f t="shared" si="7"/>
        <v/>
      </c>
      <c r="O37" s="8"/>
      <c r="P37" s="8">
        <f t="shared" si="2"/>
        <v>0.42500000000000016</v>
      </c>
      <c r="Q37" s="129">
        <f t="shared" si="3"/>
        <v>42.500000000000014</v>
      </c>
    </row>
    <row r="38" spans="2:17" x14ac:dyDescent="0.25">
      <c r="B38" t="s">
        <v>98</v>
      </c>
      <c r="C38" s="8">
        <v>1.2230000000000001</v>
      </c>
      <c r="D38" s="8">
        <v>1.1299999999999999</v>
      </c>
      <c r="E38" s="8">
        <v>1.034</v>
      </c>
      <c r="F38" s="8">
        <f t="shared" si="0"/>
        <v>1.1289999999999998</v>
      </c>
      <c r="G38" s="8">
        <f t="shared" si="1"/>
        <v>0.18900000000000006</v>
      </c>
      <c r="H38" s="8">
        <v>1.51</v>
      </c>
      <c r="I38" s="8">
        <v>1.3939999999999999</v>
      </c>
      <c r="J38" s="8">
        <v>1.2769999999999999</v>
      </c>
      <c r="K38" s="8">
        <f t="shared" si="4"/>
        <v>1.3936666666666666</v>
      </c>
      <c r="L38" s="8">
        <f t="shared" si="5"/>
        <v>0.2330000000000001</v>
      </c>
      <c r="M38" s="8" t="str">
        <f t="shared" si="6"/>
        <v/>
      </c>
      <c r="N38" s="8">
        <f t="shared" si="7"/>
        <v>0.42866666666666664</v>
      </c>
      <c r="O38" s="8"/>
      <c r="P38" s="8">
        <f t="shared" si="2"/>
        <v>0.42200000000000015</v>
      </c>
      <c r="Q38" s="129">
        <f t="shared" si="3"/>
        <v>42.200000000000017</v>
      </c>
    </row>
    <row r="39" spans="2:17" x14ac:dyDescent="0.25">
      <c r="B39" t="s">
        <v>99</v>
      </c>
      <c r="C39" s="8">
        <v>1.25</v>
      </c>
      <c r="D39" s="8">
        <v>1.147</v>
      </c>
      <c r="E39" s="8">
        <v>1.0409999999999999</v>
      </c>
      <c r="F39" s="8">
        <f t="shared" si="0"/>
        <v>1.1460000000000001</v>
      </c>
      <c r="G39" s="8">
        <f t="shared" si="1"/>
        <v>0.20900000000000007</v>
      </c>
      <c r="H39" s="8">
        <v>1.5309999999999999</v>
      </c>
      <c r="I39" s="8">
        <v>1.4410000000000001</v>
      </c>
      <c r="J39" s="8">
        <v>1.35</v>
      </c>
      <c r="K39" s="8">
        <f t="shared" si="4"/>
        <v>1.4406666666666668</v>
      </c>
      <c r="L39" s="8">
        <f t="shared" si="5"/>
        <v>0.18099999999999983</v>
      </c>
      <c r="M39" s="8" t="str">
        <f t="shared" si="6"/>
        <v/>
      </c>
      <c r="N39" s="8">
        <f t="shared" si="7"/>
        <v>0.31166666666666698</v>
      </c>
      <c r="O39" s="8"/>
      <c r="P39" s="8">
        <f t="shared" si="2"/>
        <v>0.3899999999999999</v>
      </c>
      <c r="Q39" s="129">
        <f t="shared" si="3"/>
        <v>38.999999999999993</v>
      </c>
    </row>
    <row r="40" spans="2:17" x14ac:dyDescent="0.25">
      <c r="B40" t="s">
        <v>100</v>
      </c>
      <c r="C40" s="8">
        <v>1.4279999999999999</v>
      </c>
      <c r="D40" s="8">
        <v>1.351</v>
      </c>
      <c r="E40" s="8">
        <v>1.2749999999999999</v>
      </c>
      <c r="F40" s="8">
        <f t="shared" si="0"/>
        <v>1.3513333333333335</v>
      </c>
      <c r="G40" s="8">
        <f t="shared" si="1"/>
        <v>0.15300000000000002</v>
      </c>
      <c r="H40" s="8">
        <v>1.7509999999999999</v>
      </c>
      <c r="I40" s="8">
        <v>1.6459999999999999</v>
      </c>
      <c r="J40" s="8">
        <v>1.542</v>
      </c>
      <c r="K40" s="8">
        <f t="shared" si="4"/>
        <v>1.6463333333333334</v>
      </c>
      <c r="L40" s="8">
        <f t="shared" si="5"/>
        <v>0.20899999999999985</v>
      </c>
      <c r="M40" s="8" t="str">
        <f t="shared" si="6"/>
        <v/>
      </c>
      <c r="N40" s="8">
        <f t="shared" si="7"/>
        <v>0.5003333333333333</v>
      </c>
      <c r="O40" s="8"/>
      <c r="P40" s="8">
        <f t="shared" si="2"/>
        <v>0.36199999999999988</v>
      </c>
      <c r="Q40" s="129">
        <f t="shared" si="3"/>
        <v>36.199999999999989</v>
      </c>
    </row>
    <row r="41" spans="2:17" x14ac:dyDescent="0.25">
      <c r="B41" t="s">
        <v>101</v>
      </c>
      <c r="C41" s="8">
        <v>1.341</v>
      </c>
      <c r="D41" s="8">
        <v>1.27</v>
      </c>
      <c r="E41" s="8">
        <v>1.1990000000000001</v>
      </c>
      <c r="F41" s="8">
        <f t="shared" si="0"/>
        <v>1.2699999999999998</v>
      </c>
      <c r="G41" s="8">
        <f t="shared" si="1"/>
        <v>0.1419999999999999</v>
      </c>
      <c r="H41" s="8">
        <v>1.5660000000000001</v>
      </c>
      <c r="I41" s="8">
        <v>1.49</v>
      </c>
      <c r="J41" s="8">
        <v>1.413</v>
      </c>
      <c r="K41" s="8">
        <f t="shared" si="4"/>
        <v>1.4896666666666667</v>
      </c>
      <c r="L41" s="8">
        <f t="shared" si="5"/>
        <v>0.15300000000000002</v>
      </c>
      <c r="M41" s="8" t="str">
        <f t="shared" si="6"/>
        <v/>
      </c>
      <c r="N41" s="8">
        <f t="shared" si="7"/>
        <v>0.1383333333333332</v>
      </c>
      <c r="O41" s="8"/>
      <c r="P41" s="8">
        <f t="shared" si="2"/>
        <v>0.29499999999999993</v>
      </c>
      <c r="Q41" s="129">
        <f t="shared" si="3"/>
        <v>29.499999999999993</v>
      </c>
    </row>
    <row r="42" spans="2:17" x14ac:dyDescent="0.25">
      <c r="B42" t="s">
        <v>102</v>
      </c>
      <c r="C42" s="8">
        <v>1.4550000000000001</v>
      </c>
      <c r="D42" s="8">
        <v>1.383</v>
      </c>
      <c r="E42" s="8">
        <v>1.31</v>
      </c>
      <c r="F42" s="8">
        <f t="shared" si="0"/>
        <v>1.3826666666666665</v>
      </c>
      <c r="G42" s="8">
        <f t="shared" si="1"/>
        <v>0.14500000000000002</v>
      </c>
      <c r="H42" s="8">
        <v>1.5089999999999999</v>
      </c>
      <c r="I42" s="8">
        <v>1.4350000000000001</v>
      </c>
      <c r="J42" s="8">
        <v>1.3620000000000001</v>
      </c>
      <c r="K42" s="8">
        <f t="shared" si="4"/>
        <v>1.4353333333333333</v>
      </c>
      <c r="L42" s="8">
        <f t="shared" si="5"/>
        <v>0.1469999999999998</v>
      </c>
      <c r="M42" s="8" t="str">
        <f t="shared" si="6"/>
        <v/>
      </c>
      <c r="N42" s="8">
        <f t="shared" si="7"/>
        <v>0.16533333333333355</v>
      </c>
      <c r="O42" s="8"/>
      <c r="P42" s="8">
        <f t="shared" si="2"/>
        <v>0.29199999999999982</v>
      </c>
      <c r="Q42" s="129">
        <f t="shared" si="3"/>
        <v>29.199999999999982</v>
      </c>
    </row>
    <row r="43" spans="2:17" x14ac:dyDescent="0.25">
      <c r="B43" t="s">
        <v>103</v>
      </c>
      <c r="C43" s="8">
        <v>1.462</v>
      </c>
      <c r="D43" s="8">
        <v>1.3959999999999999</v>
      </c>
      <c r="E43" s="8">
        <v>1.33</v>
      </c>
      <c r="F43" s="8">
        <f t="shared" si="0"/>
        <v>1.3959999999999999</v>
      </c>
      <c r="G43" s="8">
        <f t="shared" si="1"/>
        <v>0.1319999999999999</v>
      </c>
      <c r="H43" s="8">
        <v>1.294</v>
      </c>
      <c r="I43" s="8">
        <v>1.2250000000000001</v>
      </c>
      <c r="J43" s="8">
        <v>1.155</v>
      </c>
      <c r="K43" s="8">
        <f t="shared" si="4"/>
        <v>1.2246666666666668</v>
      </c>
      <c r="L43" s="8">
        <f t="shared" si="5"/>
        <v>0.13900000000000001</v>
      </c>
      <c r="M43" s="8">
        <f t="shared" si="6"/>
        <v>0.1579999999999997</v>
      </c>
      <c r="N43" s="8" t="str">
        <f t="shared" si="7"/>
        <v/>
      </c>
      <c r="O43" s="8"/>
      <c r="P43" s="8">
        <f t="shared" si="2"/>
        <v>0.27099999999999991</v>
      </c>
      <c r="Q43" s="129">
        <f t="shared" si="3"/>
        <v>27.099999999999991</v>
      </c>
    </row>
    <row r="44" spans="2:17" x14ac:dyDescent="0.25">
      <c r="B44" t="s">
        <v>104</v>
      </c>
      <c r="C44" s="8">
        <v>1.405</v>
      </c>
      <c r="D44" s="8">
        <v>1.337</v>
      </c>
      <c r="E44" s="8">
        <v>1.2689999999999999</v>
      </c>
      <c r="F44" s="8">
        <f t="shared" si="0"/>
        <v>1.337</v>
      </c>
      <c r="G44" s="8">
        <f t="shared" si="1"/>
        <v>0.13600000000000012</v>
      </c>
      <c r="H44" s="8">
        <v>1.369</v>
      </c>
      <c r="I44" s="8">
        <v>1.304</v>
      </c>
      <c r="J44" s="8">
        <v>1.2390000000000001</v>
      </c>
      <c r="K44" s="8">
        <f t="shared" si="4"/>
        <v>1.304</v>
      </c>
      <c r="L44" s="8">
        <f t="shared" si="5"/>
        <v>0.12999999999999989</v>
      </c>
      <c r="M44" s="8">
        <f t="shared" si="6"/>
        <v>9.199999999999986E-2</v>
      </c>
      <c r="N44" s="8" t="str">
        <f t="shared" si="7"/>
        <v/>
      </c>
      <c r="O44" s="8"/>
      <c r="P44" s="8">
        <f t="shared" si="2"/>
        <v>0.26600000000000001</v>
      </c>
      <c r="Q44" s="129">
        <f t="shared" si="3"/>
        <v>26.6</v>
      </c>
    </row>
    <row r="45" spans="2:17" x14ac:dyDescent="0.25">
      <c r="B45" t="s">
        <v>105</v>
      </c>
      <c r="C45" s="8">
        <v>1.4590000000000001</v>
      </c>
      <c r="D45" s="8">
        <v>1.3859999999999999</v>
      </c>
      <c r="E45" s="8">
        <v>1.3149999999999999</v>
      </c>
      <c r="F45" s="8">
        <f t="shared" si="0"/>
        <v>1.3866666666666667</v>
      </c>
      <c r="G45" s="8">
        <f t="shared" si="1"/>
        <v>0.14400000000000013</v>
      </c>
      <c r="H45" s="8">
        <v>1.476</v>
      </c>
      <c r="I45" s="8">
        <v>1.4039999999999999</v>
      </c>
      <c r="J45" s="8">
        <v>1.335</v>
      </c>
      <c r="K45" s="8">
        <f t="shared" si="4"/>
        <v>1.405</v>
      </c>
      <c r="L45" s="8">
        <f t="shared" si="5"/>
        <v>0.14100000000000001</v>
      </c>
      <c r="M45" s="8" t="str">
        <f t="shared" si="6"/>
        <v/>
      </c>
      <c r="N45" s="8">
        <f t="shared" si="7"/>
        <v>6.800000000000006E-2</v>
      </c>
      <c r="O45" s="8"/>
      <c r="P45" s="8">
        <f t="shared" si="2"/>
        <v>0.28500000000000014</v>
      </c>
      <c r="Q45" s="129">
        <f t="shared" si="3"/>
        <v>28.500000000000014</v>
      </c>
    </row>
    <row r="46" spans="2:17" x14ac:dyDescent="0.25">
      <c r="B46" t="s">
        <v>106</v>
      </c>
      <c r="C46" s="8">
        <v>1.6379999999999999</v>
      </c>
      <c r="D46" s="8">
        <v>1.569</v>
      </c>
      <c r="E46" s="8">
        <v>1.4990000000000001</v>
      </c>
      <c r="F46" s="8">
        <f t="shared" si="0"/>
        <v>1.5686666666666664</v>
      </c>
      <c r="G46" s="8">
        <f t="shared" si="1"/>
        <v>0.13899999999999979</v>
      </c>
      <c r="H46" s="8">
        <v>1.234</v>
      </c>
      <c r="I46" s="8">
        <v>1.165</v>
      </c>
      <c r="J46" s="8">
        <v>1.0980000000000001</v>
      </c>
      <c r="K46" s="8">
        <f t="shared" si="4"/>
        <v>1.1656666666666666</v>
      </c>
      <c r="L46" s="8">
        <f t="shared" si="5"/>
        <v>0.1359999999999999</v>
      </c>
      <c r="M46" s="8">
        <f t="shared" si="6"/>
        <v>0.22100000000000009</v>
      </c>
      <c r="N46" s="8" t="str">
        <f t="shared" si="7"/>
        <v/>
      </c>
      <c r="O46" s="8"/>
      <c r="P46" s="8">
        <f t="shared" si="2"/>
        <v>0.27499999999999969</v>
      </c>
      <c r="Q46" s="129">
        <f t="shared" si="3"/>
        <v>27.499999999999968</v>
      </c>
    </row>
    <row r="47" spans="2:17" x14ac:dyDescent="0.25">
      <c r="B47" t="s">
        <v>107</v>
      </c>
      <c r="C47" s="8">
        <v>1.67</v>
      </c>
      <c r="D47" s="8">
        <v>1.6</v>
      </c>
      <c r="E47" s="8">
        <v>1.53</v>
      </c>
      <c r="F47" s="8">
        <f t="shared" si="0"/>
        <v>1.5999999999999999</v>
      </c>
      <c r="G47" s="8">
        <f t="shared" si="1"/>
        <v>0.1399999999999999</v>
      </c>
      <c r="H47" s="8">
        <v>1.06</v>
      </c>
      <c r="I47" s="8">
        <v>0.98799999999999999</v>
      </c>
      <c r="J47" s="8">
        <v>0.91600000000000004</v>
      </c>
      <c r="K47" s="8">
        <f t="shared" si="4"/>
        <v>0.98799999999999999</v>
      </c>
      <c r="L47" s="8">
        <f t="shared" si="5"/>
        <v>0.14400000000000002</v>
      </c>
      <c r="M47" s="8">
        <f t="shared" si="6"/>
        <v>0.58066666666666644</v>
      </c>
      <c r="N47" s="8" t="str">
        <f t="shared" si="7"/>
        <v/>
      </c>
      <c r="O47" s="8"/>
      <c r="P47" s="8">
        <f t="shared" si="2"/>
        <v>0.28399999999999992</v>
      </c>
      <c r="Q47" s="129">
        <f t="shared" si="3"/>
        <v>28.399999999999991</v>
      </c>
    </row>
    <row r="48" spans="2:17" x14ac:dyDescent="0.25">
      <c r="B48" t="s">
        <v>108</v>
      </c>
      <c r="C48" s="8">
        <v>1.61</v>
      </c>
      <c r="D48" s="8">
        <v>1.5549999999999999</v>
      </c>
      <c r="E48" s="8">
        <v>1.5029999999999999</v>
      </c>
      <c r="F48" s="8">
        <f t="shared" si="0"/>
        <v>1.556</v>
      </c>
      <c r="G48" s="8">
        <f t="shared" si="1"/>
        <v>0.10700000000000021</v>
      </c>
      <c r="H48" s="8">
        <v>1.25</v>
      </c>
      <c r="I48" s="8">
        <v>1.18</v>
      </c>
      <c r="J48" s="8">
        <v>1.1100000000000001</v>
      </c>
      <c r="K48" s="8">
        <f t="shared" si="4"/>
        <v>1.18</v>
      </c>
      <c r="L48" s="8">
        <f t="shared" si="5"/>
        <v>0.1399999999999999</v>
      </c>
      <c r="M48" s="8">
        <f t="shared" si="6"/>
        <v>0.41999999999999993</v>
      </c>
      <c r="N48" s="8" t="str">
        <f t="shared" si="7"/>
        <v/>
      </c>
      <c r="O48" s="8"/>
      <c r="P48" s="8">
        <f t="shared" si="2"/>
        <v>0.24700000000000011</v>
      </c>
      <c r="Q48" s="129">
        <f t="shared" si="3"/>
        <v>24.70000000000001</v>
      </c>
    </row>
    <row r="49" spans="2:17" x14ac:dyDescent="0.25">
      <c r="B49" t="s">
        <v>109</v>
      </c>
      <c r="C49" s="123"/>
      <c r="D49" s="123"/>
      <c r="E49" s="123"/>
      <c r="F49" s="123"/>
      <c r="G49" s="123"/>
      <c r="H49" s="8">
        <v>0.86499999999999999</v>
      </c>
      <c r="I49" s="8">
        <v>0.80700000000000005</v>
      </c>
      <c r="J49" s="8">
        <v>0.752</v>
      </c>
      <c r="K49" s="8">
        <f t="shared" si="4"/>
        <v>0.80800000000000016</v>
      </c>
      <c r="L49" s="8">
        <f t="shared" si="5"/>
        <v>0.11299999999999999</v>
      </c>
      <c r="M49" s="8">
        <f t="shared" si="6"/>
        <v>0.74799999999999989</v>
      </c>
      <c r="N49" s="8" t="str">
        <f t="shared" si="7"/>
        <v/>
      </c>
      <c r="O49" s="8"/>
      <c r="P49" s="8">
        <f t="shared" si="2"/>
        <v>0.11299999999999999</v>
      </c>
      <c r="Q49" s="129">
        <f t="shared" si="3"/>
        <v>11.299999999999999</v>
      </c>
    </row>
    <row r="50" spans="2:17" s="12" customFormat="1" x14ac:dyDescent="0.25">
      <c r="F50" s="13">
        <f>SUM(F32:F48)</f>
        <v>23.354333333333333</v>
      </c>
      <c r="K50" s="13">
        <f>SUM(K33:K49)</f>
        <v>21.279</v>
      </c>
      <c r="M50" s="13">
        <f>SUM(M34:M49)</f>
        <v>4.1616666666666662</v>
      </c>
      <c r="N50" s="13">
        <f>SUM(N33:N49)</f>
        <v>2.0863333333333336</v>
      </c>
      <c r="P50" s="13">
        <f>SUM(P32:P49)</f>
        <v>5.4389999999999983</v>
      </c>
      <c r="Q50" s="130">
        <f t="shared" si="3"/>
        <v>543.89999999999986</v>
      </c>
    </row>
    <row r="51" spans="2:17" s="12" customFormat="1" x14ac:dyDescent="0.25">
      <c r="F51" s="135">
        <f>F50-K50</f>
        <v>2.075333333333333</v>
      </c>
      <c r="G51" s="136"/>
      <c r="H51" s="136"/>
      <c r="I51" s="136"/>
      <c r="J51" s="136"/>
      <c r="K51" s="136"/>
      <c r="M51" s="135">
        <f>M50-N50</f>
        <v>2.0753333333333326</v>
      </c>
      <c r="N51" s="135"/>
      <c r="Q51" s="130"/>
    </row>
    <row r="52" spans="2:17" x14ac:dyDescent="0.25">
      <c r="F52" s="134"/>
      <c r="G52" s="109"/>
      <c r="H52" s="109"/>
      <c r="I52" s="109"/>
      <c r="J52" s="109"/>
      <c r="K52" s="109"/>
      <c r="M52" s="134"/>
      <c r="N52" s="134"/>
    </row>
    <row r="54" spans="2:17" x14ac:dyDescent="0.25">
      <c r="B54" s="124" t="s">
        <v>118</v>
      </c>
      <c r="C54" s="124"/>
      <c r="D54" s="124"/>
      <c r="E54" s="124"/>
      <c r="F54" s="124"/>
      <c r="G54" s="124"/>
      <c r="H54" s="124"/>
    </row>
    <row r="55" spans="2:17" x14ac:dyDescent="0.25">
      <c r="B55" s="121" t="s">
        <v>80</v>
      </c>
      <c r="C55" s="120" t="s">
        <v>81</v>
      </c>
      <c r="D55" s="120"/>
      <c r="E55" s="120"/>
      <c r="F55" s="121" t="s">
        <v>82</v>
      </c>
      <c r="G55" s="120" t="s">
        <v>110</v>
      </c>
      <c r="H55" s="120" t="s">
        <v>83</v>
      </c>
      <c r="I55" s="120"/>
      <c r="J55" s="120"/>
      <c r="K55" s="121" t="s">
        <v>84</v>
      </c>
      <c r="L55" s="120" t="s">
        <v>111</v>
      </c>
      <c r="M55" s="120" t="s">
        <v>85</v>
      </c>
      <c r="N55" s="120" t="s">
        <v>86</v>
      </c>
      <c r="O55" s="120" t="s">
        <v>87</v>
      </c>
      <c r="P55" s="121" t="s">
        <v>88</v>
      </c>
      <c r="Q55" s="131" t="s">
        <v>89</v>
      </c>
    </row>
    <row r="56" spans="2:17" x14ac:dyDescent="0.25">
      <c r="B56" s="121"/>
      <c r="C56" s="122" t="s">
        <v>71</v>
      </c>
      <c r="D56" s="122" t="s">
        <v>72</v>
      </c>
      <c r="E56" s="122" t="s">
        <v>73</v>
      </c>
      <c r="F56" s="120"/>
      <c r="G56" s="120"/>
      <c r="H56" s="122" t="s">
        <v>71</v>
      </c>
      <c r="I56" s="122" t="s">
        <v>72</v>
      </c>
      <c r="J56" s="122" t="s">
        <v>73</v>
      </c>
      <c r="K56" s="120"/>
      <c r="L56" s="120"/>
      <c r="M56" s="120"/>
      <c r="N56" s="120"/>
      <c r="O56" s="120"/>
      <c r="P56" s="120"/>
      <c r="Q56" s="132"/>
    </row>
    <row r="57" spans="2:17" x14ac:dyDescent="0.25">
      <c r="B57" t="s">
        <v>109</v>
      </c>
      <c r="C57" s="8">
        <v>0.90800000000000003</v>
      </c>
      <c r="D57" s="8">
        <v>0.83499999999999996</v>
      </c>
      <c r="E57" s="8">
        <v>0.76200000000000001</v>
      </c>
      <c r="F57" s="8">
        <f>(C57+D57+E57)/3</f>
        <v>0.83499999999999996</v>
      </c>
      <c r="G57" s="8">
        <f>C57-E57</f>
        <v>0.14600000000000002</v>
      </c>
      <c r="H57" s="123"/>
      <c r="I57" s="123"/>
      <c r="J57" s="123"/>
      <c r="K57" s="123"/>
      <c r="L57" s="123"/>
      <c r="M57" s="123"/>
      <c r="N57" s="123"/>
      <c r="O57" s="8"/>
      <c r="P57" s="8">
        <f>(G57+L57)</f>
        <v>0.14600000000000002</v>
      </c>
      <c r="Q57" s="129">
        <f>P57*100</f>
        <v>14.600000000000001</v>
      </c>
    </row>
    <row r="58" spans="2:17" x14ac:dyDescent="0.25">
      <c r="B58" t="s">
        <v>93</v>
      </c>
      <c r="C58" s="8">
        <v>1.1479999999999999</v>
      </c>
      <c r="D58" s="8">
        <v>1.0780000000000001</v>
      </c>
      <c r="E58" s="8">
        <v>1.0089999999999999</v>
      </c>
      <c r="F58" s="8">
        <f t="shared" ref="F58:F77" si="8">(C58+D58+E58)/3</f>
        <v>1.0783333333333334</v>
      </c>
      <c r="G58" s="8">
        <f t="shared" ref="G58:G77" si="9">C58-E58</f>
        <v>0.13900000000000001</v>
      </c>
      <c r="H58" s="8">
        <v>1.7410000000000001</v>
      </c>
      <c r="I58" s="8">
        <v>1.6719999999999999</v>
      </c>
      <c r="J58" s="8">
        <v>1.6</v>
      </c>
      <c r="K58" s="8">
        <f>(H58+I58+J58)/3</f>
        <v>1.671</v>
      </c>
      <c r="L58" s="8">
        <f>H58-J58</f>
        <v>0.14100000000000001</v>
      </c>
      <c r="M58" s="8" t="str">
        <f>IF(SIGN(F57-K58)=1,F57-K58,"")</f>
        <v/>
      </c>
      <c r="N58" s="8">
        <f>IF(SIGN(F57-K58)=-1,ABS(F57-K58),"")</f>
        <v>0.83600000000000008</v>
      </c>
      <c r="O58" s="8"/>
      <c r="P58" s="8">
        <f t="shared" ref="P58:P78" si="10">(G58+L58)</f>
        <v>0.28000000000000003</v>
      </c>
      <c r="Q58" s="129">
        <f t="shared" ref="Q58:Q79" si="11">P58*100</f>
        <v>28.000000000000004</v>
      </c>
    </row>
    <row r="59" spans="2:17" x14ac:dyDescent="0.25">
      <c r="B59" t="s">
        <v>94</v>
      </c>
      <c r="C59" s="8">
        <v>1.08</v>
      </c>
      <c r="D59" s="8">
        <v>1.014</v>
      </c>
      <c r="E59" s="8">
        <v>0.94799999999999995</v>
      </c>
      <c r="F59" s="8">
        <f t="shared" si="8"/>
        <v>1.014</v>
      </c>
      <c r="G59" s="8">
        <f t="shared" si="9"/>
        <v>0.13200000000000012</v>
      </c>
      <c r="H59" s="8">
        <v>1.663</v>
      </c>
      <c r="I59" s="8">
        <v>1.5980000000000001</v>
      </c>
      <c r="J59" s="8">
        <v>1.532</v>
      </c>
      <c r="K59" s="8">
        <f t="shared" ref="K59:K78" si="12">(H59+I59+J59)/3</f>
        <v>1.5976666666666668</v>
      </c>
      <c r="L59" s="8">
        <f t="shared" ref="L59:L78" si="13">H59-J59</f>
        <v>0.13100000000000001</v>
      </c>
      <c r="M59" s="8" t="str">
        <f t="shared" ref="M59:M78" si="14">IF(SIGN(F58-K59)=1,F58-K59,"")</f>
        <v/>
      </c>
      <c r="N59" s="8">
        <f t="shared" ref="N59:N78" si="15">IF(SIGN(F58-K59)=-1,ABS(F58-K59),"")</f>
        <v>0.51933333333333342</v>
      </c>
      <c r="O59" s="8"/>
      <c r="P59" s="8">
        <f t="shared" si="10"/>
        <v>0.26300000000000012</v>
      </c>
      <c r="Q59" s="129">
        <f t="shared" si="11"/>
        <v>26.300000000000011</v>
      </c>
    </row>
    <row r="60" spans="2:17" x14ac:dyDescent="0.25">
      <c r="B60" t="s">
        <v>95</v>
      </c>
      <c r="C60" s="8">
        <v>1.2749999999999999</v>
      </c>
      <c r="D60" s="8">
        <v>1.202</v>
      </c>
      <c r="E60" s="8">
        <v>1.131</v>
      </c>
      <c r="F60" s="8">
        <f t="shared" si="8"/>
        <v>1.2026666666666666</v>
      </c>
      <c r="G60" s="8">
        <f t="shared" si="9"/>
        <v>0.14399999999999991</v>
      </c>
      <c r="H60" s="8">
        <v>1.5289999999999999</v>
      </c>
      <c r="I60" s="8">
        <v>1.46</v>
      </c>
      <c r="J60" s="8">
        <v>1.39</v>
      </c>
      <c r="K60" s="8">
        <f t="shared" si="12"/>
        <v>1.4596666666666664</v>
      </c>
      <c r="L60" s="8">
        <f t="shared" si="13"/>
        <v>0.13900000000000001</v>
      </c>
      <c r="M60" s="8" t="str">
        <f t="shared" si="14"/>
        <v/>
      </c>
      <c r="N60" s="8">
        <f t="shared" si="15"/>
        <v>0.44566666666666643</v>
      </c>
      <c r="O60" s="8"/>
      <c r="P60" s="8">
        <f t="shared" si="10"/>
        <v>0.28299999999999992</v>
      </c>
      <c r="Q60" s="129">
        <f t="shared" si="11"/>
        <v>28.29999999999999</v>
      </c>
    </row>
    <row r="61" spans="2:17" x14ac:dyDescent="0.25">
      <c r="B61" t="s">
        <v>96</v>
      </c>
      <c r="C61" s="8">
        <v>1.4119999999999999</v>
      </c>
      <c r="D61" s="8">
        <v>1.34</v>
      </c>
      <c r="E61" s="8">
        <v>1.268</v>
      </c>
      <c r="F61" s="8">
        <f t="shared" si="8"/>
        <v>1.3399999999999999</v>
      </c>
      <c r="G61" s="8">
        <f t="shared" si="9"/>
        <v>0.14399999999999991</v>
      </c>
      <c r="H61" s="8">
        <v>1.44</v>
      </c>
      <c r="I61" s="8">
        <v>1.365</v>
      </c>
      <c r="J61" s="8">
        <v>1.29</v>
      </c>
      <c r="K61" s="8">
        <f t="shared" si="12"/>
        <v>1.365</v>
      </c>
      <c r="L61" s="8">
        <f t="shared" si="13"/>
        <v>0.14999999999999991</v>
      </c>
      <c r="M61" s="8" t="str">
        <f t="shared" si="14"/>
        <v/>
      </c>
      <c r="N61" s="8">
        <f t="shared" si="15"/>
        <v>0.16233333333333344</v>
      </c>
      <c r="O61" s="8"/>
      <c r="P61" s="8">
        <f t="shared" si="10"/>
        <v>0.29399999999999982</v>
      </c>
      <c r="Q61" s="129">
        <f t="shared" si="11"/>
        <v>29.399999999999981</v>
      </c>
    </row>
    <row r="62" spans="2:17" x14ac:dyDescent="0.25">
      <c r="B62" t="s">
        <v>97</v>
      </c>
      <c r="C62" s="8">
        <v>1.3340000000000001</v>
      </c>
      <c r="D62" s="8">
        <v>1.262</v>
      </c>
      <c r="E62" s="8">
        <v>1.19</v>
      </c>
      <c r="F62" s="8">
        <f t="shared" si="8"/>
        <v>1.262</v>
      </c>
      <c r="G62" s="8">
        <f t="shared" si="9"/>
        <v>0.14400000000000013</v>
      </c>
      <c r="H62" s="8">
        <v>1.35</v>
      </c>
      <c r="I62" s="8">
        <v>1.28</v>
      </c>
      <c r="J62" s="8">
        <v>1.2090000000000001</v>
      </c>
      <c r="K62" s="8">
        <f t="shared" si="12"/>
        <v>1.2796666666666667</v>
      </c>
      <c r="L62" s="8">
        <f t="shared" si="13"/>
        <v>0.14100000000000001</v>
      </c>
      <c r="M62" s="8">
        <f t="shared" si="14"/>
        <v>6.0333333333333128E-2</v>
      </c>
      <c r="N62" s="8" t="str">
        <f t="shared" si="15"/>
        <v/>
      </c>
      <c r="O62" s="8"/>
      <c r="P62" s="8">
        <f t="shared" si="10"/>
        <v>0.28500000000000014</v>
      </c>
      <c r="Q62" s="129">
        <f t="shared" si="11"/>
        <v>28.500000000000014</v>
      </c>
    </row>
    <row r="63" spans="2:17" x14ac:dyDescent="0.25">
      <c r="B63" t="s">
        <v>98</v>
      </c>
      <c r="C63" s="8">
        <v>1.35</v>
      </c>
      <c r="D63" s="8">
        <v>1.2909999999999999</v>
      </c>
      <c r="E63" s="8">
        <v>1.234</v>
      </c>
      <c r="F63" s="8">
        <f t="shared" si="8"/>
        <v>1.2916666666666667</v>
      </c>
      <c r="G63" s="8">
        <f t="shared" si="9"/>
        <v>0.1160000000000001</v>
      </c>
      <c r="H63" s="8">
        <v>1.4610000000000001</v>
      </c>
      <c r="I63" s="8">
        <v>1.39</v>
      </c>
      <c r="J63" s="8">
        <v>1.3180000000000001</v>
      </c>
      <c r="K63" s="8">
        <f t="shared" si="12"/>
        <v>1.3896666666666668</v>
      </c>
      <c r="L63" s="8">
        <f t="shared" si="13"/>
        <v>0.14300000000000002</v>
      </c>
      <c r="M63" s="8" t="str">
        <f t="shared" si="14"/>
        <v/>
      </c>
      <c r="N63" s="8">
        <f t="shared" si="15"/>
        <v>0.12766666666666682</v>
      </c>
      <c r="O63" s="8"/>
      <c r="P63" s="8">
        <f t="shared" si="10"/>
        <v>0.25900000000000012</v>
      </c>
      <c r="Q63" s="129">
        <f t="shared" si="11"/>
        <v>25.900000000000013</v>
      </c>
    </row>
    <row r="64" spans="2:17" x14ac:dyDescent="0.25">
      <c r="B64" t="s">
        <v>116</v>
      </c>
      <c r="C64" s="8">
        <v>1.784</v>
      </c>
      <c r="D64" s="8">
        <v>1.704</v>
      </c>
      <c r="E64" s="8">
        <v>1.6319999999999999</v>
      </c>
      <c r="F64" s="8">
        <f t="shared" si="8"/>
        <v>1.7066666666666668</v>
      </c>
      <c r="G64" s="8">
        <f t="shared" si="9"/>
        <v>0.15200000000000014</v>
      </c>
      <c r="H64" s="8">
        <v>1.3120000000000001</v>
      </c>
      <c r="I64" s="8">
        <v>1.25</v>
      </c>
      <c r="J64" s="8">
        <v>1.1879999999999999</v>
      </c>
      <c r="K64" s="8">
        <f t="shared" si="12"/>
        <v>1.25</v>
      </c>
      <c r="L64" s="8">
        <f t="shared" si="13"/>
        <v>0.12400000000000011</v>
      </c>
      <c r="M64" s="8">
        <f t="shared" si="14"/>
        <v>4.1666666666666741E-2</v>
      </c>
      <c r="N64" s="8" t="str">
        <f t="shared" si="15"/>
        <v/>
      </c>
      <c r="O64" s="8"/>
      <c r="P64" s="8">
        <f t="shared" si="10"/>
        <v>0.27600000000000025</v>
      </c>
      <c r="Q64" s="129">
        <f t="shared" si="11"/>
        <v>27.600000000000023</v>
      </c>
    </row>
    <row r="65" spans="2:17" x14ac:dyDescent="0.25">
      <c r="B65" t="s">
        <v>100</v>
      </c>
      <c r="C65" s="8">
        <v>1.7529999999999999</v>
      </c>
      <c r="D65" s="8">
        <v>1.6879999999999999</v>
      </c>
      <c r="E65" s="8">
        <v>1.623</v>
      </c>
      <c r="F65" s="8">
        <f t="shared" si="8"/>
        <v>1.6879999999999999</v>
      </c>
      <c r="G65" s="8">
        <f t="shared" si="9"/>
        <v>0.12999999999999989</v>
      </c>
      <c r="H65" s="8">
        <v>1.62</v>
      </c>
      <c r="I65" s="8">
        <v>1.5469999999999999</v>
      </c>
      <c r="J65" s="8">
        <v>1.4750000000000001</v>
      </c>
      <c r="K65" s="8">
        <f t="shared" si="12"/>
        <v>1.5473333333333332</v>
      </c>
      <c r="L65" s="8">
        <f t="shared" si="13"/>
        <v>0.14500000000000002</v>
      </c>
      <c r="M65" s="8">
        <f t="shared" si="14"/>
        <v>0.15933333333333355</v>
      </c>
      <c r="N65" s="8" t="str">
        <f t="shared" si="15"/>
        <v/>
      </c>
      <c r="O65" s="8"/>
      <c r="P65" s="8">
        <f t="shared" si="10"/>
        <v>0.27499999999999991</v>
      </c>
      <c r="Q65" s="129">
        <f t="shared" si="11"/>
        <v>27.499999999999993</v>
      </c>
    </row>
    <row r="66" spans="2:17" x14ac:dyDescent="0.25">
      <c r="B66" t="s">
        <v>101</v>
      </c>
      <c r="C66" s="8">
        <v>1.609</v>
      </c>
      <c r="D66" s="8">
        <v>1.5429999999999999</v>
      </c>
      <c r="E66" s="8">
        <v>1.472</v>
      </c>
      <c r="F66" s="8">
        <f t="shared" si="8"/>
        <v>1.5413333333333334</v>
      </c>
      <c r="G66" s="8">
        <f t="shared" si="9"/>
        <v>0.13700000000000001</v>
      </c>
      <c r="H66" s="8">
        <v>1.506</v>
      </c>
      <c r="I66" s="8">
        <v>1.4419999999999999</v>
      </c>
      <c r="J66" s="8">
        <v>1.3720000000000001</v>
      </c>
      <c r="K66" s="8">
        <f t="shared" si="12"/>
        <v>1.4400000000000002</v>
      </c>
      <c r="L66" s="8">
        <f t="shared" si="13"/>
        <v>0.1339999999999999</v>
      </c>
      <c r="M66" s="8">
        <f t="shared" si="14"/>
        <v>0.24799999999999978</v>
      </c>
      <c r="N66" s="8" t="str">
        <f t="shared" si="15"/>
        <v/>
      </c>
      <c r="O66" s="8"/>
      <c r="P66" s="8">
        <f t="shared" si="10"/>
        <v>0.27099999999999991</v>
      </c>
      <c r="Q66" s="129">
        <f t="shared" si="11"/>
        <v>27.099999999999991</v>
      </c>
    </row>
    <row r="67" spans="2:17" x14ac:dyDescent="0.25">
      <c r="B67" t="s">
        <v>102</v>
      </c>
      <c r="C67" s="8">
        <v>1.5669999999999999</v>
      </c>
      <c r="D67" s="8">
        <v>1.5029999999999999</v>
      </c>
      <c r="E67" s="8">
        <v>1.4379999999999999</v>
      </c>
      <c r="F67" s="8">
        <f t="shared" si="8"/>
        <v>1.5026666666666666</v>
      </c>
      <c r="G67" s="8">
        <f t="shared" si="9"/>
        <v>0.129</v>
      </c>
      <c r="H67" s="8">
        <v>1.1479999999999999</v>
      </c>
      <c r="I67" s="8">
        <v>1.08</v>
      </c>
      <c r="J67" s="8">
        <v>1.012</v>
      </c>
      <c r="K67" s="8">
        <f t="shared" si="12"/>
        <v>1.0799999999999998</v>
      </c>
      <c r="L67" s="8">
        <f t="shared" si="13"/>
        <v>0.1359999999999999</v>
      </c>
      <c r="M67" s="8">
        <f t="shared" si="14"/>
        <v>0.4613333333333336</v>
      </c>
      <c r="N67" s="8" t="str">
        <f t="shared" si="15"/>
        <v/>
      </c>
      <c r="O67" s="8"/>
      <c r="P67" s="8">
        <f t="shared" si="10"/>
        <v>0.2649999999999999</v>
      </c>
      <c r="Q67" s="129">
        <f t="shared" si="11"/>
        <v>26.499999999999989</v>
      </c>
    </row>
    <row r="68" spans="2:17" x14ac:dyDescent="0.25">
      <c r="B68" t="s">
        <v>103</v>
      </c>
      <c r="C68" s="8">
        <v>1.532</v>
      </c>
      <c r="D68" s="8">
        <v>1.468</v>
      </c>
      <c r="E68" s="8">
        <v>1.403</v>
      </c>
      <c r="F68" s="8">
        <f t="shared" si="8"/>
        <v>1.4676666666666669</v>
      </c>
      <c r="G68" s="8">
        <f t="shared" si="9"/>
        <v>0.129</v>
      </c>
      <c r="H68" s="8">
        <v>1.44</v>
      </c>
      <c r="I68" s="8">
        <v>1.377</v>
      </c>
      <c r="J68" s="8">
        <v>1.3140000000000001</v>
      </c>
      <c r="K68" s="8">
        <f t="shared" si="12"/>
        <v>1.377</v>
      </c>
      <c r="L68" s="8">
        <f t="shared" si="13"/>
        <v>0.12599999999999989</v>
      </c>
      <c r="M68" s="8">
        <f t="shared" si="14"/>
        <v>0.12566666666666659</v>
      </c>
      <c r="N68" s="8" t="str">
        <f t="shared" si="15"/>
        <v/>
      </c>
      <c r="O68" s="8"/>
      <c r="P68" s="8">
        <f t="shared" si="10"/>
        <v>0.25499999999999989</v>
      </c>
      <c r="Q68" s="129">
        <f t="shared" si="11"/>
        <v>25.499999999999989</v>
      </c>
    </row>
    <row r="69" spans="2:17" x14ac:dyDescent="0.25">
      <c r="B69" t="s">
        <v>104</v>
      </c>
      <c r="C69" s="8">
        <v>1.6020000000000001</v>
      </c>
      <c r="D69" s="8">
        <v>1.534</v>
      </c>
      <c r="E69" s="8">
        <v>1.472</v>
      </c>
      <c r="F69" s="8">
        <f t="shared" si="8"/>
        <v>1.5360000000000003</v>
      </c>
      <c r="G69" s="8">
        <f t="shared" si="9"/>
        <v>0.13000000000000012</v>
      </c>
      <c r="H69" s="8">
        <v>1.3260000000000001</v>
      </c>
      <c r="I69" s="8">
        <v>1.264</v>
      </c>
      <c r="J69" s="8">
        <v>1.202</v>
      </c>
      <c r="K69" s="8">
        <f t="shared" si="12"/>
        <v>1.264</v>
      </c>
      <c r="L69" s="8">
        <f t="shared" si="13"/>
        <v>0.12400000000000011</v>
      </c>
      <c r="M69" s="8">
        <f t="shared" si="14"/>
        <v>0.20366666666666688</v>
      </c>
      <c r="N69" s="8" t="str">
        <f t="shared" si="15"/>
        <v/>
      </c>
      <c r="O69" s="8"/>
      <c r="P69" s="8">
        <f t="shared" si="10"/>
        <v>0.25400000000000023</v>
      </c>
      <c r="Q69" s="129">
        <f t="shared" si="11"/>
        <v>25.400000000000023</v>
      </c>
    </row>
    <row r="70" spans="2:17" x14ac:dyDescent="0.25">
      <c r="B70" t="s">
        <v>105</v>
      </c>
      <c r="C70" s="8">
        <v>1.5660000000000001</v>
      </c>
      <c r="D70" s="8">
        <v>1.5029999999999999</v>
      </c>
      <c r="E70" s="8">
        <v>1.4410000000000001</v>
      </c>
      <c r="F70" s="8">
        <f t="shared" si="8"/>
        <v>1.5033333333333332</v>
      </c>
      <c r="G70" s="8">
        <f t="shared" si="9"/>
        <v>0.125</v>
      </c>
      <c r="H70" s="8">
        <v>1.321</v>
      </c>
      <c r="I70" s="8">
        <v>1.2589999999999999</v>
      </c>
      <c r="J70" s="8">
        <v>1.196</v>
      </c>
      <c r="K70" s="8">
        <f t="shared" si="12"/>
        <v>1.2586666666666666</v>
      </c>
      <c r="L70" s="8">
        <f t="shared" si="13"/>
        <v>0.125</v>
      </c>
      <c r="M70" s="8">
        <f t="shared" si="14"/>
        <v>0.27733333333333365</v>
      </c>
      <c r="N70" s="8" t="str">
        <f t="shared" si="15"/>
        <v/>
      </c>
      <c r="O70" s="8"/>
      <c r="P70" s="8">
        <f t="shared" si="10"/>
        <v>0.25</v>
      </c>
      <c r="Q70" s="129">
        <f t="shared" si="11"/>
        <v>25</v>
      </c>
    </row>
    <row r="71" spans="2:17" x14ac:dyDescent="0.25">
      <c r="B71" t="s">
        <v>106</v>
      </c>
      <c r="C71" s="8">
        <v>1.506</v>
      </c>
      <c r="D71" s="8">
        <v>1.4419999999999999</v>
      </c>
      <c r="E71" s="8">
        <v>1.379</v>
      </c>
      <c r="F71" s="8">
        <f t="shared" si="8"/>
        <v>1.4423333333333332</v>
      </c>
      <c r="G71" s="8">
        <f t="shared" si="9"/>
        <v>0.127</v>
      </c>
      <c r="H71" s="8">
        <v>1.288</v>
      </c>
      <c r="I71" s="8">
        <v>1.224</v>
      </c>
      <c r="J71" s="8">
        <v>1.1599999999999999</v>
      </c>
      <c r="K71" s="8">
        <f t="shared" si="12"/>
        <v>1.224</v>
      </c>
      <c r="L71" s="8">
        <f t="shared" si="13"/>
        <v>0.12800000000000011</v>
      </c>
      <c r="M71" s="8">
        <f t="shared" si="14"/>
        <v>0.27933333333333321</v>
      </c>
      <c r="N71" s="8" t="str">
        <f t="shared" si="15"/>
        <v/>
      </c>
      <c r="O71" s="8"/>
      <c r="P71" s="8">
        <f t="shared" si="10"/>
        <v>0.25500000000000012</v>
      </c>
      <c r="Q71" s="129">
        <f t="shared" si="11"/>
        <v>25.500000000000011</v>
      </c>
    </row>
    <row r="72" spans="2:17" x14ac:dyDescent="0.25">
      <c r="B72" t="s">
        <v>107</v>
      </c>
      <c r="C72" s="8">
        <v>1.2</v>
      </c>
      <c r="D72" s="8">
        <v>1.127</v>
      </c>
      <c r="E72" s="8">
        <v>1.0549999999999999</v>
      </c>
      <c r="F72" s="8">
        <f t="shared" si="8"/>
        <v>1.1273333333333333</v>
      </c>
      <c r="G72" s="8">
        <f t="shared" si="9"/>
        <v>0.14500000000000002</v>
      </c>
      <c r="H72" s="8">
        <v>1.37</v>
      </c>
      <c r="I72" s="8">
        <v>1.3069999999999999</v>
      </c>
      <c r="J72" s="8">
        <v>1.2450000000000001</v>
      </c>
      <c r="K72" s="8">
        <f t="shared" si="12"/>
        <v>1.3073333333333335</v>
      </c>
      <c r="L72" s="8">
        <f t="shared" si="13"/>
        <v>0.125</v>
      </c>
      <c r="M72" s="8">
        <f t="shared" si="14"/>
        <v>0.13499999999999979</v>
      </c>
      <c r="N72" s="8" t="str">
        <f t="shared" si="15"/>
        <v/>
      </c>
      <c r="O72" s="8"/>
      <c r="P72" s="8">
        <f t="shared" si="10"/>
        <v>0.27</v>
      </c>
      <c r="Q72" s="129">
        <f t="shared" si="11"/>
        <v>27</v>
      </c>
    </row>
    <row r="73" spans="2:17" x14ac:dyDescent="0.25">
      <c r="B73" t="s">
        <v>108</v>
      </c>
      <c r="C73" s="8">
        <v>0.79400000000000004</v>
      </c>
      <c r="D73" s="8">
        <v>0.73099999999999998</v>
      </c>
      <c r="E73" s="8">
        <v>0.66800000000000004</v>
      </c>
      <c r="F73" s="8">
        <f t="shared" si="8"/>
        <v>0.73099999999999998</v>
      </c>
      <c r="G73" s="8">
        <f t="shared" si="9"/>
        <v>0.126</v>
      </c>
      <c r="H73" s="8">
        <v>1.6140000000000001</v>
      </c>
      <c r="I73" s="8">
        <v>1.5429999999999999</v>
      </c>
      <c r="J73" s="8">
        <v>1.4710000000000001</v>
      </c>
      <c r="K73" s="8">
        <f t="shared" si="12"/>
        <v>1.5426666666666666</v>
      </c>
      <c r="L73" s="8">
        <f t="shared" si="13"/>
        <v>0.14300000000000002</v>
      </c>
      <c r="M73" s="8" t="str">
        <f t="shared" si="14"/>
        <v/>
      </c>
      <c r="N73" s="8">
        <f t="shared" si="15"/>
        <v>0.41533333333333333</v>
      </c>
      <c r="O73" s="8"/>
      <c r="P73" s="8">
        <f t="shared" si="10"/>
        <v>0.26900000000000002</v>
      </c>
      <c r="Q73" s="129">
        <f t="shared" si="11"/>
        <v>26.900000000000002</v>
      </c>
    </row>
    <row r="74" spans="2:17" x14ac:dyDescent="0.25">
      <c r="B74" t="s">
        <v>112</v>
      </c>
      <c r="C74" s="8">
        <v>1.0649999999999999</v>
      </c>
      <c r="D74" s="8">
        <v>1.002</v>
      </c>
      <c r="E74" s="8">
        <v>0.94</v>
      </c>
      <c r="F74" s="8">
        <f t="shared" si="8"/>
        <v>1.0023333333333333</v>
      </c>
      <c r="G74" s="8">
        <f t="shared" si="9"/>
        <v>0.125</v>
      </c>
      <c r="H74" s="8">
        <v>1.84</v>
      </c>
      <c r="I74" s="8">
        <v>1.78</v>
      </c>
      <c r="J74" s="8">
        <v>1.72</v>
      </c>
      <c r="K74" s="8">
        <f t="shared" si="12"/>
        <v>1.78</v>
      </c>
      <c r="L74" s="8">
        <f t="shared" si="13"/>
        <v>0.12000000000000011</v>
      </c>
      <c r="M74" s="8" t="str">
        <f t="shared" si="14"/>
        <v/>
      </c>
      <c r="N74" s="8">
        <f t="shared" si="15"/>
        <v>1.0489999999999999</v>
      </c>
      <c r="O74" s="8"/>
      <c r="P74" s="8">
        <f t="shared" si="10"/>
        <v>0.24500000000000011</v>
      </c>
      <c r="Q74" s="129">
        <f t="shared" si="11"/>
        <v>24.500000000000011</v>
      </c>
    </row>
    <row r="75" spans="2:17" x14ac:dyDescent="0.25">
      <c r="B75" t="s">
        <v>113</v>
      </c>
      <c r="C75" s="8">
        <v>1.3680000000000001</v>
      </c>
      <c r="D75" s="8">
        <v>1.3080000000000001</v>
      </c>
      <c r="E75" s="8">
        <v>1.248</v>
      </c>
      <c r="F75" s="8">
        <f t="shared" si="8"/>
        <v>1.3080000000000001</v>
      </c>
      <c r="G75" s="8">
        <f t="shared" si="9"/>
        <v>0.12000000000000011</v>
      </c>
      <c r="H75" s="8">
        <v>1.5980000000000001</v>
      </c>
      <c r="I75" s="8">
        <v>1.536</v>
      </c>
      <c r="J75" s="8">
        <v>1.474</v>
      </c>
      <c r="K75" s="8">
        <f t="shared" si="12"/>
        <v>1.5360000000000003</v>
      </c>
      <c r="L75" s="8">
        <f t="shared" si="13"/>
        <v>0.12400000000000011</v>
      </c>
      <c r="M75" s="8" t="str">
        <f t="shared" si="14"/>
        <v/>
      </c>
      <c r="N75" s="8">
        <f t="shared" si="15"/>
        <v>0.53366666666666696</v>
      </c>
      <c r="O75" s="8"/>
      <c r="P75" s="8">
        <f t="shared" si="10"/>
        <v>0.24400000000000022</v>
      </c>
      <c r="Q75" s="129">
        <f t="shared" si="11"/>
        <v>24.40000000000002</v>
      </c>
    </row>
    <row r="76" spans="2:17" x14ac:dyDescent="0.25">
      <c r="B76" t="s">
        <v>114</v>
      </c>
      <c r="C76" s="8">
        <v>1.2869999999999999</v>
      </c>
      <c r="D76" s="8">
        <v>1.2230000000000001</v>
      </c>
      <c r="E76" s="8">
        <v>1.1579999999999999</v>
      </c>
      <c r="F76" s="8">
        <f t="shared" si="8"/>
        <v>1.2226666666666666</v>
      </c>
      <c r="G76" s="8">
        <f t="shared" si="9"/>
        <v>0.129</v>
      </c>
      <c r="H76" s="8">
        <v>1.647</v>
      </c>
      <c r="I76" s="8">
        <v>1.587</v>
      </c>
      <c r="J76" s="8">
        <v>1.5269999999999999</v>
      </c>
      <c r="K76" s="8">
        <f t="shared" si="12"/>
        <v>1.587</v>
      </c>
      <c r="L76" s="8">
        <f t="shared" si="13"/>
        <v>0.12000000000000011</v>
      </c>
      <c r="M76" s="8" t="str">
        <f t="shared" si="14"/>
        <v/>
      </c>
      <c r="N76" s="8">
        <f t="shared" si="15"/>
        <v>0.27899999999999991</v>
      </c>
      <c r="O76" s="8"/>
      <c r="P76" s="8">
        <f t="shared" si="10"/>
        <v>0.24900000000000011</v>
      </c>
      <c r="Q76" s="129">
        <f t="shared" si="11"/>
        <v>24.900000000000013</v>
      </c>
    </row>
    <row r="77" spans="2:17" x14ac:dyDescent="0.25">
      <c r="B77" t="s">
        <v>115</v>
      </c>
      <c r="C77" s="8">
        <v>1.41</v>
      </c>
      <c r="D77" s="8">
        <v>1.345</v>
      </c>
      <c r="E77" s="8">
        <v>1.28</v>
      </c>
      <c r="F77" s="8">
        <f t="shared" si="8"/>
        <v>1.345</v>
      </c>
      <c r="G77" s="8">
        <f t="shared" si="9"/>
        <v>0.12999999999999989</v>
      </c>
      <c r="H77" s="8">
        <v>1.643</v>
      </c>
      <c r="I77" s="8">
        <v>1.58</v>
      </c>
      <c r="J77" s="8">
        <v>1.5149999999999999</v>
      </c>
      <c r="K77" s="8">
        <f t="shared" si="12"/>
        <v>1.5793333333333333</v>
      </c>
      <c r="L77" s="8">
        <f t="shared" si="13"/>
        <v>0.12800000000000011</v>
      </c>
      <c r="M77" s="8" t="str">
        <f t="shared" si="14"/>
        <v/>
      </c>
      <c r="N77" s="8">
        <f t="shared" si="15"/>
        <v>0.35666666666666669</v>
      </c>
      <c r="O77" s="8"/>
      <c r="P77" s="8">
        <f t="shared" si="10"/>
        <v>0.25800000000000001</v>
      </c>
      <c r="Q77" s="129">
        <f t="shared" si="11"/>
        <v>25.8</v>
      </c>
    </row>
    <row r="78" spans="2:17" x14ac:dyDescent="0.25">
      <c r="B78" t="s">
        <v>92</v>
      </c>
      <c r="C78" s="123"/>
      <c r="D78" s="123"/>
      <c r="E78" s="123"/>
      <c r="F78" s="123"/>
      <c r="G78" s="123"/>
      <c r="H78" s="8">
        <v>0.75800000000000001</v>
      </c>
      <c r="I78" s="8">
        <v>0.69499999999999995</v>
      </c>
      <c r="J78" s="8">
        <v>0.63400000000000001</v>
      </c>
      <c r="K78" s="8">
        <f t="shared" si="12"/>
        <v>0.69566666666666654</v>
      </c>
      <c r="L78" s="8">
        <f t="shared" si="13"/>
        <v>0.124</v>
      </c>
      <c r="M78" s="8">
        <f t="shared" si="14"/>
        <v>0.64933333333333343</v>
      </c>
      <c r="N78" s="8" t="str">
        <f t="shared" si="15"/>
        <v/>
      </c>
      <c r="O78" s="8"/>
      <c r="P78" s="8">
        <f t="shared" si="10"/>
        <v>0.124</v>
      </c>
      <c r="Q78" s="129">
        <f t="shared" si="11"/>
        <v>12.4</v>
      </c>
    </row>
    <row r="79" spans="2:17" x14ac:dyDescent="0.25">
      <c r="F79" s="8">
        <f>SUM(F57:F77)</f>
        <v>27.148</v>
      </c>
      <c r="K79" s="8">
        <f>SUM(K58:K78)</f>
        <v>29.231666666666669</v>
      </c>
      <c r="M79" s="8">
        <f>SUM(M62:M78)</f>
        <v>2.6410000000000005</v>
      </c>
      <c r="N79" s="8">
        <f>SUM(N58:N78)</f>
        <v>4.7246666666666668</v>
      </c>
      <c r="P79" s="8">
        <f>SUM(P57:P78)</f>
        <v>5.5700000000000021</v>
      </c>
      <c r="Q79" s="129">
        <f t="shared" si="11"/>
        <v>557.00000000000023</v>
      </c>
    </row>
    <row r="80" spans="2:17" x14ac:dyDescent="0.25">
      <c r="F80" s="135">
        <f>K79-F79</f>
        <v>2.0836666666666694</v>
      </c>
      <c r="G80" s="136"/>
      <c r="H80" s="136"/>
      <c r="I80" s="136"/>
      <c r="J80" s="136"/>
      <c r="K80" s="136"/>
      <c r="M80" s="135">
        <f>N79-M79</f>
        <v>2.0836666666666663</v>
      </c>
      <c r="N80" s="135"/>
      <c r="P80" s="8"/>
    </row>
    <row r="81" spans="2:17" x14ac:dyDescent="0.25">
      <c r="F81" s="137"/>
      <c r="G81" s="137"/>
      <c r="H81" s="137"/>
      <c r="I81" s="137"/>
      <c r="J81" s="137"/>
      <c r="K81" s="137"/>
      <c r="L81" s="137"/>
      <c r="M81" s="137"/>
      <c r="N81" s="137"/>
      <c r="P81" s="8"/>
    </row>
    <row r="82" spans="2:17" x14ac:dyDescent="0.25">
      <c r="C82" s="148" t="s">
        <v>119</v>
      </c>
      <c r="D82" s="148"/>
      <c r="E82" s="148"/>
      <c r="F82" s="149">
        <f>(M80+M51)/2</f>
        <v>2.0794999999999995</v>
      </c>
      <c r="G82" s="110"/>
      <c r="H82" s="110"/>
      <c r="I82" s="137"/>
      <c r="J82" s="137"/>
      <c r="K82" s="137"/>
      <c r="L82" s="137"/>
      <c r="M82" s="137"/>
      <c r="N82" s="137"/>
      <c r="P82" s="8"/>
    </row>
    <row r="83" spans="2:17" x14ac:dyDescent="0.25">
      <c r="C83" s="148" t="s">
        <v>120</v>
      </c>
      <c r="D83" s="148"/>
      <c r="E83" s="148"/>
      <c r="F83" s="149">
        <f>ABS(M80-M51)</f>
        <v>8.3333333333337478E-3</v>
      </c>
      <c r="G83" s="110"/>
      <c r="H83" s="110"/>
      <c r="I83" s="137"/>
      <c r="J83" s="137"/>
      <c r="K83" s="137"/>
      <c r="L83" s="137"/>
      <c r="M83" s="137"/>
      <c r="N83" s="137"/>
      <c r="P83" s="8"/>
    </row>
    <row r="84" spans="2:17" x14ac:dyDescent="0.25">
      <c r="C84" s="148" t="s">
        <v>121</v>
      </c>
      <c r="D84" s="148"/>
      <c r="E84" s="148"/>
      <c r="F84" s="150">
        <f>(24*SQRT((Q50+Q79)/1000))/1000</f>
        <v>2.5181707646623173E-2</v>
      </c>
      <c r="G84" s="137"/>
      <c r="H84" s="137"/>
      <c r="I84" s="137"/>
      <c r="J84" s="137"/>
      <c r="K84" s="137"/>
      <c r="L84" s="137"/>
      <c r="M84" s="137"/>
      <c r="N84" s="137"/>
      <c r="P84" s="8"/>
    </row>
    <row r="85" spans="2:17" x14ac:dyDescent="0.25">
      <c r="C85" s="138"/>
      <c r="D85" s="138"/>
      <c r="E85" s="138"/>
      <c r="F85" s="137"/>
      <c r="G85" s="137"/>
      <c r="H85" s="137"/>
      <c r="I85" s="137"/>
      <c r="J85" s="137"/>
      <c r="K85" s="137"/>
      <c r="L85" s="137"/>
      <c r="M85" s="137"/>
      <c r="N85" s="137"/>
      <c r="P85" s="8"/>
    </row>
    <row r="86" spans="2:17" x14ac:dyDescent="0.25">
      <c r="C86" s="138"/>
      <c r="D86" s="138"/>
      <c r="E86" s="138"/>
      <c r="F86" s="137"/>
      <c r="G86" s="137"/>
      <c r="H86" s="137"/>
      <c r="I86" s="137"/>
      <c r="J86" s="137"/>
      <c r="K86" s="137"/>
      <c r="L86" s="137"/>
      <c r="M86" s="137"/>
      <c r="N86" s="137"/>
      <c r="P86" s="8"/>
    </row>
    <row r="87" spans="2:17" x14ac:dyDescent="0.25">
      <c r="F87" s="137"/>
      <c r="G87" s="137"/>
      <c r="H87" s="137"/>
      <c r="I87" s="137"/>
      <c r="J87" s="137"/>
      <c r="K87" s="137"/>
      <c r="L87" s="137"/>
      <c r="M87" s="137"/>
      <c r="N87" s="137"/>
      <c r="P87" s="8"/>
    </row>
    <row r="88" spans="2:17" x14ac:dyDescent="0.25">
      <c r="B88" s="124" t="s">
        <v>122</v>
      </c>
      <c r="C88" s="124"/>
      <c r="D88" s="124"/>
      <c r="E88" s="124"/>
      <c r="F88" s="124"/>
      <c r="G88" s="124"/>
      <c r="H88" s="124"/>
    </row>
    <row r="89" spans="2:17" x14ac:dyDescent="0.25">
      <c r="B89" s="121" t="s">
        <v>80</v>
      </c>
      <c r="C89" s="120" t="s">
        <v>81</v>
      </c>
      <c r="D89" s="120"/>
      <c r="E89" s="120"/>
      <c r="F89" s="121" t="s">
        <v>82</v>
      </c>
      <c r="G89" s="120" t="s">
        <v>110</v>
      </c>
      <c r="H89" s="120" t="s">
        <v>83</v>
      </c>
      <c r="I89" s="120"/>
      <c r="J89" s="120"/>
      <c r="K89" s="121" t="s">
        <v>84</v>
      </c>
      <c r="L89" s="120" t="s">
        <v>111</v>
      </c>
      <c r="M89" s="120" t="s">
        <v>85</v>
      </c>
      <c r="N89" s="120" t="s">
        <v>86</v>
      </c>
      <c r="O89" s="120" t="s">
        <v>87</v>
      </c>
      <c r="P89" s="121" t="s">
        <v>88</v>
      </c>
      <c r="Q89" s="131" t="s">
        <v>89</v>
      </c>
    </row>
    <row r="90" spans="2:17" ht="15" customHeight="1" x14ac:dyDescent="0.25">
      <c r="B90" s="121"/>
      <c r="C90" s="122" t="s">
        <v>71</v>
      </c>
      <c r="D90" s="122" t="s">
        <v>72</v>
      </c>
      <c r="E90" s="122" t="s">
        <v>73</v>
      </c>
      <c r="F90" s="120"/>
      <c r="G90" s="120"/>
      <c r="H90" s="122" t="s">
        <v>71</v>
      </c>
      <c r="I90" s="122" t="s">
        <v>72</v>
      </c>
      <c r="J90" s="122" t="s">
        <v>73</v>
      </c>
      <c r="K90" s="120"/>
      <c r="L90" s="120"/>
      <c r="M90" s="120"/>
      <c r="N90" s="120"/>
      <c r="O90" s="120"/>
      <c r="P90" s="120"/>
      <c r="Q90" s="132"/>
    </row>
    <row r="91" spans="2:17" x14ac:dyDescent="0.25">
      <c r="B91" t="s">
        <v>109</v>
      </c>
      <c r="C91" s="8">
        <v>0.90800000000000003</v>
      </c>
      <c r="D91" s="8">
        <v>0.83499999999999996</v>
      </c>
      <c r="E91" s="8">
        <v>0.76200000000000001</v>
      </c>
      <c r="F91" s="8">
        <f>(C91+D91+E91)/3</f>
        <v>0.83499999999999996</v>
      </c>
      <c r="G91" s="8">
        <f>C91-E91</f>
        <v>0.14600000000000002</v>
      </c>
      <c r="H91" s="123"/>
      <c r="I91" s="123"/>
      <c r="J91" s="123"/>
      <c r="K91" s="123"/>
      <c r="L91" s="123"/>
      <c r="M91" s="123"/>
      <c r="N91" s="123"/>
      <c r="O91" s="8"/>
      <c r="P91" s="8">
        <f>(G91+L91)</f>
        <v>0.14600000000000002</v>
      </c>
      <c r="Q91" s="129">
        <f>P91*100</f>
        <v>14.600000000000001</v>
      </c>
    </row>
    <row r="92" spans="2:17" x14ac:dyDescent="0.25">
      <c r="B92" t="s">
        <v>93</v>
      </c>
      <c r="C92" s="8">
        <v>1.1479999999999999</v>
      </c>
      <c r="D92" s="8">
        <v>1.0780000000000001</v>
      </c>
      <c r="E92" s="8">
        <v>1.0089999999999999</v>
      </c>
      <c r="F92" s="8">
        <f t="shared" ref="F92:F97" si="16">(C92+D92+E92)/3</f>
        <v>1.0783333333333334</v>
      </c>
      <c r="G92" s="8">
        <f t="shared" ref="G92:G97" si="17">C92-E92</f>
        <v>0.13900000000000001</v>
      </c>
      <c r="H92" s="8">
        <v>1.7410000000000001</v>
      </c>
      <c r="I92" s="8">
        <v>1.6719999999999999</v>
      </c>
      <c r="J92" s="8">
        <v>1.6</v>
      </c>
      <c r="K92" s="8">
        <f>(H92+I92+J92)/3</f>
        <v>1.671</v>
      </c>
      <c r="L92" s="8">
        <f>H92-J92</f>
        <v>0.14100000000000001</v>
      </c>
      <c r="M92" s="8" t="str">
        <f>IF(SIGN(F91-K92)=1,F91-K92,"")</f>
        <v/>
      </c>
      <c r="N92" s="8">
        <f>IF(SIGN(F91-K92)=-1,ABS(F91-K92),"")</f>
        <v>0.83600000000000008</v>
      </c>
      <c r="O92" s="8"/>
      <c r="P92" s="8">
        <f t="shared" ref="P92:P98" si="18">(G92+L92)</f>
        <v>0.28000000000000003</v>
      </c>
      <c r="Q92" s="129">
        <f t="shared" ref="Q92:Q99" si="19">P92*100</f>
        <v>28.000000000000004</v>
      </c>
    </row>
    <row r="93" spans="2:17" x14ac:dyDescent="0.25">
      <c r="B93" t="s">
        <v>94</v>
      </c>
      <c r="C93" s="8">
        <v>1.08</v>
      </c>
      <c r="D93" s="8">
        <v>1.014</v>
      </c>
      <c r="E93" s="8">
        <v>0.94799999999999995</v>
      </c>
      <c r="F93" s="8">
        <f t="shared" si="16"/>
        <v>1.014</v>
      </c>
      <c r="G93" s="8">
        <f t="shared" si="17"/>
        <v>0.13200000000000012</v>
      </c>
      <c r="H93" s="8">
        <v>1.663</v>
      </c>
      <c r="I93" s="8">
        <v>1.5980000000000001</v>
      </c>
      <c r="J93" s="8">
        <v>1.532</v>
      </c>
      <c r="K93" s="8">
        <f t="shared" ref="K93:K98" si="20">(H93+I93+J93)/3</f>
        <v>1.5976666666666668</v>
      </c>
      <c r="L93" s="8">
        <f t="shared" ref="L93:L98" si="21">H93-J93</f>
        <v>0.13100000000000001</v>
      </c>
      <c r="M93" s="8" t="str">
        <f t="shared" ref="M93:M98" si="22">IF(SIGN(F92-K93)=1,F92-K93,"")</f>
        <v/>
      </c>
      <c r="N93" s="8">
        <f t="shared" ref="N93:N98" si="23">IF(SIGN(F92-K93)=-1,ABS(F92-K93),"")</f>
        <v>0.51933333333333342</v>
      </c>
      <c r="O93" s="8"/>
      <c r="P93" s="8">
        <f t="shared" si="18"/>
        <v>0.26300000000000012</v>
      </c>
      <c r="Q93" s="129">
        <f t="shared" si="19"/>
        <v>26.300000000000011</v>
      </c>
    </row>
    <row r="94" spans="2:17" x14ac:dyDescent="0.25">
      <c r="B94" t="s">
        <v>95</v>
      </c>
      <c r="C94" s="8">
        <v>1.2749999999999999</v>
      </c>
      <c r="D94" s="8">
        <v>1.202</v>
      </c>
      <c r="E94" s="8">
        <v>1.131</v>
      </c>
      <c r="F94" s="8">
        <f t="shared" si="16"/>
        <v>1.2026666666666666</v>
      </c>
      <c r="G94" s="8">
        <f t="shared" si="17"/>
        <v>0.14399999999999991</v>
      </c>
      <c r="H94" s="8">
        <v>1.5289999999999999</v>
      </c>
      <c r="I94" s="8">
        <v>1.46</v>
      </c>
      <c r="J94" s="8">
        <v>1.39</v>
      </c>
      <c r="K94" s="8">
        <f t="shared" si="20"/>
        <v>1.4596666666666664</v>
      </c>
      <c r="L94" s="8">
        <f t="shared" si="21"/>
        <v>0.13900000000000001</v>
      </c>
      <c r="M94" s="8" t="str">
        <f t="shared" si="22"/>
        <v/>
      </c>
      <c r="N94" s="8">
        <f t="shared" si="23"/>
        <v>0.44566666666666643</v>
      </c>
      <c r="O94" s="8"/>
      <c r="P94" s="8">
        <f t="shared" si="18"/>
        <v>0.28299999999999992</v>
      </c>
      <c r="Q94" s="129">
        <f t="shared" si="19"/>
        <v>28.29999999999999</v>
      </c>
    </row>
    <row r="95" spans="2:17" x14ac:dyDescent="0.25">
      <c r="B95" t="s">
        <v>96</v>
      </c>
      <c r="C95" s="8">
        <v>1.4119999999999999</v>
      </c>
      <c r="D95" s="8">
        <v>1.34</v>
      </c>
      <c r="E95" s="8">
        <v>1.268</v>
      </c>
      <c r="F95" s="8">
        <f t="shared" si="16"/>
        <v>1.3399999999999999</v>
      </c>
      <c r="G95" s="8">
        <f t="shared" si="17"/>
        <v>0.14399999999999991</v>
      </c>
      <c r="H95" s="8">
        <v>1.44</v>
      </c>
      <c r="I95" s="8">
        <v>1.365</v>
      </c>
      <c r="J95" s="8">
        <v>1.29</v>
      </c>
      <c r="K95" s="8">
        <f t="shared" si="20"/>
        <v>1.365</v>
      </c>
      <c r="L95" s="8">
        <f t="shared" si="21"/>
        <v>0.14999999999999991</v>
      </c>
      <c r="M95" s="8" t="str">
        <f t="shared" si="22"/>
        <v/>
      </c>
      <c r="N95" s="8">
        <f t="shared" si="23"/>
        <v>0.16233333333333344</v>
      </c>
      <c r="O95" s="8"/>
      <c r="P95" s="8">
        <f t="shared" si="18"/>
        <v>0.29399999999999982</v>
      </c>
      <c r="Q95" s="129">
        <f t="shared" si="19"/>
        <v>29.399999999999981</v>
      </c>
    </row>
    <row r="96" spans="2:17" x14ac:dyDescent="0.25">
      <c r="B96" t="s">
        <v>97</v>
      </c>
      <c r="C96" s="8">
        <v>1.3340000000000001</v>
      </c>
      <c r="D96" s="8">
        <v>1.262</v>
      </c>
      <c r="E96" s="8">
        <v>1.19</v>
      </c>
      <c r="F96" s="8">
        <f t="shared" si="16"/>
        <v>1.262</v>
      </c>
      <c r="G96" s="8">
        <f t="shared" si="17"/>
        <v>0.14400000000000013</v>
      </c>
      <c r="H96" s="8">
        <v>1.35</v>
      </c>
      <c r="I96" s="8">
        <v>1.28</v>
      </c>
      <c r="J96" s="8">
        <v>1.2090000000000001</v>
      </c>
      <c r="K96" s="8">
        <f t="shared" si="20"/>
        <v>1.2796666666666667</v>
      </c>
      <c r="L96" s="8">
        <f t="shared" si="21"/>
        <v>0.14100000000000001</v>
      </c>
      <c r="M96" s="8">
        <f t="shared" si="22"/>
        <v>6.0333333333333128E-2</v>
      </c>
      <c r="N96" s="8" t="str">
        <f t="shared" si="23"/>
        <v/>
      </c>
      <c r="O96" s="8"/>
      <c r="P96" s="8">
        <f t="shared" si="18"/>
        <v>0.28500000000000014</v>
      </c>
      <c r="Q96" s="129">
        <f t="shared" si="19"/>
        <v>28.500000000000014</v>
      </c>
    </row>
    <row r="97" spans="2:17" x14ac:dyDescent="0.25">
      <c r="B97" t="s">
        <v>98</v>
      </c>
      <c r="C97" s="8">
        <v>1.35</v>
      </c>
      <c r="D97" s="8">
        <v>1.2909999999999999</v>
      </c>
      <c r="E97" s="8">
        <v>1.234</v>
      </c>
      <c r="F97" s="8">
        <f t="shared" si="16"/>
        <v>1.2916666666666667</v>
      </c>
      <c r="G97" s="8">
        <f t="shared" si="17"/>
        <v>0.1160000000000001</v>
      </c>
      <c r="H97" s="8">
        <v>1.4610000000000001</v>
      </c>
      <c r="I97" s="8">
        <v>1.39</v>
      </c>
      <c r="J97" s="8">
        <v>1.3180000000000001</v>
      </c>
      <c r="K97" s="8">
        <f t="shared" si="20"/>
        <v>1.3896666666666668</v>
      </c>
      <c r="L97" s="8">
        <f t="shared" si="21"/>
        <v>0.14300000000000002</v>
      </c>
      <c r="M97" s="8" t="str">
        <f t="shared" si="22"/>
        <v/>
      </c>
      <c r="N97" s="8">
        <f t="shared" si="23"/>
        <v>0.12766666666666682</v>
      </c>
      <c r="O97" s="8"/>
      <c r="P97" s="8">
        <f t="shared" si="18"/>
        <v>0.25900000000000012</v>
      </c>
      <c r="Q97" s="129">
        <f t="shared" si="19"/>
        <v>25.900000000000013</v>
      </c>
    </row>
    <row r="98" spans="2:17" x14ac:dyDescent="0.25">
      <c r="B98" t="s">
        <v>15</v>
      </c>
      <c r="C98" s="123"/>
      <c r="D98" s="123"/>
      <c r="E98" s="123"/>
      <c r="F98" s="123"/>
      <c r="G98" s="123"/>
      <c r="H98" s="8">
        <v>1.3120000000000001</v>
      </c>
      <c r="I98" s="8">
        <v>1.25</v>
      </c>
      <c r="J98" s="8">
        <v>1.1879999999999999</v>
      </c>
      <c r="K98" s="8">
        <f t="shared" si="20"/>
        <v>1.25</v>
      </c>
      <c r="L98" s="8">
        <f t="shared" si="21"/>
        <v>0.12400000000000011</v>
      </c>
      <c r="M98" s="8">
        <f t="shared" si="22"/>
        <v>4.1666666666666741E-2</v>
      </c>
      <c r="N98" s="8" t="str">
        <f t="shared" si="23"/>
        <v/>
      </c>
      <c r="O98" s="8"/>
      <c r="P98" s="8">
        <f t="shared" si="18"/>
        <v>0.12400000000000011</v>
      </c>
      <c r="Q98" s="129">
        <f t="shared" si="19"/>
        <v>12.400000000000011</v>
      </c>
    </row>
    <row r="99" spans="2:17" x14ac:dyDescent="0.25">
      <c r="F99" s="8">
        <f>SUM(F91:F97)</f>
        <v>8.0236666666666654</v>
      </c>
      <c r="K99" s="8">
        <f>SUM(K92:K98)</f>
        <v>10.012666666666668</v>
      </c>
      <c r="M99" s="8">
        <f>SUM(M92:M98)</f>
        <v>0.10199999999999987</v>
      </c>
      <c r="N99" s="8">
        <f>SUM(N92:N98)</f>
        <v>2.0910000000000002</v>
      </c>
      <c r="P99" s="8">
        <f>SUM(P91:P98)</f>
        <v>1.9340000000000004</v>
      </c>
      <c r="Q99" s="129">
        <f t="shared" si="19"/>
        <v>193.40000000000003</v>
      </c>
    </row>
    <row r="100" spans="2:17" x14ac:dyDescent="0.25">
      <c r="F100" s="135">
        <f>F99-K99</f>
        <v>-1.9890000000000025</v>
      </c>
      <c r="G100" s="136"/>
      <c r="H100" s="136"/>
      <c r="I100" s="136"/>
      <c r="J100" s="136"/>
      <c r="K100" s="136"/>
      <c r="M100" s="135">
        <f>M99-N99</f>
        <v>-1.9890000000000003</v>
      </c>
      <c r="N100" s="135"/>
      <c r="P100" s="8"/>
    </row>
    <row r="101" spans="2:17" x14ac:dyDescent="0.25">
      <c r="M101" s="8"/>
      <c r="N101" s="8"/>
      <c r="P101" s="8"/>
    </row>
    <row r="103" spans="2:17" x14ac:dyDescent="0.25">
      <c r="B103" s="124" t="s">
        <v>123</v>
      </c>
      <c r="C103" s="124"/>
      <c r="D103" s="124"/>
      <c r="E103" s="124"/>
      <c r="F103" s="124"/>
      <c r="G103" s="124"/>
      <c r="H103" s="124"/>
    </row>
    <row r="104" spans="2:17" x14ac:dyDescent="0.25">
      <c r="B104" s="121" t="s">
        <v>80</v>
      </c>
      <c r="C104" s="120" t="s">
        <v>81</v>
      </c>
      <c r="D104" s="120"/>
      <c r="E104" s="120"/>
      <c r="F104" s="121" t="s">
        <v>82</v>
      </c>
      <c r="G104" s="120" t="s">
        <v>110</v>
      </c>
      <c r="H104" s="120" t="s">
        <v>83</v>
      </c>
      <c r="I104" s="120"/>
      <c r="J104" s="120"/>
      <c r="K104" s="121" t="s">
        <v>84</v>
      </c>
      <c r="L104" s="120" t="s">
        <v>111</v>
      </c>
      <c r="M104" s="120" t="s">
        <v>85</v>
      </c>
      <c r="N104" s="120" t="s">
        <v>86</v>
      </c>
      <c r="O104" s="120" t="s">
        <v>87</v>
      </c>
      <c r="P104" s="121" t="s">
        <v>88</v>
      </c>
      <c r="Q104" s="131" t="s">
        <v>89</v>
      </c>
    </row>
    <row r="105" spans="2:17" x14ac:dyDescent="0.25">
      <c r="B105" s="121"/>
      <c r="C105" s="122" t="s">
        <v>71</v>
      </c>
      <c r="D105" s="122" t="s">
        <v>72</v>
      </c>
      <c r="E105" s="122" t="s">
        <v>73</v>
      </c>
      <c r="F105" s="120"/>
      <c r="G105" s="120"/>
      <c r="H105" s="122" t="s">
        <v>71</v>
      </c>
      <c r="I105" s="122" t="s">
        <v>72</v>
      </c>
      <c r="J105" s="122" t="s">
        <v>73</v>
      </c>
      <c r="K105" s="120"/>
      <c r="L105" s="120"/>
      <c r="M105" s="120"/>
      <c r="N105" s="120"/>
      <c r="O105" s="120"/>
      <c r="P105" s="120"/>
      <c r="Q105" s="132"/>
    </row>
    <row r="106" spans="2:17" x14ac:dyDescent="0.25">
      <c r="B106" t="s">
        <v>15</v>
      </c>
      <c r="C106" s="8">
        <v>1.44</v>
      </c>
      <c r="D106" s="8">
        <v>1.3640000000000001</v>
      </c>
      <c r="E106" s="8">
        <v>1.288</v>
      </c>
      <c r="F106" s="8">
        <f>(C106+D106+E106)/3</f>
        <v>1.3640000000000001</v>
      </c>
      <c r="G106" s="8">
        <f>C106-E106</f>
        <v>0.15199999999999991</v>
      </c>
      <c r="H106" s="123"/>
      <c r="I106" s="123"/>
      <c r="J106" s="123"/>
      <c r="K106" s="123"/>
      <c r="L106" s="123"/>
      <c r="M106" s="123"/>
      <c r="N106" s="123"/>
      <c r="O106" s="8"/>
      <c r="P106" s="8">
        <f>(G106+L106)</f>
        <v>0.15199999999999991</v>
      </c>
      <c r="Q106" s="129">
        <f>P106*100</f>
        <v>15.199999999999992</v>
      </c>
    </row>
    <row r="107" spans="2:17" x14ac:dyDescent="0.25">
      <c r="B107" t="s">
        <v>93</v>
      </c>
      <c r="C107" s="8">
        <v>1.504</v>
      </c>
      <c r="D107" s="8">
        <v>1.44</v>
      </c>
      <c r="E107" s="8">
        <v>1.3759999999999999</v>
      </c>
      <c r="F107" s="8">
        <f t="shared" ref="F107:F113" si="24">(C107+D107+E107)/3</f>
        <v>1.4400000000000002</v>
      </c>
      <c r="G107" s="8">
        <f t="shared" ref="G107:G113" si="25">C107-E107</f>
        <v>0.12800000000000011</v>
      </c>
      <c r="H107" s="8">
        <v>1.5</v>
      </c>
      <c r="I107" s="8">
        <v>1.425</v>
      </c>
      <c r="J107" s="8">
        <v>1.35</v>
      </c>
      <c r="K107" s="8">
        <f>(H107+I107+J107)/3</f>
        <v>1.425</v>
      </c>
      <c r="L107" s="8">
        <f>H107-J107</f>
        <v>0.14999999999999991</v>
      </c>
      <c r="M107" s="8" t="str">
        <f>IF(SIGN(F106-K107)=1,F106-K107,"")</f>
        <v/>
      </c>
      <c r="N107" s="8">
        <f>IF(SIGN(F106-K107)=-1,ABS(F106-K107),"")</f>
        <v>6.0999999999999943E-2</v>
      </c>
      <c r="O107" s="8"/>
      <c r="P107" s="8">
        <f t="shared" ref="P107:P114" si="26">(G107+L107)</f>
        <v>0.27800000000000002</v>
      </c>
      <c r="Q107" s="129">
        <f t="shared" ref="Q107:Q115" si="27">P107*100</f>
        <v>27.800000000000004</v>
      </c>
    </row>
    <row r="108" spans="2:17" x14ac:dyDescent="0.25">
      <c r="B108" t="s">
        <v>94</v>
      </c>
      <c r="C108" s="8">
        <v>1.35</v>
      </c>
      <c r="D108" s="8">
        <v>1.288</v>
      </c>
      <c r="E108" s="8">
        <v>1.2250000000000001</v>
      </c>
      <c r="F108" s="8">
        <f t="shared" si="24"/>
        <v>1.2876666666666667</v>
      </c>
      <c r="G108" s="8">
        <f t="shared" si="25"/>
        <v>0.125</v>
      </c>
      <c r="H108" s="8">
        <v>1.355</v>
      </c>
      <c r="I108" s="8">
        <v>1.2949999999999999</v>
      </c>
      <c r="J108" s="8">
        <v>1.2350000000000001</v>
      </c>
      <c r="K108" s="8">
        <f t="shared" ref="K108:K114" si="28">(H108+I108+J108)/3</f>
        <v>1.2949999999999999</v>
      </c>
      <c r="L108" s="8">
        <f t="shared" ref="L108:L114" si="29">H108-J108</f>
        <v>0.11999999999999988</v>
      </c>
      <c r="M108" s="8">
        <f t="shared" ref="M108:M114" si="30">IF(SIGN(F107-K108)=1,F107-K108,"")</f>
        <v>0.14500000000000024</v>
      </c>
      <c r="N108" s="8" t="str">
        <f t="shared" ref="N108:N114" si="31">IF(SIGN(F107-K108)=-1,ABS(F107-K108),"")</f>
        <v/>
      </c>
      <c r="O108" s="8"/>
      <c r="P108" s="8">
        <f t="shared" si="26"/>
        <v>0.24499999999999988</v>
      </c>
      <c r="Q108" s="129">
        <f t="shared" si="27"/>
        <v>24.499999999999989</v>
      </c>
    </row>
    <row r="109" spans="2:17" x14ac:dyDescent="0.25">
      <c r="B109" t="s">
        <v>95</v>
      </c>
      <c r="C109" s="8">
        <v>1.3109999999999999</v>
      </c>
      <c r="D109" s="8">
        <v>1.2509999999999999</v>
      </c>
      <c r="E109" s="8">
        <v>1.1910000000000001</v>
      </c>
      <c r="F109" s="8">
        <f t="shared" si="24"/>
        <v>1.2510000000000001</v>
      </c>
      <c r="G109" s="8">
        <f t="shared" si="25"/>
        <v>0.11999999999999988</v>
      </c>
      <c r="H109" s="8">
        <v>1.395</v>
      </c>
      <c r="I109" s="8">
        <v>1.3340000000000001</v>
      </c>
      <c r="J109" s="8">
        <v>1.272</v>
      </c>
      <c r="K109" s="8">
        <f t="shared" si="28"/>
        <v>1.3336666666666668</v>
      </c>
      <c r="L109" s="8">
        <f t="shared" si="29"/>
        <v>0.123</v>
      </c>
      <c r="M109" s="8" t="str">
        <f t="shared" si="30"/>
        <v/>
      </c>
      <c r="N109" s="8">
        <f t="shared" si="31"/>
        <v>4.6000000000000041E-2</v>
      </c>
      <c r="O109" s="8"/>
      <c r="P109" s="8">
        <f t="shared" si="26"/>
        <v>0.24299999999999988</v>
      </c>
      <c r="Q109" s="129">
        <f t="shared" si="27"/>
        <v>24.29999999999999</v>
      </c>
    </row>
    <row r="110" spans="2:17" x14ac:dyDescent="0.25">
      <c r="B110" t="s">
        <v>96</v>
      </c>
      <c r="C110" s="8">
        <v>1.514</v>
      </c>
      <c r="D110" s="8">
        <v>1.454</v>
      </c>
      <c r="E110" s="8">
        <v>1.3919999999999999</v>
      </c>
      <c r="F110" s="8">
        <f t="shared" si="24"/>
        <v>1.4533333333333331</v>
      </c>
      <c r="G110" s="8">
        <f t="shared" si="25"/>
        <v>0.12200000000000011</v>
      </c>
      <c r="H110" s="8">
        <v>1.3049999999999999</v>
      </c>
      <c r="I110" s="8">
        <v>1.25</v>
      </c>
      <c r="J110" s="8">
        <v>1.1950000000000001</v>
      </c>
      <c r="K110" s="8">
        <f t="shared" si="28"/>
        <v>1.25</v>
      </c>
      <c r="L110" s="8">
        <f t="shared" si="29"/>
        <v>0.10999999999999988</v>
      </c>
      <c r="M110" s="8">
        <f t="shared" si="30"/>
        <v>1.0000000000001119E-3</v>
      </c>
      <c r="N110" s="8" t="str">
        <f t="shared" si="31"/>
        <v/>
      </c>
      <c r="O110" s="8"/>
      <c r="P110" s="8">
        <f t="shared" si="26"/>
        <v>0.23199999999999998</v>
      </c>
      <c r="Q110" s="129">
        <f t="shared" si="27"/>
        <v>23.2</v>
      </c>
    </row>
    <row r="111" spans="2:17" x14ac:dyDescent="0.25">
      <c r="B111" t="s">
        <v>97</v>
      </c>
      <c r="C111" s="8">
        <v>1.593</v>
      </c>
      <c r="D111" s="8">
        <v>1.53</v>
      </c>
      <c r="E111" s="8">
        <v>1.468</v>
      </c>
      <c r="F111" s="8">
        <f t="shared" si="24"/>
        <v>1.5303333333333333</v>
      </c>
      <c r="G111" s="8">
        <f t="shared" si="25"/>
        <v>0.125</v>
      </c>
      <c r="H111" s="8">
        <v>1.1479999999999999</v>
      </c>
      <c r="I111" s="8">
        <v>1.085</v>
      </c>
      <c r="J111" s="8">
        <v>1.024</v>
      </c>
      <c r="K111" s="8">
        <f t="shared" si="28"/>
        <v>1.0856666666666666</v>
      </c>
      <c r="L111" s="8">
        <f t="shared" si="29"/>
        <v>0.12399999999999989</v>
      </c>
      <c r="M111" s="8">
        <f t="shared" si="30"/>
        <v>0.36766666666666659</v>
      </c>
      <c r="N111" s="8" t="str">
        <f t="shared" si="31"/>
        <v/>
      </c>
      <c r="O111" s="8"/>
      <c r="P111" s="8">
        <f t="shared" si="26"/>
        <v>0.24899999999999989</v>
      </c>
      <c r="Q111" s="129">
        <f t="shared" si="27"/>
        <v>24.899999999999988</v>
      </c>
    </row>
    <row r="112" spans="2:17" x14ac:dyDescent="0.25">
      <c r="B112" t="s">
        <v>98</v>
      </c>
      <c r="C112" s="8">
        <v>1.5740000000000001</v>
      </c>
      <c r="D112" s="8">
        <v>1.51</v>
      </c>
      <c r="E112" s="8">
        <v>1.4470000000000001</v>
      </c>
      <c r="F112" s="8">
        <f t="shared" si="24"/>
        <v>1.5103333333333335</v>
      </c>
      <c r="G112" s="8">
        <f t="shared" si="25"/>
        <v>0.127</v>
      </c>
      <c r="H112" s="8">
        <v>1.105</v>
      </c>
      <c r="I112" s="8">
        <v>1.0449999999999999</v>
      </c>
      <c r="J112" s="8">
        <v>0.98499999999999999</v>
      </c>
      <c r="K112" s="8">
        <f t="shared" si="28"/>
        <v>1.0449999999999999</v>
      </c>
      <c r="L112" s="8">
        <f t="shared" si="29"/>
        <v>0.12</v>
      </c>
      <c r="M112" s="8">
        <f t="shared" si="30"/>
        <v>0.48533333333333339</v>
      </c>
      <c r="N112" s="8" t="str">
        <f t="shared" si="31"/>
        <v/>
      </c>
      <c r="O112" s="8"/>
      <c r="P112" s="8">
        <f t="shared" si="26"/>
        <v>0.247</v>
      </c>
      <c r="Q112" s="129">
        <f t="shared" si="27"/>
        <v>24.7</v>
      </c>
    </row>
    <row r="113" spans="1:18" x14ac:dyDescent="0.25">
      <c r="B113" t="s">
        <v>99</v>
      </c>
      <c r="C113" s="8">
        <v>1.4370000000000001</v>
      </c>
      <c r="D113" s="8">
        <v>1.39</v>
      </c>
      <c r="E113" s="8">
        <v>1.343</v>
      </c>
      <c r="F113" s="8">
        <f t="shared" si="24"/>
        <v>1.39</v>
      </c>
      <c r="G113" s="8">
        <f t="shared" si="25"/>
        <v>9.4000000000000083E-2</v>
      </c>
      <c r="H113" s="8">
        <v>1.0900000000000001</v>
      </c>
      <c r="I113" s="8">
        <v>1.03</v>
      </c>
      <c r="J113" s="8">
        <v>0.97</v>
      </c>
      <c r="K113" s="8">
        <f t="shared" si="28"/>
        <v>1.03</v>
      </c>
      <c r="L113" s="8">
        <f t="shared" si="29"/>
        <v>0.12000000000000011</v>
      </c>
      <c r="M113" s="8">
        <f t="shared" si="30"/>
        <v>0.4803333333333335</v>
      </c>
      <c r="N113" s="8" t="str">
        <f t="shared" si="31"/>
        <v/>
      </c>
      <c r="O113" s="8"/>
      <c r="P113" s="8">
        <f t="shared" si="26"/>
        <v>0.21400000000000019</v>
      </c>
      <c r="Q113" s="129">
        <f t="shared" si="27"/>
        <v>21.40000000000002</v>
      </c>
    </row>
    <row r="114" spans="1:18" x14ac:dyDescent="0.25">
      <c r="B114" t="s">
        <v>109</v>
      </c>
      <c r="C114" s="123"/>
      <c r="D114" s="123"/>
      <c r="E114" s="123"/>
      <c r="F114" s="123"/>
      <c r="G114" s="123"/>
      <c r="H114" s="8">
        <v>0.81200000000000006</v>
      </c>
      <c r="I114" s="8">
        <v>0.76600000000000001</v>
      </c>
      <c r="J114" s="8">
        <v>0.72</v>
      </c>
      <c r="K114" s="8">
        <f t="shared" si="28"/>
        <v>0.76600000000000001</v>
      </c>
      <c r="L114" s="8">
        <f t="shared" si="29"/>
        <v>9.2000000000000082E-2</v>
      </c>
      <c r="M114" s="8">
        <f t="shared" si="30"/>
        <v>0.62399999999999989</v>
      </c>
      <c r="N114" s="8" t="str">
        <f t="shared" si="31"/>
        <v/>
      </c>
      <c r="O114" s="8"/>
      <c r="P114" s="8">
        <f t="shared" si="26"/>
        <v>9.2000000000000082E-2</v>
      </c>
      <c r="Q114" s="129">
        <f t="shared" si="27"/>
        <v>9.2000000000000082</v>
      </c>
    </row>
    <row r="115" spans="1:18" x14ac:dyDescent="0.25">
      <c r="F115" s="8">
        <f>SUM(F106:F113)</f>
        <v>11.226666666666668</v>
      </c>
      <c r="K115" s="8">
        <f>SUM(K107:K114)</f>
        <v>9.2303333333333324</v>
      </c>
      <c r="M115" s="8">
        <f>SUM(M107:M114)</f>
        <v>2.1033333333333335</v>
      </c>
      <c r="N115" s="8">
        <f>SUM(N107:N114)</f>
        <v>0.10699999999999998</v>
      </c>
      <c r="P115" s="8">
        <f>SUM(P106:P114)</f>
        <v>1.9519999999999997</v>
      </c>
      <c r="Q115" s="129">
        <f t="shared" si="27"/>
        <v>195.19999999999996</v>
      </c>
    </row>
    <row r="116" spans="1:18" x14ac:dyDescent="0.25">
      <c r="F116" s="135">
        <f>K115-F115</f>
        <v>-1.996333333333336</v>
      </c>
      <c r="G116" s="136"/>
      <c r="H116" s="136"/>
      <c r="I116" s="136"/>
      <c r="J116" s="136"/>
      <c r="K116" s="136"/>
      <c r="M116" s="135">
        <f>N115-M115</f>
        <v>-1.9963333333333335</v>
      </c>
      <c r="N116" s="135"/>
      <c r="P116" s="8"/>
    </row>
    <row r="118" spans="1:18" x14ac:dyDescent="0.25">
      <c r="A118" s="139"/>
      <c r="B118" s="147"/>
      <c r="C118" s="148" t="s">
        <v>119</v>
      </c>
      <c r="D118" s="148"/>
      <c r="E118" s="148"/>
      <c r="F118" s="149">
        <f>(M116+M100)/2</f>
        <v>-1.992666666666667</v>
      </c>
      <c r="G118" s="147"/>
      <c r="H118" s="147"/>
      <c r="I118" s="139"/>
      <c r="J118" s="139"/>
      <c r="K118" s="139"/>
      <c r="L118" s="139"/>
      <c r="M118" s="139"/>
      <c r="N118" s="139"/>
      <c r="O118" s="139"/>
      <c r="P118" s="139"/>
      <c r="Q118" s="140"/>
      <c r="R118" s="139"/>
    </row>
    <row r="119" spans="1:18" x14ac:dyDescent="0.25">
      <c r="A119" s="139"/>
      <c r="B119" s="145"/>
      <c r="C119" s="148" t="s">
        <v>120</v>
      </c>
      <c r="D119" s="148"/>
      <c r="E119" s="148"/>
      <c r="F119" s="149">
        <f>ABS(M116-M100)</f>
        <v>7.3333333333331918E-3</v>
      </c>
      <c r="G119" s="146"/>
      <c r="H119" s="146"/>
      <c r="I119" s="146"/>
      <c r="J119" s="146"/>
      <c r="K119" s="145"/>
      <c r="L119" s="146"/>
      <c r="M119" s="146"/>
      <c r="N119" s="146"/>
      <c r="O119" s="146"/>
      <c r="P119" s="145"/>
      <c r="Q119" s="143"/>
      <c r="R119" s="139"/>
    </row>
    <row r="120" spans="1:18" x14ac:dyDescent="0.25">
      <c r="A120" s="139"/>
      <c r="B120" s="145"/>
      <c r="C120" s="148" t="s">
        <v>121</v>
      </c>
      <c r="D120" s="148"/>
      <c r="E120" s="148"/>
      <c r="F120" s="150">
        <f>(24*SQRT((Q99+Q115)/1000))/1000</f>
        <v>1.4961069480488351E-2</v>
      </c>
      <c r="G120" s="146"/>
      <c r="H120" s="141"/>
      <c r="I120" s="141"/>
      <c r="J120" s="141"/>
      <c r="K120" s="146"/>
      <c r="L120" s="146"/>
      <c r="M120" s="146"/>
      <c r="N120" s="146"/>
      <c r="O120" s="146"/>
      <c r="P120" s="146"/>
      <c r="Q120" s="144"/>
      <c r="R120" s="139"/>
    </row>
    <row r="121" spans="1:18" x14ac:dyDescent="0.25">
      <c r="A121" s="139"/>
      <c r="B121" s="139"/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0"/>
      <c r="R121" s="139"/>
    </row>
    <row r="122" spans="1:18" x14ac:dyDescent="0.25">
      <c r="A122" s="139"/>
      <c r="B122" s="139"/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0"/>
      <c r="R122" s="139"/>
    </row>
    <row r="123" spans="1:18" x14ac:dyDescent="0.25">
      <c r="A123" s="139"/>
      <c r="B123" s="139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0"/>
      <c r="R123" s="139"/>
    </row>
    <row r="124" spans="1:18" x14ac:dyDescent="0.25">
      <c r="A124" s="139"/>
      <c r="B124" s="139"/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0"/>
      <c r="R124" s="139"/>
    </row>
    <row r="125" spans="1:18" x14ac:dyDescent="0.25">
      <c r="A125" s="139"/>
      <c r="B125" s="139"/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0"/>
      <c r="R125" s="139"/>
    </row>
    <row r="126" spans="1:18" x14ac:dyDescent="0.25">
      <c r="A126" s="139"/>
      <c r="B126" s="139"/>
      <c r="C126" s="142"/>
      <c r="D126" s="1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0"/>
      <c r="R126" s="139"/>
    </row>
    <row r="127" spans="1:18" x14ac:dyDescent="0.25">
      <c r="A127" s="139"/>
      <c r="B127" s="139"/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0"/>
      <c r="R127" s="139"/>
    </row>
    <row r="128" spans="1:18" x14ac:dyDescent="0.25">
      <c r="A128" s="139"/>
      <c r="B128" s="139"/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0"/>
      <c r="R128" s="139"/>
    </row>
    <row r="129" spans="1:18" x14ac:dyDescent="0.25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42"/>
      <c r="N129" s="142"/>
      <c r="O129" s="139"/>
      <c r="P129" s="142"/>
      <c r="Q129" s="140"/>
      <c r="R129" s="139"/>
    </row>
  </sheetData>
  <mergeCells count="86">
    <mergeCell ref="F100:K100"/>
    <mergeCell ref="C118:E118"/>
    <mergeCell ref="C119:E119"/>
    <mergeCell ref="C120:E120"/>
    <mergeCell ref="M89:M90"/>
    <mergeCell ref="N89:N90"/>
    <mergeCell ref="O89:O90"/>
    <mergeCell ref="P89:P90"/>
    <mergeCell ref="Q89:Q90"/>
    <mergeCell ref="M100:N100"/>
    <mergeCell ref="B88:H88"/>
    <mergeCell ref="B89:B90"/>
    <mergeCell ref="C89:E89"/>
    <mergeCell ref="F89:F90"/>
    <mergeCell ref="G89:G90"/>
    <mergeCell ref="H89:J89"/>
    <mergeCell ref="K89:K90"/>
    <mergeCell ref="L89:L90"/>
    <mergeCell ref="F116:K116"/>
    <mergeCell ref="M116:N116"/>
    <mergeCell ref="M51:N51"/>
    <mergeCell ref="F51:K51"/>
    <mergeCell ref="M80:N80"/>
    <mergeCell ref="F80:K80"/>
    <mergeCell ref="C84:E84"/>
    <mergeCell ref="C82:E82"/>
    <mergeCell ref="O104:O105"/>
    <mergeCell ref="P104:P105"/>
    <mergeCell ref="Q104:Q105"/>
    <mergeCell ref="B29:H29"/>
    <mergeCell ref="B54:H54"/>
    <mergeCell ref="B103:H103"/>
    <mergeCell ref="C83:E83"/>
    <mergeCell ref="Q55:Q56"/>
    <mergeCell ref="B104:B105"/>
    <mergeCell ref="C104:E104"/>
    <mergeCell ref="F104:F105"/>
    <mergeCell ref="G104:G105"/>
    <mergeCell ref="H104:J104"/>
    <mergeCell ref="K104:K105"/>
    <mergeCell ref="L104:L105"/>
    <mergeCell ref="M104:M105"/>
    <mergeCell ref="N104:N105"/>
    <mergeCell ref="K55:K56"/>
    <mergeCell ref="L55:L56"/>
    <mergeCell ref="M55:M56"/>
    <mergeCell ref="N55:N56"/>
    <mergeCell ref="O55:O56"/>
    <mergeCell ref="P55:P56"/>
    <mergeCell ref="B19:C19"/>
    <mergeCell ref="B20:C20"/>
    <mergeCell ref="B3:H4"/>
    <mergeCell ref="B26:H27"/>
    <mergeCell ref="B55:B56"/>
    <mergeCell ref="C55:E55"/>
    <mergeCell ref="F55:F56"/>
    <mergeCell ref="G55:G56"/>
    <mergeCell ref="H55:J55"/>
    <mergeCell ref="L30:L31"/>
    <mergeCell ref="M30:M31"/>
    <mergeCell ref="N30:N31"/>
    <mergeCell ref="O30:O31"/>
    <mergeCell ref="P30:P31"/>
    <mergeCell ref="Q30:Q31"/>
    <mergeCell ref="B30:B31"/>
    <mergeCell ref="C30:E30"/>
    <mergeCell ref="F30:F31"/>
    <mergeCell ref="H30:J30"/>
    <mergeCell ref="K30:K31"/>
    <mergeCell ref="G30:G31"/>
    <mergeCell ref="B10:B11"/>
    <mergeCell ref="B16:B17"/>
    <mergeCell ref="H10:H11"/>
    <mergeCell ref="H16:H17"/>
    <mergeCell ref="B13:H13"/>
    <mergeCell ref="B14:B15"/>
    <mergeCell ref="C14:C15"/>
    <mergeCell ref="D14:F14"/>
    <mergeCell ref="G14:G15"/>
    <mergeCell ref="H14:H15"/>
    <mergeCell ref="B7:H7"/>
    <mergeCell ref="D8:F8"/>
    <mergeCell ref="C8:C9"/>
    <mergeCell ref="H8:H9"/>
    <mergeCell ref="G8:G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HCR Distance Observation</vt:lpstr>
      <vt:lpstr>Gales Table Major Traverse</vt:lpstr>
      <vt:lpstr>Gales Table Minor Traverse</vt:lpstr>
      <vt:lpstr>Level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2019-11-12T18:37:31Z</cp:lastPrinted>
  <dcterms:created xsi:type="dcterms:W3CDTF">2019-11-11T17:08:36Z</dcterms:created>
  <dcterms:modified xsi:type="dcterms:W3CDTF">2020-05-04T09:35:49Z</dcterms:modified>
</cp:coreProperties>
</file>