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chneider\Desktop\"/>
    </mc:Choice>
  </mc:AlternateContent>
  <xr:revisionPtr revIDLastSave="0" documentId="13_ncr:1_{7543FA6B-82C3-48D9-8934-3B7FEB08E95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x Mix Rate" sheetId="1" r:id="rId1"/>
    <sheet name="Pumper Specs" sheetId="7" r:id="rId2"/>
    <sheet name="HP Calcs" sheetId="5" r:id="rId3"/>
    <sheet name="Bulk Eqpt Vol Weight Max" sheetId="8" r:id="rId4"/>
  </sheets>
  <definedNames>
    <definedName name="Blend">'Max Mix Rate'!$A$10:$D$98</definedName>
    <definedName name="Bulk">'Max Mix Rate'!$N$3:$O$4</definedName>
    <definedName name="ENG_TYPE">'HP Calcs'!$P$10:$W$14</definedName>
    <definedName name="_xlnm.Print_Area" localSheetId="0">'Max Mix Rate'!$A$9:$D$65</definedName>
    <definedName name="_xlnm.Print_Area" localSheetId="1">'Pumper Specs'!$A$1:$J$76</definedName>
    <definedName name="_xlnm.Print_Titles" localSheetId="1">'Pumper Specs'!$1:$2</definedName>
    <definedName name="RATE_PRES">'HP Calcs'!$P$16:$U$19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U77" i="1"/>
  <c r="M101" i="1"/>
  <c r="M100" i="1"/>
  <c r="K5" i="1"/>
  <c r="S13" i="1" s="1"/>
  <c r="T13" i="1" s="1"/>
  <c r="D13" i="1" s="1"/>
  <c r="R15" i="1"/>
  <c r="T10" i="5"/>
  <c r="V10" i="5"/>
  <c r="U17" i="5" l="1"/>
  <c r="C10" i="5"/>
  <c r="U18" i="5" l="1"/>
  <c r="U19" i="5"/>
  <c r="B10" i="5" l="1"/>
  <c r="T5" i="5" l="1"/>
  <c r="P4" i="5"/>
  <c r="P14" i="5"/>
  <c r="P13" i="5"/>
  <c r="P12" i="5"/>
  <c r="P11" i="5"/>
  <c r="P10" i="5"/>
  <c r="F6" i="8" l="1"/>
  <c r="E6" i="8"/>
  <c r="D6" i="8"/>
  <c r="F5" i="8"/>
  <c r="E5" i="8"/>
  <c r="D5" i="8"/>
  <c r="E23" i="8" l="1"/>
  <c r="E22" i="8"/>
  <c r="E27" i="8"/>
  <c r="E26" i="8"/>
  <c r="E25" i="8"/>
  <c r="E20" i="8"/>
  <c r="E19" i="8"/>
  <c r="E18" i="8"/>
  <c r="E14" i="8"/>
  <c r="E15" i="8"/>
  <c r="E16" i="8"/>
  <c r="E13" i="8"/>
  <c r="R34" i="1" l="1"/>
  <c r="S34" i="1"/>
  <c r="T34" i="1" s="1"/>
  <c r="D34" i="1" s="1"/>
  <c r="R35" i="1"/>
  <c r="S35" i="1"/>
  <c r="T35" i="1" s="1"/>
  <c r="R21" i="1"/>
  <c r="S21" i="1"/>
  <c r="T21" i="1" s="1"/>
  <c r="D21" i="1" s="1"/>
  <c r="R13" i="1"/>
  <c r="R14" i="1"/>
  <c r="S14" i="1"/>
  <c r="S15" i="1"/>
  <c r="A13" i="1"/>
  <c r="B13" i="1"/>
  <c r="C13" i="1"/>
  <c r="A14" i="1"/>
  <c r="B14" i="1"/>
  <c r="C14" i="1"/>
  <c r="A15" i="1"/>
  <c r="B15" i="1"/>
  <c r="C15" i="1"/>
  <c r="A21" i="1"/>
  <c r="B21" i="1"/>
  <c r="C21" i="1"/>
  <c r="A34" i="1"/>
  <c r="B34" i="1"/>
  <c r="C34" i="1"/>
  <c r="M34" i="1"/>
  <c r="N34" i="1"/>
  <c r="O34" i="1"/>
  <c r="P34" i="1" s="1"/>
  <c r="M21" i="1"/>
  <c r="N21" i="1"/>
  <c r="O21" i="1"/>
  <c r="M14" i="1"/>
  <c r="N14" i="1"/>
  <c r="O14" i="1"/>
  <c r="P14" i="1" s="1"/>
  <c r="M15" i="1"/>
  <c r="N15" i="1"/>
  <c r="O15" i="1"/>
  <c r="N13" i="1"/>
  <c r="O13" i="1"/>
  <c r="P13" i="1" s="1"/>
  <c r="A23" i="1"/>
  <c r="B23" i="1"/>
  <c r="C23" i="1"/>
  <c r="M23" i="1"/>
  <c r="N23" i="1"/>
  <c r="O23" i="1"/>
  <c r="R23" i="1"/>
  <c r="S23" i="1"/>
  <c r="P21" i="1" l="1"/>
  <c r="P15" i="1"/>
  <c r="U23" i="1"/>
  <c r="E23" i="1" s="1"/>
  <c r="U21" i="1"/>
  <c r="E21" i="1" s="1"/>
  <c r="U35" i="1"/>
  <c r="U34" i="1"/>
  <c r="E34" i="1" s="1"/>
  <c r="T14" i="1"/>
  <c r="D14" i="1" s="1"/>
  <c r="T15" i="1"/>
  <c r="D15" i="1" s="1"/>
  <c r="P23" i="1"/>
  <c r="U15" i="1"/>
  <c r="E15" i="1" s="1"/>
  <c r="U14" i="1"/>
  <c r="E14" i="1" s="1"/>
  <c r="U13" i="1"/>
  <c r="E13" i="1" s="1"/>
  <c r="T23" i="1"/>
  <c r="D23" i="1" s="1"/>
  <c r="M61" i="1" l="1"/>
  <c r="N61" i="1"/>
  <c r="O61" i="1"/>
  <c r="R61" i="1"/>
  <c r="S61" i="1"/>
  <c r="M62" i="1"/>
  <c r="N62" i="1"/>
  <c r="O62" i="1"/>
  <c r="P62" i="1" s="1"/>
  <c r="R62" i="1"/>
  <c r="S62" i="1"/>
  <c r="M63" i="1"/>
  <c r="N63" i="1"/>
  <c r="O63" i="1"/>
  <c r="R63" i="1"/>
  <c r="S63" i="1"/>
  <c r="M64" i="1"/>
  <c r="N64" i="1"/>
  <c r="O64" i="1"/>
  <c r="R64" i="1"/>
  <c r="S64" i="1"/>
  <c r="M65" i="1"/>
  <c r="N65" i="1"/>
  <c r="O65" i="1"/>
  <c r="R65" i="1"/>
  <c r="S65" i="1"/>
  <c r="M66" i="1"/>
  <c r="N66" i="1"/>
  <c r="O66" i="1"/>
  <c r="P66" i="1" s="1"/>
  <c r="R66" i="1"/>
  <c r="S66" i="1"/>
  <c r="M67" i="1"/>
  <c r="N67" i="1"/>
  <c r="O67" i="1"/>
  <c r="R67" i="1"/>
  <c r="S67" i="1"/>
  <c r="M68" i="1"/>
  <c r="N68" i="1"/>
  <c r="O68" i="1"/>
  <c r="R68" i="1"/>
  <c r="S68" i="1"/>
  <c r="M69" i="1"/>
  <c r="N69" i="1"/>
  <c r="O69" i="1"/>
  <c r="R69" i="1"/>
  <c r="S69" i="1"/>
  <c r="M70" i="1"/>
  <c r="N70" i="1"/>
  <c r="O70" i="1"/>
  <c r="P70" i="1" s="1"/>
  <c r="R70" i="1"/>
  <c r="S70" i="1"/>
  <c r="M71" i="1"/>
  <c r="N71" i="1"/>
  <c r="O71" i="1"/>
  <c r="R71" i="1"/>
  <c r="S71" i="1"/>
  <c r="M72" i="1"/>
  <c r="N72" i="1"/>
  <c r="O72" i="1"/>
  <c r="R72" i="1"/>
  <c r="S72" i="1"/>
  <c r="M73" i="1"/>
  <c r="N73" i="1"/>
  <c r="O73" i="1"/>
  <c r="R73" i="1"/>
  <c r="S73" i="1"/>
  <c r="M74" i="1"/>
  <c r="N74" i="1"/>
  <c r="O74" i="1"/>
  <c r="R74" i="1"/>
  <c r="S74" i="1"/>
  <c r="M75" i="1"/>
  <c r="N75" i="1"/>
  <c r="O75" i="1"/>
  <c r="R75" i="1"/>
  <c r="S75" i="1"/>
  <c r="M76" i="1"/>
  <c r="N76" i="1"/>
  <c r="O76" i="1"/>
  <c r="R76" i="1"/>
  <c r="S76" i="1"/>
  <c r="M77" i="1"/>
  <c r="N77" i="1"/>
  <c r="O77" i="1"/>
  <c r="R77" i="1"/>
  <c r="S77" i="1"/>
  <c r="M78" i="1"/>
  <c r="N78" i="1"/>
  <c r="O78" i="1"/>
  <c r="P78" i="1" s="1"/>
  <c r="R78" i="1"/>
  <c r="S78" i="1"/>
  <c r="M79" i="1"/>
  <c r="N79" i="1"/>
  <c r="O79" i="1"/>
  <c r="R79" i="1"/>
  <c r="S79" i="1"/>
  <c r="M80" i="1"/>
  <c r="N80" i="1"/>
  <c r="O80" i="1"/>
  <c r="R80" i="1"/>
  <c r="S80" i="1"/>
  <c r="M81" i="1"/>
  <c r="N81" i="1"/>
  <c r="O81" i="1"/>
  <c r="R81" i="1"/>
  <c r="S81" i="1"/>
  <c r="M82" i="1"/>
  <c r="N82" i="1"/>
  <c r="O82" i="1"/>
  <c r="R82" i="1"/>
  <c r="S82" i="1"/>
  <c r="M83" i="1"/>
  <c r="N83" i="1"/>
  <c r="O83" i="1"/>
  <c r="R83" i="1"/>
  <c r="S83" i="1"/>
  <c r="M84" i="1"/>
  <c r="N84" i="1"/>
  <c r="O84" i="1"/>
  <c r="R84" i="1"/>
  <c r="S84" i="1"/>
  <c r="M85" i="1"/>
  <c r="N85" i="1"/>
  <c r="O85" i="1"/>
  <c r="R85" i="1"/>
  <c r="S85" i="1"/>
  <c r="M86" i="1"/>
  <c r="N86" i="1"/>
  <c r="O86" i="1"/>
  <c r="R86" i="1"/>
  <c r="S86" i="1"/>
  <c r="M87" i="1"/>
  <c r="N87" i="1"/>
  <c r="O87" i="1"/>
  <c r="R87" i="1"/>
  <c r="S87" i="1"/>
  <c r="M88" i="1"/>
  <c r="N88" i="1"/>
  <c r="O88" i="1"/>
  <c r="R88" i="1"/>
  <c r="S88" i="1"/>
  <c r="M89" i="1"/>
  <c r="N89" i="1"/>
  <c r="O89" i="1"/>
  <c r="R89" i="1"/>
  <c r="S89" i="1"/>
  <c r="M90" i="1"/>
  <c r="N90" i="1"/>
  <c r="O90" i="1"/>
  <c r="R90" i="1"/>
  <c r="S90" i="1"/>
  <c r="M91" i="1"/>
  <c r="N91" i="1"/>
  <c r="O91" i="1"/>
  <c r="R91" i="1"/>
  <c r="S91" i="1"/>
  <c r="M92" i="1"/>
  <c r="N92" i="1"/>
  <c r="O92" i="1"/>
  <c r="R92" i="1"/>
  <c r="S92" i="1"/>
  <c r="M93" i="1"/>
  <c r="N93" i="1"/>
  <c r="O93" i="1"/>
  <c r="R93" i="1"/>
  <c r="S93" i="1"/>
  <c r="M94" i="1"/>
  <c r="N94" i="1"/>
  <c r="O94" i="1"/>
  <c r="R94" i="1"/>
  <c r="S94" i="1"/>
  <c r="M95" i="1"/>
  <c r="N95" i="1"/>
  <c r="O95" i="1"/>
  <c r="R95" i="1"/>
  <c r="S95" i="1"/>
  <c r="M96" i="1"/>
  <c r="N96" i="1"/>
  <c r="O96" i="1"/>
  <c r="R96" i="1"/>
  <c r="S96" i="1"/>
  <c r="M97" i="1"/>
  <c r="N97" i="1"/>
  <c r="O97" i="1"/>
  <c r="R97" i="1"/>
  <c r="S97" i="1"/>
  <c r="M98" i="1"/>
  <c r="N98" i="1"/>
  <c r="O98" i="1"/>
  <c r="R98" i="1"/>
  <c r="S98" i="1"/>
  <c r="C98" i="1"/>
  <c r="C11" i="1"/>
  <c r="C12" i="1"/>
  <c r="C16" i="1"/>
  <c r="C17" i="1"/>
  <c r="C18" i="1"/>
  <c r="C19" i="1"/>
  <c r="C20" i="1"/>
  <c r="C22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0" i="1"/>
  <c r="B11" i="1"/>
  <c r="B12" i="1"/>
  <c r="B16" i="1"/>
  <c r="B17" i="1"/>
  <c r="B18" i="1"/>
  <c r="B19" i="1"/>
  <c r="B20" i="1"/>
  <c r="B22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A11" i="1"/>
  <c r="A12" i="1"/>
  <c r="A16" i="1"/>
  <c r="A17" i="1"/>
  <c r="A18" i="1"/>
  <c r="A19" i="1"/>
  <c r="A20" i="1"/>
  <c r="A22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C9" i="1"/>
  <c r="C8" i="1"/>
  <c r="B9" i="1"/>
  <c r="B8" i="1"/>
  <c r="P85" i="1" l="1"/>
  <c r="P81" i="1"/>
  <c r="P98" i="1"/>
  <c r="P74" i="1"/>
  <c r="T85" i="1"/>
  <c r="D85" i="1" s="1"/>
  <c r="T81" i="1"/>
  <c r="D81" i="1" s="1"/>
  <c r="T77" i="1"/>
  <c r="D77" i="1" s="1"/>
  <c r="T73" i="1"/>
  <c r="D73" i="1" s="1"/>
  <c r="U92" i="1"/>
  <c r="E92" i="1" s="1"/>
  <c r="T88" i="1"/>
  <c r="D88" i="1" s="1"/>
  <c r="T84" i="1"/>
  <c r="D84" i="1" s="1"/>
  <c r="U80" i="1"/>
  <c r="E80" i="1" s="1"/>
  <c r="P95" i="1"/>
  <c r="P63" i="1"/>
  <c r="P77" i="1"/>
  <c r="P73" i="1"/>
  <c r="P69" i="1"/>
  <c r="P65" i="1"/>
  <c r="P83" i="1"/>
  <c r="P75" i="1"/>
  <c r="P87" i="1"/>
  <c r="P79" i="1"/>
  <c r="P71" i="1"/>
  <c r="T69" i="1"/>
  <c r="D69" i="1" s="1"/>
  <c r="P97" i="1"/>
  <c r="U96" i="1"/>
  <c r="E96" i="1" s="1"/>
  <c r="P94" i="1"/>
  <c r="T93" i="1"/>
  <c r="D93" i="1" s="1"/>
  <c r="P91" i="1"/>
  <c r="P90" i="1"/>
  <c r="T89" i="1"/>
  <c r="D89" i="1" s="1"/>
  <c r="T68" i="1"/>
  <c r="D68" i="1" s="1"/>
  <c r="T64" i="1"/>
  <c r="D64" i="1" s="1"/>
  <c r="T61" i="1"/>
  <c r="D61" i="1" s="1"/>
  <c r="T97" i="1"/>
  <c r="D97" i="1" s="1"/>
  <c r="T76" i="1"/>
  <c r="D76" i="1" s="1"/>
  <c r="T72" i="1"/>
  <c r="D72" i="1" s="1"/>
  <c r="P67" i="1"/>
  <c r="U65" i="1"/>
  <c r="E65" i="1" s="1"/>
  <c r="P93" i="1"/>
  <c r="P89" i="1"/>
  <c r="P86" i="1"/>
  <c r="P82" i="1"/>
  <c r="P61" i="1"/>
  <c r="T98" i="1"/>
  <c r="D98" i="1" s="1"/>
  <c r="P96" i="1"/>
  <c r="U95" i="1"/>
  <c r="E95" i="1" s="1"/>
  <c r="T90" i="1"/>
  <c r="D90" i="1" s="1"/>
  <c r="P88" i="1"/>
  <c r="T87" i="1"/>
  <c r="D87" i="1" s="1"/>
  <c r="U82" i="1"/>
  <c r="E82" i="1" s="1"/>
  <c r="P80" i="1"/>
  <c r="U79" i="1"/>
  <c r="E79" i="1" s="1"/>
  <c r="U74" i="1"/>
  <c r="E74" i="1" s="1"/>
  <c r="P72" i="1"/>
  <c r="U71" i="1"/>
  <c r="E71" i="1" s="1"/>
  <c r="U66" i="1"/>
  <c r="E66" i="1" s="1"/>
  <c r="P64" i="1"/>
  <c r="U63" i="1"/>
  <c r="E63" i="1" s="1"/>
  <c r="T94" i="1"/>
  <c r="D94" i="1" s="1"/>
  <c r="P92" i="1"/>
  <c r="U91" i="1"/>
  <c r="E91" i="1" s="1"/>
  <c r="U86" i="1"/>
  <c r="E86" i="1" s="1"/>
  <c r="P84" i="1"/>
  <c r="U83" i="1"/>
  <c r="E83" i="1" s="1"/>
  <c r="T78" i="1"/>
  <c r="D78" i="1" s="1"/>
  <c r="P76" i="1"/>
  <c r="U75" i="1"/>
  <c r="E75" i="1" s="1"/>
  <c r="U70" i="1"/>
  <c r="E70" i="1" s="1"/>
  <c r="P68" i="1"/>
  <c r="T67" i="1"/>
  <c r="D67" i="1" s="1"/>
  <c r="U62" i="1"/>
  <c r="E62" i="1" s="1"/>
  <c r="U98" i="1"/>
  <c r="E98" i="1" s="1"/>
  <c r="U97" i="1"/>
  <c r="E97" i="1" s="1"/>
  <c r="U94" i="1"/>
  <c r="E94" i="1" s="1"/>
  <c r="U93" i="1"/>
  <c r="E93" i="1" s="1"/>
  <c r="U90" i="1"/>
  <c r="E90" i="1" s="1"/>
  <c r="U89" i="1"/>
  <c r="E89" i="1" s="1"/>
  <c r="U88" i="1"/>
  <c r="E88" i="1" s="1"/>
  <c r="U85" i="1"/>
  <c r="E85" i="1" s="1"/>
  <c r="U84" i="1"/>
  <c r="E84" i="1" s="1"/>
  <c r="U81" i="1"/>
  <c r="E81" i="1" s="1"/>
  <c r="U78" i="1"/>
  <c r="E78" i="1" s="1"/>
  <c r="E77" i="1"/>
  <c r="U76" i="1"/>
  <c r="E76" i="1" s="1"/>
  <c r="U73" i="1"/>
  <c r="E73" i="1" s="1"/>
  <c r="U72" i="1"/>
  <c r="E72" i="1" s="1"/>
  <c r="U69" i="1"/>
  <c r="E69" i="1" s="1"/>
  <c r="U68" i="1"/>
  <c r="E68" i="1" s="1"/>
  <c r="U67" i="1"/>
  <c r="E67" i="1" s="1"/>
  <c r="U64" i="1"/>
  <c r="E64" i="1" s="1"/>
  <c r="U61" i="1"/>
  <c r="E61" i="1" s="1"/>
  <c r="T96" i="1"/>
  <c r="D96" i="1" s="1"/>
  <c r="T95" i="1"/>
  <c r="D95" i="1" s="1"/>
  <c r="T92" i="1"/>
  <c r="D92" i="1" s="1"/>
  <c r="T91" i="1"/>
  <c r="D91" i="1" s="1"/>
  <c r="T86" i="1"/>
  <c r="D86" i="1" s="1"/>
  <c r="T83" i="1"/>
  <c r="D83" i="1" s="1"/>
  <c r="T82" i="1"/>
  <c r="D82" i="1" s="1"/>
  <c r="T80" i="1"/>
  <c r="D80" i="1" s="1"/>
  <c r="T79" i="1"/>
  <c r="D79" i="1" s="1"/>
  <c r="T75" i="1"/>
  <c r="D75" i="1" s="1"/>
  <c r="T74" i="1"/>
  <c r="D74" i="1" s="1"/>
  <c r="T71" i="1"/>
  <c r="D71" i="1" s="1"/>
  <c r="T70" i="1"/>
  <c r="D70" i="1" s="1"/>
  <c r="T66" i="1"/>
  <c r="D66" i="1" s="1"/>
  <c r="T65" i="1"/>
  <c r="D65" i="1" s="1"/>
  <c r="T63" i="1"/>
  <c r="D63" i="1" s="1"/>
  <c r="T62" i="1"/>
  <c r="D62" i="1" s="1"/>
  <c r="U87" i="1"/>
  <c r="E87" i="1" s="1"/>
  <c r="S11" i="5" l="1"/>
  <c r="U11" i="5" s="1"/>
  <c r="S10" i="5"/>
  <c r="U10" i="5" s="1"/>
  <c r="R11" i="5"/>
  <c r="T11" i="5" s="1"/>
  <c r="R10" i="5"/>
  <c r="R12" i="5"/>
  <c r="T12" i="5" s="1"/>
  <c r="S12" i="5"/>
  <c r="U12" i="5" s="1"/>
  <c r="U14" i="5"/>
  <c r="W14" i="5" s="1"/>
  <c r="T14" i="5"/>
  <c r="V14" i="5" s="1"/>
  <c r="U13" i="5" l="1"/>
  <c r="T13" i="5"/>
  <c r="V13" i="5" l="1"/>
  <c r="C5" i="5"/>
  <c r="W13" i="5"/>
  <c r="D5" i="5"/>
  <c r="D59" i="5"/>
  <c r="W11" i="5"/>
  <c r="W12" i="5"/>
  <c r="W10" i="5"/>
  <c r="V12" i="5"/>
  <c r="V11" i="5"/>
  <c r="D60" i="5" l="1"/>
  <c r="R18" i="5"/>
  <c r="R19" i="5"/>
  <c r="R17" i="5"/>
  <c r="E58" i="5" s="1"/>
  <c r="F58" i="5" l="1"/>
  <c r="F59" i="5"/>
  <c r="E59" i="5"/>
  <c r="D61" i="5"/>
  <c r="F60" i="5"/>
  <c r="E60" i="5"/>
  <c r="P3" i="5"/>
  <c r="M12" i="1"/>
  <c r="N11" i="1"/>
  <c r="S11" i="1"/>
  <c r="S12" i="1"/>
  <c r="S16" i="1"/>
  <c r="S17" i="1"/>
  <c r="S18" i="1"/>
  <c r="S19" i="1"/>
  <c r="S20" i="1"/>
  <c r="S22" i="1"/>
  <c r="S24" i="1"/>
  <c r="S25" i="1"/>
  <c r="S26" i="1"/>
  <c r="S27" i="1"/>
  <c r="S28" i="1"/>
  <c r="S29" i="1"/>
  <c r="S30" i="1"/>
  <c r="S31" i="1"/>
  <c r="S32" i="1"/>
  <c r="S33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0" i="1"/>
  <c r="R19" i="1"/>
  <c r="R20" i="1"/>
  <c r="R22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11" i="1"/>
  <c r="R12" i="1"/>
  <c r="R16" i="1"/>
  <c r="R17" i="1"/>
  <c r="R18" i="1"/>
  <c r="R10" i="1"/>
  <c r="N10" i="1"/>
  <c r="D62" i="5" l="1"/>
  <c r="F61" i="5"/>
  <c r="E61" i="5"/>
  <c r="T40" i="1"/>
  <c r="D40" i="1" s="1"/>
  <c r="T56" i="1"/>
  <c r="D56" i="1" s="1"/>
  <c r="U10" i="1"/>
  <c r="E10" i="1" s="1"/>
  <c r="T12" i="1"/>
  <c r="D12" i="1" s="1"/>
  <c r="T57" i="1"/>
  <c r="D57" i="1" s="1"/>
  <c r="T53" i="1"/>
  <c r="D53" i="1" s="1"/>
  <c r="T49" i="1"/>
  <c r="D49" i="1" s="1"/>
  <c r="T45" i="1"/>
  <c r="D45" i="1" s="1"/>
  <c r="T41" i="1"/>
  <c r="D41" i="1" s="1"/>
  <c r="T37" i="1"/>
  <c r="D37" i="1" s="1"/>
  <c r="T32" i="1"/>
  <c r="D32" i="1" s="1"/>
  <c r="T28" i="1"/>
  <c r="D28" i="1" s="1"/>
  <c r="T24" i="1"/>
  <c r="D24" i="1" s="1"/>
  <c r="T19" i="1"/>
  <c r="D19" i="1" s="1"/>
  <c r="T43" i="1"/>
  <c r="D43" i="1" s="1"/>
  <c r="D35" i="1"/>
  <c r="T26" i="1"/>
  <c r="D26" i="1" s="1"/>
  <c r="U18" i="1"/>
  <c r="E18" i="1" s="1"/>
  <c r="T59" i="1"/>
  <c r="D59" i="1" s="1"/>
  <c r="T55" i="1"/>
  <c r="D55" i="1" s="1"/>
  <c r="T51" i="1"/>
  <c r="D51" i="1" s="1"/>
  <c r="T47" i="1"/>
  <c r="D47" i="1" s="1"/>
  <c r="T39" i="1"/>
  <c r="D39" i="1" s="1"/>
  <c r="T30" i="1"/>
  <c r="D30" i="1" s="1"/>
  <c r="T22" i="1"/>
  <c r="D22" i="1" s="1"/>
  <c r="U11" i="1"/>
  <c r="E11" i="1" s="1"/>
  <c r="U17" i="1"/>
  <c r="E17" i="1" s="1"/>
  <c r="U60" i="1"/>
  <c r="E60" i="1" s="1"/>
  <c r="U56" i="1"/>
  <c r="E56" i="1" s="1"/>
  <c r="T52" i="1"/>
  <c r="D52" i="1" s="1"/>
  <c r="T48" i="1"/>
  <c r="D48" i="1" s="1"/>
  <c r="U44" i="1"/>
  <c r="E44" i="1" s="1"/>
  <c r="U40" i="1"/>
  <c r="E40" i="1" s="1"/>
  <c r="T36" i="1"/>
  <c r="D36" i="1" s="1"/>
  <c r="T31" i="1"/>
  <c r="D31" i="1" s="1"/>
  <c r="U27" i="1"/>
  <c r="E27" i="1" s="1"/>
  <c r="U58" i="1"/>
  <c r="E58" i="1" s="1"/>
  <c r="U54" i="1"/>
  <c r="E54" i="1" s="1"/>
  <c r="U50" i="1"/>
  <c r="E50" i="1" s="1"/>
  <c r="U46" i="1"/>
  <c r="E46" i="1" s="1"/>
  <c r="U42" i="1"/>
  <c r="E42" i="1" s="1"/>
  <c r="U38" i="1"/>
  <c r="E38" i="1" s="1"/>
  <c r="U33" i="1"/>
  <c r="E33" i="1" s="1"/>
  <c r="U29" i="1"/>
  <c r="E29" i="1" s="1"/>
  <c r="U25" i="1"/>
  <c r="E25" i="1" s="1"/>
  <c r="U20" i="1"/>
  <c r="E20" i="1" s="1"/>
  <c r="T17" i="1"/>
  <c r="D17" i="1" s="1"/>
  <c r="T60" i="1"/>
  <c r="D60" i="1" s="1"/>
  <c r="T44" i="1"/>
  <c r="D44" i="1" s="1"/>
  <c r="T27" i="1"/>
  <c r="D27" i="1" s="1"/>
  <c r="U52" i="1"/>
  <c r="E52" i="1" s="1"/>
  <c r="U36" i="1"/>
  <c r="E36" i="1" s="1"/>
  <c r="U57" i="1"/>
  <c r="E57" i="1" s="1"/>
  <c r="U49" i="1"/>
  <c r="E49" i="1" s="1"/>
  <c r="U41" i="1"/>
  <c r="E41" i="1" s="1"/>
  <c r="U32" i="1"/>
  <c r="E32" i="1" s="1"/>
  <c r="U24" i="1"/>
  <c r="E24" i="1" s="1"/>
  <c r="T18" i="1"/>
  <c r="D18" i="1" s="1"/>
  <c r="U48" i="1"/>
  <c r="E48" i="1" s="1"/>
  <c r="U31" i="1"/>
  <c r="E31" i="1" s="1"/>
  <c r="U16" i="1"/>
  <c r="E16" i="1" s="1"/>
  <c r="U59" i="1"/>
  <c r="E59" i="1" s="1"/>
  <c r="U55" i="1"/>
  <c r="E55" i="1" s="1"/>
  <c r="U51" i="1"/>
  <c r="E51" i="1" s="1"/>
  <c r="U47" i="1"/>
  <c r="E47" i="1" s="1"/>
  <c r="U43" i="1"/>
  <c r="E43" i="1" s="1"/>
  <c r="U39" i="1"/>
  <c r="E39" i="1" s="1"/>
  <c r="E35" i="1"/>
  <c r="U30" i="1"/>
  <c r="E30" i="1" s="1"/>
  <c r="U26" i="1"/>
  <c r="E26" i="1" s="1"/>
  <c r="U22" i="1"/>
  <c r="E22" i="1" s="1"/>
  <c r="T11" i="1"/>
  <c r="D11" i="1" s="1"/>
  <c r="U53" i="1"/>
  <c r="E53" i="1" s="1"/>
  <c r="U45" i="1"/>
  <c r="E45" i="1" s="1"/>
  <c r="U37" i="1"/>
  <c r="E37" i="1" s="1"/>
  <c r="U28" i="1"/>
  <c r="E28" i="1" s="1"/>
  <c r="U19" i="1"/>
  <c r="E19" i="1" s="1"/>
  <c r="T58" i="1"/>
  <c r="D58" i="1" s="1"/>
  <c r="T54" i="1"/>
  <c r="D54" i="1" s="1"/>
  <c r="T50" i="1"/>
  <c r="D50" i="1" s="1"/>
  <c r="T46" i="1"/>
  <c r="D46" i="1" s="1"/>
  <c r="T42" i="1"/>
  <c r="D42" i="1" s="1"/>
  <c r="T38" i="1"/>
  <c r="D38" i="1" s="1"/>
  <c r="T33" i="1"/>
  <c r="D33" i="1" s="1"/>
  <c r="T29" i="1"/>
  <c r="D29" i="1" s="1"/>
  <c r="T25" i="1"/>
  <c r="D25" i="1" s="1"/>
  <c r="T20" i="1"/>
  <c r="D20" i="1" s="1"/>
  <c r="T16" i="1"/>
  <c r="D16" i="1" s="1"/>
  <c r="U12" i="1"/>
  <c r="E12" i="1" s="1"/>
  <c r="T10" i="1"/>
  <c r="D10" i="1" s="1"/>
  <c r="M52" i="1"/>
  <c r="N52" i="1"/>
  <c r="O52" i="1"/>
  <c r="M51" i="1"/>
  <c r="N51" i="1"/>
  <c r="O51" i="1"/>
  <c r="O31" i="1"/>
  <c r="O27" i="1"/>
  <c r="O11" i="1"/>
  <c r="O12" i="1"/>
  <c r="N12" i="1"/>
  <c r="O16" i="1"/>
  <c r="N16" i="1"/>
  <c r="O17" i="1"/>
  <c r="N17" i="1"/>
  <c r="O18" i="1"/>
  <c r="N18" i="1"/>
  <c r="O19" i="1"/>
  <c r="N19" i="1"/>
  <c r="O20" i="1"/>
  <c r="N20" i="1"/>
  <c r="O22" i="1"/>
  <c r="N22" i="1"/>
  <c r="O24" i="1"/>
  <c r="N24" i="1"/>
  <c r="O25" i="1"/>
  <c r="N25" i="1"/>
  <c r="O26" i="1"/>
  <c r="N26" i="1"/>
  <c r="N27" i="1"/>
  <c r="O28" i="1"/>
  <c r="N28" i="1"/>
  <c r="O29" i="1"/>
  <c r="N29" i="1"/>
  <c r="O30" i="1"/>
  <c r="N30" i="1"/>
  <c r="N31" i="1"/>
  <c r="O32" i="1"/>
  <c r="N32" i="1"/>
  <c r="O33" i="1"/>
  <c r="N33" i="1"/>
  <c r="O35" i="1"/>
  <c r="N35" i="1"/>
  <c r="O36" i="1"/>
  <c r="N36" i="1"/>
  <c r="O37" i="1"/>
  <c r="N37" i="1"/>
  <c r="O38" i="1"/>
  <c r="N38" i="1"/>
  <c r="O39" i="1"/>
  <c r="N39" i="1"/>
  <c r="O40" i="1"/>
  <c r="N40" i="1"/>
  <c r="O41" i="1"/>
  <c r="N41" i="1"/>
  <c r="O42" i="1"/>
  <c r="N42" i="1"/>
  <c r="O43" i="1"/>
  <c r="N43" i="1"/>
  <c r="O44" i="1"/>
  <c r="N44" i="1"/>
  <c r="O45" i="1"/>
  <c r="N45" i="1"/>
  <c r="O46" i="1"/>
  <c r="N46" i="1"/>
  <c r="O47" i="1"/>
  <c r="N47" i="1"/>
  <c r="O48" i="1"/>
  <c r="N48" i="1"/>
  <c r="O49" i="1"/>
  <c r="N49" i="1"/>
  <c r="O50" i="1"/>
  <c r="N50" i="1"/>
  <c r="O53" i="1"/>
  <c r="N53" i="1"/>
  <c r="O54" i="1"/>
  <c r="N54" i="1"/>
  <c r="O55" i="1"/>
  <c r="N55" i="1"/>
  <c r="O56" i="1"/>
  <c r="N56" i="1"/>
  <c r="O57" i="1"/>
  <c r="N57" i="1"/>
  <c r="O58" i="1"/>
  <c r="N58" i="1"/>
  <c r="O59" i="1"/>
  <c r="N59" i="1"/>
  <c r="O60" i="1"/>
  <c r="N60" i="1"/>
  <c r="O10" i="1"/>
  <c r="B10" i="1"/>
  <c r="M48" i="1"/>
  <c r="M45" i="1"/>
  <c r="M44" i="1"/>
  <c r="M43" i="1"/>
  <c r="M42" i="1"/>
  <c r="M41" i="1"/>
  <c r="A10" i="1"/>
  <c r="M60" i="1"/>
  <c r="M56" i="1"/>
  <c r="M59" i="1"/>
  <c r="M19" i="1"/>
  <c r="M17" i="1"/>
  <c r="M53" i="1"/>
  <c r="M54" i="1"/>
  <c r="M55" i="1"/>
  <c r="M57" i="1"/>
  <c r="M58" i="1"/>
  <c r="M10" i="1"/>
  <c r="M11" i="1"/>
  <c r="M16" i="1"/>
  <c r="M18" i="1"/>
  <c r="M20" i="1"/>
  <c r="M22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6" i="1"/>
  <c r="M47" i="1"/>
  <c r="M49" i="1"/>
  <c r="M50" i="1"/>
  <c r="D63" i="5" l="1"/>
  <c r="E62" i="5"/>
  <c r="F62" i="5"/>
  <c r="F27" i="8"/>
  <c r="G27" i="8" s="1"/>
  <c r="F16" i="8"/>
  <c r="G16" i="8" s="1"/>
  <c r="F26" i="8"/>
  <c r="G26" i="8" s="1"/>
  <c r="F15" i="8"/>
  <c r="G15" i="8" s="1"/>
  <c r="F19" i="8"/>
  <c r="F18" i="8"/>
  <c r="F25" i="8"/>
  <c r="G25" i="8" s="1"/>
  <c r="F14" i="8"/>
  <c r="G14" i="8" s="1"/>
  <c r="F22" i="8"/>
  <c r="G22" i="8" s="1"/>
  <c r="F20" i="8"/>
  <c r="G20" i="8" s="1"/>
  <c r="F23" i="8"/>
  <c r="G23" i="8" s="1"/>
  <c r="F13" i="8"/>
  <c r="G13" i="8" s="1"/>
  <c r="N101" i="1"/>
  <c r="N100" i="1"/>
  <c r="P29" i="1"/>
  <c r="P51" i="1"/>
  <c r="P28" i="1"/>
  <c r="P30" i="1"/>
  <c r="P26" i="1"/>
  <c r="P22" i="1"/>
  <c r="P17" i="1"/>
  <c r="P59" i="1"/>
  <c r="P55" i="1"/>
  <c r="P49" i="1"/>
  <c r="P27" i="1"/>
  <c r="P52" i="1"/>
  <c r="P57" i="1"/>
  <c r="P53" i="1"/>
  <c r="P45" i="1"/>
  <c r="P41" i="1"/>
  <c r="P60" i="1"/>
  <c r="P58" i="1"/>
  <c r="P54" i="1"/>
  <c r="P18" i="1"/>
  <c r="P46" i="1"/>
  <c r="P39" i="1"/>
  <c r="P37" i="1"/>
  <c r="P35" i="1"/>
  <c r="P32" i="1"/>
  <c r="P42" i="1"/>
  <c r="P40" i="1"/>
  <c r="P36" i="1"/>
  <c r="P31" i="1"/>
  <c r="P56" i="1"/>
  <c r="P47" i="1"/>
  <c r="P10" i="1"/>
  <c r="P50" i="1"/>
  <c r="P48" i="1"/>
  <c r="P43" i="1"/>
  <c r="P33" i="1"/>
  <c r="P25" i="1"/>
  <c r="P19" i="1"/>
  <c r="P38" i="1"/>
  <c r="P24" i="1"/>
  <c r="P11" i="1"/>
  <c r="P44" i="1"/>
  <c r="P20" i="1"/>
  <c r="P12" i="1"/>
  <c r="P16" i="1"/>
  <c r="G18" i="8" l="1"/>
  <c r="N17" i="8"/>
  <c r="M18" i="8"/>
  <c r="G19" i="8"/>
  <c r="N18" i="8"/>
  <c r="M19" i="8"/>
  <c r="D64" i="5"/>
  <c r="F63" i="5"/>
  <c r="E63" i="5"/>
  <c r="D37" i="5"/>
  <c r="D65" i="5" l="1"/>
  <c r="F64" i="5"/>
  <c r="E64" i="5"/>
  <c r="F37" i="5"/>
  <c r="E37" i="5"/>
  <c r="D38" i="5"/>
  <c r="D66" i="5" l="1"/>
  <c r="E65" i="5"/>
  <c r="F65" i="5"/>
  <c r="E38" i="5"/>
  <c r="F38" i="5"/>
  <c r="D39" i="5"/>
  <c r="D67" i="5" l="1"/>
  <c r="E66" i="5"/>
  <c r="F66" i="5"/>
  <c r="F39" i="5"/>
  <c r="E39" i="5"/>
  <c r="D40" i="5"/>
  <c r="D68" i="5" l="1"/>
  <c r="F67" i="5"/>
  <c r="E67" i="5"/>
  <c r="F40" i="5"/>
  <c r="E40" i="5"/>
  <c r="D41" i="5"/>
  <c r="D69" i="5" l="1"/>
  <c r="F68" i="5"/>
  <c r="E68" i="5"/>
  <c r="F41" i="5"/>
  <c r="E41" i="5"/>
  <c r="D42" i="5"/>
  <c r="D70" i="5" l="1"/>
  <c r="F69" i="5"/>
  <c r="E69" i="5"/>
  <c r="E42" i="5"/>
  <c r="F42" i="5"/>
  <c r="D43" i="5"/>
  <c r="D71" i="5" l="1"/>
  <c r="E70" i="5"/>
  <c r="F70" i="5"/>
  <c r="F43" i="5"/>
  <c r="E43" i="5"/>
  <c r="D72" i="5" l="1"/>
  <c r="F71" i="5"/>
  <c r="E71" i="5"/>
  <c r="D73" i="5" l="1"/>
  <c r="F72" i="5"/>
  <c r="E72" i="5"/>
  <c r="D74" i="5" l="1"/>
  <c r="E73" i="5"/>
  <c r="F73" i="5"/>
  <c r="D75" i="5" l="1"/>
  <c r="E74" i="5"/>
  <c r="F74" i="5"/>
  <c r="D76" i="5" l="1"/>
  <c r="F75" i="5"/>
  <c r="E75" i="5"/>
  <c r="D77" i="5" l="1"/>
  <c r="F76" i="5"/>
  <c r="E76" i="5"/>
  <c r="D78" i="5" l="1"/>
  <c r="F77" i="5"/>
  <c r="E77" i="5"/>
  <c r="D79" i="5" l="1"/>
  <c r="E78" i="5"/>
  <c r="F78" i="5"/>
  <c r="D80" i="5" l="1"/>
  <c r="F79" i="5"/>
  <c r="E79" i="5"/>
  <c r="D81" i="5" l="1"/>
  <c r="F80" i="5"/>
  <c r="E80" i="5"/>
  <c r="D82" i="5" l="1"/>
  <c r="E81" i="5"/>
  <c r="F81" i="5"/>
  <c r="D83" i="5" l="1"/>
  <c r="E82" i="5"/>
  <c r="F82" i="5"/>
  <c r="D84" i="5" l="1"/>
  <c r="F83" i="5"/>
  <c r="E83" i="5"/>
  <c r="D85" i="5" l="1"/>
  <c r="F84" i="5"/>
  <c r="E84" i="5"/>
  <c r="D86" i="5" l="1"/>
  <c r="E85" i="5"/>
  <c r="F85" i="5"/>
  <c r="D87" i="5" l="1"/>
  <c r="E86" i="5"/>
  <c r="F86" i="5"/>
  <c r="D88" i="5" l="1"/>
  <c r="F87" i="5"/>
  <c r="E87" i="5"/>
  <c r="D89" i="5" l="1"/>
  <c r="F88" i="5"/>
  <c r="E88" i="5"/>
  <c r="D90" i="5" l="1"/>
  <c r="F89" i="5"/>
  <c r="E89" i="5"/>
  <c r="D91" i="5" l="1"/>
  <c r="E90" i="5"/>
  <c r="F90" i="5"/>
  <c r="D92" i="5" l="1"/>
  <c r="F91" i="5"/>
  <c r="E91" i="5"/>
  <c r="D93" i="5" l="1"/>
  <c r="F92" i="5"/>
  <c r="E92" i="5"/>
  <c r="D94" i="5" l="1"/>
  <c r="E93" i="5"/>
  <c r="F93" i="5"/>
  <c r="D95" i="5" l="1"/>
  <c r="E94" i="5"/>
  <c r="F94" i="5"/>
  <c r="D96" i="5" l="1"/>
  <c r="F95" i="5"/>
  <c r="E95" i="5"/>
  <c r="D97" i="5" l="1"/>
  <c r="F96" i="5"/>
  <c r="E96" i="5"/>
  <c r="D98" i="5" l="1"/>
  <c r="E97" i="5"/>
  <c r="F97" i="5"/>
  <c r="E98" i="5" l="1"/>
  <c r="F9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Ashley Domes</author>
    <author>Sean Reed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Ashley Domes:</t>
        </r>
        <r>
          <rPr>
            <sz val="9"/>
            <color indexed="81"/>
            <rFont val="Tahoma"/>
            <family val="2"/>
          </rPr>
          <t xml:space="preserve">
Put your bulk density in here and it will tell you how many tons of the blend you can do at max.</t>
        </r>
      </text>
    </comment>
    <comment ref="F19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Ash Domes:
How many tons you can fit at max of the particular blend in question
</t>
        </r>
      </text>
    </comment>
  </commentList>
</comments>
</file>

<file path=xl/sharedStrings.xml><?xml version="1.0" encoding="utf-8"?>
<sst xmlns="http://schemas.openxmlformats.org/spreadsheetml/2006/main" count="483" uniqueCount="386">
  <si>
    <t>Enter data in Blue cells</t>
  </si>
  <si>
    <t>Limitations</t>
  </si>
  <si>
    <t>Planned Down Hole Rate</t>
  </si>
  <si>
    <t>Water Density</t>
  </si>
  <si>
    <t>Max mix rate is dependent on three criteria</t>
  </si>
  <si>
    <t>SCS Std</t>
  </si>
  <si>
    <t>Abrasive fluid Iron</t>
  </si>
  <si>
    <t>m³/min</t>
  </si>
  <si>
    <t>Bulker Trailer</t>
  </si>
  <si>
    <t>(m³/min)</t>
  </si>
  <si>
    <t>(kg/m³)</t>
  </si>
  <si>
    <t>1. Max mix water delivery of 1.2 m³/min</t>
  </si>
  <si>
    <t>Ben M</t>
  </si>
  <si>
    <t>Mix Water</t>
  </si>
  <si>
    <t>Field Storage Vessel</t>
  </si>
  <si>
    <t>Select Storage Vessel</t>
  </si>
  <si>
    <t>2. Max bulk delivery of 1400 kg/min from Field Storage Vessel</t>
  </si>
  <si>
    <t>Jeff S / LLB Jobs</t>
  </si>
  <si>
    <t>Bulk Delivery</t>
  </si>
  <si>
    <t>kg/min</t>
  </si>
  <si>
    <t>3. Max bulk delivery of 1100kg/m³ from Bulker</t>
  </si>
  <si>
    <t>4. Max mix rate limit set at 1.8 m³/min</t>
  </si>
  <si>
    <t>Blend</t>
  </si>
  <si>
    <t xml:space="preserve">Max Mix Rate
</t>
  </si>
  <si>
    <t>Limiting 
Factor</t>
  </si>
  <si>
    <t>Density</t>
  </si>
  <si>
    <t>Yield</t>
  </si>
  <si>
    <t>Bulk Density</t>
  </si>
  <si>
    <t>Calc. Mix Water Rate SP</t>
  </si>
  <si>
    <t>Calc. Bulk Rate SP</t>
  </si>
  <si>
    <t>Calc. Bulk Delivery</t>
  </si>
  <si>
    <t>Percent Difference Between SP and Calc. Delivery</t>
  </si>
  <si>
    <t>Max Mix Rate 
Mix H2O</t>
  </si>
  <si>
    <t>Max Mix Rate 
Bulk Delivery</t>
  </si>
  <si>
    <t xml:space="preserve">Limiting Rate
</t>
  </si>
  <si>
    <t>Limiting Factor</t>
  </si>
  <si>
    <t>kg/m³</t>
  </si>
  <si>
    <t>m³/t</t>
  </si>
  <si>
    <t>t/m³</t>
  </si>
  <si>
    <t>1.2 m³/min</t>
  </si>
  <si>
    <t>1400 kg/min</t>
  </si>
  <si>
    <t>0:1:0 'A'</t>
  </si>
  <si>
    <t>0:1:0 'C'</t>
  </si>
  <si>
    <t>0:1:0 'G'</t>
  </si>
  <si>
    <t>0:1:12 'G'</t>
  </si>
  <si>
    <t>0:1:2 'G'</t>
  </si>
  <si>
    <t>0:1:4 'G'</t>
  </si>
  <si>
    <t>0:1:6 'G'</t>
  </si>
  <si>
    <t>0:1:8 'G'</t>
  </si>
  <si>
    <t>1:1:0 'G'</t>
  </si>
  <si>
    <t>1:1:0 'G' (Sask)</t>
  </si>
  <si>
    <t>1:1:12 'G'</t>
  </si>
  <si>
    <t>1:1:12 'G' (Sask)</t>
  </si>
  <si>
    <t>1:1:2 'G'</t>
  </si>
  <si>
    <t>1:1:2 'G' (Sask)</t>
  </si>
  <si>
    <t>1:1:4 'G'</t>
  </si>
  <si>
    <t>1:1:4 'G' (Sask)</t>
  </si>
  <si>
    <t>1:1:6 'G'</t>
  </si>
  <si>
    <t>1:1:6 'G' (Sask)</t>
  </si>
  <si>
    <t>1:1:8 'G'</t>
  </si>
  <si>
    <t>1:1:8 'G' (Sask)</t>
  </si>
  <si>
    <t>2:1:0 'G'</t>
  </si>
  <si>
    <t>2:1:0 'G' (Sask)</t>
  </si>
  <si>
    <t>2:1:12 'G'</t>
  </si>
  <si>
    <t>2:1:12 'G' (Sask)</t>
  </si>
  <si>
    <t>2:1:2 'G'</t>
  </si>
  <si>
    <t>2:1:2 'G' (Sask)</t>
  </si>
  <si>
    <t>2:1:4 'G'</t>
  </si>
  <si>
    <t>2:1:4 'G' (Sask)</t>
  </si>
  <si>
    <t>2:1:6 'G'</t>
  </si>
  <si>
    <t>2:1:6 'G' (Sask)</t>
  </si>
  <si>
    <t>2:1:8 'G'</t>
  </si>
  <si>
    <t>2:1:8 'G' (Sask)</t>
  </si>
  <si>
    <t>ASC (IV)</t>
  </si>
  <si>
    <t>Expandomix</t>
  </si>
  <si>
    <t>Expandomix HT</t>
  </si>
  <si>
    <t>Expandomix HT (SK)</t>
  </si>
  <si>
    <t>Expandomix LWL</t>
  </si>
  <si>
    <t>Glacial Mix</t>
  </si>
  <si>
    <t>iBond</t>
  </si>
  <si>
    <t>iGain (SK)</t>
  </si>
  <si>
    <t>iGain(AB)</t>
  </si>
  <si>
    <t>iPrime (AB)</t>
  </si>
  <si>
    <t>iPrime (SK)</t>
  </si>
  <si>
    <t>LCS 1600</t>
  </si>
  <si>
    <t>LCS 1820</t>
  </si>
  <si>
    <t>LDP-C-1316</t>
  </si>
  <si>
    <t>LITEmix 1325 (AB)</t>
  </si>
  <si>
    <t>LITEmix 1325 (SK)</t>
  </si>
  <si>
    <t>LITEmix 1400 (AB)</t>
  </si>
  <si>
    <t>LITEmix 1400 (SK)</t>
  </si>
  <si>
    <t>PRODUCTIONmix 1500 PRO</t>
  </si>
  <si>
    <t>PRODUCTIONmix 1600</t>
  </si>
  <si>
    <t>PRODUCTIONmix 1600 (SK)</t>
  </si>
  <si>
    <t>PRODUCTIONmix 1725</t>
  </si>
  <si>
    <t>PRODUCTIONmix LW</t>
  </si>
  <si>
    <t>PRODUCTIONmix THX</t>
  </si>
  <si>
    <t>Proteus Core</t>
  </si>
  <si>
    <t>Proteus LCS</t>
  </si>
  <si>
    <t>Proteus Pro</t>
  </si>
  <si>
    <t>RAS II</t>
  </si>
  <si>
    <t>SanSeal</t>
  </si>
  <si>
    <t>SanSeal HT</t>
  </si>
  <si>
    <t>SSi</t>
  </si>
  <si>
    <t>Superlite 13</t>
  </si>
  <si>
    <t>Superlite 13 (CDM-5)</t>
  </si>
  <si>
    <t xml:space="preserve">SUPERLITEmix PRO HT </t>
  </si>
  <si>
    <t xml:space="preserve">SUPERLITEmix PRO </t>
  </si>
  <si>
    <t>SURFACEmix LW (SK)</t>
  </si>
  <si>
    <t xml:space="preserve">SURFACEmix LW PRO </t>
  </si>
  <si>
    <t xml:space="preserve">SURFACEmix LW PRO (SK) </t>
  </si>
  <si>
    <t>SURFACEmix PRO</t>
  </si>
  <si>
    <t>SURFACEmix PRO SL</t>
  </si>
  <si>
    <t>SURFACEmix SLW</t>
  </si>
  <si>
    <t>SurfLite (SK)</t>
  </si>
  <si>
    <t>Thermal 40</t>
  </si>
  <si>
    <t>Thermal 40 EXP</t>
  </si>
  <si>
    <t>THERMAmix EC EXP</t>
  </si>
  <si>
    <t>THERMAmix LT</t>
  </si>
  <si>
    <t>THERMAmix SLW</t>
  </si>
  <si>
    <t>ThixLite HT (AB)</t>
  </si>
  <si>
    <t>ThixLite HT (SK)</t>
  </si>
  <si>
    <t>SURFACEmix LW PRO SL</t>
  </si>
  <si>
    <t>LDP-C-0117</t>
  </si>
  <si>
    <t>LDP-C-1616</t>
  </si>
  <si>
    <t>Minimum</t>
  </si>
  <si>
    <t>Maximum</t>
  </si>
  <si>
    <t>Component</t>
  </si>
  <si>
    <t>Twins</t>
  </si>
  <si>
    <t>Singles</t>
  </si>
  <si>
    <t>GEN1</t>
  </si>
  <si>
    <t>GEN1.5</t>
  </si>
  <si>
    <t>GENII (38)</t>
  </si>
  <si>
    <t>GENII (39)</t>
  </si>
  <si>
    <t>GEN 1.5 STD (92-97)</t>
  </si>
  <si>
    <t>International 
(82 &amp; 90)</t>
  </si>
  <si>
    <t>86-89</t>
  </si>
  <si>
    <t>90,91,
94-100</t>
  </si>
  <si>
    <t>101-104</t>
  </si>
  <si>
    <t>Unit Quantity @ Feb 2017</t>
  </si>
  <si>
    <t>Units Operational @ Feb 2017</t>
  </si>
  <si>
    <t>Dimensions</t>
  </si>
  <si>
    <t>Width</t>
  </si>
  <si>
    <t>102"</t>
  </si>
  <si>
    <t>Height</t>
  </si>
  <si>
    <t>162"</t>
  </si>
  <si>
    <t>Length</t>
  </si>
  <si>
    <t>65'</t>
  </si>
  <si>
    <t>38'</t>
  </si>
  <si>
    <t>Weight</t>
  </si>
  <si>
    <t>Complete</t>
  </si>
  <si>
    <t>38,790kg</t>
  </si>
  <si>
    <t>42,970kg</t>
  </si>
  <si>
    <t>22,700kg</t>
  </si>
  <si>
    <t>No</t>
  </si>
  <si>
    <t>Yes Rmv iron</t>
  </si>
  <si>
    <t>Yes Rmv Iron, 1/2 tank fuel</t>
  </si>
  <si>
    <t>Treating Iron</t>
  </si>
  <si>
    <t>Long joint length</t>
  </si>
  <si>
    <t>8'</t>
  </si>
  <si>
    <t>10'</t>
  </si>
  <si>
    <t>Total treating Iron
(Pups,Long joints, Jackknives)</t>
  </si>
  <si>
    <t>192'</t>
  </si>
  <si>
    <t>112'</t>
  </si>
  <si>
    <t>Major Components</t>
  </si>
  <si>
    <t>Engine</t>
  </si>
  <si>
    <t>C9</t>
  </si>
  <si>
    <t>C13</t>
  </si>
  <si>
    <t>60 Series</t>
  </si>
  <si>
    <t>DD15</t>
  </si>
  <si>
    <t>DD16</t>
  </si>
  <si>
    <t>Horsepower</t>
  </si>
  <si>
    <t>Fan</t>
  </si>
  <si>
    <t>Flexaire-Hub</t>
  </si>
  <si>
    <t>Flexaire</t>
  </si>
  <si>
    <t>Clutch</t>
  </si>
  <si>
    <t>Starters</t>
  </si>
  <si>
    <t>Hydraulic</t>
  </si>
  <si>
    <t>Electric</t>
  </si>
  <si>
    <t>Transmission Model</t>
  </si>
  <si>
    <t>4700 OFS</t>
  </si>
  <si>
    <t>4700 RDS</t>
  </si>
  <si>
    <t>Transmission Filters</t>
  </si>
  <si>
    <t>Internal</t>
  </si>
  <si>
    <t>External</t>
  </si>
  <si>
    <t>PTO's</t>
  </si>
  <si>
    <t>Chelsea</t>
  </si>
  <si>
    <t>Logan</t>
  </si>
  <si>
    <t>Drop Box</t>
  </si>
  <si>
    <t>-</t>
  </si>
  <si>
    <t>Namco</t>
  </si>
  <si>
    <t>-  </t>
  </si>
  <si>
    <t>Fabco 170</t>
  </si>
  <si>
    <t>Triplex</t>
  </si>
  <si>
    <t>SPM/GD</t>
  </si>
  <si>
    <t>SPM</t>
  </si>
  <si>
    <t>GD</t>
  </si>
  <si>
    <t>OPI 600</t>
  </si>
  <si>
    <t>Fluid End</t>
  </si>
  <si>
    <t>3.5"</t>
  </si>
  <si>
    <t>4"</t>
  </si>
  <si>
    <t>3.5” - 4.5"</t>
  </si>
  <si>
    <t>3.5" - 4"</t>
  </si>
  <si>
    <t>Control Cab - Heat only</t>
  </si>
  <si>
    <t>Yes</t>
  </si>
  <si>
    <t>Axles</t>
  </si>
  <si>
    <t>Blower</t>
  </si>
  <si>
    <t>GD CDL9</t>
  </si>
  <si>
    <t>Hose Reel</t>
  </si>
  <si>
    <t>Canopy</t>
  </si>
  <si>
    <t>Tanks</t>
  </si>
  <si>
    <t>Disp Tank Volume</t>
  </si>
  <si>
    <r>
      <t>2m</t>
    </r>
    <r>
      <rPr>
        <vertAlign val="superscript"/>
        <sz val="10"/>
        <color rgb="FF000000"/>
        <rFont val="Calibri"/>
        <family val="2"/>
        <scheme val="minor"/>
      </rPr>
      <t>3</t>
    </r>
  </si>
  <si>
    <r>
      <t>3m</t>
    </r>
    <r>
      <rPr>
        <vertAlign val="superscript"/>
        <sz val="10"/>
        <color rgb="FF000000"/>
        <rFont val="Calibri"/>
        <family val="2"/>
        <scheme val="minor"/>
      </rPr>
      <t>3</t>
    </r>
  </si>
  <si>
    <t>Disp Tank Material</t>
  </si>
  <si>
    <t>Aluminum</t>
  </si>
  <si>
    <t>316 SS</t>
  </si>
  <si>
    <t>Steel enclosed</t>
  </si>
  <si>
    <t>Max Weight per tank (kg)</t>
  </si>
  <si>
    <t>Max Density full tank (kg/m³)</t>
  </si>
  <si>
    <t>Hyd tank liter @ 100%</t>
  </si>
  <si>
    <t>Fuel tank liter @ 100%</t>
  </si>
  <si>
    <t>450 x 2</t>
  </si>
  <si>
    <t>378 x 2</t>
  </si>
  <si>
    <t>RH 473 &amp; LH 302</t>
  </si>
  <si>
    <t>Lube tank liter @ 100%</t>
  </si>
  <si>
    <t>378 &amp; 302</t>
  </si>
  <si>
    <t>Mix &amp; Ave Tank</t>
  </si>
  <si>
    <t>800 Litres + 800 Litres to the top of the weir</t>
  </si>
  <si>
    <t>Redundant</t>
  </si>
  <si>
    <t>Hyd Filters</t>
  </si>
  <si>
    <t>High Pres</t>
  </si>
  <si>
    <t>Low Pres</t>
  </si>
  <si>
    <t>Triplex Lube Pump Drive</t>
  </si>
  <si>
    <t>Belt</t>
  </si>
  <si>
    <t>Hydraulic Cooler Type</t>
  </si>
  <si>
    <t>MR35S30</t>
  </si>
  <si>
    <t>MFR6024A60</t>
  </si>
  <si>
    <t>Lube Oil Cooler Type</t>
  </si>
  <si>
    <t>MF6024A (2)</t>
  </si>
  <si>
    <t>MF6024A (1)</t>
  </si>
  <si>
    <t>Piping &amp; C-pumps</t>
  </si>
  <si>
    <t>Actuated Valves</t>
  </si>
  <si>
    <t>Pneumatic</t>
  </si>
  <si>
    <t>Electric/Air</t>
  </si>
  <si>
    <t>LX Suction</t>
  </si>
  <si>
    <t>5"</t>
  </si>
  <si>
    <t>5" &amp; 6"</t>
  </si>
  <si>
    <t>6"</t>
  </si>
  <si>
    <t>Redundant piping</t>
  </si>
  <si>
    <t>Water Pump</t>
  </si>
  <si>
    <t>Franklin Electric 3x4-9</t>
  </si>
  <si>
    <t>Recirc/Charge Pump</t>
  </si>
  <si>
    <t>GD 2045LX 6x5</t>
  </si>
  <si>
    <t>Pressurizer</t>
  </si>
  <si>
    <t>Inboard</t>
  </si>
  <si>
    <t>Outboard</t>
  </si>
  <si>
    <t>C-Pump Control</t>
  </si>
  <si>
    <t>Long joint</t>
  </si>
  <si>
    <t>Electrical</t>
  </si>
  <si>
    <t>Discharge Pressure</t>
  </si>
  <si>
    <t> 2</t>
  </si>
  <si>
    <t>Recirc Density</t>
  </si>
  <si>
    <t>2" Coriolis - E&amp;H Promass 83F</t>
  </si>
  <si>
    <t>Downhole Density</t>
  </si>
  <si>
    <t>4" Coriolis - E&amp;H Promass 83F</t>
  </si>
  <si>
    <t>3" Coriolis - E&amp;H Promass 83F</t>
  </si>
  <si>
    <t>Mix Water Rate</t>
  </si>
  <si>
    <t>3" Magnetic Flowmeter - E&amp;H Promag 53W</t>
  </si>
  <si>
    <t>Process Pres.Transducers</t>
  </si>
  <si>
    <t>4 - Wika IS21-S</t>
  </si>
  <si>
    <t>C-pump mag pickups</t>
  </si>
  <si>
    <t>4 - Sauer Danfoss KPP Powered Mag Pickup</t>
  </si>
  <si>
    <t>Triplex mag pickups</t>
  </si>
  <si>
    <t>4 - Honeywell 3030AN20 (Or Equivalent) Non-Powered Magnetic Pickup</t>
  </si>
  <si>
    <t>Batteries Qty</t>
  </si>
  <si>
    <t>Batteries type/size</t>
  </si>
  <si>
    <t>8D</t>
  </si>
  <si>
    <t>Optima AGM</t>
  </si>
  <si>
    <t>4x8D, 1xAGM</t>
  </si>
  <si>
    <t>Night Switch</t>
  </si>
  <si>
    <t>3 - Flaming River (FR) Single Pole (SP)</t>
  </si>
  <si>
    <t>4 - FR SP</t>
  </si>
  <si>
    <t>1 - Flaming River Dual Pole</t>
  </si>
  <si>
    <t>Level Sensors</t>
  </si>
  <si>
    <t> Mix/Ave</t>
  </si>
  <si>
    <t>All Tanks</t>
  </si>
  <si>
    <t>Mix/Ave</t>
  </si>
  <si>
    <t>Volumetric Pumping</t>
  </si>
  <si>
    <t>Control Panel A/C</t>
  </si>
  <si>
    <t>Terminal Block Style</t>
  </si>
  <si>
    <t>Screw</t>
  </si>
  <si>
    <t>Spring</t>
  </si>
  <si>
    <t>Greaser</t>
  </si>
  <si>
    <t>Bravo - 2x Triplex, 4x C-Pump</t>
  </si>
  <si>
    <t>Bravo - 1x Triplex, 3x C-Pump</t>
  </si>
  <si>
    <t>Mixing Specifications</t>
  </si>
  <si>
    <t>Mixing Water Rate</t>
  </si>
  <si>
    <t>50l/min Minimum -&gt; 1100l/min</t>
  </si>
  <si>
    <t>Batch Mixing</t>
  </si>
  <si>
    <r>
      <t>700l Slurry Volume Minimum -&gt;1.6m</t>
    </r>
    <r>
      <rPr>
        <vertAlign val="superscript"/>
        <sz val="11"/>
        <color theme="1"/>
        <rFont val="Calibri"/>
        <family val="2"/>
        <scheme val="minor"/>
      </rPr>
      <t>3</t>
    </r>
  </si>
  <si>
    <t>Enter data in Yellow cells</t>
  </si>
  <si>
    <t>Chart Title</t>
  </si>
  <si>
    <t>Input Data</t>
  </si>
  <si>
    <t>Twin or Single</t>
  </si>
  <si>
    <t>Single</t>
  </si>
  <si>
    <t>Displ HP</t>
  </si>
  <si>
    <t>Mix HP</t>
  </si>
  <si>
    <t>Engine Type</t>
  </si>
  <si>
    <t>1 x DD15 560HHP</t>
  </si>
  <si>
    <t>Single or Twin</t>
  </si>
  <si>
    <t>Mix or Displ</t>
  </si>
  <si>
    <t>SCS limits</t>
  </si>
  <si>
    <t>Plunger Size</t>
  </si>
  <si>
    <t>4.5"</t>
  </si>
  <si>
    <t>inch</t>
  </si>
  <si>
    <t>Max HP Mixing</t>
  </si>
  <si>
    <t>Mixing</t>
  </si>
  <si>
    <t>Displacing</t>
  </si>
  <si>
    <t>Twin</t>
  </si>
  <si>
    <t>Max HP Displacing</t>
  </si>
  <si>
    <t>Design Rate</t>
  </si>
  <si>
    <t>Losses</t>
  </si>
  <si>
    <t>Design Pressure</t>
  </si>
  <si>
    <t>MPa</t>
  </si>
  <si>
    <t>Note if Red X is above the line you are above max HP</t>
  </si>
  <si>
    <t>Avg  1 Engine HP</t>
  </si>
  <si>
    <t>Displ</t>
  </si>
  <si>
    <t>Mix</t>
  </si>
  <si>
    <t>Net HP Displ</t>
  </si>
  <si>
    <t>Net HP Mix</t>
  </si>
  <si>
    <t>Net KW Displ</t>
  </si>
  <si>
    <t>Net KW Mix</t>
  </si>
  <si>
    <t>HHP</t>
  </si>
  <si>
    <t>Plunger size</t>
  </si>
  <si>
    <t>Max Pres (psi)</t>
  </si>
  <si>
    <t>Max Pres (MPa)</t>
  </si>
  <si>
    <t>Rate Low</t>
  </si>
  <si>
    <t>Rate High (single)</t>
  </si>
  <si>
    <t>Rate High (Twin)</t>
  </si>
  <si>
    <t>4.0"</t>
  </si>
  <si>
    <t>Notes:</t>
  </si>
  <si>
    <t>Engine HP from Liguo calcs located here.</t>
  </si>
  <si>
    <t>All HP numbers are average of RPM range</t>
  </si>
  <si>
    <t>Rates</t>
  </si>
  <si>
    <t>Mix Pres</t>
  </si>
  <si>
    <t>Displ Pres</t>
  </si>
  <si>
    <t>Bulk Equipment Max Load (MT) to meet Roadbans</t>
  </si>
  <si>
    <t>Bulker Tandum (2 axels)</t>
  </si>
  <si>
    <t>Bulker Tridom (3 axels)</t>
  </si>
  <si>
    <t>Super B (2)</t>
  </si>
  <si>
    <t>Baby Bulker</t>
  </si>
  <si>
    <t>Select Cement Blend</t>
  </si>
  <si>
    <t>Bulk Equipment Volume Maximums</t>
  </si>
  <si>
    <t>Name</t>
  </si>
  <si>
    <t>Cubic Feet</t>
  </si>
  <si>
    <r>
      <t xml:space="preserve">Dimensioins
</t>
    </r>
    <r>
      <rPr>
        <b/>
        <i/>
        <sz val="10"/>
        <color theme="1"/>
        <rFont val="Calibri"/>
        <family val="2"/>
        <scheme val="minor"/>
      </rPr>
      <t>LxWxH (ft)</t>
    </r>
  </si>
  <si>
    <t>m³</t>
  </si>
  <si>
    <t>TONS 100%</t>
  </si>
  <si>
    <t>TONS 80 %</t>
  </si>
  <si>
    <t>Bulk Plant</t>
  </si>
  <si>
    <t>90ton Silo</t>
  </si>
  <si>
    <t>10'x10'x32'11"</t>
  </si>
  <si>
    <t>50ton Silo</t>
  </si>
  <si>
    <t>10'x10'x24'1"</t>
  </si>
  <si>
    <t>43ton Silo</t>
  </si>
  <si>
    <t>10'x10'x21'8"</t>
  </si>
  <si>
    <t>Blend Tanks</t>
  </si>
  <si>
    <t>8'x8'x18'4"</t>
  </si>
  <si>
    <t>Field Bins</t>
  </si>
  <si>
    <t>Mega Silos</t>
  </si>
  <si>
    <t>12x12'8"x35'7"</t>
  </si>
  <si>
    <t>40ton P-Tank</t>
  </si>
  <si>
    <t>10'x10'x21'6"</t>
  </si>
  <si>
    <t>Air Slide Bin</t>
  </si>
  <si>
    <t>10'3"x10'3"x22'6"</t>
  </si>
  <si>
    <t>Portable Bulk Plant</t>
  </si>
  <si>
    <t>Pig</t>
  </si>
  <si>
    <t>53'11.5"x9'6"x13'6"</t>
  </si>
  <si>
    <t>Laydown (3)</t>
  </si>
  <si>
    <t>38'x12'1"x13'9"</t>
  </si>
  <si>
    <t>Bulk Transportation</t>
  </si>
  <si>
    <t>Bulker</t>
  </si>
  <si>
    <t>62'x13'2"</t>
  </si>
  <si>
    <t>82'x8'6"x13'2"</t>
  </si>
  <si>
    <t>51'x8'6"x13'2"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</si>
</sst>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i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u/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3D7E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233">
    <xf numFmtId="0" fontId="0" fillId="0" borderId="0" xfId="0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6" fillId="0" borderId="5" xfId="0" applyFont="1" applyBorder="1"/>
    <xf numFmtId="2" fontId="0" fillId="0" borderId="6" xfId="0" applyNumberFormat="1" applyBorder="1"/>
    <xf numFmtId="2" fontId="0" fillId="0" borderId="7" xfId="0" applyNumberFormat="1" applyBorder="1"/>
    <xf numFmtId="0" fontId="6" fillId="0" borderId="8" xfId="0" applyFont="1" applyBorder="1"/>
    <xf numFmtId="0" fontId="6" fillId="0" borderId="6" xfId="0" applyFont="1" applyBorder="1" applyAlignment="1">
      <alignment wrapText="1"/>
    </xf>
    <xf numFmtId="2" fontId="0" fillId="0" borderId="9" xfId="0" applyNumberFormat="1" applyBorder="1"/>
    <xf numFmtId="0" fontId="0" fillId="0" borderId="0" xfId="0" applyAlignment="1">
      <alignment wrapText="1"/>
    </xf>
    <xf numFmtId="0" fontId="6" fillId="0" borderId="6" xfId="0" applyFont="1" applyBorder="1" applyAlignment="1">
      <alignment horizontal="left" wrapText="1"/>
    </xf>
    <xf numFmtId="2" fontId="0" fillId="2" borderId="3" xfId="0" applyNumberFormat="1" applyFill="1" applyBorder="1"/>
    <xf numFmtId="0" fontId="0" fillId="2" borderId="1" xfId="0" applyFill="1" applyBorder="1"/>
    <xf numFmtId="14" fontId="0" fillId="2" borderId="1" xfId="0" quotePrefix="1" applyNumberFormat="1" applyFill="1" applyBorder="1"/>
    <xf numFmtId="1" fontId="0" fillId="2" borderId="3" xfId="0" quotePrefix="1" applyNumberFormat="1" applyFill="1" applyBorder="1"/>
    <xf numFmtId="0" fontId="0" fillId="2" borderId="1" xfId="0" quotePrefix="1" applyNumberFormat="1" applyFill="1" applyBorder="1"/>
    <xf numFmtId="1" fontId="0" fillId="2" borderId="3" xfId="0" applyNumberFormat="1" applyFill="1" applyBorder="1"/>
    <xf numFmtId="2" fontId="0" fillId="2" borderId="4" xfId="0" applyNumberFormat="1" applyFill="1" applyBorder="1"/>
    <xf numFmtId="2" fontId="0" fillId="2" borderId="9" xfId="1" applyNumberFormat="1" applyFont="1" applyFill="1" applyBorder="1"/>
    <xf numFmtId="2" fontId="0" fillId="2" borderId="2" xfId="1" applyNumberFormat="1" applyFont="1" applyFill="1" applyBorder="1"/>
    <xf numFmtId="0" fontId="0" fillId="3" borderId="0" xfId="0" applyFill="1"/>
    <xf numFmtId="165" fontId="0" fillId="0" borderId="0" xfId="0" applyNumberFormat="1"/>
    <xf numFmtId="0" fontId="2" fillId="0" borderId="0" xfId="3" applyAlignment="1">
      <alignment horizontal="center" vertical="center"/>
    </xf>
    <xf numFmtId="0" fontId="2" fillId="0" borderId="0" xfId="3" applyFill="1" applyAlignment="1">
      <alignment horizontal="center" vertical="center"/>
    </xf>
    <xf numFmtId="0" fontId="8" fillId="2" borderId="3" xfId="3" applyFont="1" applyFill="1" applyBorder="1" applyAlignment="1">
      <alignment horizontal="center" vertical="center" wrapText="1" readingOrder="1"/>
    </xf>
    <xf numFmtId="0" fontId="2" fillId="0" borderId="0" xfId="3" applyBorder="1" applyAlignment="1">
      <alignment horizontal="center" vertical="center"/>
    </xf>
    <xf numFmtId="0" fontId="12" fillId="0" borderId="0" xfId="4"/>
    <xf numFmtId="0" fontId="2" fillId="0" borderId="0" xfId="3"/>
    <xf numFmtId="0" fontId="14" fillId="5" borderId="11" xfId="3" applyFont="1" applyFill="1" applyBorder="1"/>
    <xf numFmtId="0" fontId="2" fillId="0" borderId="0" xfId="3" applyFill="1"/>
    <xf numFmtId="0" fontId="2" fillId="0" borderId="0" xfId="3" applyFont="1"/>
    <xf numFmtId="2" fontId="0" fillId="7" borderId="4" xfId="0" applyNumberFormat="1" applyFill="1" applyBorder="1"/>
    <xf numFmtId="2" fontId="0" fillId="7" borderId="6" xfId="0" applyNumberFormat="1" applyFill="1" applyBorder="1"/>
    <xf numFmtId="2" fontId="0" fillId="7" borderId="7" xfId="0" applyNumberFormat="1" applyFill="1" applyBorder="1"/>
    <xf numFmtId="2" fontId="0" fillId="7" borderId="2" xfId="0" applyNumberFormat="1" applyFill="1" applyBorder="1"/>
    <xf numFmtId="0" fontId="6" fillId="0" borderId="14" xfId="0" applyFont="1" applyBorder="1"/>
    <xf numFmtId="0" fontId="6" fillId="0" borderId="15" xfId="0" applyFont="1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6" fillId="0" borderId="5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left" wrapText="1"/>
    </xf>
    <xf numFmtId="2" fontId="0" fillId="2" borderId="10" xfId="0" applyNumberFormat="1" applyFill="1" applyBorder="1"/>
    <xf numFmtId="2" fontId="0" fillId="2" borderId="13" xfId="1" applyNumberFormat="1" applyFont="1" applyFill="1" applyBorder="1"/>
    <xf numFmtId="2" fontId="0" fillId="2" borderId="12" xfId="0" applyNumberFormat="1" applyFill="1" applyBorder="1"/>
    <xf numFmtId="2" fontId="0" fillId="2" borderId="13" xfId="0" applyNumberFormat="1" applyFill="1" applyBorder="1"/>
    <xf numFmtId="2" fontId="0" fillId="2" borderId="1" xfId="0" applyNumberFormat="1" applyFill="1" applyBorder="1"/>
    <xf numFmtId="2" fontId="0" fillId="2" borderId="9" xfId="0" applyNumberFormat="1" applyFill="1" applyBorder="1"/>
    <xf numFmtId="2" fontId="0" fillId="2" borderId="8" xfId="0" applyNumberFormat="1" applyFill="1" applyBorder="1"/>
    <xf numFmtId="2" fontId="0" fillId="2" borderId="2" xfId="0" applyNumberFormat="1" applyFill="1" applyBorder="1"/>
    <xf numFmtId="0" fontId="7" fillId="0" borderId="1" xfId="3" applyFont="1" applyBorder="1" applyAlignment="1">
      <alignment horizontal="right" vertical="center"/>
    </xf>
    <xf numFmtId="0" fontId="2" fillId="0" borderId="3" xfId="3" applyBorder="1"/>
    <xf numFmtId="0" fontId="2" fillId="0" borderId="9" xfId="3" applyBorder="1"/>
    <xf numFmtId="0" fontId="7" fillId="0" borderId="8" xfId="3" applyFont="1" applyBorder="1" applyAlignment="1">
      <alignment horizontal="right" vertical="center"/>
    </xf>
    <xf numFmtId="0" fontId="2" fillId="0" borderId="4" xfId="3" applyBorder="1"/>
    <xf numFmtId="0" fontId="7" fillId="0" borderId="12" xfId="3" applyFont="1" applyBorder="1" applyAlignment="1">
      <alignment horizontal="right" vertical="center"/>
    </xf>
    <xf numFmtId="0" fontId="2" fillId="0" borderId="10" xfId="3" applyBorder="1"/>
    <xf numFmtId="0" fontId="2" fillId="0" borderId="13" xfId="3" applyBorder="1"/>
    <xf numFmtId="0" fontId="9" fillId="0" borderId="3" xfId="3" applyFont="1" applyFill="1" applyBorder="1" applyAlignment="1">
      <alignment horizontal="center" vertical="center" wrapText="1" readingOrder="1"/>
    </xf>
    <xf numFmtId="0" fontId="0" fillId="0" borderId="6" xfId="0" applyBorder="1"/>
    <xf numFmtId="0" fontId="6" fillId="0" borderId="1" xfId="0" applyFont="1" applyBorder="1"/>
    <xf numFmtId="0" fontId="0" fillId="3" borderId="4" xfId="0" applyFill="1" applyBorder="1"/>
    <xf numFmtId="0" fontId="0" fillId="0" borderId="2" xfId="0" applyBorder="1"/>
    <xf numFmtId="0" fontId="2" fillId="3" borderId="0" xfId="3" applyFill="1"/>
    <xf numFmtId="0" fontId="17" fillId="2" borderId="11" xfId="3" applyFont="1" applyFill="1" applyBorder="1" applyAlignment="1">
      <alignment horizontal="center"/>
    </xf>
    <xf numFmtId="0" fontId="14" fillId="5" borderId="5" xfId="3" applyFont="1" applyFill="1" applyBorder="1" applyAlignment="1">
      <alignment horizontal="center"/>
    </xf>
    <xf numFmtId="0" fontId="14" fillId="5" borderId="6" xfId="3" applyFont="1" applyFill="1" applyBorder="1" applyAlignment="1">
      <alignment horizontal="center"/>
    </xf>
    <xf numFmtId="0" fontId="14" fillId="5" borderId="6" xfId="3" applyFont="1" applyFill="1" applyBorder="1" applyAlignment="1">
      <alignment horizontal="center" wrapText="1"/>
    </xf>
    <xf numFmtId="0" fontId="14" fillId="5" borderId="7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/>
    </xf>
    <xf numFmtId="0" fontId="14" fillId="0" borderId="3" xfId="3" applyFont="1" applyFill="1" applyBorder="1" applyAlignment="1">
      <alignment horizontal="center"/>
    </xf>
    <xf numFmtId="0" fontId="14" fillId="0" borderId="3" xfId="3" applyFont="1" applyFill="1" applyBorder="1" applyAlignment="1">
      <alignment horizontal="center" wrapText="1"/>
    </xf>
    <xf numFmtId="0" fontId="14" fillId="0" borderId="9" xfId="3" applyFont="1" applyFill="1" applyBorder="1" applyAlignment="1">
      <alignment horizontal="center"/>
    </xf>
    <xf numFmtId="9" fontId="16" fillId="6" borderId="3" xfId="3" applyNumberFormat="1" applyFont="1" applyFill="1" applyBorder="1"/>
    <xf numFmtId="9" fontId="16" fillId="6" borderId="9" xfId="3" applyNumberFormat="1" applyFont="1" applyFill="1" applyBorder="1"/>
    <xf numFmtId="0" fontId="2" fillId="0" borderId="3" xfId="3" applyBorder="1" applyAlignment="1">
      <alignment horizontal="center" vertical="center"/>
    </xf>
    <xf numFmtId="2" fontId="2" fillId="0" borderId="3" xfId="3" applyNumberFormat="1" applyBorder="1" applyAlignment="1">
      <alignment horizontal="center"/>
    </xf>
    <xf numFmtId="2" fontId="2" fillId="0" borderId="3" xfId="3" applyNumberFormat="1" applyBorder="1"/>
    <xf numFmtId="2" fontId="2" fillId="0" borderId="9" xfId="3" applyNumberFormat="1" applyBorder="1"/>
    <xf numFmtId="2" fontId="2" fillId="6" borderId="3" xfId="3" applyNumberFormat="1" applyFill="1" applyBorder="1" applyAlignment="1">
      <alignment horizontal="center"/>
    </xf>
    <xf numFmtId="2" fontId="2" fillId="6" borderId="3" xfId="3" applyNumberFormat="1" applyFill="1" applyBorder="1"/>
    <xf numFmtId="2" fontId="18" fillId="6" borderId="9" xfId="3" applyNumberFormat="1" applyFont="1" applyFill="1" applyBorder="1"/>
    <xf numFmtId="2" fontId="2" fillId="6" borderId="9" xfId="3" applyNumberFormat="1" applyFill="1" applyBorder="1"/>
    <xf numFmtId="0" fontId="2" fillId="0" borderId="3" xfId="3" applyBorder="1" applyAlignment="1">
      <alignment horizontal="center" vertical="center" wrapText="1"/>
    </xf>
    <xf numFmtId="0" fontId="2" fillId="0" borderId="4" xfId="3" applyBorder="1" applyAlignment="1">
      <alignment horizontal="center" vertical="center" wrapText="1"/>
    </xf>
    <xf numFmtId="0" fontId="2" fillId="0" borderId="4" xfId="3" applyBorder="1" applyAlignment="1">
      <alignment horizontal="center" vertical="center"/>
    </xf>
    <xf numFmtId="2" fontId="2" fillId="0" borderId="4" xfId="3" applyNumberFormat="1" applyBorder="1" applyAlignment="1">
      <alignment horizontal="center"/>
    </xf>
    <xf numFmtId="2" fontId="2" fillId="0" borderId="4" xfId="3" applyNumberFormat="1" applyBorder="1"/>
    <xf numFmtId="2" fontId="2" fillId="0" borderId="2" xfId="3" applyNumberFormat="1" applyBorder="1"/>
    <xf numFmtId="0" fontId="10" fillId="0" borderId="9" xfId="3" applyFont="1" applyFill="1" applyBorder="1" applyAlignment="1">
      <alignment horizontal="center" vertical="center" wrapText="1"/>
    </xf>
    <xf numFmtId="0" fontId="8" fillId="0" borderId="8" xfId="3" applyFont="1" applyFill="1" applyBorder="1" applyAlignment="1">
      <alignment horizontal="center" vertical="center" wrapText="1" readingOrder="1"/>
    </xf>
    <xf numFmtId="0" fontId="8" fillId="0" borderId="5" xfId="3" applyFont="1" applyFill="1" applyBorder="1" applyAlignment="1">
      <alignment horizontal="center" vertical="center" wrapText="1" readingOrder="1"/>
    </xf>
    <xf numFmtId="0" fontId="8" fillId="0" borderId="1" xfId="3" applyFont="1" applyFill="1" applyBorder="1" applyAlignment="1">
      <alignment horizontal="center" vertical="center" wrapText="1" readingOrder="1"/>
    </xf>
    <xf numFmtId="0" fontId="10" fillId="0" borderId="7" xfId="3" applyFont="1" applyFill="1" applyBorder="1" applyAlignment="1">
      <alignment horizontal="center" vertical="center" wrapText="1"/>
    </xf>
    <xf numFmtId="0" fontId="22" fillId="0" borderId="9" xfId="3" applyFont="1" applyFill="1" applyBorder="1" applyAlignment="1">
      <alignment horizontal="center" vertical="center" wrapText="1"/>
    </xf>
    <xf numFmtId="0" fontId="9" fillId="0" borderId="8" xfId="3" applyFont="1" applyFill="1" applyBorder="1" applyAlignment="1">
      <alignment horizontal="center" vertical="center" wrapText="1" readingOrder="1"/>
    </xf>
    <xf numFmtId="0" fontId="9" fillId="0" borderId="1" xfId="3" applyFont="1" applyFill="1" applyBorder="1" applyAlignment="1">
      <alignment horizontal="center" vertical="center" wrapText="1" readingOrder="1"/>
    </xf>
    <xf numFmtId="0" fontId="9" fillId="2" borderId="4" xfId="3" applyFont="1" applyFill="1" applyBorder="1" applyAlignment="1">
      <alignment horizontal="center" vertical="center" wrapText="1" readingOrder="1"/>
    </xf>
    <xf numFmtId="0" fontId="22" fillId="2" borderId="2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right" vertical="center"/>
    </xf>
    <xf numFmtId="0" fontId="2" fillId="2" borderId="3" xfId="3" applyFill="1" applyBorder="1" applyAlignment="1">
      <alignment horizontal="center" vertical="center"/>
    </xf>
    <xf numFmtId="2" fontId="2" fillId="2" borderId="3" xfId="3" applyNumberFormat="1" applyFill="1" applyBorder="1" applyAlignment="1">
      <alignment horizontal="center"/>
    </xf>
    <xf numFmtId="2" fontId="2" fillId="2" borderId="3" xfId="3" applyNumberFormat="1" applyFill="1" applyBorder="1"/>
    <xf numFmtId="2" fontId="2" fillId="2" borderId="9" xfId="3" applyNumberFormat="1" applyFill="1" applyBorder="1"/>
    <xf numFmtId="165" fontId="2" fillId="4" borderId="3" xfId="3" applyNumberFormat="1" applyFill="1" applyBorder="1"/>
    <xf numFmtId="165" fontId="2" fillId="4" borderId="4" xfId="3" applyNumberFormat="1" applyFill="1" applyBorder="1"/>
    <xf numFmtId="165" fontId="2" fillId="4" borderId="9" xfId="3" applyNumberFormat="1" applyFill="1" applyBorder="1"/>
    <xf numFmtId="165" fontId="2" fillId="4" borderId="2" xfId="3" applyNumberFormat="1" applyFill="1" applyBorder="1"/>
    <xf numFmtId="0" fontId="23" fillId="0" borderId="8" xfId="3" applyFont="1" applyBorder="1" applyAlignment="1">
      <alignment horizontal="center" vertical="center"/>
    </xf>
    <xf numFmtId="9" fontId="23" fillId="0" borderId="4" xfId="3" applyNumberFormat="1" applyFont="1" applyBorder="1" applyAlignment="1">
      <alignment horizontal="center" vertical="center"/>
    </xf>
    <xf numFmtId="9" fontId="23" fillId="0" borderId="2" xfId="3" applyNumberFormat="1" applyFont="1" applyBorder="1" applyAlignment="1">
      <alignment horizontal="center" vertical="center"/>
    </xf>
    <xf numFmtId="0" fontId="9" fillId="8" borderId="3" xfId="3" applyFont="1" applyFill="1" applyBorder="1" applyAlignment="1">
      <alignment horizontal="center" vertical="center" wrapText="1" readingOrder="1"/>
    </xf>
    <xf numFmtId="0" fontId="22" fillId="8" borderId="9" xfId="3" applyFont="1" applyFill="1" applyBorder="1" applyAlignment="1">
      <alignment horizontal="center" vertical="center" wrapText="1"/>
    </xf>
    <xf numFmtId="9" fontId="8" fillId="2" borderId="1" xfId="3" applyNumberFormat="1" applyFont="1" applyFill="1" applyBorder="1" applyAlignment="1">
      <alignment horizontal="center" vertical="center" wrapText="1" readingOrder="1"/>
    </xf>
    <xf numFmtId="9" fontId="8" fillId="2" borderId="8" xfId="3" applyNumberFormat="1" applyFont="1" applyFill="1" applyBorder="1" applyAlignment="1">
      <alignment horizontal="center" vertical="center" wrapText="1" readingOrder="1"/>
    </xf>
    <xf numFmtId="0" fontId="24" fillId="0" borderId="0" xfId="0" applyFont="1"/>
    <xf numFmtId="165" fontId="24" fillId="0" borderId="0" xfId="0" applyNumberFormat="1" applyFont="1"/>
    <xf numFmtId="0" fontId="25" fillId="0" borderId="0" xfId="0" applyFont="1"/>
    <xf numFmtId="0" fontId="8" fillId="0" borderId="22" xfId="3" applyFont="1" applyFill="1" applyBorder="1" applyAlignment="1">
      <alignment horizontal="center" vertical="center" wrapText="1" readingOrder="1"/>
    </xf>
    <xf numFmtId="0" fontId="8" fillId="2" borderId="5" xfId="3" applyFont="1" applyFill="1" applyBorder="1" applyAlignment="1">
      <alignment horizontal="center" vertical="center" wrapText="1" readingOrder="1"/>
    </xf>
    <xf numFmtId="0" fontId="4" fillId="0" borderId="0" xfId="0" applyFont="1"/>
    <xf numFmtId="0" fontId="27" fillId="0" borderId="0" xfId="0" applyFont="1"/>
    <xf numFmtId="165" fontId="27" fillId="0" borderId="0" xfId="0" applyNumberFormat="1" applyFont="1"/>
    <xf numFmtId="2" fontId="27" fillId="0" borderId="0" xfId="0" applyNumberFormat="1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28" fillId="4" borderId="0" xfId="0" applyFont="1" applyFill="1"/>
    <xf numFmtId="0" fontId="29" fillId="4" borderId="0" xfId="0" applyFont="1" applyFill="1"/>
    <xf numFmtId="0" fontId="4" fillId="4" borderId="0" xfId="0" applyFont="1" applyFill="1"/>
    <xf numFmtId="165" fontId="28" fillId="0" borderId="0" xfId="0" applyNumberFormat="1" applyFont="1"/>
    <xf numFmtId="165" fontId="29" fillId="0" borderId="0" xfId="0" applyNumberFormat="1" applyFont="1"/>
    <xf numFmtId="0" fontId="4" fillId="0" borderId="3" xfId="0" applyFont="1" applyBorder="1"/>
    <xf numFmtId="0" fontId="4" fillId="0" borderId="5" xfId="0" applyFont="1" applyBorder="1" applyAlignment="1"/>
    <xf numFmtId="1" fontId="4" fillId="0" borderId="6" xfId="0" applyNumberFormat="1" applyFont="1" applyBorder="1" applyAlignment="1">
      <alignment horizontal="right" wrapText="1"/>
    </xf>
    <xf numFmtId="0" fontId="4" fillId="2" borderId="12" xfId="0" applyFont="1" applyFill="1" applyBorder="1" applyAlignment="1"/>
    <xf numFmtId="1" fontId="4" fillId="2" borderId="10" xfId="0" applyNumberFormat="1" applyFont="1" applyFill="1" applyBorder="1" applyAlignment="1">
      <alignment horizontal="right" wrapText="1"/>
    </xf>
    <xf numFmtId="2" fontId="4" fillId="2" borderId="10" xfId="0" applyNumberFormat="1" applyFont="1" applyFill="1" applyBorder="1" applyAlignment="1">
      <alignment wrapText="1"/>
    </xf>
    <xf numFmtId="0" fontId="4" fillId="0" borderId="1" xfId="0" applyFont="1" applyBorder="1" applyAlignment="1"/>
    <xf numFmtId="1" fontId="4" fillId="0" borderId="3" xfId="0" applyNumberFormat="1" applyFont="1" applyBorder="1" applyAlignment="1">
      <alignment horizontal="right" wrapText="1"/>
    </xf>
    <xf numFmtId="0" fontId="4" fillId="2" borderId="1" xfId="0" applyFont="1" applyFill="1" applyBorder="1"/>
    <xf numFmtId="0" fontId="4" fillId="0" borderId="8" xfId="0" applyFont="1" applyBorder="1" applyAlignment="1"/>
    <xf numFmtId="1" fontId="4" fillId="0" borderId="4" xfId="0" applyNumberFormat="1" applyFont="1" applyBorder="1" applyAlignment="1">
      <alignment horizontal="right" wrapText="1"/>
    </xf>
    <xf numFmtId="0" fontId="1" fillId="0" borderId="3" xfId="3" applyFont="1" applyBorder="1"/>
    <xf numFmtId="0" fontId="1" fillId="0" borderId="0" xfId="3" applyFont="1"/>
    <xf numFmtId="0" fontId="1" fillId="6" borderId="3" xfId="3" applyFont="1" applyFill="1" applyBorder="1"/>
    <xf numFmtId="2" fontId="2" fillId="0" borderId="0" xfId="3" applyNumberFormat="1"/>
    <xf numFmtId="0" fontId="8" fillId="4" borderId="3" xfId="3" applyFont="1" applyFill="1" applyBorder="1" applyAlignment="1">
      <alignment horizontal="center" vertical="center" wrapText="1" readingOrder="1"/>
    </xf>
    <xf numFmtId="0" fontId="8" fillId="4" borderId="4" xfId="3" applyFont="1" applyFill="1" applyBorder="1" applyAlignment="1">
      <alignment horizontal="center" vertical="center" wrapText="1" readingOrder="1"/>
    </xf>
    <xf numFmtId="0" fontId="8" fillId="7" borderId="6" xfId="3" applyFont="1" applyFill="1" applyBorder="1" applyAlignment="1">
      <alignment horizontal="center" vertical="center" wrapText="1" readingOrder="1"/>
    </xf>
    <xf numFmtId="0" fontId="8" fillId="0" borderId="6" xfId="3" applyFont="1" applyFill="1" applyBorder="1" applyAlignment="1">
      <alignment horizontal="center" vertical="center" wrapText="1" readingOrder="1"/>
    </xf>
    <xf numFmtId="0" fontId="8" fillId="0" borderId="3" xfId="3" applyFont="1" applyFill="1" applyBorder="1" applyAlignment="1">
      <alignment horizontal="center" vertical="center" wrapText="1" readingOrder="1"/>
    </xf>
    <xf numFmtId="0" fontId="1" fillId="0" borderId="3" xfId="3" applyFont="1" applyFill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8" fillId="2" borderId="6" xfId="3" applyFont="1" applyFill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4" borderId="3" xfId="3" applyFont="1" applyFill="1" applyBorder="1" applyAlignment="1">
      <alignment horizontal="center" vertical="center" wrapText="1" readingOrder="1"/>
    </xf>
    <xf numFmtId="0" fontId="8" fillId="4" borderId="4" xfId="3" applyFont="1" applyFill="1" applyBorder="1" applyAlignment="1">
      <alignment horizontal="center" vertical="center" wrapText="1" readingOrder="1"/>
    </xf>
    <xf numFmtId="0" fontId="8" fillId="7" borderId="3" xfId="3" applyFont="1" applyFill="1" applyBorder="1" applyAlignment="1">
      <alignment horizontal="center" vertical="center" wrapText="1" readingOrder="1"/>
    </xf>
    <xf numFmtId="0" fontId="8" fillId="7" borderId="9" xfId="3" applyFont="1" applyFill="1" applyBorder="1" applyAlignment="1">
      <alignment horizontal="center" vertical="center" wrapText="1" readingOrder="1"/>
    </xf>
    <xf numFmtId="0" fontId="8" fillId="4" borderId="9" xfId="3" applyFont="1" applyFill="1" applyBorder="1" applyAlignment="1">
      <alignment horizontal="center" vertical="center" wrapText="1" readingOrder="1"/>
    </xf>
    <xf numFmtId="0" fontId="8" fillId="4" borderId="2" xfId="3" applyFont="1" applyFill="1" applyBorder="1" applyAlignment="1">
      <alignment horizontal="center" vertical="center" wrapText="1" readingOrder="1"/>
    </xf>
    <xf numFmtId="0" fontId="8" fillId="0" borderId="4" xfId="3" applyFont="1" applyFill="1" applyBorder="1" applyAlignment="1">
      <alignment horizontal="center" vertical="center" wrapText="1" readingOrder="1"/>
    </xf>
    <xf numFmtId="0" fontId="8" fillId="0" borderId="2" xfId="3" applyFont="1" applyFill="1" applyBorder="1" applyAlignment="1">
      <alignment horizontal="center" vertical="center" wrapText="1" readingOrder="1"/>
    </xf>
    <xf numFmtId="0" fontId="9" fillId="8" borderId="16" xfId="3" applyFont="1" applyFill="1" applyBorder="1" applyAlignment="1">
      <alignment horizontal="center" vertical="center" wrapText="1" readingOrder="1"/>
    </xf>
    <xf numFmtId="0" fontId="9" fillId="8" borderId="17" xfId="3" applyFont="1" applyFill="1" applyBorder="1" applyAlignment="1">
      <alignment horizontal="center" vertical="center" wrapText="1" readingOrder="1"/>
    </xf>
    <xf numFmtId="0" fontId="9" fillId="8" borderId="18" xfId="3" applyFont="1" applyFill="1" applyBorder="1" applyAlignment="1">
      <alignment horizontal="center" vertical="center" wrapText="1" readingOrder="1"/>
    </xf>
    <xf numFmtId="0" fontId="8" fillId="7" borderId="6" xfId="3" applyFont="1" applyFill="1" applyBorder="1" applyAlignment="1">
      <alignment horizontal="center" vertical="center" wrapText="1" readingOrder="1"/>
    </xf>
    <xf numFmtId="0" fontId="8" fillId="7" borderId="7" xfId="3" applyFont="1" applyFill="1" applyBorder="1" applyAlignment="1">
      <alignment horizontal="center" vertical="center" wrapText="1" readingOrder="1"/>
    </xf>
    <xf numFmtId="0" fontId="9" fillId="8" borderId="5" xfId="3" applyFont="1" applyFill="1" applyBorder="1" applyAlignment="1">
      <alignment horizontal="center" vertical="center" wrapText="1" readingOrder="1"/>
    </xf>
    <xf numFmtId="0" fontId="9" fillId="8" borderId="1" xfId="3" applyFont="1" applyFill="1" applyBorder="1" applyAlignment="1">
      <alignment horizontal="center" vertical="center" wrapText="1" readingOrder="1"/>
    </xf>
    <xf numFmtId="0" fontId="9" fillId="8" borderId="6" xfId="3" applyFont="1" applyFill="1" applyBorder="1" applyAlignment="1">
      <alignment horizontal="center" vertical="center" wrapText="1" readingOrder="1"/>
    </xf>
    <xf numFmtId="0" fontId="9" fillId="8" borderId="7" xfId="3" applyFont="1" applyFill="1" applyBorder="1" applyAlignment="1">
      <alignment horizontal="center" vertical="center" wrapText="1" readingOrder="1"/>
    </xf>
    <xf numFmtId="0" fontId="8" fillId="0" borderId="6" xfId="3" applyFont="1" applyFill="1" applyBorder="1" applyAlignment="1">
      <alignment horizontal="center" vertical="center" wrapText="1" readingOrder="1"/>
    </xf>
    <xf numFmtId="0" fontId="8" fillId="0" borderId="7" xfId="3" applyFont="1" applyFill="1" applyBorder="1" applyAlignment="1">
      <alignment horizontal="center" vertical="center" wrapText="1" readingOrder="1"/>
    </xf>
    <xf numFmtId="0" fontId="8" fillId="0" borderId="3" xfId="3" applyFont="1" applyFill="1" applyBorder="1" applyAlignment="1">
      <alignment horizontal="center" vertical="center" wrapText="1" readingOrder="1"/>
    </xf>
    <xf numFmtId="0" fontId="8" fillId="0" borderId="9" xfId="3" applyFont="1" applyFill="1" applyBorder="1" applyAlignment="1">
      <alignment horizontal="center" vertical="center" wrapText="1" readingOrder="1"/>
    </xf>
    <xf numFmtId="0" fontId="1" fillId="0" borderId="3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/>
    </xf>
    <xf numFmtId="0" fontId="8" fillId="0" borderId="19" xfId="3" applyFont="1" applyFill="1" applyBorder="1" applyAlignment="1">
      <alignment horizontal="center" vertical="center" wrapText="1" readingOrder="1"/>
    </xf>
    <xf numFmtId="0" fontId="8" fillId="0" borderId="11" xfId="3" applyFont="1" applyFill="1" applyBorder="1" applyAlignment="1">
      <alignment horizontal="center" vertical="center" wrapText="1" readingOrder="1"/>
    </xf>
    <xf numFmtId="0" fontId="8" fillId="0" borderId="20" xfId="3" applyFont="1" applyFill="1" applyBorder="1" applyAlignment="1">
      <alignment horizontal="center" vertical="center" wrapText="1" readingOrder="1"/>
    </xf>
    <xf numFmtId="0" fontId="8" fillId="0" borderId="21" xfId="3" applyFont="1" applyFill="1" applyBorder="1" applyAlignment="1">
      <alignment horizontal="center" vertical="center" wrapText="1" readingOrder="1"/>
    </xf>
    <xf numFmtId="0" fontId="7" fillId="8" borderId="16" xfId="3" applyFont="1" applyFill="1" applyBorder="1" applyAlignment="1">
      <alignment horizontal="center" vertical="center"/>
    </xf>
    <xf numFmtId="0" fontId="7" fillId="8" borderId="17" xfId="3" applyFont="1" applyFill="1" applyBorder="1" applyAlignment="1">
      <alignment horizontal="center" vertical="center"/>
    </xf>
    <xf numFmtId="0" fontId="7" fillId="8" borderId="18" xfId="3" applyFont="1" applyFill="1" applyBorder="1" applyAlignment="1">
      <alignment horizontal="center" vertical="center"/>
    </xf>
    <xf numFmtId="0" fontId="9" fillId="8" borderId="23" xfId="3" applyFont="1" applyFill="1" applyBorder="1" applyAlignment="1">
      <alignment horizontal="center" vertical="center" wrapText="1" readingOrder="1"/>
    </xf>
    <xf numFmtId="0" fontId="9" fillId="8" borderId="24" xfId="3" applyFont="1" applyFill="1" applyBorder="1" applyAlignment="1">
      <alignment horizontal="center" vertical="center" wrapText="1" readingOrder="1"/>
    </xf>
    <xf numFmtId="0" fontId="9" fillId="8" borderId="25" xfId="3" applyFont="1" applyFill="1" applyBorder="1" applyAlignment="1">
      <alignment horizontal="center" vertical="center" wrapText="1" readingOrder="1"/>
    </xf>
    <xf numFmtId="0" fontId="1" fillId="0" borderId="19" xfId="3" applyFont="1" applyFill="1" applyBorder="1" applyAlignment="1">
      <alignment horizontal="center" vertical="center"/>
    </xf>
    <xf numFmtId="0" fontId="1" fillId="0" borderId="20" xfId="3" applyFont="1" applyFill="1" applyBorder="1" applyAlignment="1">
      <alignment horizontal="center" vertical="center"/>
    </xf>
    <xf numFmtId="0" fontId="1" fillId="0" borderId="21" xfId="3" applyFont="1" applyFill="1" applyBorder="1" applyAlignment="1">
      <alignment horizontal="center" vertical="center"/>
    </xf>
    <xf numFmtId="0" fontId="1" fillId="0" borderId="3" xfId="3" applyFont="1" applyBorder="1" applyAlignment="1">
      <alignment horizontal="center" vertical="center"/>
    </xf>
    <xf numFmtId="0" fontId="1" fillId="0" borderId="9" xfId="3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1" fillId="0" borderId="2" xfId="3" applyFont="1" applyBorder="1" applyAlignment="1">
      <alignment horizontal="center" vertical="center"/>
    </xf>
    <xf numFmtId="0" fontId="1" fillId="2" borderId="3" xfId="3" applyFont="1" applyFill="1" applyBorder="1" applyAlignment="1">
      <alignment horizontal="center" vertical="center"/>
    </xf>
    <xf numFmtId="0" fontId="1" fillId="2" borderId="9" xfId="3" applyFont="1" applyFill="1" applyBorder="1" applyAlignment="1">
      <alignment horizontal="center" vertical="center"/>
    </xf>
    <xf numFmtId="0" fontId="8" fillId="2" borderId="6" xfId="3" applyFont="1" applyFill="1" applyBorder="1" applyAlignment="1">
      <alignment horizontal="center" vertical="center" wrapText="1" readingOrder="1"/>
    </xf>
    <xf numFmtId="0" fontId="8" fillId="2" borderId="7" xfId="3" applyFont="1" applyFill="1" applyBorder="1" applyAlignment="1">
      <alignment horizontal="center" vertical="center" wrapText="1" readingOrder="1"/>
    </xf>
    <xf numFmtId="0" fontId="8" fillId="2" borderId="26" xfId="3" applyFont="1" applyFill="1" applyBorder="1" applyAlignment="1">
      <alignment horizontal="center" vertical="center" wrapText="1" readingOrder="1"/>
    </xf>
    <xf numFmtId="0" fontId="8" fillId="2" borderId="24" xfId="3" applyFont="1" applyFill="1" applyBorder="1" applyAlignment="1">
      <alignment horizontal="center" vertical="center" wrapText="1" readingOrder="1"/>
    </xf>
    <xf numFmtId="0" fontId="8" fillId="2" borderId="25" xfId="3" applyFont="1" applyFill="1" applyBorder="1" applyAlignment="1">
      <alignment horizontal="center" vertical="center" wrapText="1" readingOrder="1"/>
    </xf>
    <xf numFmtId="0" fontId="8" fillId="9" borderId="6" xfId="3" applyFont="1" applyFill="1" applyBorder="1" applyAlignment="1">
      <alignment horizontal="center" vertical="center" wrapText="1" readingOrder="1"/>
    </xf>
    <xf numFmtId="0" fontId="8" fillId="9" borderId="7" xfId="3" applyFont="1" applyFill="1" applyBorder="1" applyAlignment="1">
      <alignment horizontal="center" vertical="center" wrapText="1" readingOrder="1"/>
    </xf>
    <xf numFmtId="0" fontId="1" fillId="0" borderId="27" xfId="3" applyFont="1" applyBorder="1" applyAlignment="1">
      <alignment horizontal="center" vertical="center"/>
    </xf>
    <xf numFmtId="0" fontId="1" fillId="0" borderId="28" xfId="3" applyFont="1" applyBorder="1" applyAlignment="1">
      <alignment horizontal="center" vertical="center"/>
    </xf>
    <xf numFmtId="0" fontId="1" fillId="0" borderId="29" xfId="3" applyFont="1" applyBorder="1" applyAlignment="1">
      <alignment horizontal="center" vertical="center"/>
    </xf>
    <xf numFmtId="0" fontId="1" fillId="0" borderId="30" xfId="3" applyFont="1" applyBorder="1" applyAlignment="1">
      <alignment horizontal="center" vertical="center"/>
    </xf>
    <xf numFmtId="0" fontId="1" fillId="0" borderId="31" xfId="3" applyFont="1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7" fillId="6" borderId="1" xfId="3" applyFont="1" applyFill="1" applyBorder="1" applyAlignment="1">
      <alignment horizontal="left" vertical="center"/>
    </xf>
    <xf numFmtId="0" fontId="7" fillId="6" borderId="3" xfId="3" applyFont="1" applyFill="1" applyBorder="1" applyAlignment="1">
      <alignment horizontal="left" vertical="center"/>
    </xf>
    <xf numFmtId="0" fontId="21" fillId="0" borderId="5" xfId="3" applyFont="1" applyBorder="1" applyAlignment="1">
      <alignment horizontal="center" vertical="center"/>
    </xf>
    <xf numFmtId="0" fontId="21" fillId="0" borderId="6" xfId="3" applyFont="1" applyBorder="1" applyAlignment="1">
      <alignment horizontal="center" vertical="center"/>
    </xf>
    <xf numFmtId="0" fontId="21" fillId="0" borderId="7" xfId="3" applyFont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3D7ED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'HP Calcs'!$P$3</c:f>
          <c:strCache>
            <c:ptCount val="1"/>
            <c:pt idx="0">
              <c:v>SCM Single - 1 x DD15 560HHP - 4.5" Plunger                                                    Max HHP Available 307 (Mixing) 389 (Displacing)</c:v>
            </c:pt>
          </c:strCache>
        </c:strRef>
      </c:tx>
      <c:layout>
        <c:manualLayout>
          <c:xMode val="edge"/>
          <c:yMode val="edge"/>
          <c:x val="0.21196887978501494"/>
          <c:y val="1.9283746556473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09203657235157E-2"/>
          <c:y val="0.16942090193271295"/>
          <c:w val="0.70030646284025055"/>
          <c:h val="0.7045204008589834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'HP Calcs'!$Q$6</c:f>
              <c:strCache>
                <c:ptCount val="1"/>
                <c:pt idx="0">
                  <c:v>Max HP Mixing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'HP Calcs'!$D$58:$D$98</c:f>
              <c:numCache>
                <c:formatCode>0.00</c:formatCode>
                <c:ptCount val="4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  <c:pt idx="23">
                  <c:v>1.2500000000000004</c:v>
                </c:pt>
                <c:pt idx="24">
                  <c:v>1.3000000000000005</c:v>
                </c:pt>
                <c:pt idx="25">
                  <c:v>1.3500000000000005</c:v>
                </c:pt>
                <c:pt idx="26">
                  <c:v>1.4000000000000006</c:v>
                </c:pt>
                <c:pt idx="27">
                  <c:v>1.4500000000000006</c:v>
                </c:pt>
                <c:pt idx="28">
                  <c:v>1.5000000000000007</c:v>
                </c:pt>
                <c:pt idx="29">
                  <c:v>1.5500000000000007</c:v>
                </c:pt>
                <c:pt idx="30">
                  <c:v>1.6000000000000008</c:v>
                </c:pt>
                <c:pt idx="31">
                  <c:v>1.6500000000000008</c:v>
                </c:pt>
                <c:pt idx="32">
                  <c:v>1.7000000000000008</c:v>
                </c:pt>
                <c:pt idx="33">
                  <c:v>1.7500000000000009</c:v>
                </c:pt>
                <c:pt idx="34">
                  <c:v>1.8000000000000009</c:v>
                </c:pt>
                <c:pt idx="35">
                  <c:v>1.850000000000001</c:v>
                </c:pt>
                <c:pt idx="36">
                  <c:v>1.900000000000001</c:v>
                </c:pt>
                <c:pt idx="37">
                  <c:v>1.9500000000000011</c:v>
                </c:pt>
                <c:pt idx="38">
                  <c:v>2.0000000000000009</c:v>
                </c:pt>
                <c:pt idx="39">
                  <c:v>2.0500000000000007</c:v>
                </c:pt>
                <c:pt idx="40">
                  <c:v>2.1000000000000005</c:v>
                </c:pt>
              </c:numCache>
            </c:numRef>
          </c:xVal>
          <c:yVal>
            <c:numRef>
              <c:f>'HP Calcs'!$E$58:$E$98</c:f>
              <c:numCache>
                <c:formatCode>0.0</c:formatCode>
                <c:ptCount val="41"/>
                <c:pt idx="0">
                  <c:v>43.354232015999997</c:v>
                </c:pt>
                <c:pt idx="1">
                  <c:v>43.354232015999997</c:v>
                </c:pt>
                <c:pt idx="2">
                  <c:v>43.354232015999997</c:v>
                </c:pt>
                <c:pt idx="3">
                  <c:v>43.354232015999997</c:v>
                </c:pt>
                <c:pt idx="4">
                  <c:v>43.354232015999997</c:v>
                </c:pt>
                <c:pt idx="5">
                  <c:v>39.245125714285713</c:v>
                </c:pt>
                <c:pt idx="6">
                  <c:v>34.339485000000003</c:v>
                </c:pt>
                <c:pt idx="7">
                  <c:v>30.523986666666669</c:v>
                </c:pt>
                <c:pt idx="8">
                  <c:v>27.471588000000004</c:v>
                </c:pt>
                <c:pt idx="9">
                  <c:v>24.974170909090915</c:v>
                </c:pt>
                <c:pt idx="10">
                  <c:v>22.892990000000001</c:v>
                </c:pt>
                <c:pt idx="11">
                  <c:v>21.131990769230768</c:v>
                </c:pt>
                <c:pt idx="12">
                  <c:v>19.622562857142853</c:v>
                </c:pt>
                <c:pt idx="13">
                  <c:v>18.314391999999998</c:v>
                </c:pt>
                <c:pt idx="14">
                  <c:v>17.169742499999998</c:v>
                </c:pt>
                <c:pt idx="15">
                  <c:v>16.159757647058818</c:v>
                </c:pt>
                <c:pt idx="16">
                  <c:v>15.261993333333329</c:v>
                </c:pt>
                <c:pt idx="17">
                  <c:v>14.458730526315785</c:v>
                </c:pt>
                <c:pt idx="18">
                  <c:v>13.735793999999997</c:v>
                </c:pt>
                <c:pt idx="19">
                  <c:v>13.081708571428569</c:v>
                </c:pt>
                <c:pt idx="20">
                  <c:v>12.487085454545452</c:v>
                </c:pt>
                <c:pt idx="21">
                  <c:v>11.944168695652168</c:v>
                </c:pt>
                <c:pt idx="22">
                  <c:v>11.446494999999995</c:v>
                </c:pt>
                <c:pt idx="23">
                  <c:v>10.988635199999996</c:v>
                </c:pt>
                <c:pt idx="24">
                  <c:v>10.56599538461538</c:v>
                </c:pt>
                <c:pt idx="25">
                  <c:v>10.174662222222219</c:v>
                </c:pt>
                <c:pt idx="26">
                  <c:v>9.8112814285714229</c:v>
                </c:pt>
                <c:pt idx="27">
                  <c:v>9.4729613793103411</c:v>
                </c:pt>
                <c:pt idx="28">
                  <c:v>9.1571959999999955</c:v>
                </c:pt>
                <c:pt idx="29">
                  <c:v>8.8618025806451577</c:v>
                </c:pt>
                <c:pt idx="30">
                  <c:v>8.5848712499999955</c:v>
                </c:pt>
                <c:pt idx="31">
                  <c:v>8.3247236363636326</c:v>
                </c:pt>
                <c:pt idx="32">
                  <c:v>8.0798788235294072</c:v>
                </c:pt>
                <c:pt idx="33">
                  <c:v>7.8490251428571387</c:v>
                </c:pt>
                <c:pt idx="34">
                  <c:v>7.6309966666666629</c:v>
                </c:pt>
                <c:pt idx="35">
                  <c:v>7.4247535135135099</c:v>
                </c:pt>
                <c:pt idx="36">
                  <c:v>7.2293652631578915</c:v>
                </c:pt>
                <c:pt idx="37">
                  <c:v>7.0439969230769188</c:v>
                </c:pt>
                <c:pt idx="38">
                  <c:v>6.8678969999999966</c:v>
                </c:pt>
                <c:pt idx="39">
                  <c:v>6.7003873170731678</c:v>
                </c:pt>
                <c:pt idx="40">
                  <c:v>6.5408542857142846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AE-4D7E-B203-5C03D1D4A3F9}"/>
            </c:ext>
          </c:extLst>
        </c:ser>
        <c:ser>
          <c:idx val="2"/>
          <c:order val="2"/>
          <c:tx>
            <c:strRef>
              <c:f>'HP Calcs'!$Q$7</c:f>
              <c:strCache>
                <c:ptCount val="1"/>
                <c:pt idx="0">
                  <c:v>Max HP Displacing</c:v>
                </c:pt>
              </c:strCache>
            </c:strRef>
          </c:tx>
          <c:spPr>
            <a:ln w="31750">
              <a:solidFill>
                <a:srgbClr val="03D7ED"/>
              </a:solidFill>
              <a:prstDash val="solid"/>
            </a:ln>
          </c:spPr>
          <c:marker>
            <c:symbol val="none"/>
          </c:marker>
          <c:xVal>
            <c:numRef>
              <c:f>'HP Calcs'!$D$58:$D$98</c:f>
              <c:numCache>
                <c:formatCode>0.00</c:formatCode>
                <c:ptCount val="4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0.39999999999999997</c:v>
                </c:pt>
                <c:pt idx="7">
                  <c:v>0.44999999999999996</c:v>
                </c:pt>
                <c:pt idx="8">
                  <c:v>0.49999999999999994</c:v>
                </c:pt>
                <c:pt idx="9">
                  <c:v>0.54999999999999993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0.75000000000000011</c:v>
                </c:pt>
                <c:pt idx="14">
                  <c:v>0.80000000000000016</c:v>
                </c:pt>
                <c:pt idx="15">
                  <c:v>0.8500000000000002</c:v>
                </c:pt>
                <c:pt idx="16">
                  <c:v>0.90000000000000024</c:v>
                </c:pt>
                <c:pt idx="17">
                  <c:v>0.95000000000000029</c:v>
                </c:pt>
                <c:pt idx="18">
                  <c:v>1.0000000000000002</c:v>
                </c:pt>
                <c:pt idx="19">
                  <c:v>1.0500000000000003</c:v>
                </c:pt>
                <c:pt idx="20">
                  <c:v>1.1000000000000003</c:v>
                </c:pt>
                <c:pt idx="21">
                  <c:v>1.1500000000000004</c:v>
                </c:pt>
                <c:pt idx="22">
                  <c:v>1.2000000000000004</c:v>
                </c:pt>
                <c:pt idx="23">
                  <c:v>1.2500000000000004</c:v>
                </c:pt>
                <c:pt idx="24">
                  <c:v>1.3000000000000005</c:v>
                </c:pt>
                <c:pt idx="25">
                  <c:v>1.3500000000000005</c:v>
                </c:pt>
                <c:pt idx="26">
                  <c:v>1.4000000000000006</c:v>
                </c:pt>
                <c:pt idx="27">
                  <c:v>1.4500000000000006</c:v>
                </c:pt>
                <c:pt idx="28">
                  <c:v>1.5000000000000007</c:v>
                </c:pt>
                <c:pt idx="29">
                  <c:v>1.5500000000000007</c:v>
                </c:pt>
                <c:pt idx="30">
                  <c:v>1.6000000000000008</c:v>
                </c:pt>
                <c:pt idx="31">
                  <c:v>1.6500000000000008</c:v>
                </c:pt>
                <c:pt idx="32">
                  <c:v>1.7000000000000008</c:v>
                </c:pt>
                <c:pt idx="33">
                  <c:v>1.7500000000000009</c:v>
                </c:pt>
                <c:pt idx="34">
                  <c:v>1.8000000000000009</c:v>
                </c:pt>
                <c:pt idx="35">
                  <c:v>1.850000000000001</c:v>
                </c:pt>
                <c:pt idx="36">
                  <c:v>1.900000000000001</c:v>
                </c:pt>
                <c:pt idx="37">
                  <c:v>1.9500000000000011</c:v>
                </c:pt>
                <c:pt idx="38">
                  <c:v>2.0000000000000009</c:v>
                </c:pt>
                <c:pt idx="39">
                  <c:v>2.0500000000000007</c:v>
                </c:pt>
                <c:pt idx="40">
                  <c:v>2.1000000000000005</c:v>
                </c:pt>
              </c:numCache>
            </c:numRef>
          </c:xVal>
          <c:yVal>
            <c:numRef>
              <c:f>'HP Calcs'!$F$58:$F$98</c:f>
              <c:numCache>
                <c:formatCode>0.0</c:formatCode>
                <c:ptCount val="41"/>
                <c:pt idx="0">
                  <c:v>43.354232015999997</c:v>
                </c:pt>
                <c:pt idx="1">
                  <c:v>43.354232015999997</c:v>
                </c:pt>
                <c:pt idx="2">
                  <c:v>43.354232015999997</c:v>
                </c:pt>
                <c:pt idx="3">
                  <c:v>43.354232015999997</c:v>
                </c:pt>
                <c:pt idx="4">
                  <c:v>43.354232015999997</c:v>
                </c:pt>
                <c:pt idx="5">
                  <c:v>43.354232015999997</c:v>
                </c:pt>
                <c:pt idx="6">
                  <c:v>43.354232015999997</c:v>
                </c:pt>
                <c:pt idx="7">
                  <c:v>38.676973333333343</c:v>
                </c:pt>
                <c:pt idx="8">
                  <c:v>34.809276000000011</c:v>
                </c:pt>
                <c:pt idx="9">
                  <c:v>31.644796363636374</c:v>
                </c:pt>
                <c:pt idx="10">
                  <c:v>29.007730000000006</c:v>
                </c:pt>
                <c:pt idx="11">
                  <c:v>26.776366153846158</c:v>
                </c:pt>
                <c:pt idx="12">
                  <c:v>24.863768571428572</c:v>
                </c:pt>
                <c:pt idx="13">
                  <c:v>23.206184</c:v>
                </c:pt>
                <c:pt idx="14">
                  <c:v>21.7557975</c:v>
                </c:pt>
                <c:pt idx="15">
                  <c:v>20.476044705882352</c:v>
                </c:pt>
                <c:pt idx="16">
                  <c:v>19.338486666666665</c:v>
                </c:pt>
                <c:pt idx="17">
                  <c:v>18.320671578947366</c:v>
                </c:pt>
                <c:pt idx="18">
                  <c:v>17.404637999999998</c:v>
                </c:pt>
                <c:pt idx="19">
                  <c:v>16.575845714285713</c:v>
                </c:pt>
                <c:pt idx="20">
                  <c:v>15.822398181818182</c:v>
                </c:pt>
                <c:pt idx="21">
                  <c:v>15.134467826086953</c:v>
                </c:pt>
                <c:pt idx="22">
                  <c:v>14.503864999999998</c:v>
                </c:pt>
                <c:pt idx="23">
                  <c:v>13.923710399999997</c:v>
                </c:pt>
                <c:pt idx="24">
                  <c:v>13.388183076923074</c:v>
                </c:pt>
                <c:pt idx="25">
                  <c:v>12.892324444444442</c:v>
                </c:pt>
                <c:pt idx="26">
                  <c:v>12.431884285714281</c:v>
                </c:pt>
                <c:pt idx="27">
                  <c:v>12.003198620689652</c:v>
                </c:pt>
                <c:pt idx="28">
                  <c:v>11.603091999999997</c:v>
                </c:pt>
                <c:pt idx="29">
                  <c:v>11.228798709677417</c:v>
                </c:pt>
                <c:pt idx="30">
                  <c:v>10.877898749999996</c:v>
                </c:pt>
                <c:pt idx="31">
                  <c:v>10.548265454545451</c:v>
                </c:pt>
                <c:pt idx="32">
                  <c:v>10.238022352941172</c:v>
                </c:pt>
                <c:pt idx="33">
                  <c:v>9.9455074285714247</c:v>
                </c:pt>
                <c:pt idx="34">
                  <c:v>9.6692433333333305</c:v>
                </c:pt>
                <c:pt idx="35">
                  <c:v>9.407912432432429</c:v>
                </c:pt>
                <c:pt idx="36">
                  <c:v>9.160335789473681</c:v>
                </c:pt>
                <c:pt idx="37">
                  <c:v>8.9254553846153808</c:v>
                </c:pt>
                <c:pt idx="38">
                  <c:v>8.7023189999999975</c:v>
                </c:pt>
                <c:pt idx="39">
                  <c:v>8.4900673170731675</c:v>
                </c:pt>
                <c:pt idx="40">
                  <c:v>8.2879228571428563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AE-4D7E-B203-5C03D1D4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5856"/>
        <c:axId val="113871488"/>
      </c:scatterChart>
      <c:scatterChart>
        <c:scatterStyle val="lineMarker"/>
        <c:varyColors val="0"/>
        <c:ser>
          <c:idx val="0"/>
          <c:order val="1"/>
          <c:tx>
            <c:strRef>
              <c:f>'HP Calcs'!$P$4</c:f>
              <c:strCache>
                <c:ptCount val="1"/>
                <c:pt idx="0">
                  <c:v>Design Mixing HHP @ m³/min &amp; 35MPa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17"/>
            <c:spPr>
              <a:ln w="34925">
                <a:solidFill>
                  <a:srgbClr val="FF000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D162A4-55FB-4EDC-9870-F4DC3A5A9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A4-47E5-8B62-B8E3D318C5A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'HP Calcs'!$B$8</c:f>
              <c:numCache>
                <c:formatCode>General</c:formatCode>
                <c:ptCount val="1"/>
              </c:numCache>
            </c:numRef>
          </c:xVal>
          <c:yVal>
            <c:numRef>
              <c:f>'HP Calcs'!$B$9</c:f>
              <c:numCache>
                <c:formatCode>General</c:formatCode>
                <c:ptCount val="1"/>
                <c:pt idx="0">
                  <c:v>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'HP Calcs'!$B$10</c15:f>
                <c15:dlblRangeCache>
                  <c:ptCount val="1"/>
                  <c:pt idx="0">
                    <c:v>0.0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2AE-4D7E-B203-5C03D1D4A3F9}"/>
            </c:ext>
          </c:extLst>
        </c:ser>
        <c:ser>
          <c:idx val="3"/>
          <c:order val="3"/>
          <c:tx>
            <c:strRef>
              <c:f>'HP Calcs'!$T$5</c:f>
              <c:strCache>
                <c:ptCount val="1"/>
                <c:pt idx="0">
                  <c:v>Design Displacing HHP @ 0.4m³/min &amp; 21MPa</c:v>
                </c:pt>
              </c:strCache>
            </c:strRef>
          </c:tx>
          <c:spPr>
            <a:ln w="19050">
              <a:noFill/>
            </a:ln>
            <a:effectLst>
              <a:outerShdw blurRad="50800" dist="50800" dir="5400000" sx="7000" sy="7000" algn="ctr" rotWithShape="0">
                <a:srgbClr val="FF0000">
                  <a:alpha val="43000"/>
                </a:srgbClr>
              </a:outerShdw>
            </a:effectLst>
          </c:spPr>
          <c:marker>
            <c:symbol val="x"/>
            <c:size val="15"/>
            <c:spPr>
              <a:noFill/>
              <a:ln w="34925">
                <a:solidFill>
                  <a:srgbClr val="03D7ED"/>
                </a:solidFill>
              </a:ln>
              <a:effectLst>
                <a:outerShdw blurRad="50800" dist="50800" dir="5400000" sx="7000" sy="7000" algn="ctr" rotWithShape="0">
                  <a:srgbClr val="FF0000">
                    <a:alpha val="4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1396B6-3E3D-4726-AAA4-D6C435116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A4-47E5-8B62-B8E3D318C5A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'HP Calcs'!$C$8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'HP Calcs'!$C$9</c:f>
              <c:numCache>
                <c:formatCode>General</c:formatCode>
                <c:ptCount val="1"/>
                <c:pt idx="0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'HP Calcs'!$C$10</c15:f>
                <c15:dlblRangeCache>
                  <c:ptCount val="1"/>
                  <c:pt idx="0">
                    <c:v>187.7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30-4E44-A2BF-184F90B7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5856"/>
        <c:axId val="113871488"/>
      </c:scatterChart>
      <c:valAx>
        <c:axId val="113865856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113871488"/>
        <c:crosses val="autoZero"/>
        <c:crossBetween val="midCat"/>
      </c:valAx>
      <c:valAx>
        <c:axId val="113871488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3865856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79999144194231753"/>
          <c:y val="0.31002767835838702"/>
          <c:w val="0.1877620980500285"/>
          <c:h val="0.416156525888809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5725" y="1800225"/>
    <xdr:ext cx="8296275" cy="4191000"/>
    <xdr:graphicFrame macro="">
      <xdr:nvGraphicFramePr>
        <xdr:cNvPr id="63" name="Chart 2" title="SCM SINGLE 3.5&quot; PLUNGER">
          <a:extLst>
            <a:ext uri="{FF2B5EF4-FFF2-40B4-BE49-F238E27FC236}">
              <a16:creationId xmlns:a16="http://schemas.microsoft.com/office/drawing/2014/main" id="{F502776F-8FAA-4775-AADC-79755121D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0.37305</cdr:x>
      <cdr:y>0.92844</cdr:y>
    </cdr:from>
    <cdr:to>
      <cdr:x>0.53147</cdr:x>
      <cdr:y>0.97409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058" y="4280181"/>
          <a:ext cx="1516495" cy="210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FLOW RATE (m³/min)</a:t>
          </a:r>
        </a:p>
      </cdr:txBody>
    </cdr:sp>
  </cdr:relSizeAnchor>
  <cdr:relSizeAnchor xmlns:cdr="http://schemas.openxmlformats.org/drawingml/2006/chartDrawing">
    <cdr:from>
      <cdr:x>0.01168</cdr:x>
      <cdr:y>0.48679</cdr:y>
    </cdr:from>
    <cdr:to>
      <cdr:x>0.03824</cdr:x>
      <cdr:y>0.6709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85450" y="2541405"/>
          <a:ext cx="848765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PRESSURE (MPa)</a:t>
          </a:r>
        </a:p>
      </cdr:txBody>
    </cdr:sp>
  </cdr:relSizeAnchor>
  <cdr:relSizeAnchor xmlns:cdr="http://schemas.openxmlformats.org/drawingml/2006/chartDrawing">
    <cdr:from>
      <cdr:x>0.37305</cdr:x>
      <cdr:y>0.92844</cdr:y>
    </cdr:from>
    <cdr:to>
      <cdr:x>0.53147</cdr:x>
      <cdr:y>0.97409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1A8D7B5-0BFC-4AFB-B1B6-A23975722C70}"/>
            </a:ext>
          </a:extLst>
        </cdr:cNvPr>
        <cdr:cNvSpPr txBox="1"/>
      </cdr:nvSpPr>
      <cdr:spPr>
        <a:xfrm xmlns:a="http://schemas.openxmlformats.org/drawingml/2006/main">
          <a:off x="3571058" y="4280181"/>
          <a:ext cx="1516495" cy="210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FLOW RATE (m³/min)</a:t>
          </a:r>
        </a:p>
      </cdr:txBody>
    </cdr:sp>
  </cdr:relSizeAnchor>
  <cdr:relSizeAnchor xmlns:cdr="http://schemas.openxmlformats.org/drawingml/2006/chartDrawing">
    <cdr:from>
      <cdr:x>0.01168</cdr:x>
      <cdr:y>0.48679</cdr:y>
    </cdr:from>
    <cdr:to>
      <cdr:x>0.03824</cdr:x>
      <cdr:y>0.6709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6E33CC4D-B0EA-4705-8CA4-038EB8E40187}"/>
            </a:ext>
          </a:extLst>
        </cdr:cNvPr>
        <cdr:cNvSpPr txBox="1"/>
      </cdr:nvSpPr>
      <cdr:spPr>
        <a:xfrm xmlns:a="http://schemas.openxmlformats.org/drawingml/2006/main" rot="16200000">
          <a:off x="-185450" y="2541405"/>
          <a:ext cx="848765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PRESSURE (MPa)</a:t>
          </a:r>
        </a:p>
      </cdr:txBody>
    </cdr:sp>
  </cdr:relSizeAnchor>
  <cdr:relSizeAnchor xmlns:cdr="http://schemas.openxmlformats.org/drawingml/2006/chartDrawing">
    <cdr:from>
      <cdr:x>0.37305</cdr:x>
      <cdr:y>0.92844</cdr:y>
    </cdr:from>
    <cdr:to>
      <cdr:x>0.53147</cdr:x>
      <cdr:y>0.97409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47A37C-6A28-417F-9810-7FDD05AE0D60}"/>
            </a:ext>
          </a:extLst>
        </cdr:cNvPr>
        <cdr:cNvSpPr txBox="1"/>
      </cdr:nvSpPr>
      <cdr:spPr>
        <a:xfrm xmlns:a="http://schemas.openxmlformats.org/drawingml/2006/main">
          <a:off x="3571058" y="4280181"/>
          <a:ext cx="1516495" cy="210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FLOW RATE (m³/min)</a:t>
          </a:r>
        </a:p>
      </cdr:txBody>
    </cdr:sp>
  </cdr:relSizeAnchor>
  <cdr:relSizeAnchor xmlns:cdr="http://schemas.openxmlformats.org/drawingml/2006/chartDrawing">
    <cdr:from>
      <cdr:x>0.01168</cdr:x>
      <cdr:y>0.48679</cdr:y>
    </cdr:from>
    <cdr:to>
      <cdr:x>0.03824</cdr:x>
      <cdr:y>0.6709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C3ABE3F5-AD1A-418F-93BE-09F7C47F525C}"/>
            </a:ext>
          </a:extLst>
        </cdr:cNvPr>
        <cdr:cNvSpPr txBox="1"/>
      </cdr:nvSpPr>
      <cdr:spPr>
        <a:xfrm xmlns:a="http://schemas.openxmlformats.org/drawingml/2006/main" rot="16200000">
          <a:off x="-185450" y="2541405"/>
          <a:ext cx="848765" cy="254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PRESSURE (MPa)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sanjel20\Private\Engineering\EOS\Projects\400190%20-%20EOS%20Equipment%20Specifications%20Presentation\SCM%20Power%20Curv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101"/>
  <sheetViews>
    <sheetView tabSelected="1" zoomScaleNormal="100" workbookViewId="0">
      <pane ySplit="9" topLeftCell="A13" activePane="bottomLeft" state="frozen"/>
      <selection pane="bottomLeft" activeCell="U20" sqref="U20:U21"/>
    </sheetView>
  </sheetViews>
  <sheetFormatPr defaultColWidth="10.7109375" defaultRowHeight="12.75" x14ac:dyDescent="0.2"/>
  <cols>
    <col min="1" max="1" width="23.42578125" customWidth="1"/>
    <col min="2" max="2" width="12.5703125" customWidth="1"/>
    <col min="3" max="3" width="13.28515625" customWidth="1"/>
    <col min="4" max="4" width="13" customWidth="1"/>
    <col min="5" max="5" width="12.42578125" bestFit="1" customWidth="1"/>
    <col min="6" max="6" width="6.85546875" customWidth="1"/>
    <col min="7" max="7" width="21.28515625" customWidth="1"/>
    <col min="8" max="8" width="26.28515625" customWidth="1"/>
    <col min="9" max="9" width="15.140625" customWidth="1"/>
    <col min="10" max="13" width="10.7109375" customWidth="1"/>
    <col min="14" max="14" width="18.85546875" customWidth="1"/>
    <col min="15" max="16" width="10.7109375" customWidth="1"/>
    <col min="17" max="17" width="3.85546875" customWidth="1"/>
    <col min="18" max="20" width="10.7109375" customWidth="1"/>
    <col min="21" max="21" width="12.42578125" customWidth="1"/>
  </cols>
  <sheetData>
    <row r="1" spans="1:21" x14ac:dyDescent="0.2">
      <c r="A1" s="124" t="s">
        <v>0</v>
      </c>
    </row>
    <row r="2" spans="1:21" ht="13.5" thickBot="1" x14ac:dyDescent="0.25">
      <c r="I2" t="s">
        <v>1</v>
      </c>
    </row>
    <row r="3" spans="1:21" ht="25.5" x14ac:dyDescent="0.2">
      <c r="A3" s="4" t="s">
        <v>2</v>
      </c>
      <c r="B3" s="164">
        <v>1.2</v>
      </c>
      <c r="C3" s="63" t="s">
        <v>3</v>
      </c>
      <c r="D3" s="162">
        <v>1000</v>
      </c>
      <c r="F3" t="s">
        <v>4</v>
      </c>
      <c r="I3" t="s">
        <v>5</v>
      </c>
      <c r="J3" s="10" t="s">
        <v>6</v>
      </c>
      <c r="K3" s="21">
        <v>1.2</v>
      </c>
      <c r="L3" t="s">
        <v>7</v>
      </c>
      <c r="N3" t="s">
        <v>8</v>
      </c>
      <c r="O3">
        <v>1100</v>
      </c>
    </row>
    <row r="4" spans="1:21" x14ac:dyDescent="0.2">
      <c r="A4" s="64" t="s">
        <v>9</v>
      </c>
      <c r="B4" s="165"/>
      <c r="C4" s="137" t="s">
        <v>10</v>
      </c>
      <c r="D4" s="163"/>
      <c r="F4" s="124" t="s">
        <v>11</v>
      </c>
      <c r="I4" t="s">
        <v>12</v>
      </c>
      <c r="J4" t="s">
        <v>13</v>
      </c>
      <c r="K4" s="21">
        <v>1.2</v>
      </c>
      <c r="L4" t="s">
        <v>7</v>
      </c>
      <c r="N4" t="s">
        <v>14</v>
      </c>
      <c r="O4">
        <v>1400</v>
      </c>
    </row>
    <row r="5" spans="1:21" ht="13.5" thickBot="1" x14ac:dyDescent="0.25">
      <c r="A5" s="7" t="s">
        <v>15</v>
      </c>
      <c r="B5" s="65" t="s">
        <v>8</v>
      </c>
      <c r="C5" s="41"/>
      <c r="D5" s="66"/>
      <c r="F5" s="124" t="s">
        <v>16</v>
      </c>
      <c r="I5" s="124" t="s">
        <v>17</v>
      </c>
      <c r="J5" t="s">
        <v>18</v>
      </c>
      <c r="K5" s="21">
        <f>VLOOKUP(B5,Bulk,2, FALSE)</f>
        <v>1100</v>
      </c>
      <c r="L5" t="s">
        <v>19</v>
      </c>
    </row>
    <row r="6" spans="1:21" x14ac:dyDescent="0.2">
      <c r="F6" s="124" t="s">
        <v>20</v>
      </c>
    </row>
    <row r="7" spans="1:21" ht="13.5" thickBot="1" x14ac:dyDescent="0.25">
      <c r="F7" s="124" t="s">
        <v>21</v>
      </c>
    </row>
    <row r="8" spans="1:21" ht="50.25" customHeight="1" x14ac:dyDescent="0.2">
      <c r="A8" s="166" t="s">
        <v>22</v>
      </c>
      <c r="B8" s="8" t="str">
        <f>I8</f>
        <v>Density</v>
      </c>
      <c r="C8" s="8" t="str">
        <f>L8</f>
        <v>Bulk Density</v>
      </c>
      <c r="D8" s="8" t="s">
        <v>23</v>
      </c>
      <c r="E8" s="160" t="s">
        <v>24</v>
      </c>
      <c r="H8" s="166" t="s">
        <v>22</v>
      </c>
      <c r="I8" s="11" t="s">
        <v>25</v>
      </c>
      <c r="J8" s="8" t="s">
        <v>13</v>
      </c>
      <c r="K8" s="8" t="s">
        <v>26</v>
      </c>
      <c r="L8" s="8" t="s">
        <v>27</v>
      </c>
      <c r="M8" s="8" t="s">
        <v>28</v>
      </c>
      <c r="N8" s="8" t="s">
        <v>29</v>
      </c>
      <c r="O8" s="11" t="s">
        <v>30</v>
      </c>
      <c r="P8" s="160" t="s">
        <v>31</v>
      </c>
      <c r="R8" s="42" t="s">
        <v>32</v>
      </c>
      <c r="S8" s="8" t="s">
        <v>33</v>
      </c>
      <c r="T8" s="8" t="s">
        <v>34</v>
      </c>
      <c r="U8" s="160" t="s">
        <v>35</v>
      </c>
    </row>
    <row r="9" spans="1:21" ht="26.25" thickBot="1" x14ac:dyDescent="0.25">
      <c r="A9" s="167"/>
      <c r="B9" s="44" t="str">
        <f>I9</f>
        <v>kg/m³</v>
      </c>
      <c r="C9" s="44" t="str">
        <f>L9</f>
        <v>t/m³</v>
      </c>
      <c r="D9" s="44" t="s">
        <v>7</v>
      </c>
      <c r="E9" s="161"/>
      <c r="H9" s="167"/>
      <c r="I9" s="45" t="s">
        <v>36</v>
      </c>
      <c r="J9" s="44" t="s">
        <v>37</v>
      </c>
      <c r="K9" s="44" t="s">
        <v>37</v>
      </c>
      <c r="L9" s="44" t="s">
        <v>38</v>
      </c>
      <c r="M9" s="44" t="s">
        <v>7</v>
      </c>
      <c r="N9" s="44" t="s">
        <v>19</v>
      </c>
      <c r="O9" s="45" t="s">
        <v>19</v>
      </c>
      <c r="P9" s="161"/>
      <c r="R9" s="43" t="s">
        <v>39</v>
      </c>
      <c r="S9" s="44" t="s">
        <v>40</v>
      </c>
      <c r="T9" s="44" t="s">
        <v>7</v>
      </c>
      <c r="U9" s="161"/>
    </row>
    <row r="10" spans="1:21" hidden="1" x14ac:dyDescent="0.2">
      <c r="A10" s="138" t="str">
        <f>H10</f>
        <v>0:1:0 'A'</v>
      </c>
      <c r="B10" s="139">
        <f>I10</f>
        <v>1880</v>
      </c>
      <c r="C10" s="5">
        <f>L10</f>
        <v>1.44</v>
      </c>
      <c r="D10" s="5">
        <f>T10</f>
        <v>0.85342639593908642</v>
      </c>
      <c r="E10" s="6" t="str">
        <f>U10</f>
        <v>Bulk Delivery</v>
      </c>
      <c r="H10" s="140" t="s">
        <v>41</v>
      </c>
      <c r="I10" s="141">
        <v>1880</v>
      </c>
      <c r="J10" s="142">
        <v>0.45858329487771116</v>
      </c>
      <c r="K10" s="142">
        <v>0.77584217812644218</v>
      </c>
      <c r="L10" s="142">
        <v>1.44</v>
      </c>
      <c r="M10" s="46">
        <f t="shared" ref="M10:M60" si="0">$B$3*J10/K10</f>
        <v>0.7092936802973977</v>
      </c>
      <c r="N10" s="46">
        <f t="shared" ref="N10:N60" si="1">$B$3/K10*1000</f>
        <v>1546.7063197026021</v>
      </c>
      <c r="O10" s="46">
        <f t="shared" ref="O10:O60" si="2">$B$3*(I10-($D$3*J10/K10))</f>
        <v>1546.7063197026023</v>
      </c>
      <c r="P10" s="47">
        <f>(O10-N10)/N10</f>
        <v>1.4700507300374325E-16</v>
      </c>
      <c r="R10" s="48">
        <f>$K$4*K10/J10</f>
        <v>2.030188679245283</v>
      </c>
      <c r="S10" s="46">
        <f>K10*$K$5/1000</f>
        <v>0.85342639593908642</v>
      </c>
      <c r="T10" s="46">
        <f>IF(MIN(R10:S10)&gt;1.2,1.2,MIN(R10:S10))</f>
        <v>0.85342639593908642</v>
      </c>
      <c r="U10" s="49" t="str">
        <f>IF(MIN(R10:S10)&gt;1.2,"Iron",IF(S10&gt;R10,"Mix Water", "Bulk Delivery"))</f>
        <v>Bulk Delivery</v>
      </c>
    </row>
    <row r="11" spans="1:21" hidden="1" x14ac:dyDescent="0.2">
      <c r="A11" s="143" t="str">
        <f t="shared" ref="A11:A79" si="3">H11</f>
        <v>0:1:0 'C'</v>
      </c>
      <c r="B11" s="144">
        <f t="shared" ref="B11:B79" si="4">I11</f>
        <v>1780</v>
      </c>
      <c r="C11" s="2">
        <f t="shared" ref="C11:C79" si="5">L11</f>
        <v>1.51</v>
      </c>
      <c r="D11" s="2">
        <f t="shared" ref="D11:D79" si="6">T11</f>
        <v>0.9684467579204421</v>
      </c>
      <c r="E11" s="9" t="str">
        <f>U11</f>
        <v>Bulk Delivery</v>
      </c>
      <c r="H11" s="13" t="s">
        <v>42</v>
      </c>
      <c r="I11" s="17">
        <v>1780</v>
      </c>
      <c r="J11" s="12">
        <v>0.56712293554398818</v>
      </c>
      <c r="K11" s="12">
        <v>0.88040614356403823</v>
      </c>
      <c r="L11" s="12">
        <v>1.51</v>
      </c>
      <c r="M11" s="12">
        <f t="shared" si="0"/>
        <v>0.7729927007299271</v>
      </c>
      <c r="N11" s="12">
        <f t="shared" si="1"/>
        <v>1363.007299270073</v>
      </c>
      <c r="O11" s="12">
        <f t="shared" si="2"/>
        <v>1363.0072992700727</v>
      </c>
      <c r="P11" s="19">
        <f t="shared" ref="P11:P60" si="7">(O11-N11)/N11</f>
        <v>-1.6681765062079768E-16</v>
      </c>
      <c r="R11" s="50">
        <f>$K$4*K11/J11</f>
        <v>1.8628895184135974</v>
      </c>
      <c r="S11" s="12">
        <f>K11*$K$5/1000</f>
        <v>0.9684467579204421</v>
      </c>
      <c r="T11" s="12">
        <f t="shared" ref="T11:T60" si="8">IF(MIN(R11:S11)&gt;1.2,1.2,MIN(R11:S11))</f>
        <v>0.9684467579204421</v>
      </c>
      <c r="U11" s="51" t="str">
        <f t="shared" ref="U11:U60" si="9">IF(MIN(R11:S11)&gt;1.2,"Iron",IF(S11&gt;R11,"Mix Water", "Bulk Delivery"))</f>
        <v>Bulk Delivery</v>
      </c>
    </row>
    <row r="12" spans="1:21" hidden="1" x14ac:dyDescent="0.2">
      <c r="A12" s="143" t="str">
        <f t="shared" si="3"/>
        <v>0:1:0 'G'</v>
      </c>
      <c r="B12" s="144">
        <f t="shared" si="4"/>
        <v>1200</v>
      </c>
      <c r="C12" s="2">
        <f t="shared" si="5"/>
        <v>1.44</v>
      </c>
      <c r="D12" s="2">
        <f t="shared" si="6"/>
        <v>1.2</v>
      </c>
      <c r="E12" s="9" t="str">
        <f>U12</f>
        <v>Iron</v>
      </c>
      <c r="H12" s="13" t="s">
        <v>43</v>
      </c>
      <c r="I12" s="17">
        <v>1200</v>
      </c>
      <c r="J12" s="12">
        <v>3.09</v>
      </c>
      <c r="K12" s="12">
        <v>3.41</v>
      </c>
      <c r="L12" s="12">
        <v>1.44</v>
      </c>
      <c r="M12" s="12">
        <f t="shared" si="0"/>
        <v>1.087390029325513</v>
      </c>
      <c r="N12" s="12">
        <f t="shared" si="1"/>
        <v>351.90615835777123</v>
      </c>
      <c r="O12" s="12">
        <f t="shared" si="2"/>
        <v>352.60997067448682</v>
      </c>
      <c r="P12" s="19">
        <f t="shared" si="7"/>
        <v>2.0000000000001197E-3</v>
      </c>
      <c r="R12" s="50">
        <f>$K$4*K12/J12</f>
        <v>1.3242718446601942</v>
      </c>
      <c r="S12" s="12">
        <f>K12*$K$5/1000</f>
        <v>3.7509999999999999</v>
      </c>
      <c r="T12" s="12">
        <f t="shared" si="8"/>
        <v>1.2</v>
      </c>
      <c r="U12" s="51" t="str">
        <f t="shared" si="9"/>
        <v>Iron</v>
      </c>
    </row>
    <row r="13" spans="1:21" x14ac:dyDescent="0.2">
      <c r="A13" s="143" t="str">
        <f t="shared" ref="A13:A15" si="10">H13</f>
        <v>0:1:0 'G'</v>
      </c>
      <c r="B13" s="144">
        <f t="shared" ref="B13:B15" si="11">I13</f>
        <v>1901</v>
      </c>
      <c r="C13" s="2">
        <f t="shared" ref="C13:C15" si="12">L13</f>
        <v>1.44</v>
      </c>
      <c r="D13" s="2">
        <f>T13</f>
        <v>0.83790908470582659</v>
      </c>
      <c r="E13" s="9" t="str">
        <f t="shared" ref="E13:E15" si="13">U13</f>
        <v>Bulk Delivery</v>
      </c>
      <c r="H13" s="13" t="s">
        <v>43</v>
      </c>
      <c r="I13" s="17">
        <v>1901</v>
      </c>
      <c r="J13" s="12">
        <v>0.4480592454779786</v>
      </c>
      <c r="K13" s="12">
        <v>0.76173553155075147</v>
      </c>
      <c r="L13" s="12">
        <v>1.44</v>
      </c>
      <c r="M13" s="12">
        <f>$B$3*J13/K13</f>
        <v>0.70585009140767829</v>
      </c>
      <c r="N13" s="12">
        <f t="shared" ref="N13:N14" si="14">$B$3/K13*1000</f>
        <v>1575.3499085923218</v>
      </c>
      <c r="O13" s="12">
        <f t="shared" ref="O13:O14" si="15">$B$3*(I13-($D$3*J13/K13))</f>
        <v>1575.3499085923218</v>
      </c>
      <c r="P13" s="19">
        <f t="shared" ref="P13:P14" si="16">(O13-N13)/N13</f>
        <v>0</v>
      </c>
      <c r="R13" s="50">
        <f t="shared" ref="R13:R14" si="17">$K$4*K13/J13</f>
        <v>2.0400932400932401</v>
      </c>
      <c r="S13" s="12">
        <f>K13*$K$5/1000</f>
        <v>0.83790908470582659</v>
      </c>
      <c r="T13" s="12">
        <f>IF(MIN(R13:S13)&gt;1.2,1.2,MIN(R13:S13))</f>
        <v>0.83790908470582659</v>
      </c>
      <c r="U13" s="51" t="str">
        <f t="shared" ref="U13:U15" si="18">IF(MIN(R13:S13)&gt;1.2,"Iron",IF(S13&gt;R13,"Mix Water", "Bulk Delivery"))</f>
        <v>Bulk Delivery</v>
      </c>
    </row>
    <row r="14" spans="1:21" x14ac:dyDescent="0.2">
      <c r="A14" s="143" t="str">
        <f t="shared" si="10"/>
        <v>0:1:0 'G'</v>
      </c>
      <c r="B14" s="144">
        <f t="shared" si="11"/>
        <v>2100</v>
      </c>
      <c r="C14" s="2">
        <f t="shared" si="12"/>
        <v>1.44</v>
      </c>
      <c r="D14" s="2">
        <f t="shared" ref="D14:D15" si="19">T14</f>
        <v>0.68200000000000005</v>
      </c>
      <c r="E14" s="9" t="str">
        <f t="shared" si="13"/>
        <v>Bulk Delivery</v>
      </c>
      <c r="H14" s="13" t="s">
        <v>43</v>
      </c>
      <c r="I14" s="17">
        <v>2100</v>
      </c>
      <c r="J14" s="12">
        <v>0.3</v>
      </c>
      <c r="K14" s="12">
        <v>0.62</v>
      </c>
      <c r="L14" s="12">
        <v>1.44</v>
      </c>
      <c r="M14" s="12">
        <f t="shared" ref="M13:M14" si="20">$B$3*J14/K14</f>
        <v>0.58064516129032251</v>
      </c>
      <c r="N14" s="12">
        <f t="shared" si="14"/>
        <v>1935.4838709677417</v>
      </c>
      <c r="O14" s="12">
        <f t="shared" si="15"/>
        <v>1939.3548387096771</v>
      </c>
      <c r="P14" s="19">
        <f t="shared" si="16"/>
        <v>1.9999999999999432E-3</v>
      </c>
      <c r="R14" s="50">
        <f t="shared" si="17"/>
        <v>2.48</v>
      </c>
      <c r="S14" s="12">
        <f t="shared" ref="S14:S15" si="21">K14*$K$5/1000</f>
        <v>0.68200000000000005</v>
      </c>
      <c r="T14" s="12">
        <f t="shared" ref="T14:T15" si="22">IF(MIN(R14:S14)&gt;1.2,1.2,MIN(R14:S14))</f>
        <v>0.68200000000000005</v>
      </c>
      <c r="U14" s="51" t="str">
        <f t="shared" si="18"/>
        <v>Bulk Delivery</v>
      </c>
    </row>
    <row r="15" spans="1:21" x14ac:dyDescent="0.2">
      <c r="A15" s="143" t="str">
        <f t="shared" si="10"/>
        <v>0:1:0 'G'</v>
      </c>
      <c r="B15" s="144">
        <f t="shared" si="11"/>
        <v>2200</v>
      </c>
      <c r="C15" s="2">
        <f t="shared" si="12"/>
        <v>1.44</v>
      </c>
      <c r="D15" s="2">
        <f t="shared" si="19"/>
        <v>0.627</v>
      </c>
      <c r="E15" s="9" t="str">
        <f t="shared" si="13"/>
        <v>Bulk Delivery</v>
      </c>
      <c r="H15" s="13" t="s">
        <v>43</v>
      </c>
      <c r="I15" s="17">
        <v>2200</v>
      </c>
      <c r="J15" s="12">
        <v>0.25</v>
      </c>
      <c r="K15" s="12">
        <v>0.56999999999999995</v>
      </c>
      <c r="L15" s="12">
        <v>1.44</v>
      </c>
      <c r="M15" s="12">
        <f t="shared" ref="M15" si="23">$B$3*J15/K15</f>
        <v>0.52631578947368418</v>
      </c>
      <c r="N15" s="12">
        <f t="shared" ref="N15" si="24">$B$3/K15*1000</f>
        <v>2105.2631578947367</v>
      </c>
      <c r="O15" s="12">
        <f t="shared" ref="O15" si="25">$B$3*(I15-($D$3*J15/K15))</f>
        <v>2113.6842105263158</v>
      </c>
      <c r="P15" s="19">
        <f t="shared" ref="P15" si="26">(O15-N15)/N15</f>
        <v>4.0000000000001137E-3</v>
      </c>
      <c r="R15" s="50">
        <f>$K$4*K15/J15</f>
        <v>2.7359999999999998</v>
      </c>
      <c r="S15" s="12">
        <f t="shared" si="21"/>
        <v>0.627</v>
      </c>
      <c r="T15" s="12">
        <f t="shared" si="22"/>
        <v>0.627</v>
      </c>
      <c r="U15" s="51" t="str">
        <f t="shared" si="18"/>
        <v>Bulk Delivery</v>
      </c>
    </row>
    <row r="16" spans="1:21" x14ac:dyDescent="0.2">
      <c r="A16" s="143" t="str">
        <f t="shared" si="3"/>
        <v>0:1:12 'G'</v>
      </c>
      <c r="B16" s="144">
        <f t="shared" si="4"/>
        <v>1525</v>
      </c>
      <c r="C16" s="2">
        <f t="shared" si="5"/>
        <v>1.44</v>
      </c>
      <c r="D16" s="2">
        <f t="shared" si="6"/>
        <v>1.2</v>
      </c>
      <c r="E16" s="9" t="str">
        <f t="shared" ref="E16:E60" si="27">U16</f>
        <v>Iron</v>
      </c>
      <c r="H16" s="13" t="s">
        <v>44</v>
      </c>
      <c r="I16" s="17">
        <v>1525</v>
      </c>
      <c r="J16" s="12">
        <v>1.085053533569063</v>
      </c>
      <c r="K16" s="12">
        <v>1.4459367433239758</v>
      </c>
      <c r="L16" s="12">
        <v>1.44</v>
      </c>
      <c r="M16" s="12">
        <f t="shared" si="0"/>
        <v>0.90049875715146388</v>
      </c>
      <c r="N16" s="12">
        <f t="shared" si="1"/>
        <v>829.91182397190698</v>
      </c>
      <c r="O16" s="12">
        <f t="shared" si="2"/>
        <v>929.50124284853609</v>
      </c>
      <c r="P16" s="19">
        <f t="shared" si="7"/>
        <v>0.12000000000000033</v>
      </c>
      <c r="R16" s="50">
        <f t="shared" ref="R16:R33" si="28">$K$4*K16/J16</f>
        <v>1.5991138117226651</v>
      </c>
      <c r="S16" s="12">
        <f t="shared" ref="S16:S33" si="29">K16*$K$5/1000</f>
        <v>1.5905304176563735</v>
      </c>
      <c r="T16" s="12">
        <f t="shared" si="8"/>
        <v>1.2</v>
      </c>
      <c r="U16" s="51" t="str">
        <f t="shared" si="9"/>
        <v>Iron</v>
      </c>
    </row>
    <row r="17" spans="1:21" x14ac:dyDescent="0.2">
      <c r="A17" s="143" t="str">
        <f t="shared" si="3"/>
        <v>0:1:2 'G'</v>
      </c>
      <c r="B17" s="144">
        <f t="shared" si="4"/>
        <v>1796</v>
      </c>
      <c r="C17" s="2">
        <f t="shared" si="5"/>
        <v>1.44</v>
      </c>
      <c r="D17" s="2">
        <f t="shared" si="6"/>
        <v>0.96520286764433527</v>
      </c>
      <c r="E17" s="9" t="str">
        <f t="shared" si="27"/>
        <v>Bulk Delivery</v>
      </c>
      <c r="H17" s="13" t="s">
        <v>45</v>
      </c>
      <c r="I17" s="17">
        <v>1796</v>
      </c>
      <c r="J17" s="12">
        <v>0.55591304571747824</v>
      </c>
      <c r="K17" s="12">
        <v>0.87745715240394118</v>
      </c>
      <c r="L17" s="12">
        <v>1.44</v>
      </c>
      <c r="M17" s="12">
        <f t="shared" si="0"/>
        <v>0.76026009137124628</v>
      </c>
      <c r="N17" s="12">
        <f t="shared" si="1"/>
        <v>1367.5881457144642</v>
      </c>
      <c r="O17" s="12">
        <f t="shared" si="2"/>
        <v>1394.9399086287538</v>
      </c>
      <c r="P17" s="19">
        <f t="shared" si="7"/>
        <v>2.0000000000000205E-2</v>
      </c>
      <c r="R17" s="50">
        <f t="shared" si="28"/>
        <v>1.8940886366963416</v>
      </c>
      <c r="S17" s="12">
        <f t="shared" si="29"/>
        <v>0.96520286764433527</v>
      </c>
      <c r="T17" s="12">
        <f t="shared" si="8"/>
        <v>0.96520286764433527</v>
      </c>
      <c r="U17" s="51" t="str">
        <f t="shared" si="9"/>
        <v>Bulk Delivery</v>
      </c>
    </row>
    <row r="18" spans="1:21" x14ac:dyDescent="0.2">
      <c r="A18" s="143" t="str">
        <f t="shared" si="3"/>
        <v>0:1:4 'G'</v>
      </c>
      <c r="B18" s="144">
        <f t="shared" si="4"/>
        <v>1718</v>
      </c>
      <c r="C18" s="2">
        <f t="shared" si="5"/>
        <v>1.44</v>
      </c>
      <c r="D18" s="2">
        <f t="shared" si="6"/>
        <v>1.0886446796237212</v>
      </c>
      <c r="E18" s="9" t="str">
        <f t="shared" si="27"/>
        <v>Bulk Delivery</v>
      </c>
      <c r="H18" s="13" t="s">
        <v>46</v>
      </c>
      <c r="I18" s="17">
        <v>1718</v>
      </c>
      <c r="J18" s="12">
        <v>0.66026505417595727</v>
      </c>
      <c r="K18" s="12">
        <v>0.98967698147611016</v>
      </c>
      <c r="L18" s="12">
        <v>1.44</v>
      </c>
      <c r="M18" s="12">
        <f t="shared" si="0"/>
        <v>0.80058249291541639</v>
      </c>
      <c r="N18" s="12">
        <f t="shared" si="1"/>
        <v>1212.5168337351763</v>
      </c>
      <c r="O18" s="12">
        <f t="shared" si="2"/>
        <v>1261.0175070845837</v>
      </c>
      <c r="P18" s="19">
        <f t="shared" si="7"/>
        <v>4.0000000000000292E-2</v>
      </c>
      <c r="R18" s="50">
        <f t="shared" si="28"/>
        <v>1.79869034452161</v>
      </c>
      <c r="S18" s="12">
        <f t="shared" si="29"/>
        <v>1.0886446796237212</v>
      </c>
      <c r="T18" s="12">
        <f t="shared" si="8"/>
        <v>1.0886446796237212</v>
      </c>
      <c r="U18" s="51" t="str">
        <f t="shared" si="9"/>
        <v>Bulk Delivery</v>
      </c>
    </row>
    <row r="19" spans="1:21" x14ac:dyDescent="0.2">
      <c r="A19" s="143" t="str">
        <f t="shared" si="3"/>
        <v>0:1:6 'G'</v>
      </c>
      <c r="B19" s="144">
        <f t="shared" si="4"/>
        <v>1666</v>
      </c>
      <c r="C19" s="2">
        <f t="shared" si="5"/>
        <v>1.44</v>
      </c>
      <c r="D19" s="2">
        <f t="shared" si="6"/>
        <v>1.1936820980401994</v>
      </c>
      <c r="E19" s="9" t="str">
        <f t="shared" si="27"/>
        <v>Bulk Delivery</v>
      </c>
      <c r="H19" s="13" t="s">
        <v>47</v>
      </c>
      <c r="I19" s="17">
        <v>1666</v>
      </c>
      <c r="J19" s="12">
        <v>0.74788579575906566</v>
      </c>
      <c r="K19" s="12">
        <v>1.0851655436729086</v>
      </c>
      <c r="L19" s="12">
        <v>1.44</v>
      </c>
      <c r="M19" s="12">
        <f t="shared" si="0"/>
        <v>0.82702861341623346</v>
      </c>
      <c r="N19" s="12">
        <f t="shared" si="1"/>
        <v>1105.8220628148738</v>
      </c>
      <c r="O19" s="12">
        <f t="shared" si="2"/>
        <v>1172.1713865837664</v>
      </c>
      <c r="P19" s="19">
        <f t="shared" si="7"/>
        <v>6.0000000000000199E-2</v>
      </c>
      <c r="R19" s="50">
        <f t="shared" si="28"/>
        <v>1.741173130699488</v>
      </c>
      <c r="S19" s="12">
        <f t="shared" si="29"/>
        <v>1.1936820980401994</v>
      </c>
      <c r="T19" s="12">
        <f t="shared" si="8"/>
        <v>1.1936820980401994</v>
      </c>
      <c r="U19" s="51" t="str">
        <f t="shared" si="9"/>
        <v>Bulk Delivery</v>
      </c>
    </row>
    <row r="20" spans="1:21" x14ac:dyDescent="0.2">
      <c r="A20" s="143" t="str">
        <f t="shared" si="3"/>
        <v>0:1:8 'G'</v>
      </c>
      <c r="B20" s="144">
        <f t="shared" si="4"/>
        <v>1603</v>
      </c>
      <c r="C20" s="2">
        <f t="shared" si="5"/>
        <v>1.44</v>
      </c>
      <c r="D20" s="2">
        <f t="shared" si="6"/>
        <v>1.2</v>
      </c>
      <c r="E20" s="9" t="str">
        <f t="shared" si="27"/>
        <v>Iron</v>
      </c>
      <c r="H20" s="13" t="s">
        <v>48</v>
      </c>
      <c r="I20" s="17">
        <v>1603</v>
      </c>
      <c r="J20" s="12">
        <v>0.87351318018302604</v>
      </c>
      <c r="K20" s="12">
        <v>1.218660748710559</v>
      </c>
      <c r="L20" s="12">
        <v>1.44</v>
      </c>
      <c r="M20" s="12">
        <f t="shared" si="0"/>
        <v>0.86013750531370414</v>
      </c>
      <c r="N20" s="12">
        <f t="shared" si="1"/>
        <v>984.68749507990333</v>
      </c>
      <c r="O20" s="12">
        <f t="shared" si="2"/>
        <v>1063.4624946862957</v>
      </c>
      <c r="P20" s="19">
        <f t="shared" si="7"/>
        <v>8.0000000000000127E-2</v>
      </c>
      <c r="R20" s="50">
        <f t="shared" si="28"/>
        <v>1.6741509248277826</v>
      </c>
      <c r="S20" s="12">
        <f t="shared" si="29"/>
        <v>1.340526823581615</v>
      </c>
      <c r="T20" s="12">
        <f t="shared" si="8"/>
        <v>1.2</v>
      </c>
      <c r="U20" s="51" t="str">
        <f t="shared" si="9"/>
        <v>Iron</v>
      </c>
    </row>
    <row r="21" spans="1:21" x14ac:dyDescent="0.2">
      <c r="A21" s="143" t="str">
        <f t="shared" ref="A21" si="30">H21</f>
        <v>0:1:12 'G'</v>
      </c>
      <c r="B21" s="144">
        <f t="shared" ref="B21" si="31">I21</f>
        <v>1525</v>
      </c>
      <c r="C21" s="2">
        <f t="shared" ref="C21" si="32">L21</f>
        <v>1.44</v>
      </c>
      <c r="D21" s="2">
        <f t="shared" ref="D21" si="33">T21</f>
        <v>1.2</v>
      </c>
      <c r="E21" s="9" t="str">
        <f t="shared" si="27"/>
        <v>Iron</v>
      </c>
      <c r="H21" s="145" t="s">
        <v>44</v>
      </c>
      <c r="I21" s="17">
        <v>1525</v>
      </c>
      <c r="J21" s="12">
        <v>1.08</v>
      </c>
      <c r="K21" s="12">
        <v>1.44</v>
      </c>
      <c r="L21" s="12">
        <v>1.44</v>
      </c>
      <c r="M21" s="12">
        <f t="shared" ref="M21" si="34">$B$3*J21/K21</f>
        <v>0.9</v>
      </c>
      <c r="N21" s="12">
        <f t="shared" ref="N21" si="35">$B$3/K21*1000</f>
        <v>833.33333333333337</v>
      </c>
      <c r="O21" s="12">
        <f t="shared" ref="O21" si="36">$B$3*(I21-($D$3*J21/K21))</f>
        <v>930</v>
      </c>
      <c r="P21" s="19">
        <f t="shared" ref="P21" si="37">(O21-N21)/N21</f>
        <v>0.11599999999999995</v>
      </c>
      <c r="R21" s="50">
        <f t="shared" si="28"/>
        <v>1.5999999999999999</v>
      </c>
      <c r="S21" s="12">
        <f t="shared" si="29"/>
        <v>1.5840000000000001</v>
      </c>
      <c r="T21" s="12">
        <f t="shared" ref="T21" si="38">IF(MIN(R21:S21)&gt;1.2,1.2,MIN(R21:S21))</f>
        <v>1.2</v>
      </c>
      <c r="U21" s="51" t="str">
        <f t="shared" ref="U21" si="39">IF(MIN(R21:S21)&gt;1.2,"Iron",IF(S21&gt;R21,"Mix Water", "Bulk Delivery"))</f>
        <v>Iron</v>
      </c>
    </row>
    <row r="22" spans="1:21" x14ac:dyDescent="0.2">
      <c r="A22" s="143" t="str">
        <f t="shared" si="3"/>
        <v>1:1:0 'G'</v>
      </c>
      <c r="B22" s="144">
        <f t="shared" si="4"/>
        <v>1720</v>
      </c>
      <c r="C22" s="2">
        <f t="shared" si="5"/>
        <v>1.29</v>
      </c>
      <c r="D22" s="2">
        <f t="shared" si="6"/>
        <v>0.95420160257048603</v>
      </c>
      <c r="E22" s="9" t="str">
        <f t="shared" si="27"/>
        <v>Bulk Delivery</v>
      </c>
      <c r="H22" s="13" t="s">
        <v>49</v>
      </c>
      <c r="I22" s="17">
        <v>1720</v>
      </c>
      <c r="J22" s="12">
        <v>0.49202432401930529</v>
      </c>
      <c r="K22" s="12">
        <v>0.86745600233680542</v>
      </c>
      <c r="L22" s="12">
        <v>1.29</v>
      </c>
      <c r="M22" s="12">
        <f t="shared" si="0"/>
        <v>0.68064453670576086</v>
      </c>
      <c r="N22" s="12">
        <f t="shared" si="1"/>
        <v>1383.3554632942391</v>
      </c>
      <c r="O22" s="12">
        <f t="shared" si="2"/>
        <v>1383.3554632942389</v>
      </c>
      <c r="P22" s="19">
        <f t="shared" si="7"/>
        <v>-1.6436388294717696E-16</v>
      </c>
      <c r="R22" s="50">
        <f t="shared" si="28"/>
        <v>2.1156417518157564</v>
      </c>
      <c r="S22" s="12">
        <f t="shared" si="29"/>
        <v>0.95420160257048603</v>
      </c>
      <c r="T22" s="12">
        <f t="shared" si="8"/>
        <v>0.95420160257048603</v>
      </c>
      <c r="U22" s="51" t="str">
        <f t="shared" si="9"/>
        <v>Bulk Delivery</v>
      </c>
    </row>
    <row r="23" spans="1:21" x14ac:dyDescent="0.2">
      <c r="A23" s="143" t="str">
        <f t="shared" si="3"/>
        <v>1:1:0 'G' (Sask)</v>
      </c>
      <c r="B23" s="144">
        <f t="shared" si="4"/>
        <v>1720</v>
      </c>
      <c r="C23" s="2">
        <f t="shared" si="5"/>
        <v>1.35</v>
      </c>
      <c r="D23" s="2">
        <f t="shared" si="6"/>
        <v>0.98479084248079651</v>
      </c>
      <c r="E23" s="9" t="str">
        <f t="shared" si="27"/>
        <v>Bulk Delivery</v>
      </c>
      <c r="H23" s="13" t="s">
        <v>50</v>
      </c>
      <c r="I23" s="17">
        <v>1720</v>
      </c>
      <c r="J23" s="12">
        <v>0.53985477187906372</v>
      </c>
      <c r="K23" s="12">
        <v>0.8952644022552696</v>
      </c>
      <c r="L23" s="12">
        <v>1.35</v>
      </c>
      <c r="M23" s="12">
        <f t="shared" si="0"/>
        <v>0.72361385599933614</v>
      </c>
      <c r="N23" s="12">
        <f t="shared" si="1"/>
        <v>1340.3861440006638</v>
      </c>
      <c r="O23" s="12">
        <f t="shared" si="2"/>
        <v>1340.3861440006635</v>
      </c>
      <c r="P23" s="19">
        <f t="shared" si="7"/>
        <v>-1.6963296469522402E-16</v>
      </c>
      <c r="R23" s="50">
        <f t="shared" si="28"/>
        <v>1.9900116451077476</v>
      </c>
      <c r="S23" s="12">
        <f t="shared" si="29"/>
        <v>0.98479084248079651</v>
      </c>
      <c r="T23" s="12">
        <f t="shared" si="8"/>
        <v>0.98479084248079651</v>
      </c>
      <c r="U23" s="51" t="str">
        <f t="shared" si="9"/>
        <v>Bulk Delivery</v>
      </c>
    </row>
    <row r="24" spans="1:21" x14ac:dyDescent="0.2">
      <c r="A24" s="143" t="str">
        <f t="shared" si="3"/>
        <v>1:1:12 'G'</v>
      </c>
      <c r="B24" s="144">
        <f t="shared" si="4"/>
        <v>1446</v>
      </c>
      <c r="C24" s="2">
        <f t="shared" si="5"/>
        <v>1.29</v>
      </c>
      <c r="D24" s="2">
        <f t="shared" si="6"/>
        <v>1.2</v>
      </c>
      <c r="E24" s="9" t="str">
        <f t="shared" si="27"/>
        <v>Iron</v>
      </c>
      <c r="H24" s="13" t="s">
        <v>51</v>
      </c>
      <c r="I24" s="17">
        <v>1446</v>
      </c>
      <c r="J24" s="12">
        <v>1.1409519764765035</v>
      </c>
      <c r="K24" s="12">
        <v>1.5635905784761435</v>
      </c>
      <c r="L24" s="12">
        <v>1.29</v>
      </c>
      <c r="M24" s="12">
        <f t="shared" si="0"/>
        <v>0.87563994732313732</v>
      </c>
      <c r="N24" s="12">
        <f t="shared" si="1"/>
        <v>767.46433274719868</v>
      </c>
      <c r="O24" s="12">
        <f t="shared" si="2"/>
        <v>859.5600526768626</v>
      </c>
      <c r="P24" s="19">
        <f t="shared" si="7"/>
        <v>0.12000000000000009</v>
      </c>
      <c r="R24" s="50">
        <f t="shared" si="28"/>
        <v>1.644511541989526</v>
      </c>
      <c r="S24" s="12">
        <f t="shared" si="29"/>
        <v>1.7199496363237579</v>
      </c>
      <c r="T24" s="12">
        <f t="shared" si="8"/>
        <v>1.2</v>
      </c>
      <c r="U24" s="51" t="str">
        <f t="shared" si="9"/>
        <v>Iron</v>
      </c>
    </row>
    <row r="25" spans="1:21" x14ac:dyDescent="0.2">
      <c r="A25" s="143" t="str">
        <f t="shared" si="3"/>
        <v>1:1:12 'G' (Sask)</v>
      </c>
      <c r="B25" s="144">
        <f t="shared" si="4"/>
        <v>1446</v>
      </c>
      <c r="C25" s="2">
        <f t="shared" si="5"/>
        <v>1.35</v>
      </c>
      <c r="D25" s="2">
        <f t="shared" si="6"/>
        <v>1.2</v>
      </c>
      <c r="E25" s="9" t="str">
        <f t="shared" si="27"/>
        <v>Iron</v>
      </c>
      <c r="H25" s="13" t="s">
        <v>52</v>
      </c>
      <c r="I25" s="17">
        <v>1446</v>
      </c>
      <c r="J25" s="12">
        <v>1.2058665085911029</v>
      </c>
      <c r="K25" s="12">
        <v>1.6084830626494488</v>
      </c>
      <c r="L25" s="12">
        <v>1.35</v>
      </c>
      <c r="M25" s="12">
        <f t="shared" si="0"/>
        <v>0.89963011977620666</v>
      </c>
      <c r="N25" s="12">
        <f t="shared" si="1"/>
        <v>746.04453591410106</v>
      </c>
      <c r="O25" s="12">
        <f t="shared" si="2"/>
        <v>835.56988022379323</v>
      </c>
      <c r="P25" s="19">
        <f t="shared" si="7"/>
        <v>0.12000000000000006</v>
      </c>
      <c r="R25" s="50">
        <f t="shared" si="28"/>
        <v>1.6006578351981104</v>
      </c>
      <c r="S25" s="12">
        <f t="shared" si="29"/>
        <v>1.7693313689143939</v>
      </c>
      <c r="T25" s="12">
        <f t="shared" si="8"/>
        <v>1.2</v>
      </c>
      <c r="U25" s="51" t="str">
        <f t="shared" si="9"/>
        <v>Iron</v>
      </c>
    </row>
    <row r="26" spans="1:21" x14ac:dyDescent="0.2">
      <c r="A26" s="143" t="str">
        <f t="shared" si="3"/>
        <v>1:1:2 'G'</v>
      </c>
      <c r="B26" s="144">
        <f t="shared" si="4"/>
        <v>1646</v>
      </c>
      <c r="C26" s="2">
        <f t="shared" si="5"/>
        <v>1.29</v>
      </c>
      <c r="D26" s="2">
        <f t="shared" si="6"/>
        <v>1.0841649399004505</v>
      </c>
      <c r="E26" s="9" t="str">
        <f t="shared" si="27"/>
        <v>Bulk Delivery</v>
      </c>
      <c r="H26" s="14" t="s">
        <v>53</v>
      </c>
      <c r="I26" s="17">
        <v>1646</v>
      </c>
      <c r="J26" s="12">
        <v>0.60230499188740116</v>
      </c>
      <c r="K26" s="12">
        <v>0.98560449081859125</v>
      </c>
      <c r="L26" s="12">
        <v>1.29</v>
      </c>
      <c r="M26" s="12">
        <f t="shared" si="0"/>
        <v>0.73332254164608157</v>
      </c>
      <c r="N26" s="12">
        <f t="shared" si="1"/>
        <v>1217.526919954822</v>
      </c>
      <c r="O26" s="12">
        <f t="shared" si="2"/>
        <v>1241.8774583539182</v>
      </c>
      <c r="P26" s="19">
        <f t="shared" si="7"/>
        <v>1.9999999999999799E-2</v>
      </c>
      <c r="R26" s="50">
        <f t="shared" si="28"/>
        <v>1.9636652608109479</v>
      </c>
      <c r="S26" s="12">
        <f t="shared" si="29"/>
        <v>1.0841649399004505</v>
      </c>
      <c r="T26" s="12">
        <f t="shared" si="8"/>
        <v>1.0841649399004505</v>
      </c>
      <c r="U26" s="51" t="str">
        <f t="shared" si="9"/>
        <v>Bulk Delivery</v>
      </c>
    </row>
    <row r="27" spans="1:21" x14ac:dyDescent="0.2">
      <c r="A27" s="143" t="str">
        <f t="shared" si="3"/>
        <v>1:1:2 'G' (Sask)</v>
      </c>
      <c r="B27" s="144">
        <f t="shared" si="4"/>
        <v>1646</v>
      </c>
      <c r="C27" s="2">
        <f t="shared" si="5"/>
        <v>1.35</v>
      </c>
      <c r="D27" s="2">
        <f t="shared" si="6"/>
        <v>1.1182582103887222</v>
      </c>
      <c r="E27" s="9" t="str">
        <f t="shared" si="27"/>
        <v>Bulk Delivery</v>
      </c>
      <c r="H27" s="14" t="s">
        <v>54</v>
      </c>
      <c r="I27" s="15">
        <v>1646</v>
      </c>
      <c r="J27" s="12">
        <v>0.65332092209076065</v>
      </c>
      <c r="K27" s="12">
        <v>1.0165983730806565</v>
      </c>
      <c r="L27" s="12">
        <v>1.35</v>
      </c>
      <c r="M27" s="12">
        <f t="shared" si="0"/>
        <v>0.77118469522350075</v>
      </c>
      <c r="N27" s="12">
        <f t="shared" si="1"/>
        <v>1180.4071615455875</v>
      </c>
      <c r="O27" s="12">
        <f t="shared" si="2"/>
        <v>1204.0153047764993</v>
      </c>
      <c r="P27" s="19">
        <f t="shared" si="7"/>
        <v>2.0000000000000011E-2</v>
      </c>
      <c r="R27" s="50">
        <f t="shared" si="28"/>
        <v>1.8672569734837212</v>
      </c>
      <c r="S27" s="12">
        <f t="shared" si="29"/>
        <v>1.1182582103887222</v>
      </c>
      <c r="T27" s="12">
        <f t="shared" si="8"/>
        <v>1.1182582103887222</v>
      </c>
      <c r="U27" s="51" t="str">
        <f t="shared" si="9"/>
        <v>Bulk Delivery</v>
      </c>
    </row>
    <row r="28" spans="1:21" x14ac:dyDescent="0.2">
      <c r="A28" s="143" t="str">
        <f t="shared" si="3"/>
        <v>1:1:4 'G'</v>
      </c>
      <c r="B28" s="144">
        <f t="shared" si="4"/>
        <v>1590</v>
      </c>
      <c r="C28" s="2">
        <f t="shared" si="5"/>
        <v>1.29</v>
      </c>
      <c r="D28" s="2">
        <f t="shared" si="6"/>
        <v>1.2</v>
      </c>
      <c r="E28" s="9" t="str">
        <f t="shared" si="27"/>
        <v>Iron</v>
      </c>
      <c r="H28" s="14" t="s">
        <v>55</v>
      </c>
      <c r="I28" s="15">
        <v>1590</v>
      </c>
      <c r="J28" s="12">
        <v>0.70854908800617045</v>
      </c>
      <c r="K28" s="12">
        <v>1.0997164075510506</v>
      </c>
      <c r="L28" s="12">
        <v>1.29</v>
      </c>
      <c r="M28" s="12">
        <f t="shared" si="0"/>
        <v>0.77316197136754472</v>
      </c>
      <c r="N28" s="12">
        <f t="shared" si="1"/>
        <v>1091.1904121465916</v>
      </c>
      <c r="O28" s="12">
        <f t="shared" si="2"/>
        <v>1134.8380286324552</v>
      </c>
      <c r="P28" s="19">
        <f t="shared" si="7"/>
        <v>3.9999999999999973E-2</v>
      </c>
      <c r="R28" s="50">
        <f t="shared" si="28"/>
        <v>1.8624816705003906</v>
      </c>
      <c r="S28" s="12">
        <f t="shared" si="29"/>
        <v>1.2096880483061556</v>
      </c>
      <c r="T28" s="12">
        <f t="shared" si="8"/>
        <v>1.2</v>
      </c>
      <c r="U28" s="51" t="str">
        <f t="shared" si="9"/>
        <v>Iron</v>
      </c>
    </row>
    <row r="29" spans="1:21" x14ac:dyDescent="0.2">
      <c r="A29" s="143" t="str">
        <f t="shared" si="3"/>
        <v>1:1:4 'G' (Sask)</v>
      </c>
      <c r="B29" s="144">
        <f t="shared" si="4"/>
        <v>1590</v>
      </c>
      <c r="C29" s="2">
        <f t="shared" si="5"/>
        <v>1.35</v>
      </c>
      <c r="D29" s="2">
        <f t="shared" si="6"/>
        <v>1.2</v>
      </c>
      <c r="E29" s="9" t="str">
        <f t="shared" si="27"/>
        <v>Iron</v>
      </c>
      <c r="H29" s="14" t="s">
        <v>56</v>
      </c>
      <c r="I29" s="15">
        <v>1590</v>
      </c>
      <c r="J29" s="12">
        <v>0.7625068104242344</v>
      </c>
      <c r="K29" s="12">
        <v>1.1336520820278202</v>
      </c>
      <c r="L29" s="12">
        <v>1.35</v>
      </c>
      <c r="M29" s="12">
        <f t="shared" si="0"/>
        <v>0.80713314694607219</v>
      </c>
      <c r="N29" s="12">
        <f t="shared" si="1"/>
        <v>1058.5258202441617</v>
      </c>
      <c r="O29" s="12">
        <f t="shared" si="2"/>
        <v>1100.8668530539278</v>
      </c>
      <c r="P29" s="19">
        <f t="shared" si="7"/>
        <v>3.9999999999999702E-2</v>
      </c>
      <c r="R29" s="50">
        <f t="shared" si="28"/>
        <v>1.7840922596829145</v>
      </c>
      <c r="S29" s="12">
        <f t="shared" si="29"/>
        <v>1.2470172902306023</v>
      </c>
      <c r="T29" s="12">
        <f t="shared" si="8"/>
        <v>1.2</v>
      </c>
      <c r="U29" s="51" t="str">
        <f t="shared" si="9"/>
        <v>Iron</v>
      </c>
    </row>
    <row r="30" spans="1:21" x14ac:dyDescent="0.2">
      <c r="A30" s="143" t="str">
        <f t="shared" si="3"/>
        <v>1:1:6 'G'</v>
      </c>
      <c r="B30" s="144">
        <f t="shared" si="4"/>
        <v>1552</v>
      </c>
      <c r="C30" s="2">
        <f t="shared" si="5"/>
        <v>1.29</v>
      </c>
      <c r="D30" s="2">
        <f t="shared" si="6"/>
        <v>1.2</v>
      </c>
      <c r="E30" s="9" t="str">
        <f t="shared" si="27"/>
        <v>Iron</v>
      </c>
      <c r="H30" s="14" t="s">
        <v>57</v>
      </c>
      <c r="I30" s="15">
        <v>1552</v>
      </c>
      <c r="J30" s="12">
        <v>0.7983649682498174</v>
      </c>
      <c r="K30" s="12">
        <v>1.1974001084083876</v>
      </c>
      <c r="L30" s="12">
        <v>1.29</v>
      </c>
      <c r="M30" s="12">
        <f t="shared" si="0"/>
        <v>0.80009844259428653</v>
      </c>
      <c r="N30" s="12">
        <f t="shared" si="1"/>
        <v>1002.1712805714276</v>
      </c>
      <c r="O30" s="12">
        <f t="shared" si="2"/>
        <v>1062.3015574057133</v>
      </c>
      <c r="P30" s="19">
        <f t="shared" si="7"/>
        <v>6.0000000000000067E-2</v>
      </c>
      <c r="R30" s="50">
        <f t="shared" si="28"/>
        <v>1.7997785314152825</v>
      </c>
      <c r="S30" s="12">
        <f t="shared" si="29"/>
        <v>1.3171401192492265</v>
      </c>
      <c r="T30" s="12">
        <f t="shared" si="8"/>
        <v>1.2</v>
      </c>
      <c r="U30" s="51" t="str">
        <f t="shared" si="9"/>
        <v>Iron</v>
      </c>
    </row>
    <row r="31" spans="1:21" x14ac:dyDescent="0.2">
      <c r="A31" s="143" t="str">
        <f t="shared" si="3"/>
        <v>1:1:6 'G' (Sask)</v>
      </c>
      <c r="B31" s="144">
        <f t="shared" si="4"/>
        <v>1552</v>
      </c>
      <c r="C31" s="2">
        <f t="shared" si="5"/>
        <v>1.35</v>
      </c>
      <c r="D31" s="2">
        <f t="shared" si="6"/>
        <v>1.2</v>
      </c>
      <c r="E31" s="9" t="str">
        <f t="shared" si="27"/>
        <v>Iron</v>
      </c>
      <c r="H31" s="16" t="s">
        <v>58</v>
      </c>
      <c r="I31" s="15">
        <v>1552</v>
      </c>
      <c r="J31" s="12">
        <v>0.85465884217171695</v>
      </c>
      <c r="K31" s="12">
        <v>1.2336719343889928</v>
      </c>
      <c r="L31" s="12">
        <v>1.35</v>
      </c>
      <c r="M31" s="12">
        <f t="shared" si="0"/>
        <v>0.8313317195742238</v>
      </c>
      <c r="N31" s="12">
        <f t="shared" si="1"/>
        <v>972.70592492997764</v>
      </c>
      <c r="O31" s="12">
        <f t="shared" si="2"/>
        <v>1031.0682804257763</v>
      </c>
      <c r="P31" s="19">
        <f t="shared" si="7"/>
        <v>5.9999999999999963E-2</v>
      </c>
      <c r="R31" s="50">
        <f t="shared" si="28"/>
        <v>1.7321605396429631</v>
      </c>
      <c r="S31" s="12">
        <f t="shared" si="29"/>
        <v>1.3570391278278922</v>
      </c>
      <c r="T31" s="12">
        <f t="shared" si="8"/>
        <v>1.2</v>
      </c>
      <c r="U31" s="51" t="str">
        <f t="shared" si="9"/>
        <v>Iron</v>
      </c>
    </row>
    <row r="32" spans="1:21" x14ac:dyDescent="0.2">
      <c r="A32" s="143" t="str">
        <f t="shared" si="3"/>
        <v>1:1:8 'G'</v>
      </c>
      <c r="B32" s="144">
        <f t="shared" si="4"/>
        <v>1505</v>
      </c>
      <c r="C32" s="2">
        <f t="shared" si="5"/>
        <v>1.29</v>
      </c>
      <c r="D32" s="2">
        <f t="shared" si="6"/>
        <v>1.2</v>
      </c>
      <c r="E32" s="9" t="str">
        <f t="shared" si="27"/>
        <v>Iron</v>
      </c>
      <c r="H32" s="13" t="s">
        <v>59</v>
      </c>
      <c r="I32" s="17">
        <v>1505</v>
      </c>
      <c r="J32" s="12">
        <v>0.92596246344108624</v>
      </c>
      <c r="K32" s="12">
        <v>1.3328654242133464</v>
      </c>
      <c r="L32" s="12">
        <v>1.29</v>
      </c>
      <c r="M32" s="12">
        <f t="shared" si="0"/>
        <v>0.83365877450463854</v>
      </c>
      <c r="N32" s="12">
        <f t="shared" si="1"/>
        <v>900.31594953274191</v>
      </c>
      <c r="O32" s="12">
        <f t="shared" si="2"/>
        <v>972.34122549536153</v>
      </c>
      <c r="P32" s="19">
        <f t="shared" si="7"/>
        <v>8.0000000000000293E-2</v>
      </c>
      <c r="R32" s="50">
        <f t="shared" si="28"/>
        <v>1.7273254286271389</v>
      </c>
      <c r="S32" s="12">
        <f t="shared" si="29"/>
        <v>1.4661519666346809</v>
      </c>
      <c r="T32" s="12">
        <f t="shared" si="8"/>
        <v>1.2</v>
      </c>
      <c r="U32" s="51" t="str">
        <f t="shared" si="9"/>
        <v>Iron</v>
      </c>
    </row>
    <row r="33" spans="1:21" x14ac:dyDescent="0.2">
      <c r="A33" s="143" t="str">
        <f t="shared" si="3"/>
        <v>1:1:8 'G' (Sask)</v>
      </c>
      <c r="B33" s="144">
        <f t="shared" si="4"/>
        <v>1505</v>
      </c>
      <c r="C33" s="2">
        <f t="shared" si="5"/>
        <v>1.35</v>
      </c>
      <c r="D33" s="2">
        <f t="shared" si="6"/>
        <v>1.2</v>
      </c>
      <c r="E33" s="9" t="str">
        <f t="shared" si="27"/>
        <v>Iron</v>
      </c>
      <c r="H33" s="13" t="s">
        <v>60</v>
      </c>
      <c r="I33" s="17">
        <v>1505</v>
      </c>
      <c r="J33" s="12">
        <v>0.98563213106811165</v>
      </c>
      <c r="K33" s="12">
        <v>1.3725130438990776</v>
      </c>
      <c r="L33" s="12">
        <v>1.35</v>
      </c>
      <c r="M33" s="12">
        <f t="shared" si="0"/>
        <v>0.8617466788670487</v>
      </c>
      <c r="N33" s="12">
        <f t="shared" si="1"/>
        <v>874.30863067865846</v>
      </c>
      <c r="O33" s="12">
        <f t="shared" si="2"/>
        <v>944.25332113295121</v>
      </c>
      <c r="P33" s="19">
        <f t="shared" si="7"/>
        <v>8.0000000000000085E-2</v>
      </c>
      <c r="R33" s="50">
        <f t="shared" si="28"/>
        <v>1.6710247167917021</v>
      </c>
      <c r="S33" s="12">
        <f t="shared" si="29"/>
        <v>1.5097643482889853</v>
      </c>
      <c r="T33" s="12">
        <f t="shared" si="8"/>
        <v>1.2</v>
      </c>
      <c r="U33" s="51" t="str">
        <f t="shared" si="9"/>
        <v>Iron</v>
      </c>
    </row>
    <row r="34" spans="1:21" x14ac:dyDescent="0.2">
      <c r="A34" s="143" t="str">
        <f t="shared" ref="A34" si="40">H34</f>
        <v>1:1:12 'G'</v>
      </c>
      <c r="B34" s="144">
        <f t="shared" ref="B34" si="41">I34</f>
        <v>1445.504271052873</v>
      </c>
      <c r="C34" s="2">
        <f t="shared" ref="C34" si="42">L34</f>
        <v>1.29</v>
      </c>
      <c r="D34" s="2">
        <f t="shared" ref="D34" si="43">T34</f>
        <v>1.2</v>
      </c>
      <c r="E34" s="9" t="str">
        <f t="shared" si="27"/>
        <v>Iron</v>
      </c>
      <c r="H34" s="145" t="s">
        <v>51</v>
      </c>
      <c r="I34" s="17">
        <v>1445.504271052873</v>
      </c>
      <c r="J34" s="12">
        <v>1.0835894988066825</v>
      </c>
      <c r="K34" s="12">
        <v>1.5244434367541766</v>
      </c>
      <c r="L34" s="12">
        <v>1.29</v>
      </c>
      <c r="M34" s="12">
        <f t="shared" ref="M34" si="44">$B$3*J34/K34</f>
        <v>0.85297188942386415</v>
      </c>
      <c r="N34" s="12">
        <f t="shared" ref="N34" si="45">$B$3/K34*1000</f>
        <v>787.17253199962795</v>
      </c>
      <c r="O34" s="12">
        <f t="shared" ref="O34" si="46">$B$3*(I34-($D$3*J34/K34))</f>
        <v>881.63323583958345</v>
      </c>
      <c r="P34" s="19">
        <f t="shared" ref="P34" si="47">(O34-N34)/N34</f>
        <v>0.12000000000000019</v>
      </c>
      <c r="R34" s="50">
        <f t="shared" ref="R34:R35" si="48">$K$4*K34/J34</f>
        <v>1.6882150723309781</v>
      </c>
      <c r="S34" s="12">
        <f t="shared" ref="S34:S35" si="49">K34*$K$5/1000</f>
        <v>1.6768877804295941</v>
      </c>
      <c r="T34" s="12">
        <f t="shared" ref="T34:T35" si="50">IF(MIN(R34:S34)&gt;1.2,1.2,MIN(R34:S34))</f>
        <v>1.2</v>
      </c>
      <c r="U34" s="51" t="str">
        <f t="shared" ref="U34:U35" si="51">IF(MIN(R34:S34)&gt;1.2,"Iron",IF(S34&gt;R34,"Mix Water", "Bulk Delivery"))</f>
        <v>Iron</v>
      </c>
    </row>
    <row r="35" spans="1:21" x14ac:dyDescent="0.2">
      <c r="A35" s="143" t="str">
        <f t="shared" si="3"/>
        <v>2:1:0 'G'</v>
      </c>
      <c r="B35" s="144">
        <f t="shared" si="4"/>
        <v>1649</v>
      </c>
      <c r="C35" s="2">
        <f t="shared" si="5"/>
        <v>1.1599999999999999</v>
      </c>
      <c r="D35" s="2">
        <f t="shared" si="6"/>
        <v>1.0076325364588554</v>
      </c>
      <c r="E35" s="9" t="str">
        <f t="shared" si="27"/>
        <v>Bulk Delivery</v>
      </c>
      <c r="H35" s="13" t="s">
        <v>61</v>
      </c>
      <c r="I35" s="17">
        <v>1649</v>
      </c>
      <c r="J35" s="12">
        <v>0.5105327751096842</v>
      </c>
      <c r="K35" s="12">
        <v>0.91602957859895939</v>
      </c>
      <c r="L35" s="12">
        <v>1.1599999999999999</v>
      </c>
      <c r="M35" s="12">
        <f t="shared" si="0"/>
        <v>0.66879863319330257</v>
      </c>
      <c r="N35" s="12">
        <f t="shared" si="1"/>
        <v>1310.0013668066974</v>
      </c>
      <c r="O35" s="12">
        <f t="shared" si="2"/>
        <v>1310.0013668066974</v>
      </c>
      <c r="P35" s="19">
        <f t="shared" si="7"/>
        <v>0</v>
      </c>
      <c r="R35" s="50">
        <f t="shared" si="48"/>
        <v>2.1531144481029423</v>
      </c>
      <c r="S35" s="12">
        <f t="shared" si="49"/>
        <v>1.0076325364588554</v>
      </c>
      <c r="T35" s="12">
        <f t="shared" si="50"/>
        <v>1.0076325364588554</v>
      </c>
      <c r="U35" s="51" t="str">
        <f t="shared" si="51"/>
        <v>Bulk Delivery</v>
      </c>
    </row>
    <row r="36" spans="1:21" x14ac:dyDescent="0.2">
      <c r="A36" s="143" t="str">
        <f t="shared" si="3"/>
        <v>2:1:0 'G' (Sask)</v>
      </c>
      <c r="B36" s="144">
        <f t="shared" si="4"/>
        <v>1649</v>
      </c>
      <c r="C36" s="2">
        <f t="shared" si="5"/>
        <v>1.36</v>
      </c>
      <c r="D36" s="2">
        <f t="shared" si="6"/>
        <v>1.0641670643908827</v>
      </c>
      <c r="E36" s="9" t="str">
        <f t="shared" si="27"/>
        <v>Bulk Delivery</v>
      </c>
      <c r="H36" s="13" t="s">
        <v>62</v>
      </c>
      <c r="I36" s="17">
        <v>1649</v>
      </c>
      <c r="J36" s="12">
        <v>0.59528317198233194</v>
      </c>
      <c r="K36" s="12">
        <v>0.96742460399171137</v>
      </c>
      <c r="L36" s="12">
        <v>1.36</v>
      </c>
      <c r="M36" s="12">
        <f t="shared" si="0"/>
        <v>0.73839325920732801</v>
      </c>
      <c r="N36" s="12">
        <f t="shared" si="1"/>
        <v>1240.4067407926718</v>
      </c>
      <c r="O36" s="12">
        <f t="shared" si="2"/>
        <v>1240.4067407926721</v>
      </c>
      <c r="P36" s="19">
        <f t="shared" si="7"/>
        <v>1.8330573993650724E-16</v>
      </c>
      <c r="R36" s="50">
        <f t="shared" ref="R36:R60" si="52">$K$4*K36/J36</f>
        <v>1.950180316577989</v>
      </c>
      <c r="S36" s="12">
        <f t="shared" ref="S36:S60" si="53">K36*$K$5/1000</f>
        <v>1.0641670643908827</v>
      </c>
      <c r="T36" s="12">
        <f t="shared" si="8"/>
        <v>1.0641670643908827</v>
      </c>
      <c r="U36" s="51" t="str">
        <f t="shared" si="9"/>
        <v>Bulk Delivery</v>
      </c>
    </row>
    <row r="37" spans="1:21" x14ac:dyDescent="0.2">
      <c r="A37" s="143" t="str">
        <f t="shared" si="3"/>
        <v>2:1:12 'G'</v>
      </c>
      <c r="B37" s="144">
        <f t="shared" si="4"/>
        <v>1413</v>
      </c>
      <c r="C37" s="2">
        <f t="shared" si="5"/>
        <v>1.1599999999999999</v>
      </c>
      <c r="D37" s="2">
        <f t="shared" si="6"/>
        <v>1.2</v>
      </c>
      <c r="E37" s="9" t="str">
        <f t="shared" si="27"/>
        <v>Iron</v>
      </c>
      <c r="H37" s="13" t="s">
        <v>63</v>
      </c>
      <c r="I37" s="17">
        <v>1413</v>
      </c>
      <c r="J37" s="12">
        <v>1.1630257469898064</v>
      </c>
      <c r="K37" s="12">
        <v>1.6157294741612218</v>
      </c>
      <c r="L37" s="12">
        <v>1.1599999999999999</v>
      </c>
      <c r="M37" s="12">
        <f t="shared" si="0"/>
        <v>0.86377758078114253</v>
      </c>
      <c r="N37" s="12">
        <f t="shared" si="1"/>
        <v>742.69858858826558</v>
      </c>
      <c r="O37" s="12">
        <f t="shared" si="2"/>
        <v>831.82241921885736</v>
      </c>
      <c r="P37" s="19">
        <f t="shared" si="7"/>
        <v>0.11999999999999988</v>
      </c>
      <c r="R37" s="50">
        <f t="shared" si="52"/>
        <v>1.6670958265642417</v>
      </c>
      <c r="S37" s="12">
        <f t="shared" si="53"/>
        <v>1.7773024215773439</v>
      </c>
      <c r="T37" s="12">
        <f t="shared" si="8"/>
        <v>1.2</v>
      </c>
      <c r="U37" s="51" t="str">
        <f t="shared" si="9"/>
        <v>Iron</v>
      </c>
    </row>
    <row r="38" spans="1:21" x14ac:dyDescent="0.2">
      <c r="A38" s="143" t="str">
        <f t="shared" si="3"/>
        <v>2:1:12 'G' (Sask)</v>
      </c>
      <c r="B38" s="144">
        <f t="shared" si="4"/>
        <v>1413</v>
      </c>
      <c r="C38" s="2">
        <f t="shared" si="5"/>
        <v>1.36</v>
      </c>
      <c r="D38" s="2">
        <f t="shared" si="6"/>
        <v>1.2</v>
      </c>
      <c r="E38" s="9" t="str">
        <f t="shared" si="27"/>
        <v>Iron</v>
      </c>
      <c r="H38" s="13" t="s">
        <v>64</v>
      </c>
      <c r="I38" s="17">
        <v>1413</v>
      </c>
      <c r="J38" s="12">
        <v>1.2771447298011693</v>
      </c>
      <c r="K38" s="12">
        <v>1.6964930854926887</v>
      </c>
      <c r="L38" s="12">
        <v>1.36</v>
      </c>
      <c r="M38" s="12">
        <f t="shared" si="0"/>
        <v>0.90337749612243146</v>
      </c>
      <c r="N38" s="12">
        <f t="shared" si="1"/>
        <v>707.34152131925759</v>
      </c>
      <c r="O38" s="12">
        <f t="shared" si="2"/>
        <v>792.22250387756844</v>
      </c>
      <c r="P38" s="19">
        <f t="shared" si="7"/>
        <v>0.11999999999999991</v>
      </c>
      <c r="R38" s="50">
        <f t="shared" si="52"/>
        <v>1.5940180114967595</v>
      </c>
      <c r="S38" s="12">
        <f t="shared" si="53"/>
        <v>1.8661423940419577</v>
      </c>
      <c r="T38" s="12">
        <f t="shared" si="8"/>
        <v>1.2</v>
      </c>
      <c r="U38" s="51" t="str">
        <f t="shared" si="9"/>
        <v>Iron</v>
      </c>
    </row>
    <row r="39" spans="1:21" x14ac:dyDescent="0.2">
      <c r="A39" s="143" t="str">
        <f t="shared" si="3"/>
        <v>2:1:2 'G'</v>
      </c>
      <c r="B39" s="144">
        <f t="shared" si="4"/>
        <v>1586</v>
      </c>
      <c r="C39" s="2">
        <f t="shared" si="5"/>
        <v>1.1599999999999999</v>
      </c>
      <c r="D39" s="2">
        <f t="shared" si="6"/>
        <v>1.1387353472469934</v>
      </c>
      <c r="E39" s="9" t="str">
        <f t="shared" si="27"/>
        <v>Bulk Delivery</v>
      </c>
      <c r="H39" s="13" t="s">
        <v>65</v>
      </c>
      <c r="I39" s="17">
        <v>1586</v>
      </c>
      <c r="J39" s="12">
        <v>0.621849327939756</v>
      </c>
      <c r="K39" s="12">
        <v>1.0352139520427213</v>
      </c>
      <c r="L39" s="12">
        <v>1.1599999999999999</v>
      </c>
      <c r="M39" s="12">
        <f t="shared" si="0"/>
        <v>0.72083571908516175</v>
      </c>
      <c r="N39" s="12">
        <f t="shared" si="1"/>
        <v>1159.1806675635669</v>
      </c>
      <c r="O39" s="12">
        <f t="shared" si="2"/>
        <v>1182.364280914838</v>
      </c>
      <c r="P39" s="19">
        <f t="shared" si="7"/>
        <v>1.9999999999999799E-2</v>
      </c>
      <c r="R39" s="50">
        <f t="shared" si="52"/>
        <v>1.9976812495190372</v>
      </c>
      <c r="S39" s="12">
        <f t="shared" si="53"/>
        <v>1.1387353472469934</v>
      </c>
      <c r="T39" s="12">
        <f t="shared" si="8"/>
        <v>1.1387353472469934</v>
      </c>
      <c r="U39" s="51" t="str">
        <f t="shared" si="9"/>
        <v>Bulk Delivery</v>
      </c>
    </row>
    <row r="40" spans="1:21" x14ac:dyDescent="0.2">
      <c r="A40" s="143" t="str">
        <f t="shared" si="3"/>
        <v>2:1:2 'G' (Sask)</v>
      </c>
      <c r="B40" s="144">
        <f t="shared" si="4"/>
        <v>1586</v>
      </c>
      <c r="C40" s="2">
        <f t="shared" si="5"/>
        <v>1.36</v>
      </c>
      <c r="D40" s="2">
        <f t="shared" si="6"/>
        <v>1.2</v>
      </c>
      <c r="E40" s="9" t="str">
        <f t="shared" si="27"/>
        <v>Iron</v>
      </c>
      <c r="H40" s="13" t="s">
        <v>66</v>
      </c>
      <c r="I40" s="17">
        <v>1586</v>
      </c>
      <c r="J40" s="12">
        <v>0.71212512856623189</v>
      </c>
      <c r="K40" s="12">
        <v>1.0921343811893012</v>
      </c>
      <c r="L40" s="12">
        <v>1.36</v>
      </c>
      <c r="M40" s="12">
        <f t="shared" si="0"/>
        <v>0.78245879719389388</v>
      </c>
      <c r="N40" s="12">
        <f t="shared" si="1"/>
        <v>1098.7658851040258</v>
      </c>
      <c r="O40" s="12">
        <f t="shared" si="2"/>
        <v>1120.741202806106</v>
      </c>
      <c r="P40" s="19">
        <f t="shared" si="7"/>
        <v>1.9999999999999754E-2</v>
      </c>
      <c r="R40" s="50">
        <f t="shared" si="52"/>
        <v>1.8403524954466923</v>
      </c>
      <c r="S40" s="12">
        <f t="shared" si="53"/>
        <v>1.2013478193082312</v>
      </c>
      <c r="T40" s="12">
        <f t="shared" si="8"/>
        <v>1.2</v>
      </c>
      <c r="U40" s="51" t="str">
        <f t="shared" si="9"/>
        <v>Iron</v>
      </c>
    </row>
    <row r="41" spans="1:21" x14ac:dyDescent="0.2">
      <c r="A41" s="143" t="str">
        <f t="shared" si="3"/>
        <v>2:1:4 'G'</v>
      </c>
      <c r="B41" s="144">
        <f t="shared" si="4"/>
        <v>1538</v>
      </c>
      <c r="C41" s="2">
        <f t="shared" si="5"/>
        <v>1.1599999999999999</v>
      </c>
      <c r="D41" s="2">
        <f t="shared" si="6"/>
        <v>1.2</v>
      </c>
      <c r="E41" s="9" t="str">
        <f t="shared" si="27"/>
        <v>Iron</v>
      </c>
      <c r="H41" s="13" t="s">
        <v>67</v>
      </c>
      <c r="I41" s="17">
        <v>1538</v>
      </c>
      <c r="J41" s="12">
        <v>0.72889312272450579</v>
      </c>
      <c r="K41" s="12">
        <v>1.150125567441161</v>
      </c>
      <c r="L41" s="12">
        <v>1.1599999999999999</v>
      </c>
      <c r="M41" s="12">
        <f t="shared" si="0"/>
        <v>0.76050108964659113</v>
      </c>
      <c r="N41" s="12">
        <f t="shared" si="1"/>
        <v>1043.364336878278</v>
      </c>
      <c r="O41" s="12">
        <f t="shared" si="2"/>
        <v>1085.0989103534089</v>
      </c>
      <c r="P41" s="19">
        <f t="shared" si="7"/>
        <v>3.9999999999999793E-2</v>
      </c>
      <c r="R41" s="50">
        <f t="shared" si="52"/>
        <v>1.8934884112647037</v>
      </c>
      <c r="S41" s="12">
        <f t="shared" si="53"/>
        <v>1.265138124185277</v>
      </c>
      <c r="T41" s="12">
        <f t="shared" si="8"/>
        <v>1.2</v>
      </c>
      <c r="U41" s="51" t="str">
        <f t="shared" si="9"/>
        <v>Iron</v>
      </c>
    </row>
    <row r="42" spans="1:21" x14ac:dyDescent="0.2">
      <c r="A42" s="143" t="str">
        <f t="shared" si="3"/>
        <v>2:1:4 'G' (Sask)</v>
      </c>
      <c r="B42" s="144">
        <f t="shared" si="4"/>
        <v>1538</v>
      </c>
      <c r="C42" s="2">
        <f t="shared" si="5"/>
        <v>1.36</v>
      </c>
      <c r="D42" s="2">
        <f t="shared" si="6"/>
        <v>1.2</v>
      </c>
      <c r="E42" s="9" t="str">
        <f t="shared" si="27"/>
        <v>Iron</v>
      </c>
      <c r="H42" s="13" t="s">
        <v>68</v>
      </c>
      <c r="I42" s="17">
        <v>1538</v>
      </c>
      <c r="J42" s="12">
        <v>0.82424732595142014</v>
      </c>
      <c r="K42" s="12">
        <v>1.2121243991881796</v>
      </c>
      <c r="L42" s="12">
        <v>1.36</v>
      </c>
      <c r="M42" s="12">
        <f t="shared" si="0"/>
        <v>0.81600270715130541</v>
      </c>
      <c r="N42" s="12">
        <f t="shared" si="1"/>
        <v>989.99739696989855</v>
      </c>
      <c r="O42" s="12">
        <f t="shared" si="2"/>
        <v>1029.5972928486945</v>
      </c>
      <c r="P42" s="19">
        <f t="shared" si="7"/>
        <v>3.9999999999999966E-2</v>
      </c>
      <c r="R42" s="50">
        <f t="shared" si="52"/>
        <v>1.764700027806392</v>
      </c>
      <c r="S42" s="12">
        <f t="shared" si="53"/>
        <v>1.3333368391069975</v>
      </c>
      <c r="T42" s="12">
        <f t="shared" si="8"/>
        <v>1.2</v>
      </c>
      <c r="U42" s="51" t="str">
        <f t="shared" si="9"/>
        <v>Iron</v>
      </c>
    </row>
    <row r="43" spans="1:21" x14ac:dyDescent="0.2">
      <c r="A43" s="143" t="str">
        <f t="shared" si="3"/>
        <v>2:1:6 'G'</v>
      </c>
      <c r="B43" s="144">
        <f t="shared" si="4"/>
        <v>1494</v>
      </c>
      <c r="C43" s="2">
        <f t="shared" si="5"/>
        <v>1.1599999999999999</v>
      </c>
      <c r="D43" s="2">
        <f t="shared" si="6"/>
        <v>1.2</v>
      </c>
      <c r="E43" s="9" t="str">
        <f t="shared" si="27"/>
        <v>Iron</v>
      </c>
      <c r="H43" s="13" t="s">
        <v>69</v>
      </c>
      <c r="I43" s="17">
        <v>1494</v>
      </c>
      <c r="J43" s="12">
        <v>0.84802470363656712</v>
      </c>
      <c r="K43" s="12">
        <v>1.2771249689669124</v>
      </c>
      <c r="L43" s="12">
        <v>1.1599999999999999</v>
      </c>
      <c r="M43" s="12">
        <f t="shared" si="0"/>
        <v>0.79681289544206324</v>
      </c>
      <c r="N43" s="12">
        <f t="shared" si="1"/>
        <v>939.61047599805363</v>
      </c>
      <c r="O43" s="12">
        <f t="shared" si="2"/>
        <v>995.98710455793685</v>
      </c>
      <c r="P43" s="19">
        <f t="shared" si="7"/>
        <v>0.06</v>
      </c>
      <c r="R43" s="50">
        <f t="shared" si="52"/>
        <v>1.8071996678732256</v>
      </c>
      <c r="S43" s="12">
        <f t="shared" si="53"/>
        <v>1.4048374658636038</v>
      </c>
      <c r="T43" s="12">
        <f t="shared" si="8"/>
        <v>1.2</v>
      </c>
      <c r="U43" s="51" t="str">
        <f t="shared" si="9"/>
        <v>Iron</v>
      </c>
    </row>
    <row r="44" spans="1:21" x14ac:dyDescent="0.2">
      <c r="A44" s="143" t="str">
        <f t="shared" si="3"/>
        <v>2:1:6 'G' (Sask)</v>
      </c>
      <c r="B44" s="144">
        <f t="shared" si="4"/>
        <v>1494</v>
      </c>
      <c r="C44" s="2">
        <f t="shared" si="5"/>
        <v>1.36</v>
      </c>
      <c r="D44" s="2">
        <f t="shared" si="6"/>
        <v>1.2</v>
      </c>
      <c r="E44" s="9" t="str">
        <f t="shared" si="27"/>
        <v>Iron</v>
      </c>
      <c r="H44" s="13" t="s">
        <v>70</v>
      </c>
      <c r="I44" s="17">
        <v>1494</v>
      </c>
      <c r="J44" s="12">
        <v>0.94890107001503765</v>
      </c>
      <c r="K44" s="12">
        <v>1.3446459638654871</v>
      </c>
      <c r="L44" s="12">
        <v>1.36</v>
      </c>
      <c r="M44" s="12">
        <f t="shared" si="0"/>
        <v>0.84682609000264264</v>
      </c>
      <c r="N44" s="12">
        <f t="shared" si="1"/>
        <v>892.42821697863894</v>
      </c>
      <c r="O44" s="12">
        <f t="shared" si="2"/>
        <v>945.97390999735717</v>
      </c>
      <c r="P44" s="19">
        <f t="shared" si="7"/>
        <v>5.9999999999999873E-2</v>
      </c>
      <c r="R44" s="50">
        <f t="shared" si="52"/>
        <v>1.7004672116272495</v>
      </c>
      <c r="S44" s="12">
        <f t="shared" si="53"/>
        <v>1.4791105602520358</v>
      </c>
      <c r="T44" s="12">
        <f t="shared" si="8"/>
        <v>1.2</v>
      </c>
      <c r="U44" s="51" t="str">
        <f t="shared" si="9"/>
        <v>Iron</v>
      </c>
    </row>
    <row r="45" spans="1:21" x14ac:dyDescent="0.2">
      <c r="A45" s="143" t="str">
        <f t="shared" si="3"/>
        <v>2:1:8 'G'</v>
      </c>
      <c r="B45" s="144">
        <f t="shared" si="4"/>
        <v>1464</v>
      </c>
      <c r="C45" s="2">
        <f t="shared" si="5"/>
        <v>1.1599999999999999</v>
      </c>
      <c r="D45" s="2">
        <f t="shared" si="6"/>
        <v>1.2</v>
      </c>
      <c r="E45" s="9" t="str">
        <f t="shared" si="27"/>
        <v>Iron</v>
      </c>
      <c r="H45" s="13" t="s">
        <v>71</v>
      </c>
      <c r="I45" s="17">
        <v>1464</v>
      </c>
      <c r="J45" s="12">
        <v>0.94887655641795765</v>
      </c>
      <c r="K45" s="12">
        <v>1.385844642361993</v>
      </c>
      <c r="L45" s="12">
        <v>1.1599999999999999</v>
      </c>
      <c r="M45" s="12">
        <f t="shared" si="0"/>
        <v>0.82163024115088701</v>
      </c>
      <c r="N45" s="12">
        <f t="shared" si="1"/>
        <v>865.89792486028955</v>
      </c>
      <c r="O45" s="12">
        <f t="shared" si="2"/>
        <v>935.16975884911278</v>
      </c>
      <c r="P45" s="19">
        <f t="shared" si="7"/>
        <v>8.0000000000000085E-2</v>
      </c>
      <c r="R45" s="50">
        <f t="shared" si="52"/>
        <v>1.7526131925024329</v>
      </c>
      <c r="S45" s="12">
        <f t="shared" si="53"/>
        <v>1.5244291065981923</v>
      </c>
      <c r="T45" s="12">
        <f t="shared" si="8"/>
        <v>1.2</v>
      </c>
      <c r="U45" s="51" t="str">
        <f t="shared" si="9"/>
        <v>Iron</v>
      </c>
    </row>
    <row r="46" spans="1:21" x14ac:dyDescent="0.2">
      <c r="A46" s="143" t="str">
        <f t="shared" si="3"/>
        <v>2:1:8 'G' (Sask)</v>
      </c>
      <c r="B46" s="144">
        <f t="shared" si="4"/>
        <v>1464</v>
      </c>
      <c r="C46" s="2">
        <f t="shared" si="5"/>
        <v>1.36</v>
      </c>
      <c r="D46" s="2">
        <f t="shared" si="6"/>
        <v>1.2</v>
      </c>
      <c r="E46" s="9" t="str">
        <f t="shared" si="27"/>
        <v>Iron</v>
      </c>
      <c r="H46" s="13" t="s">
        <v>72</v>
      </c>
      <c r="I46" s="17">
        <v>1464</v>
      </c>
      <c r="J46" s="12">
        <v>1.0541185043631462</v>
      </c>
      <c r="K46" s="12">
        <v>1.4577312188272857</v>
      </c>
      <c r="L46" s="12">
        <v>1.36</v>
      </c>
      <c r="M46" s="12">
        <f t="shared" si="0"/>
        <v>0.86774721491757245</v>
      </c>
      <c r="N46" s="12">
        <f t="shared" si="1"/>
        <v>823.19702322446983</v>
      </c>
      <c r="O46" s="12">
        <f t="shared" si="2"/>
        <v>889.05278508242759</v>
      </c>
      <c r="P46" s="19">
        <f t="shared" si="7"/>
        <v>8.000000000000021E-2</v>
      </c>
      <c r="R46" s="50">
        <f t="shared" si="52"/>
        <v>1.6594694575156728</v>
      </c>
      <c r="S46" s="12">
        <f t="shared" si="53"/>
        <v>1.6035043407100142</v>
      </c>
      <c r="T46" s="12">
        <f t="shared" si="8"/>
        <v>1.2</v>
      </c>
      <c r="U46" s="51" t="str">
        <f t="shared" si="9"/>
        <v>Iron</v>
      </c>
    </row>
    <row r="47" spans="1:21" x14ac:dyDescent="0.2">
      <c r="A47" s="143" t="str">
        <f t="shared" si="3"/>
        <v>ASC (IV)</v>
      </c>
      <c r="B47" s="144">
        <f t="shared" si="4"/>
        <v>1750</v>
      </c>
      <c r="C47" s="2">
        <f t="shared" si="5"/>
        <v>1.35</v>
      </c>
      <c r="D47" s="2">
        <f>T47</f>
        <v>0.97167598503133512</v>
      </c>
      <c r="E47" s="9" t="str">
        <f t="shared" si="27"/>
        <v>Bulk Delivery</v>
      </c>
      <c r="H47" s="13" t="s">
        <v>73</v>
      </c>
      <c r="I47" s="17">
        <v>1750</v>
      </c>
      <c r="J47" s="12">
        <v>0.54584815800439679</v>
      </c>
      <c r="K47" s="12">
        <v>0.88334180457394107</v>
      </c>
      <c r="L47" s="12">
        <v>1.35</v>
      </c>
      <c r="M47" s="12">
        <f t="shared" si="0"/>
        <v>0.74152246187556858</v>
      </c>
      <c r="N47" s="12">
        <f t="shared" si="1"/>
        <v>1358.4775381244312</v>
      </c>
      <c r="O47" s="12">
        <f t="shared" si="2"/>
        <v>1358.4775381244317</v>
      </c>
      <c r="P47" s="19">
        <f t="shared" si="7"/>
        <v>3.3474778796439036E-16</v>
      </c>
      <c r="R47" s="50">
        <f t="shared" si="52"/>
        <v>1.9419506138192206</v>
      </c>
      <c r="S47" s="12">
        <f t="shared" si="53"/>
        <v>0.97167598503133512</v>
      </c>
      <c r="T47" s="12">
        <f t="shared" si="8"/>
        <v>0.97167598503133512</v>
      </c>
      <c r="U47" s="51" t="str">
        <f t="shared" si="9"/>
        <v>Bulk Delivery</v>
      </c>
    </row>
    <row r="48" spans="1:21" x14ac:dyDescent="0.2">
      <c r="A48" s="143" t="str">
        <f t="shared" si="3"/>
        <v>Expandomix</v>
      </c>
      <c r="B48" s="144">
        <f t="shared" si="4"/>
        <v>1770</v>
      </c>
      <c r="C48" s="2">
        <f t="shared" si="5"/>
        <v>1.42</v>
      </c>
      <c r="D48" s="2">
        <f t="shared" si="6"/>
        <v>0.97466931788373767</v>
      </c>
      <c r="E48" s="9" t="str">
        <f t="shared" si="27"/>
        <v>Bulk Delivery</v>
      </c>
      <c r="H48" s="13" t="s">
        <v>74</v>
      </c>
      <c r="I48" s="17">
        <v>1770</v>
      </c>
      <c r="J48" s="12">
        <v>0.56833153877655973</v>
      </c>
      <c r="K48" s="12">
        <v>0.88606301625794337</v>
      </c>
      <c r="L48" s="12">
        <v>1.42</v>
      </c>
      <c r="M48" s="12">
        <f t="shared" si="0"/>
        <v>0.76969451835616853</v>
      </c>
      <c r="N48" s="12">
        <f t="shared" si="1"/>
        <v>1354.3054816438314</v>
      </c>
      <c r="O48" s="12">
        <f t="shared" si="2"/>
        <v>1354.3054816438314</v>
      </c>
      <c r="P48" s="19">
        <f t="shared" si="7"/>
        <v>0</v>
      </c>
      <c r="R48" s="50">
        <f t="shared" si="52"/>
        <v>1.8708721001097921</v>
      </c>
      <c r="S48" s="12">
        <f t="shared" si="53"/>
        <v>0.97466931788373767</v>
      </c>
      <c r="T48" s="12">
        <f t="shared" si="8"/>
        <v>0.97466931788373767</v>
      </c>
      <c r="U48" s="51" t="str">
        <f t="shared" si="9"/>
        <v>Bulk Delivery</v>
      </c>
    </row>
    <row r="49" spans="1:21" x14ac:dyDescent="0.2">
      <c r="A49" s="143" t="str">
        <f t="shared" si="3"/>
        <v>Expandomix HT</v>
      </c>
      <c r="B49" s="144">
        <f t="shared" si="4"/>
        <v>1780</v>
      </c>
      <c r="C49" s="2">
        <f t="shared" si="5"/>
        <v>1.22</v>
      </c>
      <c r="D49" s="2">
        <f t="shared" si="6"/>
        <v>0.88578320443051484</v>
      </c>
      <c r="E49" s="9" t="str">
        <f t="shared" si="27"/>
        <v>Bulk Delivery</v>
      </c>
      <c r="H49" s="13" t="s">
        <v>75</v>
      </c>
      <c r="I49" s="17">
        <v>1780</v>
      </c>
      <c r="J49" s="12">
        <v>0.43335827626028761</v>
      </c>
      <c r="K49" s="12">
        <v>0.80525745857319531</v>
      </c>
      <c r="L49" s="12">
        <v>1.22</v>
      </c>
      <c r="M49" s="12">
        <f t="shared" si="0"/>
        <v>0.64579337449884178</v>
      </c>
      <c r="N49" s="12">
        <f t="shared" si="1"/>
        <v>1490.2066255011582</v>
      </c>
      <c r="O49" s="12">
        <f t="shared" si="2"/>
        <v>1490.2066255011582</v>
      </c>
      <c r="P49" s="19">
        <f t="shared" si="7"/>
        <v>0</v>
      </c>
      <c r="R49" s="50">
        <f t="shared" si="52"/>
        <v>2.2298153819207114</v>
      </c>
      <c r="S49" s="12">
        <f t="shared" si="53"/>
        <v>0.88578320443051484</v>
      </c>
      <c r="T49" s="12">
        <f t="shared" si="8"/>
        <v>0.88578320443051484</v>
      </c>
      <c r="U49" s="51" t="str">
        <f t="shared" si="9"/>
        <v>Bulk Delivery</v>
      </c>
    </row>
    <row r="50" spans="1:21" x14ac:dyDescent="0.2">
      <c r="A50" s="143" t="str">
        <f t="shared" si="3"/>
        <v>Expandomix HT (SK)</v>
      </c>
      <c r="B50" s="144">
        <f t="shared" si="4"/>
        <v>1780</v>
      </c>
      <c r="C50" s="2">
        <f t="shared" si="5"/>
        <v>1.28</v>
      </c>
      <c r="D50" s="2">
        <f t="shared" si="6"/>
        <v>0.91638279609568019</v>
      </c>
      <c r="E50" s="9" t="str">
        <f t="shared" si="27"/>
        <v>Bulk Delivery</v>
      </c>
      <c r="H50" s="13" t="s">
        <v>76</v>
      </c>
      <c r="I50" s="17">
        <v>1780</v>
      </c>
      <c r="J50" s="12">
        <v>0.48287397913664609</v>
      </c>
      <c r="K50" s="12">
        <v>0.8330752691778911</v>
      </c>
      <c r="L50" s="12">
        <v>1.28</v>
      </c>
      <c r="M50" s="12">
        <f t="shared" si="0"/>
        <v>0.6955539270008535</v>
      </c>
      <c r="N50" s="12">
        <f t="shared" si="1"/>
        <v>1440.4460729991463</v>
      </c>
      <c r="O50" s="12">
        <f t="shared" si="2"/>
        <v>1440.4460729991463</v>
      </c>
      <c r="P50" s="19">
        <f t="shared" si="7"/>
        <v>0</v>
      </c>
      <c r="R50" s="50">
        <f t="shared" si="52"/>
        <v>2.0702923872619192</v>
      </c>
      <c r="S50" s="12">
        <f t="shared" si="53"/>
        <v>0.91638279609568019</v>
      </c>
      <c r="T50" s="12">
        <f t="shared" si="8"/>
        <v>0.91638279609568019</v>
      </c>
      <c r="U50" s="51" t="str">
        <f t="shared" si="9"/>
        <v>Bulk Delivery</v>
      </c>
    </row>
    <row r="51" spans="1:21" x14ac:dyDescent="0.2">
      <c r="A51" s="143" t="str">
        <f t="shared" si="3"/>
        <v>Expandomix LWL</v>
      </c>
      <c r="B51" s="144">
        <f t="shared" si="4"/>
        <v>1770</v>
      </c>
      <c r="C51" s="2">
        <f t="shared" si="5"/>
        <v>1.42</v>
      </c>
      <c r="D51" s="2">
        <f t="shared" si="6"/>
        <v>0.97301458755899461</v>
      </c>
      <c r="E51" s="9" t="str">
        <f t="shared" si="27"/>
        <v>Bulk Delivery</v>
      </c>
      <c r="H51" s="13" t="s">
        <v>77</v>
      </c>
      <c r="I51" s="17">
        <v>1770</v>
      </c>
      <c r="J51" s="12">
        <v>0.56566892725401863</v>
      </c>
      <c r="K51" s="12">
        <v>0.8845587159627224</v>
      </c>
      <c r="L51" s="12">
        <v>1.42</v>
      </c>
      <c r="M51" s="12">
        <f t="shared" si="0"/>
        <v>0.7673913562267457</v>
      </c>
      <c r="N51" s="12">
        <f t="shared" si="1"/>
        <v>1356.608643773254</v>
      </c>
      <c r="O51" s="12">
        <f t="shared" si="2"/>
        <v>1356.6086437732542</v>
      </c>
      <c r="P51" s="19">
        <f t="shared" si="7"/>
        <v>1.6760447199482512E-16</v>
      </c>
      <c r="R51" s="50">
        <f t="shared" si="52"/>
        <v>1.8764871252661262</v>
      </c>
      <c r="S51" s="12">
        <f t="shared" si="53"/>
        <v>0.97301458755899461</v>
      </c>
      <c r="T51" s="12">
        <f t="shared" si="8"/>
        <v>0.97301458755899461</v>
      </c>
      <c r="U51" s="51" t="str">
        <f t="shared" si="9"/>
        <v>Bulk Delivery</v>
      </c>
    </row>
    <row r="52" spans="1:21" x14ac:dyDescent="0.2">
      <c r="A52" s="143" t="str">
        <f t="shared" si="3"/>
        <v>Glacial Mix</v>
      </c>
      <c r="B52" s="144">
        <f t="shared" si="4"/>
        <v>1850</v>
      </c>
      <c r="C52" s="2">
        <f t="shared" si="5"/>
        <v>1.52</v>
      </c>
      <c r="D52" s="2">
        <f t="shared" si="6"/>
        <v>0.8426950298938457</v>
      </c>
      <c r="E52" s="9" t="str">
        <f t="shared" si="27"/>
        <v>Bulk Delivery</v>
      </c>
      <c r="H52" s="13" t="s">
        <v>78</v>
      </c>
      <c r="I52" s="17">
        <v>1850</v>
      </c>
      <c r="J52" s="12">
        <v>0.41725982300328601</v>
      </c>
      <c r="K52" s="12">
        <v>0.766086390812587</v>
      </c>
      <c r="L52" s="12">
        <v>1.52</v>
      </c>
      <c r="M52" s="12">
        <f t="shared" si="0"/>
        <v>0.65359702718754575</v>
      </c>
      <c r="N52" s="12">
        <f t="shared" si="1"/>
        <v>1566.4029728124542</v>
      </c>
      <c r="O52" s="12">
        <f t="shared" si="2"/>
        <v>1566.4029728124542</v>
      </c>
      <c r="P52" s="19">
        <f t="shared" si="7"/>
        <v>0</v>
      </c>
      <c r="R52" s="50">
        <f t="shared" si="52"/>
        <v>2.2031923954678585</v>
      </c>
      <c r="S52" s="12">
        <f t="shared" si="53"/>
        <v>0.8426950298938457</v>
      </c>
      <c r="T52" s="12">
        <f t="shared" si="8"/>
        <v>0.8426950298938457</v>
      </c>
      <c r="U52" s="51" t="str">
        <f t="shared" si="9"/>
        <v>Bulk Delivery</v>
      </c>
    </row>
    <row r="53" spans="1:21" x14ac:dyDescent="0.2">
      <c r="A53" s="143" t="str">
        <f t="shared" si="3"/>
        <v>iBond</v>
      </c>
      <c r="B53" s="144">
        <f t="shared" si="4"/>
        <v>1780</v>
      </c>
      <c r="C53" s="2">
        <f t="shared" si="5"/>
        <v>1.24</v>
      </c>
      <c r="D53" s="2">
        <f t="shared" si="6"/>
        <v>0.92381265268925161</v>
      </c>
      <c r="E53" s="9" t="str">
        <f t="shared" si="27"/>
        <v>Bulk Delivery</v>
      </c>
      <c r="H53" s="13" t="s">
        <v>79</v>
      </c>
      <c r="I53" s="17">
        <v>1780</v>
      </c>
      <c r="J53" s="12">
        <v>0.49489683798806178</v>
      </c>
      <c r="K53" s="12">
        <v>0.83982968426295601</v>
      </c>
      <c r="L53" s="12">
        <v>1.24</v>
      </c>
      <c r="M53" s="12">
        <f t="shared" si="0"/>
        <v>0.70713886007359528</v>
      </c>
      <c r="N53" s="12">
        <f t="shared" si="1"/>
        <v>1428.8611399264048</v>
      </c>
      <c r="O53" s="12">
        <f t="shared" si="2"/>
        <v>1428.8611399264048</v>
      </c>
      <c r="P53" s="19">
        <f t="shared" si="7"/>
        <v>0</v>
      </c>
      <c r="R53" s="50">
        <f t="shared" si="52"/>
        <v>2.0363751468136435</v>
      </c>
      <c r="S53" s="12">
        <f t="shared" si="53"/>
        <v>0.92381265268925161</v>
      </c>
      <c r="T53" s="12">
        <f t="shared" si="8"/>
        <v>0.92381265268925161</v>
      </c>
      <c r="U53" s="51" t="str">
        <f t="shared" si="9"/>
        <v>Bulk Delivery</v>
      </c>
    </row>
    <row r="54" spans="1:21" x14ac:dyDescent="0.2">
      <c r="A54" s="143" t="str">
        <f t="shared" si="3"/>
        <v>iGain (SK)</v>
      </c>
      <c r="B54" s="144">
        <f t="shared" si="4"/>
        <v>1500</v>
      </c>
      <c r="C54" s="2">
        <f t="shared" si="5"/>
        <v>1.2</v>
      </c>
      <c r="D54" s="2">
        <f t="shared" si="6"/>
        <v>1.2</v>
      </c>
      <c r="E54" s="9" t="str">
        <f t="shared" si="27"/>
        <v>Iron</v>
      </c>
      <c r="H54" s="13" t="s">
        <v>80</v>
      </c>
      <c r="I54" s="17">
        <v>1500</v>
      </c>
      <c r="J54" s="12">
        <v>0.91838026491703206</v>
      </c>
      <c r="K54" s="12">
        <v>1.2789201766113547</v>
      </c>
      <c r="L54" s="12">
        <v>1.2</v>
      </c>
      <c r="M54" s="12">
        <f t="shared" si="0"/>
        <v>0.86170844596451879</v>
      </c>
      <c r="N54" s="12">
        <f t="shared" si="1"/>
        <v>938.29155403548111</v>
      </c>
      <c r="O54" s="12">
        <f t="shared" si="2"/>
        <v>938.29155403548111</v>
      </c>
      <c r="P54" s="19">
        <f t="shared" si="7"/>
        <v>0</v>
      </c>
      <c r="R54" s="50">
        <f t="shared" si="52"/>
        <v>1.6710988580229054</v>
      </c>
      <c r="S54" s="12">
        <f t="shared" si="53"/>
        <v>1.4068121942724903</v>
      </c>
      <c r="T54" s="12">
        <f t="shared" si="8"/>
        <v>1.2</v>
      </c>
      <c r="U54" s="51" t="str">
        <f t="shared" si="9"/>
        <v>Iron</v>
      </c>
    </row>
    <row r="55" spans="1:21" x14ac:dyDescent="0.2">
      <c r="A55" s="143" t="str">
        <f t="shared" si="3"/>
        <v>iGain(AB)</v>
      </c>
      <c r="B55" s="144">
        <f t="shared" si="4"/>
        <v>1500</v>
      </c>
      <c r="C55" s="2">
        <f t="shared" si="5"/>
        <v>1.29</v>
      </c>
      <c r="D55" s="2">
        <f t="shared" si="6"/>
        <v>1.2</v>
      </c>
      <c r="E55" s="9" t="str">
        <f t="shared" si="27"/>
        <v>Iron</v>
      </c>
      <c r="H55" s="13" t="s">
        <v>81</v>
      </c>
      <c r="I55" s="17">
        <v>1500</v>
      </c>
      <c r="J55" s="12">
        <v>0.86876857091137505</v>
      </c>
      <c r="K55" s="12">
        <v>1.2458457139409167</v>
      </c>
      <c r="L55" s="12">
        <v>1.29</v>
      </c>
      <c r="M55" s="12">
        <f t="shared" si="0"/>
        <v>0.83679886957743377</v>
      </c>
      <c r="N55" s="12">
        <f t="shared" si="1"/>
        <v>963.20113042256617</v>
      </c>
      <c r="O55" s="12">
        <f t="shared" si="2"/>
        <v>963.20113042256617</v>
      </c>
      <c r="P55" s="19">
        <f t="shared" si="7"/>
        <v>0</v>
      </c>
      <c r="R55" s="50">
        <f t="shared" si="52"/>
        <v>1.7208436248571539</v>
      </c>
      <c r="S55" s="12">
        <f t="shared" si="53"/>
        <v>1.3704302853350083</v>
      </c>
      <c r="T55" s="12">
        <f t="shared" si="8"/>
        <v>1.2</v>
      </c>
      <c r="U55" s="51" t="str">
        <f t="shared" si="9"/>
        <v>Iron</v>
      </c>
    </row>
    <row r="56" spans="1:21" x14ac:dyDescent="0.2">
      <c r="A56" s="143" t="str">
        <f t="shared" si="3"/>
        <v>iPrime (AB)</v>
      </c>
      <c r="B56" s="144">
        <f t="shared" si="4"/>
        <v>1500</v>
      </c>
      <c r="C56" s="2">
        <f t="shared" si="5"/>
        <v>1.19</v>
      </c>
      <c r="D56" s="2">
        <f t="shared" si="6"/>
        <v>1.2</v>
      </c>
      <c r="E56" s="9" t="str">
        <f t="shared" si="27"/>
        <v>Iron</v>
      </c>
      <c r="H56" s="13" t="s">
        <v>82</v>
      </c>
      <c r="I56" s="17">
        <v>1500</v>
      </c>
      <c r="J56" s="12">
        <v>0.87362675728889072</v>
      </c>
      <c r="K56" s="12">
        <v>1.2490845048592605</v>
      </c>
      <c r="L56" s="12">
        <v>1.19</v>
      </c>
      <c r="M56" s="12">
        <f t="shared" si="0"/>
        <v>0.8392963844065866</v>
      </c>
      <c r="N56" s="12">
        <f t="shared" si="1"/>
        <v>960.70361559341336</v>
      </c>
      <c r="O56" s="12">
        <f t="shared" si="2"/>
        <v>960.70361559341313</v>
      </c>
      <c r="P56" s="19">
        <f t="shared" si="7"/>
        <v>-2.366741123408664E-16</v>
      </c>
      <c r="R56" s="50">
        <f t="shared" si="52"/>
        <v>1.7157228682906012</v>
      </c>
      <c r="S56" s="12">
        <f t="shared" si="53"/>
        <v>1.3739929553451866</v>
      </c>
      <c r="T56" s="12">
        <f t="shared" si="8"/>
        <v>1.2</v>
      </c>
      <c r="U56" s="51" t="str">
        <f t="shared" si="9"/>
        <v>Iron</v>
      </c>
    </row>
    <row r="57" spans="1:21" x14ac:dyDescent="0.2">
      <c r="A57" s="143" t="str">
        <f t="shared" si="3"/>
        <v>iPrime (SK)</v>
      </c>
      <c r="B57" s="144">
        <f t="shared" si="4"/>
        <v>1500</v>
      </c>
      <c r="C57" s="2">
        <f t="shared" si="5"/>
        <v>1.25</v>
      </c>
      <c r="D57" s="2">
        <f t="shared" si="6"/>
        <v>1.2</v>
      </c>
      <c r="E57" s="9" t="str">
        <f t="shared" si="27"/>
        <v>Iron</v>
      </c>
      <c r="H57" s="13" t="s">
        <v>83</v>
      </c>
      <c r="I57" s="17">
        <v>1500</v>
      </c>
      <c r="J57" s="12">
        <v>0.91841598445516726</v>
      </c>
      <c r="K57" s="12">
        <v>1.2789439896367782</v>
      </c>
      <c r="L57" s="12">
        <v>1.25</v>
      </c>
      <c r="M57" s="12">
        <f t="shared" si="0"/>
        <v>0.86172591628441697</v>
      </c>
      <c r="N57" s="12">
        <f t="shared" si="1"/>
        <v>938.27408371558283</v>
      </c>
      <c r="O57" s="12">
        <f t="shared" si="2"/>
        <v>938.27408371558295</v>
      </c>
      <c r="P57" s="19">
        <f t="shared" si="7"/>
        <v>1.2116591483739383E-16</v>
      </c>
      <c r="R57" s="50">
        <f t="shared" si="52"/>
        <v>1.6710649787684007</v>
      </c>
      <c r="S57" s="12">
        <f t="shared" si="53"/>
        <v>1.4068383886004561</v>
      </c>
      <c r="T57" s="12">
        <f t="shared" si="8"/>
        <v>1.2</v>
      </c>
      <c r="U57" s="51" t="str">
        <f t="shared" si="9"/>
        <v>Iron</v>
      </c>
    </row>
    <row r="58" spans="1:21" x14ac:dyDescent="0.2">
      <c r="A58" s="143" t="str">
        <f t="shared" si="3"/>
        <v>LCS 1600</v>
      </c>
      <c r="B58" s="144">
        <f t="shared" si="4"/>
        <v>1600</v>
      </c>
      <c r="C58" s="2">
        <f t="shared" si="5"/>
        <v>1.19</v>
      </c>
      <c r="D58" s="2">
        <f t="shared" si="6"/>
        <v>1.0994552673007083</v>
      </c>
      <c r="E58" s="9" t="str">
        <f t="shared" si="27"/>
        <v>Bulk Delivery</v>
      </c>
      <c r="H58" s="13" t="s">
        <v>84</v>
      </c>
      <c r="I58" s="17">
        <v>1600</v>
      </c>
      <c r="J58" s="12">
        <v>0.59920766152830318</v>
      </c>
      <c r="K58" s="12">
        <v>0.99950478845518942</v>
      </c>
      <c r="L58" s="12">
        <v>1.19</v>
      </c>
      <c r="M58" s="12">
        <f t="shared" si="0"/>
        <v>0.71940545171905479</v>
      </c>
      <c r="N58" s="12">
        <f t="shared" si="1"/>
        <v>1200.5945482809452</v>
      </c>
      <c r="O58" s="12">
        <f t="shared" si="2"/>
        <v>1200.5945482809452</v>
      </c>
      <c r="P58" s="19">
        <f t="shared" si="7"/>
        <v>0</v>
      </c>
      <c r="R58" s="50">
        <f t="shared" si="52"/>
        <v>2.0016528878938145</v>
      </c>
      <c r="S58" s="12">
        <f t="shared" si="53"/>
        <v>1.0994552673007083</v>
      </c>
      <c r="T58" s="12">
        <f t="shared" si="8"/>
        <v>1.0994552673007083</v>
      </c>
      <c r="U58" s="51" t="str">
        <f t="shared" si="9"/>
        <v>Bulk Delivery</v>
      </c>
    </row>
    <row r="59" spans="1:21" x14ac:dyDescent="0.2">
      <c r="A59" s="143" t="str">
        <f t="shared" si="3"/>
        <v>LCS 1820</v>
      </c>
      <c r="B59" s="144">
        <f t="shared" si="4"/>
        <v>1820</v>
      </c>
      <c r="C59" s="2">
        <f t="shared" si="5"/>
        <v>1.41</v>
      </c>
      <c r="D59" s="2">
        <f t="shared" si="6"/>
        <v>0.9082701753511192</v>
      </c>
      <c r="E59" s="9" t="str">
        <f t="shared" si="27"/>
        <v>Bulk Delivery</v>
      </c>
      <c r="H59" s="13" t="s">
        <v>85</v>
      </c>
      <c r="I59" s="17">
        <v>1820</v>
      </c>
      <c r="J59" s="12">
        <v>0.50277429012639729</v>
      </c>
      <c r="K59" s="12">
        <v>0.82570015941010833</v>
      </c>
      <c r="L59" s="12">
        <v>1.41</v>
      </c>
      <c r="M59" s="12">
        <f t="shared" si="0"/>
        <v>0.73068793953328459</v>
      </c>
      <c r="N59" s="12">
        <f t="shared" si="1"/>
        <v>1453.3120604667156</v>
      </c>
      <c r="O59" s="12">
        <f t="shared" si="2"/>
        <v>1453.3120604667154</v>
      </c>
      <c r="P59" s="19">
        <f t="shared" si="7"/>
        <v>-1.5645206671594911E-16</v>
      </c>
      <c r="R59" s="50">
        <f t="shared" si="52"/>
        <v>1.9707455427822951</v>
      </c>
      <c r="S59" s="12">
        <f t="shared" si="53"/>
        <v>0.9082701753511192</v>
      </c>
      <c r="T59" s="12">
        <f t="shared" si="8"/>
        <v>0.9082701753511192</v>
      </c>
      <c r="U59" s="51" t="str">
        <f t="shared" si="9"/>
        <v>Bulk Delivery</v>
      </c>
    </row>
    <row r="60" spans="1:21" x14ac:dyDescent="0.2">
      <c r="A60" s="143" t="str">
        <f t="shared" si="3"/>
        <v>LDP-C-1316</v>
      </c>
      <c r="B60" s="144">
        <f t="shared" si="4"/>
        <v>1640</v>
      </c>
      <c r="C60" s="2">
        <f t="shared" si="5"/>
        <v>1.125</v>
      </c>
      <c r="D60" s="2">
        <f t="shared" si="6"/>
        <v>1.0621358082706769</v>
      </c>
      <c r="E60" s="9" t="str">
        <f t="shared" si="27"/>
        <v>Bulk Delivery</v>
      </c>
      <c r="H60" s="13" t="s">
        <v>86</v>
      </c>
      <c r="I60" s="17">
        <v>1640</v>
      </c>
      <c r="J60" s="12">
        <v>0.58354793233082725</v>
      </c>
      <c r="K60" s="12">
        <v>0.96557800751879719</v>
      </c>
      <c r="L60" s="12">
        <v>1.125</v>
      </c>
      <c r="M60" s="12">
        <f t="shared" si="0"/>
        <v>0.72522107312325113</v>
      </c>
      <c r="N60" s="12">
        <f t="shared" si="1"/>
        <v>1242.7789268767485</v>
      </c>
      <c r="O60" s="12">
        <f t="shared" si="2"/>
        <v>1242.778926876749</v>
      </c>
      <c r="P60" s="19">
        <f t="shared" si="7"/>
        <v>3.6591170082783621E-16</v>
      </c>
      <c r="R60" s="50">
        <f t="shared" si="52"/>
        <v>1.9856014301935108</v>
      </c>
      <c r="S60" s="12">
        <f t="shared" si="53"/>
        <v>1.0621358082706769</v>
      </c>
      <c r="T60" s="12">
        <f t="shared" si="8"/>
        <v>1.0621358082706769</v>
      </c>
      <c r="U60" s="51" t="str">
        <f t="shared" si="9"/>
        <v>Bulk Delivery</v>
      </c>
    </row>
    <row r="61" spans="1:21" x14ac:dyDescent="0.2">
      <c r="A61" s="143" t="str">
        <f t="shared" si="3"/>
        <v>LITEmix 1325 (AB)</v>
      </c>
      <c r="B61" s="144">
        <f t="shared" si="4"/>
        <v>1325</v>
      </c>
      <c r="C61" s="2">
        <f t="shared" si="5"/>
        <v>1.1074999999999999</v>
      </c>
      <c r="D61" s="2">
        <f t="shared" si="6"/>
        <v>1.2</v>
      </c>
      <c r="E61" s="9" t="str">
        <f t="shared" ref="E61:E98" si="54">U61</f>
        <v>Iron</v>
      </c>
      <c r="H61" s="38" t="s">
        <v>87</v>
      </c>
      <c r="I61" s="39">
        <v>1325</v>
      </c>
      <c r="J61" s="2">
        <v>1.4948013836652572</v>
      </c>
      <c r="K61" s="2">
        <v>1.8828689688039677</v>
      </c>
      <c r="L61" s="2">
        <v>1.1074999999999999</v>
      </c>
      <c r="M61" s="12">
        <f t="shared" ref="M61:M98" si="55">$B$3*J61/K61</f>
        <v>0.95267471614752797</v>
      </c>
      <c r="N61" s="12">
        <f t="shared" ref="N61:N98" si="56">$B$3/K61*1000</f>
        <v>637.32528385247201</v>
      </c>
      <c r="O61" s="12">
        <f t="shared" ref="O61:O98" si="57">$B$3*(I61-($D$3*J61/K61))</f>
        <v>637.32528385247201</v>
      </c>
      <c r="P61" s="19">
        <f t="shared" ref="P61:P98" si="58">(O61-N61)/N61</f>
        <v>0</v>
      </c>
      <c r="R61" s="50">
        <f t="shared" ref="R61:R98" si="59">$K$4*K61/J61</f>
        <v>1.5115337644554496</v>
      </c>
      <c r="S61" s="12">
        <f t="shared" ref="S61:S98" si="60">K61*$K$5/1000</f>
        <v>2.0711558656843643</v>
      </c>
      <c r="T61" s="12">
        <f t="shared" ref="T61:T98" si="61">IF(MIN(R61:S61)&gt;1.2,1.2,MIN(R61:S61))</f>
        <v>1.2</v>
      </c>
      <c r="U61" s="51" t="str">
        <f t="shared" ref="U61:U98" si="62">IF(MIN(R61:S61)&gt;1.2,"Iron",IF(S61&gt;R61,"Mix Water", "Bulk Delivery"))</f>
        <v>Iron</v>
      </c>
    </row>
    <row r="62" spans="1:21" x14ac:dyDescent="0.2">
      <c r="A62" s="143" t="str">
        <f t="shared" si="3"/>
        <v>LITEmix 1325 (SK)</v>
      </c>
      <c r="B62" s="144">
        <f t="shared" si="4"/>
        <v>1325</v>
      </c>
      <c r="C62" s="2">
        <f t="shared" si="5"/>
        <v>1.0528999999999999</v>
      </c>
      <c r="D62" s="2">
        <f t="shared" si="6"/>
        <v>1.2</v>
      </c>
      <c r="E62" s="9" t="str">
        <f t="shared" si="54"/>
        <v>Iron</v>
      </c>
      <c r="H62" s="38" t="s">
        <v>88</v>
      </c>
      <c r="I62" s="39">
        <v>1325</v>
      </c>
      <c r="J62" s="2">
        <v>1.5694654081653474</v>
      </c>
      <c r="K62" s="2">
        <v>1.9392191759738471</v>
      </c>
      <c r="L62" s="2">
        <v>1.0528999999999999</v>
      </c>
      <c r="M62" s="12">
        <f t="shared" si="55"/>
        <v>0.97119423793477189</v>
      </c>
      <c r="N62" s="12">
        <f t="shared" si="56"/>
        <v>618.80576206522801</v>
      </c>
      <c r="O62" s="12">
        <f t="shared" si="57"/>
        <v>618.80576206522812</v>
      </c>
      <c r="P62" s="19">
        <f t="shared" si="58"/>
        <v>1.837197464713206E-16</v>
      </c>
      <c r="R62" s="50">
        <f t="shared" si="59"/>
        <v>1.4827106090148718</v>
      </c>
      <c r="S62" s="12">
        <f t="shared" si="60"/>
        <v>2.1331410935712318</v>
      </c>
      <c r="T62" s="12">
        <f t="shared" si="61"/>
        <v>1.2</v>
      </c>
      <c r="U62" s="51" t="str">
        <f t="shared" si="62"/>
        <v>Iron</v>
      </c>
    </row>
    <row r="63" spans="1:21" x14ac:dyDescent="0.2">
      <c r="A63" s="143" t="str">
        <f t="shared" si="3"/>
        <v>LITEmix 1400 (AB)</v>
      </c>
      <c r="B63" s="144">
        <f t="shared" si="4"/>
        <v>1400</v>
      </c>
      <c r="C63" s="2">
        <f t="shared" si="5"/>
        <v>1.1157999999999999</v>
      </c>
      <c r="D63" s="2">
        <f t="shared" si="6"/>
        <v>1.2</v>
      </c>
      <c r="E63" s="9" t="str">
        <f t="shared" si="54"/>
        <v>Iron</v>
      </c>
      <c r="H63" s="38" t="s">
        <v>89</v>
      </c>
      <c r="I63" s="39">
        <v>1400</v>
      </c>
      <c r="J63" s="2">
        <v>1.143406215785254</v>
      </c>
      <c r="K63" s="2">
        <v>1.5310044398466101</v>
      </c>
      <c r="L63" s="2">
        <v>1.1157999999999999</v>
      </c>
      <c r="M63" s="12">
        <f t="shared" si="55"/>
        <v>0.89620083602094136</v>
      </c>
      <c r="N63" s="12">
        <f t="shared" si="56"/>
        <v>783.79916397905868</v>
      </c>
      <c r="O63" s="12">
        <f t="shared" si="57"/>
        <v>783.79916397905856</v>
      </c>
      <c r="P63" s="19">
        <f t="shared" si="58"/>
        <v>-1.4504587775326267E-16</v>
      </c>
      <c r="R63" s="50">
        <f t="shared" si="59"/>
        <v>1.6067827010667415</v>
      </c>
      <c r="S63" s="12">
        <f t="shared" si="60"/>
        <v>1.6841048838312711</v>
      </c>
      <c r="T63" s="12">
        <f t="shared" si="61"/>
        <v>1.2</v>
      </c>
      <c r="U63" s="51" t="str">
        <f t="shared" si="62"/>
        <v>Iron</v>
      </c>
    </row>
    <row r="64" spans="1:21" x14ac:dyDescent="0.2">
      <c r="A64" s="143" t="str">
        <f t="shared" si="3"/>
        <v>LITEmix 1400 (SK)</v>
      </c>
      <c r="B64" s="144">
        <f t="shared" si="4"/>
        <v>1400</v>
      </c>
      <c r="C64" s="2">
        <f t="shared" si="5"/>
        <v>1.1284000000000001</v>
      </c>
      <c r="D64" s="2">
        <f t="shared" si="6"/>
        <v>1.2</v>
      </c>
      <c r="E64" s="9" t="str">
        <f t="shared" si="54"/>
        <v>Iron</v>
      </c>
      <c r="H64" s="38" t="s">
        <v>90</v>
      </c>
      <c r="I64" s="39">
        <v>1400</v>
      </c>
      <c r="J64" s="2">
        <v>1.212613866058478</v>
      </c>
      <c r="K64" s="2">
        <v>1.5804384757560559</v>
      </c>
      <c r="L64" s="2">
        <v>1.1284000000000001</v>
      </c>
      <c r="M64" s="12">
        <f t="shared" si="55"/>
        <v>0.92071704251192688</v>
      </c>
      <c r="N64" s="12">
        <f t="shared" si="56"/>
        <v>759.28295748807284</v>
      </c>
      <c r="O64" s="12">
        <f t="shared" si="57"/>
        <v>759.28295748807307</v>
      </c>
      <c r="P64" s="19">
        <f t="shared" si="58"/>
        <v>2.9945842087046154E-16</v>
      </c>
      <c r="R64" s="50">
        <f t="shared" si="59"/>
        <v>1.5639984202653077</v>
      </c>
      <c r="S64" s="12">
        <f t="shared" si="60"/>
        <v>1.7384823233316615</v>
      </c>
      <c r="T64" s="12">
        <f t="shared" si="61"/>
        <v>1.2</v>
      </c>
      <c r="U64" s="51" t="str">
        <f t="shared" si="62"/>
        <v>Iron</v>
      </c>
    </row>
    <row r="65" spans="1:21" x14ac:dyDescent="0.2">
      <c r="A65" s="143" t="str">
        <f t="shared" si="3"/>
        <v>PRODUCTIONmix 1500 PRO</v>
      </c>
      <c r="B65" s="144">
        <f t="shared" si="4"/>
        <v>1500</v>
      </c>
      <c r="C65" s="2">
        <f t="shared" si="5"/>
        <v>1.2170000000000001</v>
      </c>
      <c r="D65" s="2">
        <f t="shared" si="6"/>
        <v>1.2</v>
      </c>
      <c r="E65" s="9" t="str">
        <f t="shared" si="54"/>
        <v>Iron</v>
      </c>
      <c r="H65" s="38" t="s">
        <v>91</v>
      </c>
      <c r="I65" s="39">
        <v>1500</v>
      </c>
      <c r="J65" s="2">
        <v>0.88744141005571009</v>
      </c>
      <c r="K65" s="2">
        <v>1.2582942733704734</v>
      </c>
      <c r="L65" s="2">
        <v>1.2170000000000001</v>
      </c>
      <c r="M65" s="12">
        <f t="shared" si="55"/>
        <v>0.84632801293319571</v>
      </c>
      <c r="N65" s="12">
        <f t="shared" si="56"/>
        <v>953.67198706680426</v>
      </c>
      <c r="O65" s="12">
        <f t="shared" si="57"/>
        <v>953.67198706680426</v>
      </c>
      <c r="P65" s="19">
        <f t="shared" si="58"/>
        <v>0</v>
      </c>
      <c r="R65" s="50">
        <f t="shared" si="59"/>
        <v>1.7014679627692593</v>
      </c>
      <c r="S65" s="12">
        <f t="shared" si="60"/>
        <v>1.3841237007075209</v>
      </c>
      <c r="T65" s="12">
        <f t="shared" si="61"/>
        <v>1.2</v>
      </c>
      <c r="U65" s="51" t="str">
        <f t="shared" si="62"/>
        <v>Iron</v>
      </c>
    </row>
    <row r="66" spans="1:21" x14ac:dyDescent="0.2">
      <c r="A66" s="143" t="str">
        <f t="shared" si="3"/>
        <v>PRODUCTIONmix 1600</v>
      </c>
      <c r="B66" s="144">
        <f t="shared" si="4"/>
        <v>1600</v>
      </c>
      <c r="C66" s="2">
        <f t="shared" si="5"/>
        <v>1.1633</v>
      </c>
      <c r="D66" s="2">
        <f t="shared" si="6"/>
        <v>1.1423017198447345</v>
      </c>
      <c r="E66" s="9" t="str">
        <f t="shared" si="54"/>
        <v>Bulk Delivery</v>
      </c>
      <c r="H66" s="38" t="s">
        <v>92</v>
      </c>
      <c r="I66" s="39">
        <v>1600</v>
      </c>
      <c r="J66" s="2">
        <v>0.66152977431961357</v>
      </c>
      <c r="K66" s="2">
        <v>1.0384561089497586</v>
      </c>
      <c r="L66" s="2">
        <v>1.1633</v>
      </c>
      <c r="M66" s="12">
        <f t="shared" si="55"/>
        <v>0.7644384026845209</v>
      </c>
      <c r="N66" s="12">
        <f t="shared" si="56"/>
        <v>1155.5615973154788</v>
      </c>
      <c r="O66" s="12">
        <f t="shared" si="57"/>
        <v>1155.561597315479</v>
      </c>
      <c r="P66" s="19">
        <f t="shared" si="58"/>
        <v>1.9676465189865337E-16</v>
      </c>
      <c r="R66" s="50">
        <f t="shared" si="59"/>
        <v>1.8837358182726975</v>
      </c>
      <c r="S66" s="12">
        <f t="shared" si="60"/>
        <v>1.1423017198447345</v>
      </c>
      <c r="T66" s="12">
        <f t="shared" si="61"/>
        <v>1.1423017198447345</v>
      </c>
      <c r="U66" s="51" t="str">
        <f t="shared" si="62"/>
        <v>Bulk Delivery</v>
      </c>
    </row>
    <row r="67" spans="1:21" x14ac:dyDescent="0.2">
      <c r="A67" s="143" t="str">
        <f t="shared" si="3"/>
        <v>PRODUCTIONmix 1600 (SK)</v>
      </c>
      <c r="B67" s="144">
        <f t="shared" si="4"/>
        <v>1600</v>
      </c>
      <c r="C67" s="2">
        <f t="shared" si="5"/>
        <v>1.1771</v>
      </c>
      <c r="D67" s="2">
        <f t="shared" si="6"/>
        <v>1.1682131171905576</v>
      </c>
      <c r="E67" s="9" t="str">
        <f t="shared" si="54"/>
        <v>Bulk Delivery</v>
      </c>
      <c r="H67" s="38" t="s">
        <v>93</v>
      </c>
      <c r="I67" s="39">
        <v>1600</v>
      </c>
      <c r="J67" s="2">
        <v>0.69921907954990226</v>
      </c>
      <c r="K67" s="2">
        <v>1.0620119247186888</v>
      </c>
      <c r="L67" s="2">
        <v>1.1771</v>
      </c>
      <c r="M67" s="12">
        <f t="shared" si="55"/>
        <v>0.79006918465829656</v>
      </c>
      <c r="N67" s="12">
        <f t="shared" si="56"/>
        <v>1129.9308153417037</v>
      </c>
      <c r="O67" s="12">
        <f t="shared" si="57"/>
        <v>1129.9308153417035</v>
      </c>
      <c r="P67" s="19">
        <f t="shared" si="58"/>
        <v>-2.0122796223985777E-16</v>
      </c>
      <c r="R67" s="50">
        <f t="shared" si="59"/>
        <v>1.8226251927833348</v>
      </c>
      <c r="S67" s="12">
        <f t="shared" si="60"/>
        <v>1.1682131171905576</v>
      </c>
      <c r="T67" s="12">
        <f t="shared" si="61"/>
        <v>1.1682131171905576</v>
      </c>
      <c r="U67" s="51" t="str">
        <f t="shared" si="62"/>
        <v>Bulk Delivery</v>
      </c>
    </row>
    <row r="68" spans="1:21" x14ac:dyDescent="0.2">
      <c r="A68" s="143" t="str">
        <f t="shared" si="3"/>
        <v>PRODUCTIONmix 1725</v>
      </c>
      <c r="B68" s="144">
        <f t="shared" si="4"/>
        <v>1725</v>
      </c>
      <c r="C68" s="2">
        <f t="shared" si="5"/>
        <v>1.1659999999999999</v>
      </c>
      <c r="D68" s="2">
        <f t="shared" si="6"/>
        <v>1.0343139747672876</v>
      </c>
      <c r="E68" s="9" t="str">
        <f t="shared" si="54"/>
        <v>Bulk Delivery</v>
      </c>
      <c r="H68" s="38" t="s">
        <v>94</v>
      </c>
      <c r="I68" s="39">
        <v>1725</v>
      </c>
      <c r="J68" s="2">
        <v>0.62199236952142845</v>
      </c>
      <c r="K68" s="2">
        <v>0.94028543160662514</v>
      </c>
      <c r="L68" s="2">
        <v>1.1659999999999999</v>
      </c>
      <c r="M68" s="12">
        <f t="shared" si="55"/>
        <v>0.79379177676972867</v>
      </c>
      <c r="N68" s="12">
        <f t="shared" si="56"/>
        <v>1276.2082232302714</v>
      </c>
      <c r="O68" s="12">
        <f t="shared" si="57"/>
        <v>1276.2082232302712</v>
      </c>
      <c r="P68" s="19">
        <f t="shared" si="58"/>
        <v>-1.7816346212510348E-16</v>
      </c>
      <c r="R68" s="50">
        <f t="shared" si="59"/>
        <v>1.8140777495327089</v>
      </c>
      <c r="S68" s="12">
        <f t="shared" si="60"/>
        <v>1.0343139747672876</v>
      </c>
      <c r="T68" s="12">
        <f t="shared" si="61"/>
        <v>1.0343139747672876</v>
      </c>
      <c r="U68" s="51" t="str">
        <f t="shared" si="62"/>
        <v>Bulk Delivery</v>
      </c>
    </row>
    <row r="69" spans="1:21" x14ac:dyDescent="0.2">
      <c r="A69" s="143" t="str">
        <f t="shared" si="3"/>
        <v>PRODUCTIONmix LW</v>
      </c>
      <c r="B69" s="144">
        <f t="shared" si="4"/>
        <v>1500</v>
      </c>
      <c r="C69" s="2">
        <f t="shared" si="5"/>
        <v>1.1911</v>
      </c>
      <c r="D69" s="2">
        <f t="shared" si="6"/>
        <v>1.2</v>
      </c>
      <c r="E69" s="9" t="str">
        <f t="shared" si="54"/>
        <v>Iron</v>
      </c>
      <c r="H69" s="38" t="s">
        <v>95</v>
      </c>
      <c r="I69" s="39">
        <v>1500</v>
      </c>
      <c r="J69" s="2">
        <v>0.8911353906854852</v>
      </c>
      <c r="K69" s="2">
        <v>1.2607569271236567</v>
      </c>
      <c r="L69" s="2">
        <v>1.1911</v>
      </c>
      <c r="M69" s="12">
        <f t="shared" si="55"/>
        <v>0.84819083347197644</v>
      </c>
      <c r="N69" s="12">
        <f t="shared" si="56"/>
        <v>951.80916652802364</v>
      </c>
      <c r="O69" s="12">
        <f t="shared" si="57"/>
        <v>951.80916652802352</v>
      </c>
      <c r="P69" s="19">
        <f t="shared" si="58"/>
        <v>-1.1944289015025872E-16</v>
      </c>
      <c r="R69" s="50">
        <f t="shared" si="59"/>
        <v>1.6977311510259046</v>
      </c>
      <c r="S69" s="12">
        <f t="shared" si="60"/>
        <v>1.3868326198360224</v>
      </c>
      <c r="T69" s="12">
        <f t="shared" si="61"/>
        <v>1.2</v>
      </c>
      <c r="U69" s="51" t="str">
        <f t="shared" si="62"/>
        <v>Iron</v>
      </c>
    </row>
    <row r="70" spans="1:21" x14ac:dyDescent="0.2">
      <c r="A70" s="143" t="str">
        <f t="shared" si="3"/>
        <v>PRODUCTIONmix THX</v>
      </c>
      <c r="B70" s="144">
        <f t="shared" si="4"/>
        <v>1550</v>
      </c>
      <c r="C70" s="2">
        <f t="shared" si="5"/>
        <v>1.091</v>
      </c>
      <c r="D70" s="2">
        <f t="shared" si="6"/>
        <v>1.2</v>
      </c>
      <c r="E70" s="9" t="str">
        <f t="shared" si="54"/>
        <v>Iron</v>
      </c>
      <c r="H70" s="38" t="s">
        <v>96</v>
      </c>
      <c r="I70" s="39">
        <v>1550</v>
      </c>
      <c r="J70" s="2">
        <v>0.7646649265259744</v>
      </c>
      <c r="K70" s="2">
        <v>1.1384935009844996</v>
      </c>
      <c r="L70" s="2">
        <v>1.091</v>
      </c>
      <c r="M70" s="12">
        <f t="shared" si="55"/>
        <v>0.8059755378820227</v>
      </c>
      <c r="N70" s="12">
        <f t="shared" si="56"/>
        <v>1054.0244621179772</v>
      </c>
      <c r="O70" s="12">
        <f t="shared" si="57"/>
        <v>1054.0244621179772</v>
      </c>
      <c r="P70" s="19">
        <f t="shared" si="58"/>
        <v>0</v>
      </c>
      <c r="R70" s="50">
        <f t="shared" si="59"/>
        <v>1.7866547212885568</v>
      </c>
      <c r="S70" s="12">
        <f t="shared" si="60"/>
        <v>1.2523428510829497</v>
      </c>
      <c r="T70" s="12">
        <f t="shared" si="61"/>
        <v>1.2</v>
      </c>
      <c r="U70" s="51" t="str">
        <f t="shared" si="62"/>
        <v>Iron</v>
      </c>
    </row>
    <row r="71" spans="1:21" x14ac:dyDescent="0.2">
      <c r="A71" s="143" t="str">
        <f t="shared" si="3"/>
        <v>Proteus Core</v>
      </c>
      <c r="B71" s="144">
        <f t="shared" si="4"/>
        <v>1700</v>
      </c>
      <c r="C71" s="2">
        <f t="shared" si="5"/>
        <v>1.33</v>
      </c>
      <c r="D71" s="2">
        <f t="shared" si="6"/>
        <v>1.0189926674013423</v>
      </c>
      <c r="E71" s="9" t="str">
        <f t="shared" si="54"/>
        <v>Bulk Delivery</v>
      </c>
      <c r="H71" s="38" t="s">
        <v>97</v>
      </c>
      <c r="I71" s="39">
        <v>1700</v>
      </c>
      <c r="J71" s="2">
        <v>0.57480684962025619</v>
      </c>
      <c r="K71" s="2">
        <v>0.92635697036485665</v>
      </c>
      <c r="L71" s="2">
        <v>1.33</v>
      </c>
      <c r="M71" s="12">
        <f t="shared" si="55"/>
        <v>0.74460304354662987</v>
      </c>
      <c r="N71" s="12">
        <f t="shared" si="56"/>
        <v>1295.39695645337</v>
      </c>
      <c r="O71" s="12">
        <f t="shared" si="57"/>
        <v>1295.3969564533702</v>
      </c>
      <c r="P71" s="19">
        <f t="shared" si="58"/>
        <v>1.7552432427026222E-16</v>
      </c>
      <c r="R71" s="50">
        <f t="shared" si="59"/>
        <v>1.933916349765527</v>
      </c>
      <c r="S71" s="12">
        <f t="shared" si="60"/>
        <v>1.0189926674013423</v>
      </c>
      <c r="T71" s="12">
        <f t="shared" si="61"/>
        <v>1.0189926674013423</v>
      </c>
      <c r="U71" s="51" t="str">
        <f t="shared" si="62"/>
        <v>Bulk Delivery</v>
      </c>
    </row>
    <row r="72" spans="1:21" x14ac:dyDescent="0.2">
      <c r="A72" s="143" t="str">
        <f t="shared" si="3"/>
        <v>Proteus LCS</v>
      </c>
      <c r="B72" s="144">
        <f t="shared" si="4"/>
        <v>1750</v>
      </c>
      <c r="C72" s="2">
        <f t="shared" si="5"/>
        <v>1.32</v>
      </c>
      <c r="D72" s="2">
        <f t="shared" si="6"/>
        <v>0.95083428546777526</v>
      </c>
      <c r="E72" s="9" t="str">
        <f t="shared" si="54"/>
        <v>Bulk Delivery</v>
      </c>
      <c r="H72" s="38" t="s">
        <v>98</v>
      </c>
      <c r="I72" s="39">
        <v>1750</v>
      </c>
      <c r="J72" s="2">
        <v>0.51269090869873335</v>
      </c>
      <c r="K72" s="2">
        <v>0.86439480497070487</v>
      </c>
      <c r="L72" s="2">
        <v>1.32</v>
      </c>
      <c r="M72" s="12">
        <f t="shared" si="55"/>
        <v>0.71174547429091806</v>
      </c>
      <c r="N72" s="12">
        <f t="shared" si="56"/>
        <v>1388.2545257090815</v>
      </c>
      <c r="O72" s="12">
        <f t="shared" si="57"/>
        <v>1388.2545257090817</v>
      </c>
      <c r="P72" s="19">
        <f t="shared" si="58"/>
        <v>1.6378385320018746E-16</v>
      </c>
      <c r="R72" s="50">
        <f t="shared" si="59"/>
        <v>2.0231951617741033</v>
      </c>
      <c r="S72" s="12">
        <f t="shared" si="60"/>
        <v>0.95083428546777526</v>
      </c>
      <c r="T72" s="12">
        <f t="shared" si="61"/>
        <v>0.95083428546777526</v>
      </c>
      <c r="U72" s="51" t="str">
        <f t="shared" si="62"/>
        <v>Bulk Delivery</v>
      </c>
    </row>
    <row r="73" spans="1:21" x14ac:dyDescent="0.2">
      <c r="A73" s="143" t="str">
        <f t="shared" si="3"/>
        <v>Proteus Pro</v>
      </c>
      <c r="B73" s="144">
        <f t="shared" si="4"/>
        <v>1725</v>
      </c>
      <c r="C73" s="2">
        <f t="shared" si="5"/>
        <v>1.33</v>
      </c>
      <c r="D73" s="2">
        <f t="shared" si="6"/>
        <v>0.98387720346554097</v>
      </c>
      <c r="E73" s="9" t="str">
        <f t="shared" si="54"/>
        <v>Bulk Delivery</v>
      </c>
      <c r="H73" s="38" t="s">
        <v>99</v>
      </c>
      <c r="I73" s="39">
        <v>1725</v>
      </c>
      <c r="J73" s="2">
        <v>0.54289834179823482</v>
      </c>
      <c r="K73" s="2">
        <v>0.89443382133230998</v>
      </c>
      <c r="L73" s="2">
        <v>1.33</v>
      </c>
      <c r="M73" s="12">
        <f t="shared" si="55"/>
        <v>0.72836915892499265</v>
      </c>
      <c r="N73" s="12">
        <f t="shared" si="56"/>
        <v>1341.6308410750075</v>
      </c>
      <c r="O73" s="12">
        <f t="shared" si="57"/>
        <v>1341.6308410750073</v>
      </c>
      <c r="P73" s="19">
        <f t="shared" si="58"/>
        <v>-1.6947558783088537E-16</v>
      </c>
      <c r="R73" s="50">
        <f t="shared" si="59"/>
        <v>1.9770194582721081</v>
      </c>
      <c r="S73" s="12">
        <f t="shared" si="60"/>
        <v>0.98387720346554097</v>
      </c>
      <c r="T73" s="12">
        <f t="shared" si="61"/>
        <v>0.98387720346554097</v>
      </c>
      <c r="U73" s="51" t="str">
        <f t="shared" si="62"/>
        <v>Bulk Delivery</v>
      </c>
    </row>
    <row r="74" spans="1:21" x14ac:dyDescent="0.2">
      <c r="A74" s="143" t="str">
        <f t="shared" si="3"/>
        <v>RAS II</v>
      </c>
      <c r="B74" s="144">
        <f t="shared" si="4"/>
        <v>1740</v>
      </c>
      <c r="C74" s="2">
        <f t="shared" si="5"/>
        <v>1.25</v>
      </c>
      <c r="D74" s="2">
        <f t="shared" si="6"/>
        <v>0.96623346087787465</v>
      </c>
      <c r="E74" s="9" t="str">
        <f t="shared" si="54"/>
        <v>Bulk Delivery</v>
      </c>
      <c r="H74" s="38" t="s">
        <v>100</v>
      </c>
      <c r="I74" s="39">
        <v>1740</v>
      </c>
      <c r="J74" s="2">
        <v>0.52840565629772906</v>
      </c>
      <c r="K74" s="2">
        <v>0.87839405534352244</v>
      </c>
      <c r="L74" s="2">
        <v>1.25</v>
      </c>
      <c r="M74" s="12">
        <f t="shared" si="55"/>
        <v>0.72187053600823392</v>
      </c>
      <c r="N74" s="12">
        <f t="shared" si="56"/>
        <v>1366.129463991766</v>
      </c>
      <c r="O74" s="12">
        <f t="shared" si="57"/>
        <v>1366.1294639917662</v>
      </c>
      <c r="P74" s="19">
        <f t="shared" si="58"/>
        <v>1.6643640404245209E-16</v>
      </c>
      <c r="R74" s="50">
        <f t="shared" si="59"/>
        <v>1.9948175305267963</v>
      </c>
      <c r="S74" s="12">
        <f t="shared" si="60"/>
        <v>0.96623346087787465</v>
      </c>
      <c r="T74" s="12">
        <f t="shared" si="61"/>
        <v>0.96623346087787465</v>
      </c>
      <c r="U74" s="51" t="str">
        <f t="shared" si="62"/>
        <v>Bulk Delivery</v>
      </c>
    </row>
    <row r="75" spans="1:21" x14ac:dyDescent="0.2">
      <c r="A75" s="143" t="str">
        <f t="shared" si="3"/>
        <v>SanSeal</v>
      </c>
      <c r="B75" s="144">
        <f t="shared" si="4"/>
        <v>1650</v>
      </c>
      <c r="C75" s="2">
        <f t="shared" si="5"/>
        <v>1.01</v>
      </c>
      <c r="D75" s="2">
        <f t="shared" si="6"/>
        <v>1.1352610523117437</v>
      </c>
      <c r="E75" s="9" t="str">
        <f t="shared" si="54"/>
        <v>Bulk Delivery</v>
      </c>
      <c r="H75" s="38" t="s">
        <v>101</v>
      </c>
      <c r="I75" s="39">
        <v>1650</v>
      </c>
      <c r="J75" s="2">
        <v>0.70289157846761541</v>
      </c>
      <c r="K75" s="2">
        <v>1.0320555021015851</v>
      </c>
      <c r="L75" s="2">
        <v>1.01</v>
      </c>
      <c r="M75" s="12">
        <f t="shared" si="55"/>
        <v>0.8172718351324828</v>
      </c>
      <c r="N75" s="12">
        <f t="shared" si="56"/>
        <v>1162.7281648675169</v>
      </c>
      <c r="O75" s="12">
        <f t="shared" si="57"/>
        <v>1162.7281648675171</v>
      </c>
      <c r="P75" s="19">
        <f t="shared" si="58"/>
        <v>1.9555187731187314E-16</v>
      </c>
      <c r="R75" s="50">
        <f t="shared" si="59"/>
        <v>1.7619596541786744</v>
      </c>
      <c r="S75" s="12">
        <f t="shared" si="60"/>
        <v>1.1352610523117437</v>
      </c>
      <c r="T75" s="12">
        <f t="shared" si="61"/>
        <v>1.1352610523117437</v>
      </c>
      <c r="U75" s="51" t="str">
        <f t="shared" si="62"/>
        <v>Bulk Delivery</v>
      </c>
    </row>
    <row r="76" spans="1:21" x14ac:dyDescent="0.2">
      <c r="A76" s="143" t="str">
        <f t="shared" si="3"/>
        <v>SanSeal HT</v>
      </c>
      <c r="B76" s="144">
        <f t="shared" si="4"/>
        <v>1500</v>
      </c>
      <c r="C76" s="2">
        <f t="shared" si="5"/>
        <v>0.72</v>
      </c>
      <c r="D76" s="2">
        <f t="shared" si="6"/>
        <v>1.2</v>
      </c>
      <c r="E76" s="9" t="str">
        <f t="shared" si="54"/>
        <v>Iron</v>
      </c>
      <c r="H76" s="38" t="s">
        <v>102</v>
      </c>
      <c r="I76" s="39">
        <v>1500</v>
      </c>
      <c r="J76" s="2">
        <v>0.95292716691983692</v>
      </c>
      <c r="K76" s="2">
        <v>1.3019514446132245</v>
      </c>
      <c r="L76" s="2">
        <v>0.72</v>
      </c>
      <c r="M76" s="12">
        <f t="shared" si="55"/>
        <v>0.87830664118469626</v>
      </c>
      <c r="N76" s="12">
        <f t="shared" si="56"/>
        <v>921.6933588153039</v>
      </c>
      <c r="O76" s="12">
        <f t="shared" si="57"/>
        <v>921.69335881530367</v>
      </c>
      <c r="P76" s="19">
        <f t="shared" si="58"/>
        <v>-2.4669123767527868E-16</v>
      </c>
      <c r="R76" s="50">
        <f t="shared" si="59"/>
        <v>1.6395185149205618</v>
      </c>
      <c r="S76" s="12">
        <f t="shared" si="60"/>
        <v>1.4321465890745468</v>
      </c>
      <c r="T76" s="12">
        <f t="shared" si="61"/>
        <v>1.2</v>
      </c>
      <c r="U76" s="51" t="str">
        <f t="shared" si="62"/>
        <v>Iron</v>
      </c>
    </row>
    <row r="77" spans="1:21" x14ac:dyDescent="0.2">
      <c r="A77" s="143" t="str">
        <f t="shared" si="3"/>
        <v>SSi</v>
      </c>
      <c r="B77" s="144">
        <f t="shared" si="4"/>
        <v>1750</v>
      </c>
      <c r="C77" s="2">
        <f t="shared" si="5"/>
        <v>1.41</v>
      </c>
      <c r="D77" s="2">
        <f t="shared" si="6"/>
        <v>0.96369455875628718</v>
      </c>
      <c r="E77" s="9" t="str">
        <f t="shared" si="54"/>
        <v>Bulk Delivery</v>
      </c>
      <c r="H77" s="38" t="s">
        <v>103</v>
      </c>
      <c r="I77" s="39">
        <v>1750</v>
      </c>
      <c r="J77" s="2">
        <v>0.53315043438500231</v>
      </c>
      <c r="K77" s="2">
        <v>0.87608596250571558</v>
      </c>
      <c r="L77" s="2">
        <v>1.41</v>
      </c>
      <c r="M77" s="12">
        <f t="shared" si="55"/>
        <v>0.73027139874739044</v>
      </c>
      <c r="N77" s="12">
        <f t="shared" si="56"/>
        <v>1369.7286012526095</v>
      </c>
      <c r="O77" s="12">
        <f t="shared" si="57"/>
        <v>1369.7286012526095</v>
      </c>
      <c r="P77" s="19">
        <f t="shared" si="58"/>
        <v>0</v>
      </c>
      <c r="R77" s="50">
        <f t="shared" si="59"/>
        <v>1.9718696397941677</v>
      </c>
      <c r="S77" s="12">
        <f t="shared" si="60"/>
        <v>0.96369455875628718</v>
      </c>
      <c r="T77" s="12">
        <f t="shared" si="61"/>
        <v>0.96369455875628718</v>
      </c>
      <c r="U77" s="51" t="str">
        <f>IF(MIN(R77:S77)&gt;1.2,"Iron",IF(S77&gt;R77,"Mix Water", "Bulk Delivery"))</f>
        <v>Bulk Delivery</v>
      </c>
    </row>
    <row r="78" spans="1:21" x14ac:dyDescent="0.2">
      <c r="A78" s="143" t="str">
        <f t="shared" si="3"/>
        <v>Superlite 13</v>
      </c>
      <c r="B78" s="144">
        <f t="shared" si="4"/>
        <v>1300</v>
      </c>
      <c r="C78" s="2">
        <f t="shared" si="5"/>
        <v>0.93479999999999996</v>
      </c>
      <c r="D78" s="2">
        <f t="shared" si="6"/>
        <v>1.2</v>
      </c>
      <c r="E78" s="9" t="str">
        <f t="shared" si="54"/>
        <v>Iron</v>
      </c>
      <c r="H78" s="38" t="s">
        <v>104</v>
      </c>
      <c r="I78" s="39">
        <v>1300</v>
      </c>
      <c r="J78" s="2">
        <v>0.91897480281699118</v>
      </c>
      <c r="K78" s="2">
        <v>1.4761344637053777</v>
      </c>
      <c r="L78" s="2">
        <v>0.93479999999999996</v>
      </c>
      <c r="M78" s="12">
        <f t="shared" si="55"/>
        <v>0.74706592827067264</v>
      </c>
      <c r="N78" s="12">
        <f t="shared" si="56"/>
        <v>812.93407172932757</v>
      </c>
      <c r="O78" s="12">
        <f t="shared" si="57"/>
        <v>812.93407172932746</v>
      </c>
      <c r="P78" s="19">
        <f t="shared" si="58"/>
        <v>-1.3984754935879832E-16</v>
      </c>
      <c r="R78" s="50">
        <f t="shared" si="59"/>
        <v>1.927540723659221</v>
      </c>
      <c r="S78" s="12">
        <f t="shared" si="60"/>
        <v>1.6237479100759156</v>
      </c>
      <c r="T78" s="12">
        <f t="shared" si="61"/>
        <v>1.2</v>
      </c>
      <c r="U78" s="51" t="str">
        <f t="shared" si="62"/>
        <v>Iron</v>
      </c>
    </row>
    <row r="79" spans="1:21" x14ac:dyDescent="0.2">
      <c r="A79" s="143" t="str">
        <f t="shared" si="3"/>
        <v>Superlite 13 (CDM-5)</v>
      </c>
      <c r="B79" s="144">
        <f t="shared" si="4"/>
        <v>1300</v>
      </c>
      <c r="C79" s="2">
        <f t="shared" si="5"/>
        <v>0.89559999999999995</v>
      </c>
      <c r="D79" s="2">
        <f t="shared" si="6"/>
        <v>1.2</v>
      </c>
      <c r="E79" s="9" t="str">
        <f t="shared" si="54"/>
        <v>Iron</v>
      </c>
      <c r="H79" s="38" t="s">
        <v>105</v>
      </c>
      <c r="I79" s="39">
        <v>1300</v>
      </c>
      <c r="J79" s="2">
        <v>0.92371399584721103</v>
      </c>
      <c r="K79" s="2">
        <v>1.4797799968055469</v>
      </c>
      <c r="L79" s="2">
        <v>0.89559999999999995</v>
      </c>
      <c r="M79" s="12">
        <f t="shared" si="55"/>
        <v>0.74906864358858605</v>
      </c>
      <c r="N79" s="12">
        <f t="shared" si="56"/>
        <v>810.93135641141384</v>
      </c>
      <c r="O79" s="12">
        <f t="shared" si="57"/>
        <v>810.93135641141396</v>
      </c>
      <c r="P79" s="19">
        <f t="shared" si="58"/>
        <v>1.4019292363377144E-16</v>
      </c>
      <c r="R79" s="50">
        <f t="shared" si="59"/>
        <v>1.922387236904415</v>
      </c>
      <c r="S79" s="12">
        <f t="shared" si="60"/>
        <v>1.6277579964861015</v>
      </c>
      <c r="T79" s="12">
        <f t="shared" si="61"/>
        <v>1.2</v>
      </c>
      <c r="U79" s="51" t="str">
        <f t="shared" si="62"/>
        <v>Iron</v>
      </c>
    </row>
    <row r="80" spans="1:21" x14ac:dyDescent="0.2">
      <c r="A80" s="143" t="str">
        <f t="shared" ref="A80:A98" si="63">H80</f>
        <v xml:space="preserve">SUPERLITEmix PRO HT </v>
      </c>
      <c r="B80" s="144">
        <f t="shared" ref="B80:B98" si="64">I80</f>
        <v>1200</v>
      </c>
      <c r="C80" s="2">
        <f t="shared" ref="C80:C97" si="65">L80</f>
        <v>0.78700000000000003</v>
      </c>
      <c r="D80" s="2">
        <f t="shared" ref="D80:D98" si="66">T80</f>
        <v>1.2</v>
      </c>
      <c r="E80" s="9" t="str">
        <f t="shared" si="54"/>
        <v>Iron</v>
      </c>
      <c r="H80" s="38" t="s">
        <v>106</v>
      </c>
      <c r="I80" s="39">
        <v>1200</v>
      </c>
      <c r="J80" s="2">
        <v>0.94687742880042403</v>
      </c>
      <c r="K80" s="2">
        <v>1.6223978573336866</v>
      </c>
      <c r="L80" s="2">
        <v>0.78700000000000003</v>
      </c>
      <c r="M80" s="12">
        <f t="shared" si="55"/>
        <v>0.70035405275243157</v>
      </c>
      <c r="N80" s="12">
        <f t="shared" si="56"/>
        <v>739.64594724756842</v>
      </c>
      <c r="O80" s="12">
        <f t="shared" si="57"/>
        <v>739.64594724756842</v>
      </c>
      <c r="P80" s="19">
        <f t="shared" si="58"/>
        <v>0</v>
      </c>
      <c r="R80" s="50">
        <f t="shared" si="59"/>
        <v>2.0561029015834453</v>
      </c>
      <c r="S80" s="12">
        <f t="shared" si="60"/>
        <v>1.7846376430670552</v>
      </c>
      <c r="T80" s="12">
        <f t="shared" si="61"/>
        <v>1.2</v>
      </c>
      <c r="U80" s="51" t="str">
        <f t="shared" si="62"/>
        <v>Iron</v>
      </c>
    </row>
    <row r="81" spans="1:21" x14ac:dyDescent="0.2">
      <c r="A81" s="143" t="str">
        <f t="shared" si="63"/>
        <v xml:space="preserve">SUPERLITEmix PRO </v>
      </c>
      <c r="B81" s="144">
        <f t="shared" si="64"/>
        <v>1175</v>
      </c>
      <c r="C81" s="2">
        <f t="shared" si="65"/>
        <v>0.73</v>
      </c>
      <c r="D81" s="2">
        <f t="shared" si="66"/>
        <v>1.2</v>
      </c>
      <c r="E81" s="9" t="str">
        <f t="shared" si="54"/>
        <v>Iron</v>
      </c>
      <c r="H81" s="38" t="s">
        <v>107</v>
      </c>
      <c r="I81" s="39">
        <v>1175</v>
      </c>
      <c r="J81" s="2">
        <v>0.99973903011497023</v>
      </c>
      <c r="K81" s="2">
        <v>1.7019055575446553</v>
      </c>
      <c r="L81" s="2">
        <v>0.73</v>
      </c>
      <c r="M81" s="12">
        <f t="shared" si="55"/>
        <v>0.70490799611040478</v>
      </c>
      <c r="N81" s="12">
        <f t="shared" si="56"/>
        <v>705.09200388959528</v>
      </c>
      <c r="O81" s="12">
        <f t="shared" si="57"/>
        <v>705.09200388959516</v>
      </c>
      <c r="P81" s="19">
        <f t="shared" si="58"/>
        <v>-1.6123688411507975E-16</v>
      </c>
      <c r="R81" s="50">
        <f t="shared" si="59"/>
        <v>2.0428197834976221</v>
      </c>
      <c r="S81" s="12">
        <f t="shared" si="60"/>
        <v>1.8720961132991207</v>
      </c>
      <c r="T81" s="12">
        <f t="shared" si="61"/>
        <v>1.2</v>
      </c>
      <c r="U81" s="51" t="str">
        <f t="shared" si="62"/>
        <v>Iron</v>
      </c>
    </row>
    <row r="82" spans="1:21" x14ac:dyDescent="0.2">
      <c r="A82" s="143" t="str">
        <f t="shared" si="63"/>
        <v>SURFACEmix LW (SK)</v>
      </c>
      <c r="B82" s="144">
        <f t="shared" si="64"/>
        <v>1600</v>
      </c>
      <c r="C82" s="2">
        <f t="shared" si="65"/>
        <v>1.17</v>
      </c>
      <c r="D82" s="2">
        <f t="shared" si="66"/>
        <v>1.1702533583845594</v>
      </c>
      <c r="E82" s="9" t="str">
        <f t="shared" si="54"/>
        <v>Bulk Delivery</v>
      </c>
      <c r="H82" s="38" t="s">
        <v>108</v>
      </c>
      <c r="I82" s="39">
        <v>1600</v>
      </c>
      <c r="J82" s="2">
        <v>0.70218670310481357</v>
      </c>
      <c r="K82" s="2">
        <v>1.0638666894405084</v>
      </c>
      <c r="L82" s="2">
        <v>1.17</v>
      </c>
      <c r="M82" s="12">
        <f t="shared" si="55"/>
        <v>0.79203912679032695</v>
      </c>
      <c r="N82" s="12">
        <f t="shared" si="56"/>
        <v>1127.9608732096731</v>
      </c>
      <c r="O82" s="12">
        <f t="shared" si="57"/>
        <v>1127.9608732096731</v>
      </c>
      <c r="P82" s="19">
        <f t="shared" si="58"/>
        <v>0</v>
      </c>
      <c r="R82" s="50">
        <f t="shared" si="59"/>
        <v>1.8180919998680882</v>
      </c>
      <c r="S82" s="12">
        <f t="shared" si="60"/>
        <v>1.1702533583845594</v>
      </c>
      <c r="T82" s="12">
        <f t="shared" si="61"/>
        <v>1.1702533583845594</v>
      </c>
      <c r="U82" s="51" t="str">
        <f t="shared" si="62"/>
        <v>Bulk Delivery</v>
      </c>
    </row>
    <row r="83" spans="1:21" x14ac:dyDescent="0.2">
      <c r="A83" s="143" t="str">
        <f t="shared" si="63"/>
        <v xml:space="preserve">SURFACEmix LW PRO </v>
      </c>
      <c r="B83" s="144">
        <f t="shared" si="64"/>
        <v>1550</v>
      </c>
      <c r="C83" s="2">
        <f t="shared" si="65"/>
        <v>1.1904999999999999</v>
      </c>
      <c r="D83" s="2">
        <f t="shared" si="66"/>
        <v>1.2</v>
      </c>
      <c r="E83" s="9" t="str">
        <f t="shared" si="54"/>
        <v>Iron</v>
      </c>
      <c r="H83" s="38" t="s">
        <v>109</v>
      </c>
      <c r="I83" s="39">
        <v>1550</v>
      </c>
      <c r="J83" s="2">
        <v>0.77652112458333455</v>
      </c>
      <c r="K83" s="2">
        <v>1.1461426610215062</v>
      </c>
      <c r="L83" s="2">
        <v>1.1904999999999999</v>
      </c>
      <c r="M83" s="12">
        <f t="shared" si="55"/>
        <v>0.81300991681917389</v>
      </c>
      <c r="N83" s="12">
        <f t="shared" si="56"/>
        <v>1046.9900831808259</v>
      </c>
      <c r="O83" s="12">
        <f t="shared" si="57"/>
        <v>1046.9900831808261</v>
      </c>
      <c r="P83" s="19">
        <f t="shared" si="58"/>
        <v>2.1716889118228861E-16</v>
      </c>
      <c r="R83" s="50">
        <f t="shared" si="59"/>
        <v>1.7711961074643059</v>
      </c>
      <c r="S83" s="12">
        <f t="shared" si="60"/>
        <v>1.2607569271236569</v>
      </c>
      <c r="T83" s="12">
        <f t="shared" si="61"/>
        <v>1.2</v>
      </c>
      <c r="U83" s="51" t="str">
        <f t="shared" si="62"/>
        <v>Iron</v>
      </c>
    </row>
    <row r="84" spans="1:21" x14ac:dyDescent="0.2">
      <c r="A84" s="143" t="str">
        <f t="shared" si="63"/>
        <v xml:space="preserve">SURFACEmix LW PRO (SK) </v>
      </c>
      <c r="B84" s="144">
        <f t="shared" si="64"/>
        <v>1550</v>
      </c>
      <c r="C84" s="2">
        <f t="shared" si="65"/>
        <v>1.2</v>
      </c>
      <c r="D84" s="2">
        <f t="shared" si="66"/>
        <v>1.2</v>
      </c>
      <c r="E84" s="9" t="str">
        <f t="shared" si="54"/>
        <v>Iron</v>
      </c>
      <c r="H84" s="38" t="s">
        <v>110</v>
      </c>
      <c r="I84" s="39">
        <v>1550</v>
      </c>
      <c r="J84" s="2">
        <v>0.83636073852130899</v>
      </c>
      <c r="K84" s="2">
        <v>1.1847488635621348</v>
      </c>
      <c r="L84" s="2">
        <v>1.2</v>
      </c>
      <c r="M84" s="12">
        <f t="shared" si="55"/>
        <v>0.84712711452449918</v>
      </c>
      <c r="N84" s="12">
        <f t="shared" si="56"/>
        <v>1012.8728854755009</v>
      </c>
      <c r="O84" s="12">
        <f t="shared" si="57"/>
        <v>1012.8728854755008</v>
      </c>
      <c r="P84" s="19">
        <f t="shared" si="58"/>
        <v>-1.1224195982721453E-16</v>
      </c>
      <c r="R84" s="50">
        <f t="shared" si="59"/>
        <v>1.6998629548155666</v>
      </c>
      <c r="S84" s="12">
        <f t="shared" si="60"/>
        <v>1.3032237499183483</v>
      </c>
      <c r="T84" s="12">
        <f t="shared" si="61"/>
        <v>1.2</v>
      </c>
      <c r="U84" s="51" t="str">
        <f t="shared" si="62"/>
        <v>Iron</v>
      </c>
    </row>
    <row r="85" spans="1:21" x14ac:dyDescent="0.2">
      <c r="A85" s="143" t="str">
        <f t="shared" si="63"/>
        <v>SURFACEmix PRO</v>
      </c>
      <c r="B85" s="144">
        <f t="shared" si="64"/>
        <v>1700</v>
      </c>
      <c r="C85" s="2">
        <f t="shared" si="65"/>
        <v>1.22</v>
      </c>
      <c r="D85" s="2">
        <f t="shared" si="66"/>
        <v>1.0789039325791325</v>
      </c>
      <c r="E85" s="9" t="str">
        <f t="shared" si="54"/>
        <v>Bulk Delivery</v>
      </c>
      <c r="H85" s="38" t="s">
        <v>111</v>
      </c>
      <c r="I85" s="39">
        <v>1700</v>
      </c>
      <c r="J85" s="2">
        <v>0.66739698671320469</v>
      </c>
      <c r="K85" s="2">
        <v>0.98082175689012041</v>
      </c>
      <c r="L85" s="2">
        <v>1.22</v>
      </c>
      <c r="M85" s="12">
        <f t="shared" si="55"/>
        <v>0.81653611212211952</v>
      </c>
      <c r="N85" s="12">
        <f t="shared" si="56"/>
        <v>1223.4638878778806</v>
      </c>
      <c r="O85" s="12">
        <f t="shared" si="57"/>
        <v>1223.4638878778806</v>
      </c>
      <c r="P85" s="19">
        <f t="shared" si="58"/>
        <v>0</v>
      </c>
      <c r="R85" s="50">
        <f t="shared" si="59"/>
        <v>1.7635472315578817</v>
      </c>
      <c r="S85" s="12">
        <f t="shared" si="60"/>
        <v>1.0789039325791325</v>
      </c>
      <c r="T85" s="12">
        <f t="shared" si="61"/>
        <v>1.0789039325791325</v>
      </c>
      <c r="U85" s="51" t="str">
        <f t="shared" si="62"/>
        <v>Bulk Delivery</v>
      </c>
    </row>
    <row r="86" spans="1:21" x14ac:dyDescent="0.2">
      <c r="A86" s="143" t="str">
        <f t="shared" si="63"/>
        <v>SURFACEmix PRO SL</v>
      </c>
      <c r="B86" s="144">
        <f t="shared" si="64"/>
        <v>1700</v>
      </c>
      <c r="C86" s="2">
        <f t="shared" si="65"/>
        <v>1.0269999999999999</v>
      </c>
      <c r="D86" s="2">
        <f t="shared" si="66"/>
        <v>1.0386157298939191</v>
      </c>
      <c r="E86" s="9" t="str">
        <f t="shared" si="54"/>
        <v>Bulk Delivery</v>
      </c>
      <c r="H86" s="38" t="s">
        <v>112</v>
      </c>
      <c r="I86" s="39">
        <v>1700</v>
      </c>
      <c r="J86" s="2">
        <v>0.60513340074514788</v>
      </c>
      <c r="K86" s="2">
        <v>0.94419611808538106</v>
      </c>
      <c r="L86" s="2">
        <v>1.0269999999999999</v>
      </c>
      <c r="M86" s="12">
        <f t="shared" si="55"/>
        <v>0.76907759625899319</v>
      </c>
      <c r="N86" s="12">
        <f t="shared" si="56"/>
        <v>1270.9224037410067</v>
      </c>
      <c r="O86" s="12">
        <f t="shared" si="57"/>
        <v>1270.9224037410065</v>
      </c>
      <c r="P86" s="19">
        <f t="shared" si="58"/>
        <v>-1.7890445142358756E-16</v>
      </c>
      <c r="R86" s="50">
        <f t="shared" si="59"/>
        <v>1.8723728359850285</v>
      </c>
      <c r="S86" s="12">
        <f t="shared" si="60"/>
        <v>1.0386157298939191</v>
      </c>
      <c r="T86" s="12">
        <f t="shared" si="61"/>
        <v>1.0386157298939191</v>
      </c>
      <c r="U86" s="51" t="str">
        <f t="shared" si="62"/>
        <v>Bulk Delivery</v>
      </c>
    </row>
    <row r="87" spans="1:21" x14ac:dyDescent="0.2">
      <c r="A87" s="143" t="str">
        <f t="shared" si="63"/>
        <v>SURFACEmix SLW</v>
      </c>
      <c r="B87" s="144">
        <f t="shared" si="64"/>
        <v>1200</v>
      </c>
      <c r="C87" s="2">
        <f t="shared" si="65"/>
        <v>0.71050000000000002</v>
      </c>
      <c r="D87" s="2">
        <f t="shared" si="66"/>
        <v>1.2</v>
      </c>
      <c r="E87" s="9" t="str">
        <f t="shared" si="54"/>
        <v>Iron</v>
      </c>
      <c r="H87" s="38" t="s">
        <v>113</v>
      </c>
      <c r="I87" s="39">
        <v>1200</v>
      </c>
      <c r="J87" s="2">
        <v>0.72471804511278215</v>
      </c>
      <c r="K87" s="2">
        <v>1.4372650375939853</v>
      </c>
      <c r="L87" s="2">
        <v>0.71050000000000002</v>
      </c>
      <c r="M87" s="12">
        <f t="shared" si="55"/>
        <v>0.60508092202059838</v>
      </c>
      <c r="N87" s="12">
        <f t="shared" si="56"/>
        <v>834.91907797940144</v>
      </c>
      <c r="O87" s="12">
        <f t="shared" si="57"/>
        <v>834.91907797940155</v>
      </c>
      <c r="P87" s="19">
        <f t="shared" si="58"/>
        <v>1.3616509757658316E-16</v>
      </c>
      <c r="R87" s="50">
        <f t="shared" si="59"/>
        <v>2.3798469718583841</v>
      </c>
      <c r="S87" s="12">
        <f t="shared" si="60"/>
        <v>1.5809915413533837</v>
      </c>
      <c r="T87" s="12">
        <f t="shared" si="61"/>
        <v>1.2</v>
      </c>
      <c r="U87" s="51" t="str">
        <f t="shared" si="62"/>
        <v>Iron</v>
      </c>
    </row>
    <row r="88" spans="1:21" x14ac:dyDescent="0.2">
      <c r="A88" s="143" t="str">
        <f t="shared" si="63"/>
        <v>SurfLite (SK)</v>
      </c>
      <c r="B88" s="144">
        <f t="shared" si="64"/>
        <v>1730</v>
      </c>
      <c r="C88" s="2">
        <f t="shared" si="65"/>
        <v>1.37</v>
      </c>
      <c r="D88" s="2">
        <f t="shared" si="66"/>
        <v>0.9853161727528188</v>
      </c>
      <c r="E88" s="9" t="str">
        <f t="shared" si="54"/>
        <v>Bulk Delivery</v>
      </c>
      <c r="H88" s="38" t="s">
        <v>114</v>
      </c>
      <c r="I88" s="39">
        <v>1730</v>
      </c>
      <c r="J88" s="2">
        <v>0.54963361714761516</v>
      </c>
      <c r="K88" s="2">
        <v>0.89574197522983534</v>
      </c>
      <c r="L88" s="2">
        <v>1.37</v>
      </c>
      <c r="M88" s="12">
        <f t="shared" si="55"/>
        <v>0.73632849505339293</v>
      </c>
      <c r="N88" s="12">
        <f t="shared" si="56"/>
        <v>1339.671504946607</v>
      </c>
      <c r="O88" s="12">
        <f t="shared" si="57"/>
        <v>1339.6715049466068</v>
      </c>
      <c r="P88" s="19">
        <f t="shared" si="58"/>
        <v>-1.697234542973235E-16</v>
      </c>
      <c r="R88" s="50">
        <f t="shared" si="59"/>
        <v>1.9556488845316005</v>
      </c>
      <c r="S88" s="12">
        <f t="shared" si="60"/>
        <v>0.9853161727528188</v>
      </c>
      <c r="T88" s="12">
        <f t="shared" si="61"/>
        <v>0.9853161727528188</v>
      </c>
      <c r="U88" s="51" t="str">
        <f t="shared" si="62"/>
        <v>Bulk Delivery</v>
      </c>
    </row>
    <row r="89" spans="1:21" x14ac:dyDescent="0.2">
      <c r="A89" s="143" t="str">
        <f t="shared" si="63"/>
        <v>Thermal 40</v>
      </c>
      <c r="B89" s="144">
        <f t="shared" si="64"/>
        <v>1885</v>
      </c>
      <c r="C89" s="2">
        <f t="shared" si="65"/>
        <v>1.35</v>
      </c>
      <c r="D89" s="2">
        <f t="shared" si="66"/>
        <v>0.82939985655969062</v>
      </c>
      <c r="E89" s="9" t="str">
        <f t="shared" si="54"/>
        <v>Bulk Delivery</v>
      </c>
      <c r="H89" s="38" t="s">
        <v>115</v>
      </c>
      <c r="I89" s="39">
        <v>1885</v>
      </c>
      <c r="J89" s="2">
        <v>0.42128975419546999</v>
      </c>
      <c r="K89" s="2">
        <v>0.75399986959971876</v>
      </c>
      <c r="L89" s="2">
        <v>1.35</v>
      </c>
      <c r="M89" s="12">
        <f t="shared" si="55"/>
        <v>0.67048778841692325</v>
      </c>
      <c r="N89" s="12">
        <f t="shared" si="56"/>
        <v>1591.5122115830768</v>
      </c>
      <c r="O89" s="12">
        <f t="shared" si="57"/>
        <v>1591.5122115830766</v>
      </c>
      <c r="P89" s="19">
        <f t="shared" si="58"/>
        <v>-1.4286643469550481E-16</v>
      </c>
      <c r="R89" s="50">
        <f t="shared" si="59"/>
        <v>2.1476901218439162</v>
      </c>
      <c r="S89" s="12">
        <f t="shared" si="60"/>
        <v>0.82939985655969062</v>
      </c>
      <c r="T89" s="12">
        <f t="shared" si="61"/>
        <v>0.82939985655969062</v>
      </c>
      <c r="U89" s="51" t="str">
        <f t="shared" si="62"/>
        <v>Bulk Delivery</v>
      </c>
    </row>
    <row r="90" spans="1:21" x14ac:dyDescent="0.2">
      <c r="A90" s="143" t="str">
        <f t="shared" si="63"/>
        <v>Thermal 40 EXP</v>
      </c>
      <c r="B90" s="144">
        <f t="shared" si="64"/>
        <v>1820</v>
      </c>
      <c r="C90" s="2">
        <f t="shared" si="65"/>
        <v>1.34</v>
      </c>
      <c r="D90" s="2">
        <f t="shared" si="66"/>
        <v>0.89382561165424967</v>
      </c>
      <c r="E90" s="9" t="str">
        <f t="shared" si="54"/>
        <v>Bulk Delivery</v>
      </c>
      <c r="H90" s="38" t="s">
        <v>116</v>
      </c>
      <c r="I90" s="39">
        <v>1820</v>
      </c>
      <c r="J90" s="2">
        <v>0.47887510291884949</v>
      </c>
      <c r="K90" s="2">
        <v>0.81256873786749972</v>
      </c>
      <c r="L90" s="2">
        <v>1.34</v>
      </c>
      <c r="M90" s="12">
        <f t="shared" si="55"/>
        <v>0.70720186086746029</v>
      </c>
      <c r="N90" s="12">
        <f t="shared" si="56"/>
        <v>1476.7981391325395</v>
      </c>
      <c r="O90" s="12">
        <f t="shared" si="57"/>
        <v>1476.7981391325395</v>
      </c>
      <c r="P90" s="19">
        <f t="shared" si="58"/>
        <v>0</v>
      </c>
      <c r="R90" s="50">
        <f t="shared" si="59"/>
        <v>2.036193737151204</v>
      </c>
      <c r="S90" s="12">
        <f t="shared" si="60"/>
        <v>0.89382561165424967</v>
      </c>
      <c r="T90" s="12">
        <f t="shared" si="61"/>
        <v>0.89382561165424967</v>
      </c>
      <c r="U90" s="51" t="str">
        <f t="shared" si="62"/>
        <v>Bulk Delivery</v>
      </c>
    </row>
    <row r="91" spans="1:21" x14ac:dyDescent="0.2">
      <c r="A91" s="143" t="str">
        <f t="shared" si="63"/>
        <v>THERMAmix EC EXP</v>
      </c>
      <c r="B91" s="144">
        <f t="shared" si="64"/>
        <v>1675</v>
      </c>
      <c r="C91" s="2">
        <f t="shared" si="65"/>
        <v>1.105</v>
      </c>
      <c r="D91" s="2">
        <f t="shared" si="66"/>
        <v>1.0186787744516184</v>
      </c>
      <c r="E91" s="9" t="str">
        <f t="shared" si="54"/>
        <v>Bulk Delivery</v>
      </c>
      <c r="H91" s="38" t="s">
        <v>117</v>
      </c>
      <c r="I91" s="39">
        <v>1675</v>
      </c>
      <c r="J91" s="2">
        <v>0.55116995200587349</v>
      </c>
      <c r="K91" s="2">
        <v>0.92607161313783493</v>
      </c>
      <c r="L91" s="2">
        <v>1.105</v>
      </c>
      <c r="M91" s="12">
        <f t="shared" si="55"/>
        <v>0.71420388339730467</v>
      </c>
      <c r="N91" s="12">
        <f t="shared" si="56"/>
        <v>1295.7961166026953</v>
      </c>
      <c r="O91" s="12">
        <f t="shared" si="57"/>
        <v>1295.7961166026953</v>
      </c>
      <c r="P91" s="19">
        <f t="shared" si="58"/>
        <v>0</v>
      </c>
      <c r="R91" s="50">
        <f t="shared" si="59"/>
        <v>2.0162309859619483</v>
      </c>
      <c r="S91" s="12">
        <f t="shared" si="60"/>
        <v>1.0186787744516184</v>
      </c>
      <c r="T91" s="12">
        <f t="shared" si="61"/>
        <v>1.0186787744516184</v>
      </c>
      <c r="U91" s="51" t="str">
        <f t="shared" si="62"/>
        <v>Bulk Delivery</v>
      </c>
    </row>
    <row r="92" spans="1:21" x14ac:dyDescent="0.2">
      <c r="A92" s="143" t="str">
        <f t="shared" si="63"/>
        <v>THERMAmix LT</v>
      </c>
      <c r="B92" s="144">
        <f t="shared" si="64"/>
        <v>1840</v>
      </c>
      <c r="C92" s="2">
        <f t="shared" si="65"/>
        <v>1.21</v>
      </c>
      <c r="D92" s="2">
        <f t="shared" si="66"/>
        <v>0.85501559448633357</v>
      </c>
      <c r="E92" s="9" t="str">
        <f t="shared" si="54"/>
        <v>Bulk Delivery</v>
      </c>
      <c r="H92" s="38" t="s">
        <v>118</v>
      </c>
      <c r="I92" s="39">
        <v>1840</v>
      </c>
      <c r="J92" s="2">
        <v>0.43020790350441274</v>
      </c>
      <c r="K92" s="2">
        <v>0.77728690407848511</v>
      </c>
      <c r="L92" s="2">
        <v>1.21</v>
      </c>
      <c r="M92" s="12">
        <f t="shared" si="55"/>
        <v>0.66416850907495528</v>
      </c>
      <c r="N92" s="12">
        <f t="shared" si="56"/>
        <v>1543.8314909250448</v>
      </c>
      <c r="O92" s="12">
        <f t="shared" si="57"/>
        <v>1543.8314909250448</v>
      </c>
      <c r="P92" s="19">
        <f t="shared" si="58"/>
        <v>0</v>
      </c>
      <c r="R92" s="50">
        <f t="shared" si="59"/>
        <v>2.168124474925214</v>
      </c>
      <c r="S92" s="12">
        <f t="shared" si="60"/>
        <v>0.85501559448633357</v>
      </c>
      <c r="T92" s="12">
        <f t="shared" si="61"/>
        <v>0.85501559448633357</v>
      </c>
      <c r="U92" s="51" t="str">
        <f t="shared" si="62"/>
        <v>Bulk Delivery</v>
      </c>
    </row>
    <row r="93" spans="1:21" x14ac:dyDescent="0.2">
      <c r="A93" s="143" t="str">
        <f t="shared" si="63"/>
        <v>THERMAmix SLW</v>
      </c>
      <c r="B93" s="144">
        <f t="shared" si="64"/>
        <v>1625</v>
      </c>
      <c r="C93" s="2">
        <f t="shared" si="65"/>
        <v>1.1000000000000001</v>
      </c>
      <c r="D93" s="2">
        <f t="shared" si="66"/>
        <v>0.9937755345818885</v>
      </c>
      <c r="E93" s="9" t="str">
        <f t="shared" si="54"/>
        <v>Bulk Delivery</v>
      </c>
      <c r="H93" s="38" t="s">
        <v>119</v>
      </c>
      <c r="I93" s="39">
        <v>1625</v>
      </c>
      <c r="J93" s="2">
        <v>0.46807749426869882</v>
      </c>
      <c r="K93" s="2">
        <v>0.90343230416535314</v>
      </c>
      <c r="L93" s="2">
        <v>1.1000000000000001</v>
      </c>
      <c r="M93" s="12">
        <f t="shared" si="55"/>
        <v>0.62173224328231813</v>
      </c>
      <c r="N93" s="12">
        <f t="shared" si="56"/>
        <v>1328.2677567176818</v>
      </c>
      <c r="O93" s="12">
        <f t="shared" si="57"/>
        <v>1328.2677567176818</v>
      </c>
      <c r="P93" s="19">
        <f t="shared" si="58"/>
        <v>0</v>
      </c>
      <c r="R93" s="50">
        <f t="shared" si="59"/>
        <v>2.3161095721814124</v>
      </c>
      <c r="S93" s="12">
        <f t="shared" si="60"/>
        <v>0.9937755345818885</v>
      </c>
      <c r="T93" s="12">
        <f t="shared" si="61"/>
        <v>0.9937755345818885</v>
      </c>
      <c r="U93" s="51" t="str">
        <f t="shared" si="62"/>
        <v>Bulk Delivery</v>
      </c>
    </row>
    <row r="94" spans="1:21" x14ac:dyDescent="0.2">
      <c r="A94" s="143" t="str">
        <f t="shared" si="63"/>
        <v>ThixLite HT (AB)</v>
      </c>
      <c r="B94" s="144">
        <f t="shared" si="64"/>
        <v>1500</v>
      </c>
      <c r="C94" s="2">
        <f t="shared" si="65"/>
        <v>1.1100000000000001</v>
      </c>
      <c r="D94" s="2">
        <f t="shared" si="66"/>
        <v>1.2</v>
      </c>
      <c r="E94" s="9" t="str">
        <f t="shared" si="54"/>
        <v>Iron</v>
      </c>
      <c r="H94" s="38" t="s">
        <v>120</v>
      </c>
      <c r="I94" s="39">
        <v>1500</v>
      </c>
      <c r="J94" s="2">
        <v>0.87294055420101635</v>
      </c>
      <c r="K94" s="2">
        <v>1.2486270361340108</v>
      </c>
      <c r="L94" s="2">
        <v>1.1100000000000001</v>
      </c>
      <c r="M94" s="12">
        <f t="shared" si="55"/>
        <v>0.83894440431513451</v>
      </c>
      <c r="N94" s="12">
        <f t="shared" si="56"/>
        <v>961.05559568486558</v>
      </c>
      <c r="O94" s="12">
        <f t="shared" si="57"/>
        <v>961.05559568486558</v>
      </c>
      <c r="P94" s="19">
        <f t="shared" si="58"/>
        <v>0</v>
      </c>
      <c r="R94" s="50">
        <f t="shared" si="59"/>
        <v>1.716442701796828</v>
      </c>
      <c r="S94" s="12">
        <f t="shared" si="60"/>
        <v>1.373489739747412</v>
      </c>
      <c r="T94" s="12">
        <f t="shared" si="61"/>
        <v>1.2</v>
      </c>
      <c r="U94" s="51" t="str">
        <f t="shared" si="62"/>
        <v>Iron</v>
      </c>
    </row>
    <row r="95" spans="1:21" x14ac:dyDescent="0.2">
      <c r="A95" s="143" t="str">
        <f t="shared" si="63"/>
        <v>ThixLite HT (SK)</v>
      </c>
      <c r="B95" s="144">
        <f t="shared" si="64"/>
        <v>1500</v>
      </c>
      <c r="C95" s="2">
        <f t="shared" si="65"/>
        <v>1.26</v>
      </c>
      <c r="D95" s="2">
        <f t="shared" si="66"/>
        <v>1.2</v>
      </c>
      <c r="E95" s="9" t="str">
        <f t="shared" si="54"/>
        <v>Iron</v>
      </c>
      <c r="H95" s="38" t="s">
        <v>121</v>
      </c>
      <c r="I95" s="39">
        <v>1500</v>
      </c>
      <c r="J95" s="2">
        <v>0.93146514436495065</v>
      </c>
      <c r="K95" s="2">
        <v>1.2876434295766337</v>
      </c>
      <c r="L95" s="2">
        <v>1.26</v>
      </c>
      <c r="M95" s="12">
        <f t="shared" si="55"/>
        <v>0.86806498411244959</v>
      </c>
      <c r="N95" s="12">
        <f t="shared" si="56"/>
        <v>931.93501588755032</v>
      </c>
      <c r="O95" s="12">
        <f t="shared" si="57"/>
        <v>931.93501588755021</v>
      </c>
      <c r="P95" s="19">
        <f t="shared" si="58"/>
        <v>-1.2199009135131991E-16</v>
      </c>
      <c r="R95" s="50">
        <f t="shared" si="59"/>
        <v>1.658861981942888</v>
      </c>
      <c r="S95" s="12">
        <f t="shared" si="60"/>
        <v>1.4164077725342969</v>
      </c>
      <c r="T95" s="12">
        <f t="shared" si="61"/>
        <v>1.2</v>
      </c>
      <c r="U95" s="51" t="str">
        <f t="shared" si="62"/>
        <v>Iron</v>
      </c>
    </row>
    <row r="96" spans="1:21" x14ac:dyDescent="0.2">
      <c r="A96" s="143" t="str">
        <f t="shared" si="63"/>
        <v>SURFACEmix LW PRO SL</v>
      </c>
      <c r="B96" s="144">
        <f t="shared" si="64"/>
        <v>1550</v>
      </c>
      <c r="C96" s="2">
        <f t="shared" si="65"/>
        <v>0.999</v>
      </c>
      <c r="D96" s="2">
        <f t="shared" si="66"/>
        <v>1.2</v>
      </c>
      <c r="E96" s="9" t="str">
        <f t="shared" si="54"/>
        <v>Iron</v>
      </c>
      <c r="H96" s="38" t="s">
        <v>122</v>
      </c>
      <c r="I96" s="39">
        <v>1550</v>
      </c>
      <c r="J96" s="2">
        <v>0.747</v>
      </c>
      <c r="K96" s="2">
        <v>1.127</v>
      </c>
      <c r="L96" s="2">
        <v>0.999</v>
      </c>
      <c r="M96" s="12">
        <f t="shared" si="55"/>
        <v>0.7953859804791481</v>
      </c>
      <c r="N96" s="12">
        <f t="shared" si="56"/>
        <v>1064.7737355811889</v>
      </c>
      <c r="O96" s="12">
        <f t="shared" si="57"/>
        <v>1064.6140195208518</v>
      </c>
      <c r="P96" s="19">
        <f t="shared" si="58"/>
        <v>-1.4999999999995662E-4</v>
      </c>
      <c r="R96" s="50">
        <f t="shared" si="59"/>
        <v>1.8104417670682731</v>
      </c>
      <c r="S96" s="12">
        <f t="shared" si="60"/>
        <v>1.2397</v>
      </c>
      <c r="T96" s="12">
        <f t="shared" si="61"/>
        <v>1.2</v>
      </c>
      <c r="U96" s="51" t="str">
        <f t="shared" si="62"/>
        <v>Iron</v>
      </c>
    </row>
    <row r="97" spans="1:21" x14ac:dyDescent="0.2">
      <c r="A97" s="143" t="str">
        <f t="shared" si="63"/>
        <v>LDP-C-0117</v>
      </c>
      <c r="B97" s="144">
        <f t="shared" si="64"/>
        <v>1200</v>
      </c>
      <c r="C97" s="2">
        <f t="shared" si="65"/>
        <v>1.7190000000000001</v>
      </c>
      <c r="D97" s="2">
        <f t="shared" si="66"/>
        <v>1.2</v>
      </c>
      <c r="E97" s="9" t="str">
        <f t="shared" si="54"/>
        <v>Iron</v>
      </c>
      <c r="H97" s="38" t="s">
        <v>123</v>
      </c>
      <c r="I97" s="39">
        <v>1200</v>
      </c>
      <c r="J97" s="2">
        <v>0.66100000000000003</v>
      </c>
      <c r="K97" s="2">
        <v>1.3839999999999999</v>
      </c>
      <c r="L97" s="2">
        <v>1.7190000000000001</v>
      </c>
      <c r="M97" s="12">
        <f t="shared" si="55"/>
        <v>0.57312138728323703</v>
      </c>
      <c r="N97" s="12">
        <f t="shared" si="56"/>
        <v>867.05202312138726</v>
      </c>
      <c r="O97" s="12">
        <f t="shared" si="57"/>
        <v>866.87861271676297</v>
      </c>
      <c r="P97" s="19">
        <f t="shared" si="58"/>
        <v>-2.0000000000001668E-4</v>
      </c>
      <c r="R97" s="50">
        <f t="shared" si="59"/>
        <v>2.5125567322239029</v>
      </c>
      <c r="S97" s="12">
        <f t="shared" si="60"/>
        <v>1.5223999999999998</v>
      </c>
      <c r="T97" s="12">
        <f t="shared" si="61"/>
        <v>1.2</v>
      </c>
      <c r="U97" s="51" t="str">
        <f t="shared" si="62"/>
        <v>Iron</v>
      </c>
    </row>
    <row r="98" spans="1:21" ht="13.5" thickBot="1" x14ac:dyDescent="0.25">
      <c r="A98" s="146" t="str">
        <f t="shared" si="63"/>
        <v>LDP-C-1616</v>
      </c>
      <c r="B98" s="147">
        <f t="shared" si="64"/>
        <v>1600</v>
      </c>
      <c r="C98" s="3">
        <f>L98</f>
        <v>0.92</v>
      </c>
      <c r="D98" s="3">
        <f t="shared" si="66"/>
        <v>1.1286</v>
      </c>
      <c r="E98" s="1" t="str">
        <f t="shared" si="54"/>
        <v>Bulk Delivery</v>
      </c>
      <c r="H98" s="40" t="s">
        <v>124</v>
      </c>
      <c r="I98" s="41">
        <v>1600</v>
      </c>
      <c r="J98" s="3">
        <v>0.64200000000000002</v>
      </c>
      <c r="K98" s="3">
        <v>1.026</v>
      </c>
      <c r="L98" s="3">
        <v>0.92</v>
      </c>
      <c r="M98" s="18">
        <f t="shared" si="55"/>
        <v>0.75087719298245614</v>
      </c>
      <c r="N98" s="18">
        <f t="shared" si="56"/>
        <v>1169.5906432748538</v>
      </c>
      <c r="O98" s="18">
        <f t="shared" si="57"/>
        <v>1169.1228070175439</v>
      </c>
      <c r="P98" s="20">
        <f t="shared" si="58"/>
        <v>-4.0000000000001135E-4</v>
      </c>
      <c r="R98" s="52">
        <f t="shared" si="59"/>
        <v>1.9177570093457945</v>
      </c>
      <c r="S98" s="18">
        <f t="shared" si="60"/>
        <v>1.1286</v>
      </c>
      <c r="T98" s="18">
        <f t="shared" si="61"/>
        <v>1.1286</v>
      </c>
      <c r="U98" s="53" t="str">
        <f t="shared" si="62"/>
        <v>Bulk Delivery</v>
      </c>
    </row>
    <row r="99" spans="1:21" ht="13.5" thickBot="1" x14ac:dyDescent="0.25"/>
    <row r="100" spans="1:21" x14ac:dyDescent="0.2">
      <c r="K100" s="4" t="s">
        <v>125</v>
      </c>
      <c r="L100" s="36"/>
      <c r="M100" s="33">
        <f>MIN(M10:M98)</f>
        <v>0.52631578947368418</v>
      </c>
      <c r="N100" s="34">
        <f>MIN(N10:N98)</f>
        <v>351.90615835777123</v>
      </c>
    </row>
    <row r="101" spans="1:21" ht="13.5" thickBot="1" x14ac:dyDescent="0.25">
      <c r="K101" s="7" t="s">
        <v>126</v>
      </c>
      <c r="L101" s="37"/>
      <c r="M101" s="32">
        <f>MAX(M10:M98)</f>
        <v>1.087390029325513</v>
      </c>
      <c r="N101" s="35">
        <f>MAX(N10:N98)</f>
        <v>2105.2631578947367</v>
      </c>
    </row>
  </sheetData>
  <mergeCells count="7">
    <mergeCell ref="P8:P9"/>
    <mergeCell ref="U8:U9"/>
    <mergeCell ref="D3:D4"/>
    <mergeCell ref="B3:B4"/>
    <mergeCell ref="A8:A9"/>
    <mergeCell ref="E8:E9"/>
    <mergeCell ref="H8:H9"/>
  </mergeCells>
  <phoneticPr fontId="5" type="noConversion"/>
  <conditionalFormatting sqref="H10:P98 A10:E98">
    <cfRule type="expression" dxfId="0" priority="6" stopIfTrue="1">
      <formula>OR($B$3&gt;$K$3,$M10&gt;$K$4,$N10&gt;$K$5)</formula>
    </cfRule>
  </conditionalFormatting>
  <dataValidations count="1">
    <dataValidation type="list" allowBlank="1" showInputMessage="1" showErrorMessage="1" sqref="B5" xr:uid="{00000000-0002-0000-0100-000000000000}">
      <formula1>$N$3:$N$4</formula1>
    </dataValidation>
  </dataValidations>
  <pageMargins left="0.75" right="0.75" top="1" bottom="1" header="0.5" footer="0.5"/>
  <pageSetup orientation="portrait" horizontalDpi="72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5"/>
  <sheetViews>
    <sheetView view="pageBreakPreview" zoomScaleNormal="100" zoomScaleSheetLayoutView="100" workbookViewId="0">
      <pane ySplit="2" topLeftCell="A26" activePane="bottomLeft" state="frozen"/>
      <selection pane="bottomLeft" activeCell="F27" sqref="F27"/>
    </sheetView>
  </sheetViews>
  <sheetFormatPr defaultColWidth="9.140625" defaultRowHeight="15" x14ac:dyDescent="0.2"/>
  <cols>
    <col min="1" max="1" width="24.5703125" style="23" customWidth="1"/>
    <col min="2" max="6" width="12.42578125" style="23" customWidth="1"/>
    <col min="7" max="8" width="12.42578125" style="26" customWidth="1"/>
    <col min="9" max="10" width="12.42578125" style="23" customWidth="1"/>
    <col min="11" max="16384" width="9.140625" style="23"/>
  </cols>
  <sheetData>
    <row r="1" spans="1:10" x14ac:dyDescent="0.2">
      <c r="A1" s="181" t="s">
        <v>127</v>
      </c>
      <c r="B1" s="183" t="s">
        <v>128</v>
      </c>
      <c r="C1" s="183"/>
      <c r="D1" s="183"/>
      <c r="E1" s="183"/>
      <c r="F1" s="183"/>
      <c r="G1" s="183"/>
      <c r="H1" s="183" t="s">
        <v>129</v>
      </c>
      <c r="I1" s="183"/>
      <c r="J1" s="184"/>
    </row>
    <row r="2" spans="1:10" ht="25.5" x14ac:dyDescent="0.2">
      <c r="A2" s="182"/>
      <c r="B2" s="115" t="s">
        <v>130</v>
      </c>
      <c r="C2" s="115" t="s">
        <v>131</v>
      </c>
      <c r="D2" s="115" t="s">
        <v>132</v>
      </c>
      <c r="E2" s="115" t="s">
        <v>133</v>
      </c>
      <c r="F2" s="115" t="s">
        <v>134</v>
      </c>
      <c r="G2" s="115" t="s">
        <v>135</v>
      </c>
      <c r="H2" s="115" t="s">
        <v>136</v>
      </c>
      <c r="I2" s="115" t="s">
        <v>137</v>
      </c>
      <c r="J2" s="116" t="s">
        <v>138</v>
      </c>
    </row>
    <row r="3" spans="1:10" x14ac:dyDescent="0.2">
      <c r="A3" s="100" t="s">
        <v>139</v>
      </c>
      <c r="B3" s="62">
        <v>4</v>
      </c>
      <c r="C3" s="62">
        <v>19</v>
      </c>
      <c r="D3" s="62">
        <v>1</v>
      </c>
      <c r="E3" s="62">
        <v>1</v>
      </c>
      <c r="F3" s="62">
        <v>6</v>
      </c>
      <c r="G3" s="62">
        <v>2</v>
      </c>
      <c r="H3" s="62">
        <v>4</v>
      </c>
      <c r="I3" s="62">
        <v>9</v>
      </c>
      <c r="J3" s="98">
        <v>4</v>
      </c>
    </row>
    <row r="4" spans="1:10" ht="15.75" customHeight="1" thickBot="1" x14ac:dyDescent="0.25">
      <c r="A4" s="99" t="s">
        <v>140</v>
      </c>
      <c r="B4" s="101">
        <v>1</v>
      </c>
      <c r="C4" s="101">
        <v>18</v>
      </c>
      <c r="D4" s="101">
        <v>1</v>
      </c>
      <c r="E4" s="101">
        <v>0</v>
      </c>
      <c r="F4" s="101">
        <v>5</v>
      </c>
      <c r="G4" s="101">
        <v>0</v>
      </c>
      <c r="H4" s="101">
        <v>3</v>
      </c>
      <c r="I4" s="101">
        <v>4</v>
      </c>
      <c r="J4" s="102">
        <v>4</v>
      </c>
    </row>
    <row r="5" spans="1:10" ht="15.75" thickBot="1" x14ac:dyDescent="0.25">
      <c r="A5" s="176" t="s">
        <v>141</v>
      </c>
      <c r="B5" s="177"/>
      <c r="C5" s="177"/>
      <c r="D5" s="177"/>
      <c r="E5" s="177"/>
      <c r="F5" s="177"/>
      <c r="G5" s="177"/>
      <c r="H5" s="177"/>
      <c r="I5" s="177"/>
      <c r="J5" s="178"/>
    </row>
    <row r="6" spans="1:10" x14ac:dyDescent="0.2">
      <c r="A6" s="95" t="s">
        <v>142</v>
      </c>
      <c r="B6" s="185" t="s">
        <v>143</v>
      </c>
      <c r="C6" s="185"/>
      <c r="D6" s="185"/>
      <c r="E6" s="185"/>
      <c r="F6" s="185"/>
      <c r="G6" s="185"/>
      <c r="H6" s="185"/>
      <c r="I6" s="185"/>
      <c r="J6" s="186"/>
    </row>
    <row r="7" spans="1:10" x14ac:dyDescent="0.2">
      <c r="A7" s="96" t="s">
        <v>144</v>
      </c>
      <c r="B7" s="187" t="s">
        <v>145</v>
      </c>
      <c r="C7" s="187"/>
      <c r="D7" s="187"/>
      <c r="E7" s="187"/>
      <c r="F7" s="187"/>
      <c r="G7" s="187"/>
      <c r="H7" s="187"/>
      <c r="I7" s="187"/>
      <c r="J7" s="188"/>
    </row>
    <row r="8" spans="1:10" ht="15.75" thickBot="1" x14ac:dyDescent="0.25">
      <c r="A8" s="94" t="s">
        <v>146</v>
      </c>
      <c r="B8" s="174" t="s">
        <v>147</v>
      </c>
      <c r="C8" s="174"/>
      <c r="D8" s="174"/>
      <c r="E8" s="174"/>
      <c r="F8" s="174"/>
      <c r="G8" s="174"/>
      <c r="H8" s="174" t="s">
        <v>148</v>
      </c>
      <c r="I8" s="174"/>
      <c r="J8" s="175"/>
    </row>
    <row r="9" spans="1:10" ht="15.75" thickBot="1" x14ac:dyDescent="0.25">
      <c r="A9" s="176" t="s">
        <v>149</v>
      </c>
      <c r="B9" s="177"/>
      <c r="C9" s="177"/>
      <c r="D9" s="177"/>
      <c r="E9" s="177"/>
      <c r="F9" s="177"/>
      <c r="G9" s="177"/>
      <c r="H9" s="177"/>
      <c r="I9" s="177"/>
      <c r="J9" s="178"/>
    </row>
    <row r="10" spans="1:10" x14ac:dyDescent="0.2">
      <c r="A10" s="95" t="s">
        <v>150</v>
      </c>
      <c r="B10" s="179" t="s">
        <v>151</v>
      </c>
      <c r="C10" s="179"/>
      <c r="D10" s="179" t="s">
        <v>152</v>
      </c>
      <c r="E10" s="179"/>
      <c r="F10" s="154"/>
      <c r="G10" s="154"/>
      <c r="H10" s="179" t="s">
        <v>153</v>
      </c>
      <c r="I10" s="179"/>
      <c r="J10" s="180"/>
    </row>
    <row r="11" spans="1:10" x14ac:dyDescent="0.2">
      <c r="A11" s="117">
        <v>0.9</v>
      </c>
      <c r="B11" s="168" t="s">
        <v>154</v>
      </c>
      <c r="C11" s="168"/>
      <c r="D11" s="170" t="s">
        <v>155</v>
      </c>
      <c r="E11" s="170"/>
      <c r="F11" s="152" t="s">
        <v>154</v>
      </c>
      <c r="G11" s="152" t="s">
        <v>154</v>
      </c>
      <c r="H11" s="170" t="s">
        <v>156</v>
      </c>
      <c r="I11" s="170"/>
      <c r="J11" s="171"/>
    </row>
    <row r="12" spans="1:10" x14ac:dyDescent="0.2">
      <c r="A12" s="117">
        <v>0.8</v>
      </c>
      <c r="B12" s="168" t="s">
        <v>154</v>
      </c>
      <c r="C12" s="168"/>
      <c r="D12" s="168" t="s">
        <v>154</v>
      </c>
      <c r="E12" s="168"/>
      <c r="F12" s="152" t="s">
        <v>154</v>
      </c>
      <c r="G12" s="152" t="s">
        <v>154</v>
      </c>
      <c r="H12" s="168" t="s">
        <v>154</v>
      </c>
      <c r="I12" s="168"/>
      <c r="J12" s="172"/>
    </row>
    <row r="13" spans="1:10" ht="15.75" thickBot="1" x14ac:dyDescent="0.25">
      <c r="A13" s="118">
        <v>0.75</v>
      </c>
      <c r="B13" s="169" t="s">
        <v>154</v>
      </c>
      <c r="C13" s="169"/>
      <c r="D13" s="169" t="s">
        <v>154</v>
      </c>
      <c r="E13" s="169"/>
      <c r="F13" s="153" t="s">
        <v>154</v>
      </c>
      <c r="G13" s="153" t="s">
        <v>154</v>
      </c>
      <c r="H13" s="169" t="s">
        <v>154</v>
      </c>
      <c r="I13" s="169"/>
      <c r="J13" s="173"/>
    </row>
    <row r="14" spans="1:10" ht="15.75" thickBot="1" x14ac:dyDescent="0.25">
      <c r="A14" s="176" t="s">
        <v>157</v>
      </c>
      <c r="B14" s="177"/>
      <c r="C14" s="177"/>
      <c r="D14" s="177"/>
      <c r="E14" s="177"/>
      <c r="F14" s="177"/>
      <c r="G14" s="177"/>
      <c r="H14" s="177"/>
      <c r="I14" s="177"/>
      <c r="J14" s="178"/>
    </row>
    <row r="15" spans="1:10" x14ac:dyDescent="0.2">
      <c r="A15" s="95" t="s">
        <v>158</v>
      </c>
      <c r="B15" s="185" t="s">
        <v>159</v>
      </c>
      <c r="C15" s="185"/>
      <c r="D15" s="185" t="s">
        <v>160</v>
      </c>
      <c r="E15" s="185"/>
      <c r="F15" s="185" t="s">
        <v>159</v>
      </c>
      <c r="G15" s="185"/>
      <c r="H15" s="185" t="s">
        <v>160</v>
      </c>
      <c r="I15" s="185"/>
      <c r="J15" s="186"/>
    </row>
    <row r="16" spans="1:10" ht="26.25" thickBot="1" x14ac:dyDescent="0.25">
      <c r="A16" s="94" t="s">
        <v>161</v>
      </c>
      <c r="B16" s="174" t="s">
        <v>162</v>
      </c>
      <c r="C16" s="174"/>
      <c r="D16" s="174"/>
      <c r="E16" s="174"/>
      <c r="F16" s="174"/>
      <c r="G16" s="174"/>
      <c r="H16" s="174" t="s">
        <v>163</v>
      </c>
      <c r="I16" s="174"/>
      <c r="J16" s="175"/>
    </row>
    <row r="17" spans="1:15" ht="15.75" thickBot="1" x14ac:dyDescent="0.25">
      <c r="A17" s="176" t="s">
        <v>164</v>
      </c>
      <c r="B17" s="177"/>
      <c r="C17" s="177"/>
      <c r="D17" s="177"/>
      <c r="E17" s="177"/>
      <c r="F17" s="177"/>
      <c r="G17" s="177"/>
      <c r="H17" s="177"/>
      <c r="I17" s="177"/>
      <c r="J17" s="178"/>
    </row>
    <row r="18" spans="1:15" x14ac:dyDescent="0.2">
      <c r="A18" s="95" t="s">
        <v>165</v>
      </c>
      <c r="B18" s="155" t="s">
        <v>166</v>
      </c>
      <c r="C18" s="185" t="s">
        <v>167</v>
      </c>
      <c r="D18" s="185"/>
      <c r="E18" s="185"/>
      <c r="F18" s="155" t="s">
        <v>167</v>
      </c>
      <c r="G18" s="155" t="s">
        <v>168</v>
      </c>
      <c r="H18" s="185" t="s">
        <v>169</v>
      </c>
      <c r="I18" s="185"/>
      <c r="J18" s="97" t="s">
        <v>170</v>
      </c>
    </row>
    <row r="19" spans="1:15" x14ac:dyDescent="0.2">
      <c r="A19" s="96" t="s">
        <v>171</v>
      </c>
      <c r="B19" s="156">
        <v>375</v>
      </c>
      <c r="C19" s="187">
        <v>475</v>
      </c>
      <c r="D19" s="187"/>
      <c r="E19" s="187"/>
      <c r="F19" s="156">
        <v>520</v>
      </c>
      <c r="G19" s="156">
        <v>565</v>
      </c>
      <c r="H19" s="187">
        <v>560</v>
      </c>
      <c r="I19" s="187"/>
      <c r="J19" s="93">
        <v>600</v>
      </c>
    </row>
    <row r="20" spans="1:15" x14ac:dyDescent="0.2">
      <c r="A20" s="96" t="s">
        <v>172</v>
      </c>
      <c r="B20" s="156" t="s">
        <v>173</v>
      </c>
      <c r="C20" s="187" t="s">
        <v>174</v>
      </c>
      <c r="D20" s="187"/>
      <c r="E20" s="187"/>
      <c r="F20" s="187"/>
      <c r="G20" s="156" t="s">
        <v>175</v>
      </c>
      <c r="H20" s="187" t="s">
        <v>175</v>
      </c>
      <c r="I20" s="187"/>
      <c r="J20" s="188"/>
    </row>
    <row r="21" spans="1:15" x14ac:dyDescent="0.2">
      <c r="A21" s="96" t="s">
        <v>176</v>
      </c>
      <c r="B21" s="187" t="s">
        <v>177</v>
      </c>
      <c r="C21" s="187"/>
      <c r="D21" s="187"/>
      <c r="E21" s="187"/>
      <c r="F21" s="187"/>
      <c r="G21" s="187" t="s">
        <v>178</v>
      </c>
      <c r="H21" s="187"/>
      <c r="I21" s="187"/>
      <c r="J21" s="188"/>
    </row>
    <row r="22" spans="1:15" x14ac:dyDescent="0.2">
      <c r="A22" s="96" t="s">
        <v>179</v>
      </c>
      <c r="B22" s="187" t="s">
        <v>180</v>
      </c>
      <c r="C22" s="187"/>
      <c r="D22" s="187"/>
      <c r="E22" s="187"/>
      <c r="F22" s="187"/>
      <c r="G22" s="187"/>
      <c r="H22" s="187" t="s">
        <v>181</v>
      </c>
      <c r="I22" s="187"/>
      <c r="J22" s="188"/>
    </row>
    <row r="23" spans="1:15" x14ac:dyDescent="0.2">
      <c r="A23" s="96" t="s">
        <v>182</v>
      </c>
      <c r="B23" s="187" t="s">
        <v>183</v>
      </c>
      <c r="C23" s="187"/>
      <c r="D23" s="187"/>
      <c r="E23" s="187"/>
      <c r="F23" s="187"/>
      <c r="G23" s="156" t="s">
        <v>184</v>
      </c>
      <c r="H23" s="187" t="s">
        <v>183</v>
      </c>
      <c r="I23" s="187"/>
      <c r="J23" s="188"/>
    </row>
    <row r="24" spans="1:15" x14ac:dyDescent="0.2">
      <c r="A24" s="96" t="s">
        <v>185</v>
      </c>
      <c r="B24" s="156" t="s">
        <v>186</v>
      </c>
      <c r="C24" s="187" t="s">
        <v>187</v>
      </c>
      <c r="D24" s="187"/>
      <c r="E24" s="187"/>
      <c r="F24" s="187"/>
      <c r="G24" s="156" t="s">
        <v>186</v>
      </c>
      <c r="H24" s="187" t="s">
        <v>186</v>
      </c>
      <c r="I24" s="187"/>
      <c r="J24" s="188"/>
      <c r="O24" s="24"/>
    </row>
    <row r="25" spans="1:15" x14ac:dyDescent="0.2">
      <c r="A25" s="96" t="s">
        <v>188</v>
      </c>
      <c r="B25" s="187" t="s">
        <v>189</v>
      </c>
      <c r="C25" s="187"/>
      <c r="D25" s="187" t="s">
        <v>190</v>
      </c>
      <c r="E25" s="187"/>
      <c r="F25" s="187" t="s">
        <v>191</v>
      </c>
      <c r="G25" s="187"/>
      <c r="H25" s="187" t="s">
        <v>192</v>
      </c>
      <c r="I25" s="187"/>
      <c r="J25" s="188"/>
    </row>
    <row r="26" spans="1:15" x14ac:dyDescent="0.2">
      <c r="A26" s="96" t="s">
        <v>193</v>
      </c>
      <c r="B26" s="187" t="s">
        <v>194</v>
      </c>
      <c r="C26" s="187"/>
      <c r="D26" s="187"/>
      <c r="E26" s="156" t="s">
        <v>195</v>
      </c>
      <c r="F26" s="156" t="s">
        <v>195</v>
      </c>
      <c r="G26" s="156" t="s">
        <v>196</v>
      </c>
      <c r="H26" s="187" t="s">
        <v>197</v>
      </c>
      <c r="I26" s="187"/>
      <c r="J26" s="188"/>
    </row>
    <row r="27" spans="1:15" x14ac:dyDescent="0.2">
      <c r="A27" s="96" t="s">
        <v>198</v>
      </c>
      <c r="B27" s="187" t="s">
        <v>199</v>
      </c>
      <c r="C27" s="187"/>
      <c r="D27" s="187"/>
      <c r="E27" s="187"/>
      <c r="F27" s="156" t="s">
        <v>200</v>
      </c>
      <c r="G27" s="156" t="s">
        <v>201</v>
      </c>
      <c r="H27" s="187" t="s">
        <v>202</v>
      </c>
      <c r="I27" s="187"/>
      <c r="J27" s="188"/>
    </row>
    <row r="28" spans="1:15" x14ac:dyDescent="0.2">
      <c r="A28" s="96" t="s">
        <v>203</v>
      </c>
      <c r="B28" s="156" t="s">
        <v>189</v>
      </c>
      <c r="C28" s="156" t="s">
        <v>189</v>
      </c>
      <c r="D28" s="187" t="s">
        <v>204</v>
      </c>
      <c r="E28" s="187"/>
      <c r="F28" s="156" t="s">
        <v>189</v>
      </c>
      <c r="G28" s="156" t="s">
        <v>189</v>
      </c>
      <c r="H28" s="187" t="s">
        <v>204</v>
      </c>
      <c r="I28" s="187"/>
      <c r="J28" s="188"/>
    </row>
    <row r="29" spans="1:15" x14ac:dyDescent="0.2">
      <c r="A29" s="96" t="s">
        <v>205</v>
      </c>
      <c r="B29" s="187">
        <v>2</v>
      </c>
      <c r="C29" s="187"/>
      <c r="D29" s="187">
        <v>3</v>
      </c>
      <c r="E29" s="187"/>
      <c r="F29" s="187">
        <v>2</v>
      </c>
      <c r="G29" s="187"/>
      <c r="H29" s="187">
        <v>2</v>
      </c>
      <c r="I29" s="187"/>
      <c r="J29" s="188"/>
    </row>
    <row r="30" spans="1:15" x14ac:dyDescent="0.2">
      <c r="A30" s="96" t="s">
        <v>206</v>
      </c>
      <c r="B30" s="189" t="s">
        <v>207</v>
      </c>
      <c r="C30" s="189"/>
      <c r="D30" s="189"/>
      <c r="E30" s="189"/>
      <c r="F30" s="189"/>
      <c r="G30" s="189"/>
      <c r="H30" s="189" t="s">
        <v>154</v>
      </c>
      <c r="I30" s="189"/>
      <c r="J30" s="190"/>
    </row>
    <row r="31" spans="1:15" x14ac:dyDescent="0.2">
      <c r="A31" s="96" t="s">
        <v>208</v>
      </c>
      <c r="B31" s="189" t="s">
        <v>189</v>
      </c>
      <c r="C31" s="189"/>
      <c r="D31" s="189"/>
      <c r="E31" s="189"/>
      <c r="F31" s="189"/>
      <c r="G31" s="189"/>
      <c r="H31" s="157" t="s">
        <v>204</v>
      </c>
      <c r="I31" s="189" t="s">
        <v>189</v>
      </c>
      <c r="J31" s="190"/>
    </row>
    <row r="32" spans="1:15" ht="15.75" thickBot="1" x14ac:dyDescent="0.25">
      <c r="A32" s="94" t="s">
        <v>209</v>
      </c>
      <c r="B32" s="191" t="s">
        <v>189</v>
      </c>
      <c r="C32" s="191"/>
      <c r="D32" s="191"/>
      <c r="E32" s="191"/>
      <c r="F32" s="191" t="s">
        <v>204</v>
      </c>
      <c r="G32" s="191"/>
      <c r="H32" s="191" t="s">
        <v>189</v>
      </c>
      <c r="I32" s="191"/>
      <c r="J32" s="192"/>
    </row>
    <row r="33" spans="1:10" ht="15.75" thickBot="1" x14ac:dyDescent="0.25">
      <c r="A33" s="176" t="s">
        <v>210</v>
      </c>
      <c r="B33" s="177"/>
      <c r="C33" s="177"/>
      <c r="D33" s="177"/>
      <c r="E33" s="177"/>
      <c r="F33" s="177"/>
      <c r="G33" s="177"/>
      <c r="H33" s="177"/>
      <c r="I33" s="177"/>
      <c r="J33" s="178"/>
    </row>
    <row r="34" spans="1:10" x14ac:dyDescent="0.2">
      <c r="A34" s="95" t="s">
        <v>211</v>
      </c>
      <c r="B34" s="185" t="s">
        <v>212</v>
      </c>
      <c r="C34" s="185"/>
      <c r="D34" s="185" t="s">
        <v>213</v>
      </c>
      <c r="E34" s="185"/>
      <c r="F34" s="185" t="s">
        <v>212</v>
      </c>
      <c r="G34" s="185"/>
      <c r="H34" s="185"/>
      <c r="I34" s="185"/>
      <c r="J34" s="186"/>
    </row>
    <row r="35" spans="1:10" x14ac:dyDescent="0.2">
      <c r="A35" s="96" t="s">
        <v>214</v>
      </c>
      <c r="B35" s="187" t="s">
        <v>215</v>
      </c>
      <c r="C35" s="187"/>
      <c r="D35" s="187"/>
      <c r="E35" s="187"/>
      <c r="F35" s="187"/>
      <c r="G35" s="156" t="s">
        <v>216</v>
      </c>
      <c r="H35" s="187" t="s">
        <v>217</v>
      </c>
      <c r="I35" s="187"/>
      <c r="J35" s="188"/>
    </row>
    <row r="36" spans="1:10" x14ac:dyDescent="0.2">
      <c r="A36" s="96" t="s">
        <v>218</v>
      </c>
      <c r="B36" s="193">
        <v>3500</v>
      </c>
      <c r="C36" s="194"/>
      <c r="D36" s="193">
        <v>6000</v>
      </c>
      <c r="E36" s="194"/>
      <c r="F36" s="156">
        <v>3500</v>
      </c>
      <c r="G36" s="156"/>
      <c r="H36" s="193">
        <v>4000</v>
      </c>
      <c r="I36" s="195"/>
      <c r="J36" s="196"/>
    </row>
    <row r="37" spans="1:10" x14ac:dyDescent="0.2">
      <c r="A37" s="96" t="s">
        <v>219</v>
      </c>
      <c r="B37" s="193">
        <v>1750</v>
      </c>
      <c r="C37" s="194"/>
      <c r="D37" s="193">
        <v>2000</v>
      </c>
      <c r="E37" s="194"/>
      <c r="F37" s="156">
        <v>1750</v>
      </c>
      <c r="G37" s="156"/>
      <c r="H37" s="193">
        <v>2000</v>
      </c>
      <c r="I37" s="195"/>
      <c r="J37" s="196"/>
    </row>
    <row r="38" spans="1:10" x14ac:dyDescent="0.2">
      <c r="A38" s="96" t="s">
        <v>220</v>
      </c>
      <c r="B38" s="187">
        <v>750</v>
      </c>
      <c r="C38" s="187"/>
      <c r="D38" s="187">
        <v>757</v>
      </c>
      <c r="E38" s="187"/>
      <c r="F38" s="156">
        <v>750</v>
      </c>
      <c r="G38" s="156">
        <v>750</v>
      </c>
      <c r="H38" s="187">
        <v>492</v>
      </c>
      <c r="I38" s="187"/>
      <c r="J38" s="188"/>
    </row>
    <row r="39" spans="1:10" x14ac:dyDescent="0.2">
      <c r="A39" s="96" t="s">
        <v>221</v>
      </c>
      <c r="B39" s="187" t="s">
        <v>222</v>
      </c>
      <c r="C39" s="187"/>
      <c r="D39" s="187" t="s">
        <v>223</v>
      </c>
      <c r="E39" s="187"/>
      <c r="F39" s="156" t="s">
        <v>222</v>
      </c>
      <c r="G39" s="156" t="s">
        <v>222</v>
      </c>
      <c r="H39" s="187" t="s">
        <v>224</v>
      </c>
      <c r="I39" s="187"/>
      <c r="J39" s="188"/>
    </row>
    <row r="40" spans="1:10" x14ac:dyDescent="0.2">
      <c r="A40" s="96" t="s">
        <v>225</v>
      </c>
      <c r="B40" s="156">
        <v>378</v>
      </c>
      <c r="C40" s="156" t="s">
        <v>226</v>
      </c>
      <c r="D40" s="187">
        <v>378</v>
      </c>
      <c r="E40" s="187"/>
      <c r="F40" s="156">
        <v>302</v>
      </c>
      <c r="G40" s="156">
        <v>302</v>
      </c>
      <c r="H40" s="187">
        <v>128</v>
      </c>
      <c r="I40" s="187"/>
      <c r="J40" s="188"/>
    </row>
    <row r="41" spans="1:10" ht="15.75" thickBot="1" x14ac:dyDescent="0.25">
      <c r="A41" s="94" t="s">
        <v>227</v>
      </c>
      <c r="B41" s="191" t="s">
        <v>228</v>
      </c>
      <c r="C41" s="191"/>
      <c r="D41" s="191"/>
      <c r="E41" s="191"/>
      <c r="F41" s="191"/>
      <c r="G41" s="191"/>
      <c r="H41" s="191"/>
      <c r="I41" s="191"/>
      <c r="J41" s="192"/>
    </row>
    <row r="42" spans="1:10" ht="15.75" thickBot="1" x14ac:dyDescent="0.25">
      <c r="A42" s="176" t="s">
        <v>177</v>
      </c>
      <c r="B42" s="177"/>
      <c r="C42" s="177"/>
      <c r="D42" s="177"/>
      <c r="E42" s="177"/>
      <c r="F42" s="177"/>
      <c r="G42" s="177"/>
      <c r="H42" s="177"/>
      <c r="I42" s="177"/>
      <c r="J42" s="178"/>
    </row>
    <row r="43" spans="1:10" x14ac:dyDescent="0.2">
      <c r="A43" s="95" t="s">
        <v>177</v>
      </c>
      <c r="B43" s="185" t="s">
        <v>189</v>
      </c>
      <c r="C43" s="185"/>
      <c r="D43" s="155" t="s">
        <v>229</v>
      </c>
      <c r="E43" s="155" t="s">
        <v>189</v>
      </c>
      <c r="F43" s="155" t="s">
        <v>189</v>
      </c>
      <c r="G43" s="155" t="s">
        <v>229</v>
      </c>
      <c r="H43" s="185" t="s">
        <v>189</v>
      </c>
      <c r="I43" s="185"/>
      <c r="J43" s="186"/>
    </row>
    <row r="44" spans="1:10" x14ac:dyDescent="0.2">
      <c r="A44" s="96" t="s">
        <v>230</v>
      </c>
      <c r="B44" s="187" t="s">
        <v>231</v>
      </c>
      <c r="C44" s="187"/>
      <c r="D44" s="187"/>
      <c r="E44" s="187"/>
      <c r="F44" s="156" t="s">
        <v>232</v>
      </c>
      <c r="G44" s="187" t="s">
        <v>231</v>
      </c>
      <c r="H44" s="187"/>
      <c r="I44" s="187"/>
      <c r="J44" s="93" t="s">
        <v>232</v>
      </c>
    </row>
    <row r="45" spans="1:10" x14ac:dyDescent="0.2">
      <c r="A45" s="96" t="s">
        <v>233</v>
      </c>
      <c r="B45" s="187" t="s">
        <v>177</v>
      </c>
      <c r="C45" s="187"/>
      <c r="D45" s="187"/>
      <c r="E45" s="187"/>
      <c r="F45" s="187"/>
      <c r="G45" s="187"/>
      <c r="H45" s="187" t="s">
        <v>234</v>
      </c>
      <c r="I45" s="187"/>
      <c r="J45" s="93" t="s">
        <v>177</v>
      </c>
    </row>
    <row r="46" spans="1:10" x14ac:dyDescent="0.2">
      <c r="A46" s="96" t="s">
        <v>235</v>
      </c>
      <c r="B46" s="189" t="s">
        <v>236</v>
      </c>
      <c r="C46" s="189"/>
      <c r="D46" s="189"/>
      <c r="E46" s="189"/>
      <c r="F46" s="189"/>
      <c r="G46" s="189"/>
      <c r="H46" s="189" t="s">
        <v>237</v>
      </c>
      <c r="I46" s="189"/>
      <c r="J46" s="190"/>
    </row>
    <row r="47" spans="1:10" ht="15.75" thickBot="1" x14ac:dyDescent="0.25">
      <c r="A47" s="94" t="s">
        <v>238</v>
      </c>
      <c r="B47" s="191" t="s">
        <v>239</v>
      </c>
      <c r="C47" s="191"/>
      <c r="D47" s="191"/>
      <c r="E47" s="191"/>
      <c r="F47" s="191"/>
      <c r="G47" s="191"/>
      <c r="H47" s="191" t="s">
        <v>240</v>
      </c>
      <c r="I47" s="191"/>
      <c r="J47" s="192"/>
    </row>
    <row r="48" spans="1:10" ht="15.75" thickBot="1" x14ac:dyDescent="0.25">
      <c r="A48" s="197" t="s">
        <v>241</v>
      </c>
      <c r="B48" s="198"/>
      <c r="C48" s="198"/>
      <c r="D48" s="198"/>
      <c r="E48" s="198"/>
      <c r="F48" s="198"/>
      <c r="G48" s="198"/>
      <c r="H48" s="198"/>
      <c r="I48" s="198"/>
      <c r="J48" s="199"/>
    </row>
    <row r="49" spans="1:10" x14ac:dyDescent="0.2">
      <c r="A49" s="95" t="s">
        <v>242</v>
      </c>
      <c r="B49" s="185" t="s">
        <v>243</v>
      </c>
      <c r="C49" s="185"/>
      <c r="D49" s="185" t="s">
        <v>244</v>
      </c>
      <c r="E49" s="185"/>
      <c r="F49" s="185" t="s">
        <v>243</v>
      </c>
      <c r="G49" s="185"/>
      <c r="H49" s="185" t="s">
        <v>244</v>
      </c>
      <c r="I49" s="185"/>
      <c r="J49" s="186"/>
    </row>
    <row r="50" spans="1:10" x14ac:dyDescent="0.2">
      <c r="A50" s="96" t="s">
        <v>245</v>
      </c>
      <c r="B50" s="156" t="s">
        <v>246</v>
      </c>
      <c r="C50" s="156" t="s">
        <v>247</v>
      </c>
      <c r="D50" s="187" t="s">
        <v>248</v>
      </c>
      <c r="E50" s="187"/>
      <c r="F50" s="187"/>
      <c r="G50" s="25" t="s">
        <v>246</v>
      </c>
      <c r="H50" s="187" t="s">
        <v>246</v>
      </c>
      <c r="I50" s="187"/>
      <c r="J50" s="188"/>
    </row>
    <row r="51" spans="1:10" x14ac:dyDescent="0.2">
      <c r="A51" s="96" t="s">
        <v>249</v>
      </c>
      <c r="B51" s="187" t="s">
        <v>154</v>
      </c>
      <c r="C51" s="187"/>
      <c r="D51" s="187"/>
      <c r="E51" s="187"/>
      <c r="F51" s="187"/>
      <c r="G51" s="187"/>
      <c r="H51" s="187"/>
      <c r="I51" s="187"/>
      <c r="J51" s="188"/>
    </row>
    <row r="52" spans="1:10" x14ac:dyDescent="0.2">
      <c r="A52" s="96" t="s">
        <v>250</v>
      </c>
      <c r="B52" s="187" t="s">
        <v>251</v>
      </c>
      <c r="C52" s="187"/>
      <c r="D52" s="187"/>
      <c r="E52" s="187"/>
      <c r="F52" s="187"/>
      <c r="G52" s="187"/>
      <c r="H52" s="187"/>
      <c r="I52" s="187"/>
      <c r="J52" s="188"/>
    </row>
    <row r="53" spans="1:10" x14ac:dyDescent="0.2">
      <c r="A53" s="96" t="s">
        <v>252</v>
      </c>
      <c r="B53" s="187" t="s">
        <v>253</v>
      </c>
      <c r="C53" s="187"/>
      <c r="D53" s="187"/>
      <c r="E53" s="187"/>
      <c r="F53" s="187"/>
      <c r="G53" s="187"/>
      <c r="H53" s="187"/>
      <c r="I53" s="187"/>
      <c r="J53" s="188"/>
    </row>
    <row r="54" spans="1:10" x14ac:dyDescent="0.2">
      <c r="A54" s="96" t="s">
        <v>254</v>
      </c>
      <c r="B54" s="187" t="s">
        <v>255</v>
      </c>
      <c r="C54" s="187"/>
      <c r="D54" s="187" t="s">
        <v>256</v>
      </c>
      <c r="E54" s="187"/>
      <c r="F54" s="187" t="s">
        <v>255</v>
      </c>
      <c r="G54" s="187"/>
      <c r="H54" s="187" t="s">
        <v>256</v>
      </c>
      <c r="I54" s="187"/>
      <c r="J54" s="188"/>
    </row>
    <row r="55" spans="1:10" x14ac:dyDescent="0.2">
      <c r="A55" s="96" t="s">
        <v>257</v>
      </c>
      <c r="B55" s="187" t="s">
        <v>177</v>
      </c>
      <c r="C55" s="187"/>
      <c r="D55" s="187"/>
      <c r="E55" s="187"/>
      <c r="F55" s="187"/>
      <c r="G55" s="187"/>
      <c r="H55" s="187" t="s">
        <v>178</v>
      </c>
      <c r="I55" s="187"/>
      <c r="J55" s="188"/>
    </row>
    <row r="56" spans="1:10" x14ac:dyDescent="0.2">
      <c r="A56" s="96" t="s">
        <v>258</v>
      </c>
      <c r="B56" s="187" t="s">
        <v>159</v>
      </c>
      <c r="C56" s="187"/>
      <c r="D56" s="187" t="s">
        <v>160</v>
      </c>
      <c r="E56" s="187"/>
      <c r="F56" s="187" t="s">
        <v>159</v>
      </c>
      <c r="G56" s="187"/>
      <c r="H56" s="187" t="s">
        <v>160</v>
      </c>
      <c r="I56" s="187"/>
      <c r="J56" s="188"/>
    </row>
    <row r="57" spans="1:10" ht="26.25" thickBot="1" x14ac:dyDescent="0.25">
      <c r="A57" s="94" t="s">
        <v>161</v>
      </c>
      <c r="B57" s="174" t="s">
        <v>162</v>
      </c>
      <c r="C57" s="174"/>
      <c r="D57" s="174"/>
      <c r="E57" s="174"/>
      <c r="F57" s="174"/>
      <c r="G57" s="174"/>
      <c r="H57" s="174" t="s">
        <v>163</v>
      </c>
      <c r="I57" s="174"/>
      <c r="J57" s="175"/>
    </row>
    <row r="58" spans="1:10" ht="15.75" thickBot="1" x14ac:dyDescent="0.25">
      <c r="A58" s="200" t="s">
        <v>259</v>
      </c>
      <c r="B58" s="201"/>
      <c r="C58" s="201"/>
      <c r="D58" s="201"/>
      <c r="E58" s="201"/>
      <c r="F58" s="201"/>
      <c r="G58" s="201"/>
      <c r="H58" s="201"/>
      <c r="I58" s="201"/>
      <c r="J58" s="202"/>
    </row>
    <row r="59" spans="1:10" x14ac:dyDescent="0.2">
      <c r="A59" s="95" t="s">
        <v>260</v>
      </c>
      <c r="B59" s="185">
        <v>1</v>
      </c>
      <c r="C59" s="185"/>
      <c r="D59" s="155">
        <v>2</v>
      </c>
      <c r="E59" s="155" t="s">
        <v>261</v>
      </c>
      <c r="F59" s="155">
        <v>2</v>
      </c>
      <c r="G59" s="155">
        <v>2</v>
      </c>
      <c r="H59" s="185">
        <v>1</v>
      </c>
      <c r="I59" s="185"/>
      <c r="J59" s="186"/>
    </row>
    <row r="60" spans="1:10" x14ac:dyDescent="0.2">
      <c r="A60" s="96" t="s">
        <v>262</v>
      </c>
      <c r="B60" s="203" t="s">
        <v>263</v>
      </c>
      <c r="C60" s="204"/>
      <c r="D60" s="204"/>
      <c r="E60" s="204"/>
      <c r="F60" s="204"/>
      <c r="G60" s="204"/>
      <c r="H60" s="204"/>
      <c r="I60" s="204"/>
      <c r="J60" s="205"/>
    </row>
    <row r="61" spans="1:10" x14ac:dyDescent="0.2">
      <c r="A61" s="96" t="s">
        <v>264</v>
      </c>
      <c r="B61" s="189" t="s">
        <v>265</v>
      </c>
      <c r="C61" s="189"/>
      <c r="D61" s="189"/>
      <c r="E61" s="189"/>
      <c r="F61" s="189"/>
      <c r="G61" s="189"/>
      <c r="H61" s="189" t="s">
        <v>266</v>
      </c>
      <c r="I61" s="189"/>
      <c r="J61" s="190"/>
    </row>
    <row r="62" spans="1:10" x14ac:dyDescent="0.2">
      <c r="A62" s="96" t="s">
        <v>267</v>
      </c>
      <c r="B62" s="189" t="s">
        <v>268</v>
      </c>
      <c r="C62" s="189"/>
      <c r="D62" s="189"/>
      <c r="E62" s="189"/>
      <c r="F62" s="189"/>
      <c r="G62" s="189"/>
      <c r="H62" s="189"/>
      <c r="I62" s="189"/>
      <c r="J62" s="190"/>
    </row>
    <row r="63" spans="1:10" x14ac:dyDescent="0.2">
      <c r="A63" s="96" t="s">
        <v>269</v>
      </c>
      <c r="B63" s="189" t="s">
        <v>270</v>
      </c>
      <c r="C63" s="189"/>
      <c r="D63" s="189"/>
      <c r="E63" s="189"/>
      <c r="F63" s="189"/>
      <c r="G63" s="189"/>
      <c r="H63" s="189"/>
      <c r="I63" s="189"/>
      <c r="J63" s="190"/>
    </row>
    <row r="64" spans="1:10" x14ac:dyDescent="0.2">
      <c r="A64" s="96" t="s">
        <v>271</v>
      </c>
      <c r="B64" s="189" t="s">
        <v>272</v>
      </c>
      <c r="C64" s="189"/>
      <c r="D64" s="189"/>
      <c r="E64" s="189"/>
      <c r="F64" s="189"/>
      <c r="G64" s="189"/>
      <c r="H64" s="189"/>
      <c r="I64" s="189"/>
      <c r="J64" s="190"/>
    </row>
    <row r="65" spans="1:10" x14ac:dyDescent="0.2">
      <c r="A65" s="96" t="s">
        <v>273</v>
      </c>
      <c r="B65" s="189" t="s">
        <v>274</v>
      </c>
      <c r="C65" s="189"/>
      <c r="D65" s="189"/>
      <c r="E65" s="189"/>
      <c r="F65" s="189"/>
      <c r="G65" s="189"/>
      <c r="H65" s="189"/>
      <c r="I65" s="189"/>
      <c r="J65" s="190"/>
    </row>
    <row r="66" spans="1:10" x14ac:dyDescent="0.2">
      <c r="A66" s="96" t="s">
        <v>275</v>
      </c>
      <c r="B66" s="189">
        <v>2</v>
      </c>
      <c r="C66" s="189"/>
      <c r="D66" s="189"/>
      <c r="E66" s="189"/>
      <c r="F66" s="157">
        <v>5</v>
      </c>
      <c r="G66" s="157">
        <v>5</v>
      </c>
      <c r="H66" s="189">
        <v>4</v>
      </c>
      <c r="I66" s="189"/>
      <c r="J66" s="190"/>
    </row>
    <row r="67" spans="1:10" x14ac:dyDescent="0.2">
      <c r="A67" s="96" t="s">
        <v>276</v>
      </c>
      <c r="B67" s="189" t="s">
        <v>277</v>
      </c>
      <c r="C67" s="189"/>
      <c r="D67" s="189"/>
      <c r="E67" s="189"/>
      <c r="F67" s="157" t="s">
        <v>278</v>
      </c>
      <c r="G67" s="157" t="s">
        <v>279</v>
      </c>
      <c r="H67" s="189" t="s">
        <v>277</v>
      </c>
      <c r="I67" s="189"/>
      <c r="J67" s="190"/>
    </row>
    <row r="68" spans="1:10" x14ac:dyDescent="0.2">
      <c r="A68" s="96" t="s">
        <v>280</v>
      </c>
      <c r="B68" s="189" t="s">
        <v>281</v>
      </c>
      <c r="C68" s="189"/>
      <c r="D68" s="189"/>
      <c r="E68" s="189"/>
      <c r="F68" s="189" t="s">
        <v>282</v>
      </c>
      <c r="G68" s="189"/>
      <c r="H68" s="189" t="s">
        <v>283</v>
      </c>
      <c r="I68" s="189"/>
      <c r="J68" s="190"/>
    </row>
    <row r="69" spans="1:10" x14ac:dyDescent="0.2">
      <c r="A69" s="96" t="s">
        <v>284</v>
      </c>
      <c r="B69" s="187" t="s">
        <v>285</v>
      </c>
      <c r="C69" s="187"/>
      <c r="D69" s="187" t="s">
        <v>286</v>
      </c>
      <c r="E69" s="187"/>
      <c r="F69" s="187" t="s">
        <v>287</v>
      </c>
      <c r="G69" s="187"/>
      <c r="H69" s="187" t="s">
        <v>286</v>
      </c>
      <c r="I69" s="187"/>
      <c r="J69" s="188"/>
    </row>
    <row r="70" spans="1:10" x14ac:dyDescent="0.2">
      <c r="A70" s="96" t="s">
        <v>288</v>
      </c>
      <c r="B70" s="210" t="s">
        <v>204</v>
      </c>
      <c r="C70" s="210"/>
      <c r="D70" s="210"/>
      <c r="E70" s="210"/>
      <c r="F70" s="210"/>
      <c r="G70" s="210"/>
      <c r="H70" s="210"/>
      <c r="I70" s="210"/>
      <c r="J70" s="211"/>
    </row>
    <row r="71" spans="1:10" x14ac:dyDescent="0.2">
      <c r="A71" s="96" t="s">
        <v>289</v>
      </c>
      <c r="B71" s="189" t="s">
        <v>189</v>
      </c>
      <c r="C71" s="189"/>
      <c r="D71" s="189"/>
      <c r="E71" s="189"/>
      <c r="F71" s="189" t="s">
        <v>204</v>
      </c>
      <c r="G71" s="189"/>
      <c r="H71" s="189" t="s">
        <v>189</v>
      </c>
      <c r="I71" s="189"/>
      <c r="J71" s="190"/>
    </row>
    <row r="72" spans="1:10" x14ac:dyDescent="0.2">
      <c r="A72" s="96" t="s">
        <v>290</v>
      </c>
      <c r="B72" s="206" t="s">
        <v>291</v>
      </c>
      <c r="C72" s="206"/>
      <c r="D72" s="206"/>
      <c r="E72" s="206"/>
      <c r="F72" s="158" t="s">
        <v>292</v>
      </c>
      <c r="G72" s="158" t="s">
        <v>291</v>
      </c>
      <c r="H72" s="206" t="s">
        <v>291</v>
      </c>
      <c r="I72" s="206"/>
      <c r="J72" s="207"/>
    </row>
    <row r="73" spans="1:10" ht="15.75" thickBot="1" x14ac:dyDescent="0.25">
      <c r="A73" s="94" t="s">
        <v>293</v>
      </c>
      <c r="B73" s="208" t="s">
        <v>294</v>
      </c>
      <c r="C73" s="208"/>
      <c r="D73" s="208"/>
      <c r="E73" s="208"/>
      <c r="F73" s="208"/>
      <c r="G73" s="208"/>
      <c r="H73" s="208" t="s">
        <v>295</v>
      </c>
      <c r="I73" s="208"/>
      <c r="J73" s="209"/>
    </row>
    <row r="74" spans="1:10" ht="15.75" thickBot="1" x14ac:dyDescent="0.25">
      <c r="A74" s="200" t="s">
        <v>296</v>
      </c>
      <c r="B74" s="201"/>
      <c r="C74" s="201"/>
      <c r="D74" s="201"/>
      <c r="E74" s="201"/>
      <c r="F74" s="201"/>
      <c r="G74" s="201"/>
      <c r="H74" s="201"/>
      <c r="I74" s="201"/>
      <c r="J74" s="202"/>
    </row>
    <row r="75" spans="1:10" x14ac:dyDescent="0.2">
      <c r="A75" s="122" t="s">
        <v>297</v>
      </c>
      <c r="B75" s="219" t="s">
        <v>298</v>
      </c>
      <c r="C75" s="220"/>
      <c r="D75" s="220"/>
      <c r="E75" s="220"/>
      <c r="F75" s="220"/>
      <c r="G75" s="220"/>
      <c r="H75" s="220"/>
      <c r="I75" s="220"/>
      <c r="J75" s="221"/>
    </row>
    <row r="76" spans="1:10" ht="17.25" x14ac:dyDescent="0.2">
      <c r="A76" s="122" t="s">
        <v>299</v>
      </c>
      <c r="B76" s="222" t="s">
        <v>300</v>
      </c>
      <c r="C76" s="223"/>
      <c r="D76" s="223"/>
      <c r="E76" s="223"/>
      <c r="F76" s="223"/>
      <c r="G76" s="223"/>
      <c r="H76" s="223"/>
      <c r="I76" s="223"/>
      <c r="J76" s="224"/>
    </row>
    <row r="77" spans="1:10" ht="15.75" thickBot="1" x14ac:dyDescent="0.25">
      <c r="G77" s="23"/>
      <c r="H77" s="23"/>
    </row>
    <row r="78" spans="1:10" ht="15.75" thickBot="1" x14ac:dyDescent="0.25">
      <c r="A78" s="123"/>
      <c r="B78" s="212"/>
      <c r="C78" s="212"/>
      <c r="D78" s="159"/>
      <c r="E78" s="159"/>
      <c r="F78" s="159"/>
      <c r="G78" s="159"/>
      <c r="H78" s="214"/>
      <c r="I78" s="215"/>
      <c r="J78" s="216"/>
    </row>
    <row r="79" spans="1:10" ht="15.75" thickBot="1" x14ac:dyDescent="0.25">
      <c r="A79" s="123"/>
      <c r="B79" s="212"/>
      <c r="C79" s="212"/>
      <c r="D79" s="159"/>
      <c r="E79" s="159"/>
      <c r="F79" s="159"/>
      <c r="G79" s="159"/>
      <c r="H79" s="217"/>
      <c r="I79" s="217"/>
      <c r="J79" s="218"/>
    </row>
    <row r="80" spans="1:10" ht="15.75" thickBot="1" x14ac:dyDescent="0.25">
      <c r="A80" s="123"/>
      <c r="B80" s="212"/>
      <c r="C80" s="212"/>
      <c r="D80" s="159"/>
      <c r="E80" s="159"/>
      <c r="F80" s="159"/>
      <c r="G80" s="159"/>
      <c r="H80" s="212"/>
      <c r="I80" s="212"/>
      <c r="J80" s="213"/>
    </row>
    <row r="81" spans="1:10" ht="15.75" thickBot="1" x14ac:dyDescent="0.25">
      <c r="A81" s="123"/>
      <c r="B81" s="212"/>
      <c r="C81" s="212"/>
      <c r="D81" s="159"/>
      <c r="E81" s="159"/>
      <c r="F81" s="159"/>
      <c r="G81" s="159"/>
      <c r="H81" s="212"/>
      <c r="I81" s="212"/>
      <c r="J81" s="213"/>
    </row>
    <row r="82" spans="1:10" ht="15.75" thickBot="1" x14ac:dyDescent="0.25">
      <c r="A82" s="123"/>
      <c r="B82" s="212"/>
      <c r="C82" s="212"/>
      <c r="D82" s="159"/>
      <c r="E82" s="159"/>
      <c r="F82" s="159"/>
      <c r="G82" s="159"/>
      <c r="H82" s="212"/>
      <c r="I82" s="212"/>
      <c r="J82" s="213"/>
    </row>
    <row r="83" spans="1:10" ht="15.75" thickBot="1" x14ac:dyDescent="0.25">
      <c r="A83" s="123"/>
      <c r="B83" s="212"/>
      <c r="C83" s="212"/>
      <c r="D83" s="159"/>
      <c r="E83" s="159"/>
      <c r="F83" s="159"/>
      <c r="G83" s="159"/>
      <c r="H83" s="212"/>
      <c r="I83" s="212"/>
      <c r="J83" s="213"/>
    </row>
    <row r="84" spans="1:10" ht="15.75" thickBot="1" x14ac:dyDescent="0.25">
      <c r="A84" s="123"/>
      <c r="B84" s="212"/>
      <c r="C84" s="212"/>
      <c r="D84" s="159"/>
      <c r="E84" s="159"/>
      <c r="F84" s="159"/>
      <c r="G84" s="159"/>
      <c r="H84" s="212"/>
      <c r="I84" s="212"/>
      <c r="J84" s="213"/>
    </row>
    <row r="85" spans="1:10" x14ac:dyDescent="0.2">
      <c r="A85" s="123"/>
      <c r="B85" s="212"/>
      <c r="C85" s="212"/>
      <c r="D85" s="159"/>
      <c r="E85" s="159"/>
      <c r="F85" s="159"/>
      <c r="G85" s="159"/>
      <c r="H85" s="212"/>
      <c r="I85" s="212"/>
      <c r="J85" s="213"/>
    </row>
  </sheetData>
  <mergeCells count="166">
    <mergeCell ref="B82:C82"/>
    <mergeCell ref="H82:J82"/>
    <mergeCell ref="B83:C83"/>
    <mergeCell ref="H83:J83"/>
    <mergeCell ref="B84:C84"/>
    <mergeCell ref="H84:J84"/>
    <mergeCell ref="B85:C85"/>
    <mergeCell ref="H85:J85"/>
    <mergeCell ref="A74:J74"/>
    <mergeCell ref="B78:C78"/>
    <mergeCell ref="H78:J78"/>
    <mergeCell ref="B79:C79"/>
    <mergeCell ref="H79:J79"/>
    <mergeCell ref="B80:C80"/>
    <mergeCell ref="H80:J80"/>
    <mergeCell ref="B81:C81"/>
    <mergeCell ref="H81:J81"/>
    <mergeCell ref="B75:J75"/>
    <mergeCell ref="B76:J76"/>
    <mergeCell ref="B72:E72"/>
    <mergeCell ref="H72:J72"/>
    <mergeCell ref="B73:G73"/>
    <mergeCell ref="H73:J73"/>
    <mergeCell ref="B69:C69"/>
    <mergeCell ref="D69:E69"/>
    <mergeCell ref="F69:G69"/>
    <mergeCell ref="H69:J69"/>
    <mergeCell ref="B70:J70"/>
    <mergeCell ref="B71:E71"/>
    <mergeCell ref="F71:G71"/>
    <mergeCell ref="H71:J71"/>
    <mergeCell ref="B66:E66"/>
    <mergeCell ref="H66:J66"/>
    <mergeCell ref="B67:E67"/>
    <mergeCell ref="H67:J67"/>
    <mergeCell ref="B68:E68"/>
    <mergeCell ref="F68:G68"/>
    <mergeCell ref="H68:J68"/>
    <mergeCell ref="B61:G61"/>
    <mergeCell ref="H61:J61"/>
    <mergeCell ref="B62:J62"/>
    <mergeCell ref="B63:J63"/>
    <mergeCell ref="B64:J64"/>
    <mergeCell ref="B65:J65"/>
    <mergeCell ref="B57:G57"/>
    <mergeCell ref="H57:J57"/>
    <mergeCell ref="A58:J58"/>
    <mergeCell ref="B59:C59"/>
    <mergeCell ref="H59:J59"/>
    <mergeCell ref="B60:J60"/>
    <mergeCell ref="B55:G55"/>
    <mergeCell ref="H55:J55"/>
    <mergeCell ref="B56:C56"/>
    <mergeCell ref="D56:E56"/>
    <mergeCell ref="F56:G56"/>
    <mergeCell ref="H56:J56"/>
    <mergeCell ref="D50:F50"/>
    <mergeCell ref="H50:J50"/>
    <mergeCell ref="B51:J51"/>
    <mergeCell ref="B52:J52"/>
    <mergeCell ref="B53:J53"/>
    <mergeCell ref="B54:C54"/>
    <mergeCell ref="D54:E54"/>
    <mergeCell ref="F54:G54"/>
    <mergeCell ref="H54:J54"/>
    <mergeCell ref="B46:G46"/>
    <mergeCell ref="H46:J46"/>
    <mergeCell ref="B47:G47"/>
    <mergeCell ref="H47:J47"/>
    <mergeCell ref="A48:J48"/>
    <mergeCell ref="B49:C49"/>
    <mergeCell ref="D49:E49"/>
    <mergeCell ref="F49:G49"/>
    <mergeCell ref="H49:J49"/>
    <mergeCell ref="A42:J42"/>
    <mergeCell ref="B43:C43"/>
    <mergeCell ref="H43:J43"/>
    <mergeCell ref="B44:E44"/>
    <mergeCell ref="G44:I44"/>
    <mergeCell ref="B45:G45"/>
    <mergeCell ref="H45:I45"/>
    <mergeCell ref="B39:C39"/>
    <mergeCell ref="D39:E39"/>
    <mergeCell ref="H39:J39"/>
    <mergeCell ref="D40:E40"/>
    <mergeCell ref="H40:J40"/>
    <mergeCell ref="B41:J41"/>
    <mergeCell ref="B34:C34"/>
    <mergeCell ref="D34:E34"/>
    <mergeCell ref="F34:J34"/>
    <mergeCell ref="B35:F35"/>
    <mergeCell ref="H35:J35"/>
    <mergeCell ref="B38:C38"/>
    <mergeCell ref="D38:E38"/>
    <mergeCell ref="H38:J38"/>
    <mergeCell ref="B31:G31"/>
    <mergeCell ref="I31:J31"/>
    <mergeCell ref="B32:E32"/>
    <mergeCell ref="F32:G32"/>
    <mergeCell ref="H32:J32"/>
    <mergeCell ref="A33:J33"/>
    <mergeCell ref="D36:E36"/>
    <mergeCell ref="D37:E37"/>
    <mergeCell ref="H36:J36"/>
    <mergeCell ref="H37:J37"/>
    <mergeCell ref="B36:C36"/>
    <mergeCell ref="B37:C37"/>
    <mergeCell ref="B29:C29"/>
    <mergeCell ref="D29:E29"/>
    <mergeCell ref="F29:G29"/>
    <mergeCell ref="H29:J29"/>
    <mergeCell ref="B30:G30"/>
    <mergeCell ref="H30:J30"/>
    <mergeCell ref="B26:D26"/>
    <mergeCell ref="H26:J26"/>
    <mergeCell ref="B27:E27"/>
    <mergeCell ref="H27:J27"/>
    <mergeCell ref="D28:E28"/>
    <mergeCell ref="H28:J28"/>
    <mergeCell ref="C24:F24"/>
    <mergeCell ref="H24:J24"/>
    <mergeCell ref="B25:C25"/>
    <mergeCell ref="D25:E25"/>
    <mergeCell ref="F25:G25"/>
    <mergeCell ref="H25:J25"/>
    <mergeCell ref="B21:F21"/>
    <mergeCell ref="G21:J21"/>
    <mergeCell ref="B22:G22"/>
    <mergeCell ref="H22:J22"/>
    <mergeCell ref="B23:F23"/>
    <mergeCell ref="H23:J23"/>
    <mergeCell ref="A17:J17"/>
    <mergeCell ref="C18:E18"/>
    <mergeCell ref="H18:I18"/>
    <mergeCell ref="C19:E19"/>
    <mergeCell ref="H19:I19"/>
    <mergeCell ref="C20:F20"/>
    <mergeCell ref="H20:J20"/>
    <mergeCell ref="A14:J14"/>
    <mergeCell ref="B15:C15"/>
    <mergeCell ref="D15:E15"/>
    <mergeCell ref="F15:G15"/>
    <mergeCell ref="H15:J15"/>
    <mergeCell ref="B16:G16"/>
    <mergeCell ref="H16:J16"/>
    <mergeCell ref="B8:G8"/>
    <mergeCell ref="H8:J8"/>
    <mergeCell ref="A9:J9"/>
    <mergeCell ref="B10:C10"/>
    <mergeCell ref="D10:E10"/>
    <mergeCell ref="H10:J10"/>
    <mergeCell ref="A1:A2"/>
    <mergeCell ref="B1:G1"/>
    <mergeCell ref="H1:J1"/>
    <mergeCell ref="A5:J5"/>
    <mergeCell ref="B6:J6"/>
    <mergeCell ref="B7:J7"/>
    <mergeCell ref="B11:C11"/>
    <mergeCell ref="B12:C12"/>
    <mergeCell ref="B13:C13"/>
    <mergeCell ref="D11:E11"/>
    <mergeCell ref="D12:E12"/>
    <mergeCell ref="D13:E13"/>
    <mergeCell ref="H11:J11"/>
    <mergeCell ref="H12:J12"/>
    <mergeCell ref="H13:J13"/>
  </mergeCells>
  <pageMargins left="0.7" right="0.7" top="0.75" bottom="0.75" header="0.3" footer="0.3"/>
  <pageSetup scale="67" fitToHeight="2" orientation="portrait" r:id="rId1"/>
  <rowBreaks count="1" manualBreakCount="1">
    <brk id="57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W99"/>
  <sheetViews>
    <sheetView showZeros="0" zoomScaleNormal="100" workbookViewId="0">
      <selection activeCell="B8" sqref="B8"/>
    </sheetView>
  </sheetViews>
  <sheetFormatPr defaultRowHeight="12.75" x14ac:dyDescent="0.2"/>
  <cols>
    <col min="1" max="1" width="15.42578125" bestFit="1" customWidth="1"/>
    <col min="2" max="2" width="15.85546875" customWidth="1"/>
    <col min="3" max="3" width="10.85546875" customWidth="1"/>
    <col min="15" max="15" width="9.140625" customWidth="1"/>
    <col min="16" max="16" width="16.7109375" customWidth="1"/>
    <col min="17" max="17" width="17.5703125" customWidth="1"/>
    <col min="18" max="18" width="13.5703125" customWidth="1"/>
    <col min="19" max="19" width="9.140625" customWidth="1"/>
    <col min="20" max="20" width="16" customWidth="1"/>
    <col min="21" max="21" width="15.7109375" customWidth="1"/>
    <col min="22" max="22" width="12.28515625" customWidth="1"/>
    <col min="23" max="23" width="11.140625" customWidth="1"/>
    <col min="24" max="26" width="9.140625" customWidth="1"/>
  </cols>
  <sheetData>
    <row r="1" spans="1:23" x14ac:dyDescent="0.2">
      <c r="A1" s="226" t="s">
        <v>301</v>
      </c>
      <c r="B1" s="226"/>
    </row>
    <row r="2" spans="1:23" x14ac:dyDescent="0.2">
      <c r="P2" t="s">
        <v>302</v>
      </c>
    </row>
    <row r="3" spans="1:23" x14ac:dyDescent="0.2">
      <c r="A3" s="225" t="s">
        <v>303</v>
      </c>
      <c r="B3" s="225"/>
      <c r="P3" t="str">
        <f>"SCM "&amp;B4&amp; " - "&amp;B5&amp;" - "&amp;B6&amp;" Plunger "&amp;"                                                   Max HHP Available "&amp;D5&amp;" (Mixing) "&amp;C5&amp;" (Displacing)"</f>
        <v>SCM Single - 1 x DD15 560HHP - 4.5" Plunger                                                    Max HHP Available 307 (Mixing) 389 (Displacing)</v>
      </c>
    </row>
    <row r="4" spans="1:23" x14ac:dyDescent="0.2">
      <c r="A4" t="s">
        <v>304</v>
      </c>
      <c r="B4" s="134" t="s">
        <v>305</v>
      </c>
      <c r="C4" s="130" t="s">
        <v>306</v>
      </c>
      <c r="D4" s="130" t="s">
        <v>307</v>
      </c>
      <c r="P4" t="str">
        <f>"Design Mixing HHP @ "&amp;B8&amp;D8&amp;" &amp; "&amp;B9&amp;D9</f>
        <v>Design Mixing HHP @ m³/min &amp; 35MPa</v>
      </c>
    </row>
    <row r="5" spans="1:23" x14ac:dyDescent="0.2">
      <c r="A5" t="s">
        <v>308</v>
      </c>
      <c r="B5" s="131" t="s">
        <v>309</v>
      </c>
      <c r="C5" s="130">
        <f>IFERROR(VLOOKUP(B5,ENG_TYPE,5,FALSE),"")</f>
        <v>389</v>
      </c>
      <c r="D5" s="130">
        <f>IFERROR(VLOOKUP(B5,ENG_TYPE,6,FALSE),"")</f>
        <v>307</v>
      </c>
      <c r="E5" s="22"/>
      <c r="F5" s="22"/>
      <c r="P5" t="s">
        <v>310</v>
      </c>
      <c r="Q5" t="s">
        <v>311</v>
      </c>
      <c r="R5" t="s">
        <v>312</v>
      </c>
      <c r="T5" t="str">
        <f>"Design Displacing HHP @ "&amp;C8&amp;D8&amp;" &amp; "&amp;C9&amp;D9</f>
        <v>Design Displacing HHP @ 0.4m³/min &amp; 21MPa</v>
      </c>
    </row>
    <row r="6" spans="1:23" x14ac:dyDescent="0.2">
      <c r="A6" t="s">
        <v>313</v>
      </c>
      <c r="B6" s="131" t="s">
        <v>314</v>
      </c>
      <c r="C6" t="s">
        <v>315</v>
      </c>
      <c r="E6" s="22"/>
      <c r="F6" s="22"/>
      <c r="P6" t="s">
        <v>305</v>
      </c>
      <c r="Q6" s="124" t="s">
        <v>316</v>
      </c>
      <c r="R6">
        <v>1.2</v>
      </c>
      <c r="S6" t="s">
        <v>7</v>
      </c>
    </row>
    <row r="7" spans="1:23" x14ac:dyDescent="0.2">
      <c r="B7" s="128" t="s">
        <v>317</v>
      </c>
      <c r="C7" s="129" t="s">
        <v>318</v>
      </c>
      <c r="E7" s="22"/>
      <c r="F7" s="22"/>
      <c r="P7" t="s">
        <v>319</v>
      </c>
      <c r="Q7" s="124" t="s">
        <v>320</v>
      </c>
      <c r="R7">
        <v>2</v>
      </c>
      <c r="S7" t="s">
        <v>7</v>
      </c>
    </row>
    <row r="8" spans="1:23" x14ac:dyDescent="0.2">
      <c r="A8" t="s">
        <v>321</v>
      </c>
      <c r="B8" s="132"/>
      <c r="C8" s="133">
        <v>0.4</v>
      </c>
      <c r="D8" t="s">
        <v>7</v>
      </c>
      <c r="E8" s="22"/>
      <c r="F8" s="22"/>
      <c r="R8" s="225" t="s">
        <v>322</v>
      </c>
      <c r="S8" s="225"/>
    </row>
    <row r="9" spans="1:23" x14ac:dyDescent="0.2">
      <c r="A9" t="s">
        <v>323</v>
      </c>
      <c r="B9" s="132">
        <v>35</v>
      </c>
      <c r="C9" s="133">
        <v>21</v>
      </c>
      <c r="D9" t="s">
        <v>324</v>
      </c>
      <c r="E9" s="22"/>
      <c r="F9" s="121" t="s">
        <v>325</v>
      </c>
      <c r="P9" t="s">
        <v>308</v>
      </c>
      <c r="Q9" t="s">
        <v>326</v>
      </c>
      <c r="R9" t="s">
        <v>327</v>
      </c>
      <c r="S9" t="s">
        <v>328</v>
      </c>
      <c r="T9" t="s">
        <v>329</v>
      </c>
      <c r="U9" t="s">
        <v>330</v>
      </c>
      <c r="V9" t="s">
        <v>331</v>
      </c>
      <c r="W9" t="s">
        <v>332</v>
      </c>
    </row>
    <row r="10" spans="1:23" x14ac:dyDescent="0.2">
      <c r="A10" s="124" t="s">
        <v>171</v>
      </c>
      <c r="B10" s="135">
        <f>B8*B9*1000*1.341/60</f>
        <v>0</v>
      </c>
      <c r="C10" s="136">
        <f>C8*C9*1000*1.341/60</f>
        <v>187.73999999999998</v>
      </c>
      <c r="D10" s="124" t="s">
        <v>333</v>
      </c>
      <c r="E10" s="22"/>
      <c r="F10" s="22"/>
      <c r="P10" t="str">
        <f>IF($B$4=$P$6,"", "2 x C9 375HHP")</f>
        <v/>
      </c>
      <c r="Q10">
        <v>363</v>
      </c>
      <c r="R10">
        <f>54.5+40</f>
        <v>94.5</v>
      </c>
      <c r="S10">
        <f>136+40</f>
        <v>176</v>
      </c>
      <c r="T10">
        <f>2*$Q10-2*$R10</f>
        <v>537</v>
      </c>
      <c r="U10">
        <f>2*$Q10-2*$S10</f>
        <v>374</v>
      </c>
      <c r="V10" s="22">
        <f>T10*0.7457</f>
        <v>400.4409</v>
      </c>
      <c r="W10" s="22">
        <f t="shared" ref="V10:W13" si="0">U10*0.7457</f>
        <v>278.89179999999999</v>
      </c>
    </row>
    <row r="11" spans="1:23" x14ac:dyDescent="0.2">
      <c r="E11" s="22"/>
      <c r="F11" s="22"/>
      <c r="P11" t="str">
        <f>IF($B$4=$P$6,"", "2 x C13 475HHP")</f>
        <v/>
      </c>
      <c r="Q11">
        <v>424</v>
      </c>
      <c r="R11">
        <f>54.5+40</f>
        <v>94.5</v>
      </c>
      <c r="S11">
        <f>136+40</f>
        <v>176</v>
      </c>
      <c r="T11">
        <f t="shared" ref="T11:T12" si="1">2*$Q11-2*$R11</f>
        <v>659</v>
      </c>
      <c r="U11">
        <f t="shared" ref="U11:U12" si="2">2*$Q11-2*$S11</f>
        <v>496</v>
      </c>
      <c r="V11" s="22">
        <f t="shared" si="0"/>
        <v>491.41630000000004</v>
      </c>
      <c r="W11" s="22">
        <f t="shared" si="0"/>
        <v>369.86720000000003</v>
      </c>
    </row>
    <row r="12" spans="1:23" ht="10.5" customHeight="1" x14ac:dyDescent="0.2">
      <c r="E12" s="22"/>
      <c r="F12" s="22"/>
      <c r="P12" t="str">
        <f>IF($B$4=$P$6,"", "2 x C13 520HHP")</f>
        <v/>
      </c>
      <c r="Q12">
        <v>457</v>
      </c>
      <c r="R12">
        <f>54.5+40</f>
        <v>94.5</v>
      </c>
      <c r="S12">
        <f>136+40</f>
        <v>176</v>
      </c>
      <c r="T12">
        <f t="shared" si="1"/>
        <v>725</v>
      </c>
      <c r="U12">
        <f t="shared" si="2"/>
        <v>562</v>
      </c>
      <c r="V12" s="22">
        <f t="shared" si="0"/>
        <v>540.63250000000005</v>
      </c>
      <c r="W12" s="22">
        <f t="shared" si="0"/>
        <v>419.08340000000004</v>
      </c>
    </row>
    <row r="13" spans="1:23" ht="10.5" customHeight="1" x14ac:dyDescent="0.2">
      <c r="E13" s="22"/>
      <c r="F13" s="22"/>
      <c r="P13" t="str">
        <f>IF($B$4=$P$7,"", "1 x DD15 560HHP")</f>
        <v>1 x DD15 560HHP</v>
      </c>
      <c r="Q13">
        <v>507</v>
      </c>
      <c r="R13">
        <v>118</v>
      </c>
      <c r="S13">
        <v>200</v>
      </c>
      <c r="T13">
        <f t="shared" ref="T13" si="3">$Q13-R13</f>
        <v>389</v>
      </c>
      <c r="U13">
        <f t="shared" ref="U13" si="4">$Q13-S13</f>
        <v>307</v>
      </c>
      <c r="V13" s="22">
        <f t="shared" si="0"/>
        <v>290.07730000000004</v>
      </c>
      <c r="W13" s="22">
        <f t="shared" si="0"/>
        <v>228.9299</v>
      </c>
    </row>
    <row r="14" spans="1:23" x14ac:dyDescent="0.2">
      <c r="E14" s="22"/>
      <c r="F14" s="22"/>
      <c r="P14" t="str">
        <f>IF($B$4=$P$7,"", "1 x DD16 600HHP")</f>
        <v>1 x DD16 600HHP</v>
      </c>
      <c r="Q14">
        <v>538</v>
      </c>
      <c r="R14">
        <v>118</v>
      </c>
      <c r="S14">
        <v>200</v>
      </c>
      <c r="T14">
        <f>$Q14-R14</f>
        <v>420</v>
      </c>
      <c r="U14">
        <f>$Q14-S14</f>
        <v>338</v>
      </c>
      <c r="V14" s="22">
        <f>T14*0.7457</f>
        <v>313.19400000000002</v>
      </c>
      <c r="W14" s="22">
        <f>U14*0.7457</f>
        <v>252.04660000000001</v>
      </c>
    </row>
    <row r="15" spans="1:23" x14ac:dyDescent="0.2">
      <c r="E15" s="22"/>
      <c r="F15" s="22"/>
    </row>
    <row r="16" spans="1:23" x14ac:dyDescent="0.2">
      <c r="E16" s="22"/>
      <c r="F16" s="22"/>
      <c r="P16" t="s">
        <v>334</v>
      </c>
      <c r="Q16" t="s">
        <v>335</v>
      </c>
      <c r="R16" t="s">
        <v>336</v>
      </c>
      <c r="S16" t="s">
        <v>337</v>
      </c>
      <c r="T16" t="s">
        <v>338</v>
      </c>
      <c r="U16" t="s">
        <v>339</v>
      </c>
    </row>
    <row r="17" spans="5:21" x14ac:dyDescent="0.2">
      <c r="E17" s="22"/>
      <c r="F17" s="22"/>
      <c r="P17" t="s">
        <v>199</v>
      </c>
      <c r="Q17">
        <v>10394</v>
      </c>
      <c r="R17" s="22">
        <f>Q17*0.006894757</f>
        <v>71.664104257999995</v>
      </c>
      <c r="S17">
        <v>0.1</v>
      </c>
      <c r="T17">
        <v>1.28</v>
      </c>
      <c r="U17">
        <f>T17*2</f>
        <v>2.56</v>
      </c>
    </row>
    <row r="18" spans="5:21" x14ac:dyDescent="0.2">
      <c r="E18" s="22"/>
      <c r="F18" s="22"/>
      <c r="P18" t="s">
        <v>340</v>
      </c>
      <c r="Q18">
        <v>7958</v>
      </c>
      <c r="R18" s="22">
        <f t="shared" ref="R18:R19" si="5">Q18*0.006894757</f>
        <v>54.868476205999997</v>
      </c>
      <c r="S18">
        <v>0.1</v>
      </c>
      <c r="T18">
        <v>1.58</v>
      </c>
      <c r="U18">
        <f t="shared" ref="U18:U19" si="6">T18*2</f>
        <v>3.16</v>
      </c>
    </row>
    <row r="19" spans="5:21" x14ac:dyDescent="0.2">
      <c r="E19" s="22"/>
      <c r="F19" s="22"/>
      <c r="P19" t="s">
        <v>314</v>
      </c>
      <c r="Q19">
        <v>6288</v>
      </c>
      <c r="R19" s="22">
        <f t="shared" si="5"/>
        <v>43.354232015999997</v>
      </c>
      <c r="S19">
        <v>0.16</v>
      </c>
      <c r="T19">
        <v>2.1</v>
      </c>
      <c r="U19">
        <f t="shared" si="6"/>
        <v>4.2</v>
      </c>
    </row>
    <row r="20" spans="5:21" x14ac:dyDescent="0.2">
      <c r="E20" s="22"/>
      <c r="F20" s="22"/>
    </row>
    <row r="21" spans="5:21" x14ac:dyDescent="0.2">
      <c r="E21" s="22"/>
      <c r="F21" s="22"/>
    </row>
    <row r="22" spans="5:21" x14ac:dyDescent="0.2">
      <c r="E22" s="22"/>
      <c r="F22" s="22"/>
      <c r="Q22" t="s">
        <v>341</v>
      </c>
    </row>
    <row r="23" spans="5:21" x14ac:dyDescent="0.2">
      <c r="E23" s="22"/>
      <c r="F23" s="22"/>
      <c r="Q23" s="27" t="s">
        <v>342</v>
      </c>
    </row>
    <row r="24" spans="5:21" x14ac:dyDescent="0.2">
      <c r="E24" s="22"/>
      <c r="F24" s="22"/>
      <c r="Q24" t="s">
        <v>343</v>
      </c>
    </row>
    <row r="25" spans="5:21" x14ac:dyDescent="0.2">
      <c r="E25" s="22"/>
      <c r="F25" s="22"/>
    </row>
    <row r="26" spans="5:21" x14ac:dyDescent="0.2">
      <c r="E26" s="22"/>
      <c r="F26" s="22"/>
    </row>
    <row r="27" spans="5:21" x14ac:dyDescent="0.2">
      <c r="E27" s="22"/>
      <c r="F27" s="22"/>
    </row>
    <row r="28" spans="5:21" x14ac:dyDescent="0.2">
      <c r="E28" s="22"/>
      <c r="F28" s="22"/>
    </row>
    <row r="29" spans="5:21" x14ac:dyDescent="0.2">
      <c r="E29" s="22"/>
      <c r="F29" s="22"/>
    </row>
    <row r="30" spans="5:21" x14ac:dyDescent="0.2">
      <c r="E30" s="22"/>
      <c r="F30" s="22"/>
    </row>
    <row r="31" spans="5:21" x14ac:dyDescent="0.2">
      <c r="E31" s="22"/>
      <c r="F31" s="22"/>
    </row>
    <row r="32" spans="5:21" x14ac:dyDescent="0.2">
      <c r="E32" s="22"/>
      <c r="F32" s="22"/>
    </row>
    <row r="33" spans="2:13" x14ac:dyDescent="0.2">
      <c r="E33" s="22"/>
      <c r="F33" s="22"/>
    </row>
    <row r="34" spans="2:13" x14ac:dyDescent="0.2">
      <c r="E34" s="22"/>
      <c r="F34" s="22"/>
    </row>
    <row r="35" spans="2:13" x14ac:dyDescent="0.2">
      <c r="E35" s="22"/>
      <c r="F35" s="22"/>
    </row>
    <row r="36" spans="2:13" x14ac:dyDescent="0.2">
      <c r="E36" s="22"/>
      <c r="F36" s="22"/>
    </row>
    <row r="37" spans="2:13" x14ac:dyDescent="0.2">
      <c r="D37" t="str">
        <f t="shared" ref="D37:D43" si="7">IF(D36="","",IF(FLOOR(D36+0.05,0.05)&gt;VLOOKUP($B$6,RATE_PRES,5,FALSE),"",FLOOR(D36+0.05,0.05)))</f>
        <v/>
      </c>
      <c r="E37" s="22" t="str">
        <f t="shared" ref="E37:E43" si="8">IF(D37="","",IF((60*VLOOKUP($B$5,ENG_TYPE,8,FALSE))/($D37*1000)&gt;VLOOKUP($B$6,RATE_PRES,3, FALSE),VLOOKUP($B$6,RATE_PRES,3, FALSE),60*VLOOKUP($B$5,ENG_TYPE,8,FALSE)/($D37*1000)))</f>
        <v/>
      </c>
      <c r="F37" s="22" t="str">
        <f t="shared" ref="F37:F43" si="9">IF(D37="","",IF((60*VLOOKUP($B$5,ENG_TYPE,7,FALSE))/($D37*1000)&gt;VLOOKUP($B$6,RATE_PRES,3, FALSE),VLOOKUP($B$6,RATE_PRES,3, FALSE),60*VLOOKUP($B$5,ENG_TYPE,7,FALSE)/($D37*1000)))</f>
        <v/>
      </c>
    </row>
    <row r="38" spans="2:13" x14ac:dyDescent="0.2">
      <c r="D38" t="str">
        <f t="shared" si="7"/>
        <v/>
      </c>
      <c r="E38" s="22" t="str">
        <f t="shared" si="8"/>
        <v/>
      </c>
      <c r="F38" s="22" t="str">
        <f t="shared" si="9"/>
        <v/>
      </c>
    </row>
    <row r="39" spans="2:13" x14ac:dyDescent="0.2">
      <c r="D39" t="str">
        <f t="shared" si="7"/>
        <v/>
      </c>
      <c r="E39" s="22" t="str">
        <f t="shared" si="8"/>
        <v/>
      </c>
      <c r="F39" s="22" t="str">
        <f t="shared" si="9"/>
        <v/>
      </c>
    </row>
    <row r="40" spans="2:13" s="119" customFormat="1" x14ac:dyDescent="0.2">
      <c r="D40" s="119" t="str">
        <f t="shared" si="7"/>
        <v/>
      </c>
      <c r="E40" s="120" t="str">
        <f t="shared" si="8"/>
        <v/>
      </c>
      <c r="F40" s="120" t="str">
        <f t="shared" si="9"/>
        <v/>
      </c>
    </row>
    <row r="41" spans="2:13" s="119" customFormat="1" x14ac:dyDescent="0.2">
      <c r="D41" s="119" t="str">
        <f t="shared" si="7"/>
        <v/>
      </c>
      <c r="E41" s="120" t="str">
        <f t="shared" si="8"/>
        <v/>
      </c>
      <c r="F41" s="120" t="str">
        <f t="shared" si="9"/>
        <v/>
      </c>
    </row>
    <row r="42" spans="2:13" s="119" customFormat="1" x14ac:dyDescent="0.2">
      <c r="B42" s="125"/>
      <c r="C42" s="125"/>
      <c r="D42" s="125" t="str">
        <f t="shared" si="7"/>
        <v/>
      </c>
      <c r="E42" s="126" t="str">
        <f t="shared" si="8"/>
        <v/>
      </c>
      <c r="F42" s="126" t="str">
        <f t="shared" si="9"/>
        <v/>
      </c>
      <c r="G42" s="125"/>
      <c r="H42" s="125"/>
      <c r="I42" s="125"/>
      <c r="J42" s="125"/>
      <c r="K42" s="125"/>
      <c r="L42" s="125"/>
      <c r="M42" s="125"/>
    </row>
    <row r="43" spans="2:13" s="119" customFormat="1" x14ac:dyDescent="0.2">
      <c r="B43" s="125"/>
      <c r="C43" s="125"/>
      <c r="D43" s="125" t="str">
        <f t="shared" si="7"/>
        <v/>
      </c>
      <c r="E43" s="126" t="str">
        <f t="shared" si="8"/>
        <v/>
      </c>
      <c r="F43" s="126" t="str">
        <f t="shared" si="9"/>
        <v/>
      </c>
      <c r="G43" s="125"/>
      <c r="H43" s="125"/>
      <c r="I43" s="125"/>
      <c r="J43" s="125"/>
      <c r="K43" s="125"/>
      <c r="L43" s="125"/>
      <c r="M43" s="125"/>
    </row>
    <row r="44" spans="2:13" s="119" customFormat="1" x14ac:dyDescent="0.2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</row>
    <row r="45" spans="2:13" s="119" customFormat="1" x14ac:dyDescent="0.2"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</row>
    <row r="46" spans="2:13" s="119" customFormat="1" x14ac:dyDescent="0.2"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</row>
    <row r="47" spans="2:13" s="119" customFormat="1" x14ac:dyDescent="0.2"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</row>
    <row r="48" spans="2:13" s="119" customFormat="1" x14ac:dyDescent="0.2"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</row>
    <row r="49" spans="2:13" s="119" customFormat="1" x14ac:dyDescent="0.2"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</row>
    <row r="50" spans="2:13" s="119" customFormat="1" x14ac:dyDescent="0.2"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</row>
    <row r="51" spans="2:13" s="119" customFormat="1" x14ac:dyDescent="0.2"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</row>
    <row r="52" spans="2:13" s="119" customFormat="1" x14ac:dyDescent="0.2"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</row>
    <row r="53" spans="2:13" s="119" customFormat="1" x14ac:dyDescent="0.2"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</row>
    <row r="54" spans="2:13" s="119" customFormat="1" x14ac:dyDescent="0.2"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</row>
    <row r="55" spans="2:13" s="119" customFormat="1" x14ac:dyDescent="0.2"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</row>
    <row r="56" spans="2:13" s="119" customFormat="1" x14ac:dyDescent="0.2"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</row>
    <row r="57" spans="2:13" s="119" customFormat="1" x14ac:dyDescent="0.2">
      <c r="B57" s="125"/>
      <c r="C57" s="125"/>
      <c r="D57" s="125" t="s">
        <v>344</v>
      </c>
      <c r="E57" s="125" t="s">
        <v>345</v>
      </c>
      <c r="F57" s="125" t="s">
        <v>346</v>
      </c>
      <c r="H57" s="125"/>
      <c r="I57" s="125"/>
      <c r="J57" s="125"/>
      <c r="K57" s="125"/>
      <c r="L57" s="125"/>
      <c r="M57" s="125"/>
    </row>
    <row r="58" spans="2:13" s="119" customFormat="1" x14ac:dyDescent="0.2">
      <c r="B58" s="125"/>
      <c r="C58" s="125"/>
      <c r="D58" s="127">
        <v>0.1</v>
      </c>
      <c r="E58" s="126">
        <f>IF($B$4="Single",IF(D58&gt;VLOOKUP($B$6,RATE_PRES,5,TRUE),NA(),IF((60*VLOOKUP($B$5,ENG_TYPE,8,FALSE))/($D58*1000)&gt;VLOOKUP($B$6,RATE_PRES,3, FALSE),VLOOKUP($B$6,RATE_PRES,3, FALSE),60*VLOOKUP($B$5,ENG_TYPE,8,FALSE)/($D58*1000))),IF(D58&gt;VLOOKUP($B$6,RATE_PRES,6,TRUE),NA(),IF((60*VLOOKUP($B$5,ENG_TYPE,8,FALSE))/($D58*1000)&gt;VLOOKUP($B$6,RATE_PRES,3, FALSE),VLOOKUP($B$6,RATE_PRES,3, FALSE),60*VLOOKUP($B$5,ENG_TYPE,8,FALSE)/($D58*1000))))</f>
        <v>43.354232015999997</v>
      </c>
      <c r="F58" s="126">
        <f t="shared" ref="F58:F98" si="10">IF($B$4="Single",IF(D58&gt;VLOOKUP($B$6,RATE_PRES,5,TRUE),NA(),IF((60*VLOOKUP($B$5,ENG_TYPE,7,FALSE))/($D58*1000)&gt;VLOOKUP($B$6,RATE_PRES,3, FALSE),VLOOKUP($B$6,RATE_PRES,3, FALSE),60*VLOOKUP($B$5,ENG_TYPE,7,FALSE)/($D58*1000))),IF(D58&gt;VLOOKUP($B$6,RATE_PRES,6,TRUE),NA(),IF((60*VLOOKUP($B$5,ENG_TYPE,7,FALSE))/($D58*1000)&gt;VLOOKUP($B$6,RATE_PRES,3, FALSE),VLOOKUP($B$6,RATE_PRES,3, FALSE),60*VLOOKUP($B$5,ENG_TYPE,7,FALSE)/($D58*1000))))</f>
        <v>43.354232015999997</v>
      </c>
      <c r="H58" s="126"/>
      <c r="I58" s="125"/>
      <c r="J58" s="125"/>
      <c r="K58" s="125"/>
      <c r="L58" s="125"/>
      <c r="M58" s="125"/>
    </row>
    <row r="59" spans="2:13" s="119" customFormat="1" x14ac:dyDescent="0.2">
      <c r="B59" s="125"/>
      <c r="C59" s="125"/>
      <c r="D59" s="127">
        <f>D58+0.05</f>
        <v>0.15000000000000002</v>
      </c>
      <c r="E59" s="126">
        <f t="shared" ref="E59:E98" si="11">IF($B$4="Single",IF(D59&gt;VLOOKUP($B$6,RATE_PRES,5,TRUE),NA(),IF((60*VLOOKUP($B$5,ENG_TYPE,8,FALSE))/($D59*1000)&gt;VLOOKUP($B$6,RATE_PRES,3, FALSE),VLOOKUP($B$6,RATE_PRES,3, FALSE),60*VLOOKUP($B$5,ENG_TYPE,8,FALSE)/($D59*1000))),IF(D59&gt;VLOOKUP($B$6,RATE_PRES,6,TRUE),NA(),IF((60*VLOOKUP($B$5,ENG_TYPE,8,FALSE))/($D59*1000)&gt;VLOOKUP($B$6,RATE_PRES,3, FALSE),VLOOKUP($B$6,RATE_PRES,3, FALSE),60*VLOOKUP($B$5,ENG_TYPE,8,FALSE)/($D59*1000))))</f>
        <v>43.354232015999997</v>
      </c>
      <c r="F59" s="126">
        <f t="shared" si="10"/>
        <v>43.354232015999997</v>
      </c>
      <c r="H59" s="126"/>
      <c r="I59" s="125"/>
      <c r="J59" s="125"/>
      <c r="K59" s="125"/>
      <c r="L59" s="125"/>
      <c r="M59" s="125"/>
    </row>
    <row r="60" spans="2:13" s="119" customFormat="1" x14ac:dyDescent="0.2">
      <c r="B60" s="125"/>
      <c r="C60" s="125"/>
      <c r="D60" s="127">
        <f t="shared" ref="D60:D98" si="12">D59+0.05</f>
        <v>0.2</v>
      </c>
      <c r="E60" s="126">
        <f t="shared" si="11"/>
        <v>43.354232015999997</v>
      </c>
      <c r="F60" s="126">
        <f t="shared" si="10"/>
        <v>43.354232015999997</v>
      </c>
      <c r="H60" s="126"/>
      <c r="I60" s="125"/>
      <c r="J60" s="125"/>
      <c r="K60" s="125"/>
      <c r="L60" s="125"/>
      <c r="M60" s="125"/>
    </row>
    <row r="61" spans="2:13" s="119" customFormat="1" x14ac:dyDescent="0.2">
      <c r="B61" s="125"/>
      <c r="C61" s="125"/>
      <c r="D61" s="127">
        <f t="shared" si="12"/>
        <v>0.25</v>
      </c>
      <c r="E61" s="126">
        <f t="shared" si="11"/>
        <v>43.354232015999997</v>
      </c>
      <c r="F61" s="126">
        <f t="shared" si="10"/>
        <v>43.354232015999997</v>
      </c>
      <c r="H61" s="126"/>
      <c r="I61" s="125"/>
      <c r="J61" s="125"/>
      <c r="K61" s="125"/>
      <c r="L61" s="125"/>
      <c r="M61" s="125"/>
    </row>
    <row r="62" spans="2:13" s="119" customFormat="1" x14ac:dyDescent="0.2">
      <c r="B62" s="125"/>
      <c r="C62" s="125"/>
      <c r="D62" s="127">
        <f t="shared" si="12"/>
        <v>0.3</v>
      </c>
      <c r="E62" s="126">
        <f t="shared" si="11"/>
        <v>43.354232015999997</v>
      </c>
      <c r="F62" s="126">
        <f t="shared" si="10"/>
        <v>43.354232015999997</v>
      </c>
      <c r="H62" s="126"/>
      <c r="I62" s="125"/>
      <c r="J62" s="125"/>
      <c r="K62" s="125"/>
      <c r="L62" s="125"/>
      <c r="M62" s="125"/>
    </row>
    <row r="63" spans="2:13" s="119" customFormat="1" x14ac:dyDescent="0.2">
      <c r="B63" s="125"/>
      <c r="C63" s="125"/>
      <c r="D63" s="127">
        <f t="shared" si="12"/>
        <v>0.35</v>
      </c>
      <c r="E63" s="126">
        <f t="shared" si="11"/>
        <v>39.245125714285713</v>
      </c>
      <c r="F63" s="126">
        <f t="shared" si="10"/>
        <v>43.354232015999997</v>
      </c>
      <c r="H63" s="126"/>
      <c r="I63" s="125"/>
      <c r="J63" s="125"/>
      <c r="K63" s="125"/>
      <c r="L63" s="125"/>
      <c r="M63" s="125"/>
    </row>
    <row r="64" spans="2:13" s="119" customFormat="1" x14ac:dyDescent="0.2">
      <c r="B64" s="125"/>
      <c r="C64" s="125"/>
      <c r="D64" s="127">
        <f t="shared" si="12"/>
        <v>0.39999999999999997</v>
      </c>
      <c r="E64" s="126">
        <f t="shared" si="11"/>
        <v>34.339485000000003</v>
      </c>
      <c r="F64" s="126">
        <f t="shared" si="10"/>
        <v>43.354232015999997</v>
      </c>
      <c r="H64" s="126"/>
      <c r="I64" s="125"/>
      <c r="J64" s="125"/>
      <c r="K64" s="125"/>
      <c r="L64" s="125"/>
      <c r="M64" s="125"/>
    </row>
    <row r="65" spans="2:13" s="119" customFormat="1" x14ac:dyDescent="0.2">
      <c r="B65" s="125"/>
      <c r="C65" s="125"/>
      <c r="D65" s="127">
        <f t="shared" si="12"/>
        <v>0.44999999999999996</v>
      </c>
      <c r="E65" s="126">
        <f t="shared" si="11"/>
        <v>30.523986666666669</v>
      </c>
      <c r="F65" s="126">
        <f t="shared" si="10"/>
        <v>38.676973333333343</v>
      </c>
      <c r="H65" s="126"/>
      <c r="I65" s="125"/>
      <c r="J65" s="125"/>
      <c r="K65" s="125"/>
      <c r="L65" s="125"/>
      <c r="M65" s="125"/>
    </row>
    <row r="66" spans="2:13" s="119" customFormat="1" x14ac:dyDescent="0.2">
      <c r="B66" s="125"/>
      <c r="C66" s="125"/>
      <c r="D66" s="127">
        <f t="shared" si="12"/>
        <v>0.49999999999999994</v>
      </c>
      <c r="E66" s="126">
        <f t="shared" si="11"/>
        <v>27.471588000000004</v>
      </c>
      <c r="F66" s="126">
        <f t="shared" si="10"/>
        <v>34.809276000000011</v>
      </c>
      <c r="H66" s="126"/>
      <c r="I66" s="125"/>
      <c r="J66" s="125"/>
      <c r="K66" s="125"/>
      <c r="L66" s="125"/>
      <c r="M66" s="125"/>
    </row>
    <row r="67" spans="2:13" s="119" customFormat="1" x14ac:dyDescent="0.2">
      <c r="B67" s="125"/>
      <c r="C67" s="125"/>
      <c r="D67" s="127">
        <f t="shared" si="12"/>
        <v>0.54999999999999993</v>
      </c>
      <c r="E67" s="126">
        <f t="shared" si="11"/>
        <v>24.974170909090915</v>
      </c>
      <c r="F67" s="126">
        <f t="shared" si="10"/>
        <v>31.644796363636374</v>
      </c>
      <c r="H67" s="126"/>
      <c r="I67" s="125"/>
      <c r="J67" s="125"/>
      <c r="K67" s="125"/>
      <c r="L67" s="125"/>
      <c r="M67" s="125"/>
    </row>
    <row r="68" spans="2:13" s="119" customFormat="1" x14ac:dyDescent="0.2">
      <c r="B68" s="125"/>
      <c r="C68" s="125"/>
      <c r="D68" s="127">
        <f t="shared" si="12"/>
        <v>0.6</v>
      </c>
      <c r="E68" s="126">
        <f t="shared" si="11"/>
        <v>22.892990000000001</v>
      </c>
      <c r="F68" s="126">
        <f t="shared" si="10"/>
        <v>29.007730000000006</v>
      </c>
      <c r="H68" s="126"/>
      <c r="I68" s="125"/>
      <c r="J68" s="125"/>
      <c r="K68" s="125"/>
      <c r="L68" s="125"/>
      <c r="M68" s="125"/>
    </row>
    <row r="69" spans="2:13" s="119" customFormat="1" x14ac:dyDescent="0.2">
      <c r="B69" s="125"/>
      <c r="C69" s="125"/>
      <c r="D69" s="127">
        <f t="shared" si="12"/>
        <v>0.65</v>
      </c>
      <c r="E69" s="126">
        <f t="shared" si="11"/>
        <v>21.131990769230768</v>
      </c>
      <c r="F69" s="126">
        <f t="shared" si="10"/>
        <v>26.776366153846158</v>
      </c>
      <c r="H69" s="126"/>
      <c r="I69" s="125"/>
      <c r="J69" s="125"/>
      <c r="K69" s="125"/>
      <c r="L69" s="125"/>
      <c r="M69" s="125"/>
    </row>
    <row r="70" spans="2:13" s="119" customFormat="1" x14ac:dyDescent="0.2">
      <c r="B70" s="125"/>
      <c r="C70" s="125"/>
      <c r="D70" s="127">
        <f t="shared" si="12"/>
        <v>0.70000000000000007</v>
      </c>
      <c r="E70" s="126">
        <f t="shared" si="11"/>
        <v>19.622562857142853</v>
      </c>
      <c r="F70" s="126">
        <f t="shared" si="10"/>
        <v>24.863768571428572</v>
      </c>
      <c r="H70" s="126"/>
      <c r="I70" s="125"/>
      <c r="J70" s="125"/>
      <c r="K70" s="125"/>
      <c r="L70" s="125"/>
      <c r="M70" s="125"/>
    </row>
    <row r="71" spans="2:13" s="119" customFormat="1" x14ac:dyDescent="0.2">
      <c r="B71" s="125"/>
      <c r="C71" s="125"/>
      <c r="D71" s="127">
        <f t="shared" si="12"/>
        <v>0.75000000000000011</v>
      </c>
      <c r="E71" s="126">
        <f t="shared" si="11"/>
        <v>18.314391999999998</v>
      </c>
      <c r="F71" s="126">
        <f t="shared" si="10"/>
        <v>23.206184</v>
      </c>
      <c r="H71" s="126"/>
      <c r="I71" s="125"/>
      <c r="J71" s="125"/>
      <c r="K71" s="125"/>
      <c r="L71" s="125"/>
      <c r="M71" s="125"/>
    </row>
    <row r="72" spans="2:13" s="119" customFormat="1" x14ac:dyDescent="0.2">
      <c r="B72" s="125"/>
      <c r="C72" s="125"/>
      <c r="D72" s="127">
        <f t="shared" si="12"/>
        <v>0.80000000000000016</v>
      </c>
      <c r="E72" s="126">
        <f t="shared" si="11"/>
        <v>17.169742499999998</v>
      </c>
      <c r="F72" s="126">
        <f t="shared" si="10"/>
        <v>21.7557975</v>
      </c>
      <c r="H72" s="126"/>
      <c r="I72" s="125"/>
      <c r="J72" s="125"/>
      <c r="K72" s="125"/>
      <c r="L72" s="125"/>
      <c r="M72" s="125"/>
    </row>
    <row r="73" spans="2:13" s="119" customFormat="1" x14ac:dyDescent="0.2">
      <c r="B73" s="125"/>
      <c r="C73" s="125"/>
      <c r="D73" s="127">
        <f t="shared" si="12"/>
        <v>0.8500000000000002</v>
      </c>
      <c r="E73" s="126">
        <f t="shared" si="11"/>
        <v>16.159757647058818</v>
      </c>
      <c r="F73" s="126">
        <f t="shared" si="10"/>
        <v>20.476044705882352</v>
      </c>
      <c r="H73" s="126"/>
      <c r="I73" s="125"/>
      <c r="J73" s="125"/>
      <c r="K73" s="125"/>
      <c r="L73" s="125"/>
      <c r="M73" s="125"/>
    </row>
    <row r="74" spans="2:13" s="119" customFormat="1" x14ac:dyDescent="0.2">
      <c r="B74" s="125"/>
      <c r="C74" s="125"/>
      <c r="D74" s="127">
        <f t="shared" si="12"/>
        <v>0.90000000000000024</v>
      </c>
      <c r="E74" s="126">
        <f t="shared" si="11"/>
        <v>15.261993333333329</v>
      </c>
      <c r="F74" s="126">
        <f t="shared" si="10"/>
        <v>19.338486666666665</v>
      </c>
      <c r="H74" s="126"/>
      <c r="I74" s="125"/>
      <c r="J74" s="125"/>
      <c r="K74" s="125"/>
      <c r="L74" s="125"/>
      <c r="M74" s="125"/>
    </row>
    <row r="75" spans="2:13" s="119" customFormat="1" x14ac:dyDescent="0.2">
      <c r="B75" s="125"/>
      <c r="C75" s="125"/>
      <c r="D75" s="127">
        <f t="shared" si="12"/>
        <v>0.95000000000000029</v>
      </c>
      <c r="E75" s="126">
        <f t="shared" si="11"/>
        <v>14.458730526315785</v>
      </c>
      <c r="F75" s="126">
        <f t="shared" si="10"/>
        <v>18.320671578947366</v>
      </c>
      <c r="H75" s="126"/>
      <c r="I75" s="125"/>
      <c r="J75" s="125"/>
      <c r="K75" s="125"/>
      <c r="L75" s="125"/>
      <c r="M75" s="125"/>
    </row>
    <row r="76" spans="2:13" s="119" customFormat="1" x14ac:dyDescent="0.2">
      <c r="B76" s="125"/>
      <c r="C76" s="125"/>
      <c r="D76" s="127">
        <f t="shared" si="12"/>
        <v>1.0000000000000002</v>
      </c>
      <c r="E76" s="126">
        <f t="shared" si="11"/>
        <v>13.735793999999997</v>
      </c>
      <c r="F76" s="126">
        <f t="shared" si="10"/>
        <v>17.404637999999998</v>
      </c>
      <c r="H76" s="126"/>
      <c r="I76" s="125"/>
      <c r="J76" s="125"/>
      <c r="K76" s="125"/>
      <c r="L76" s="125"/>
      <c r="M76" s="125"/>
    </row>
    <row r="77" spans="2:13" s="119" customFormat="1" x14ac:dyDescent="0.2">
      <c r="B77" s="125"/>
      <c r="C77" s="125"/>
      <c r="D77" s="127">
        <f t="shared" si="12"/>
        <v>1.0500000000000003</v>
      </c>
      <c r="E77" s="126">
        <f t="shared" si="11"/>
        <v>13.081708571428569</v>
      </c>
      <c r="F77" s="126">
        <f t="shared" si="10"/>
        <v>16.575845714285713</v>
      </c>
      <c r="H77" s="126"/>
      <c r="I77" s="125"/>
      <c r="J77" s="125"/>
      <c r="K77" s="125"/>
      <c r="L77" s="125"/>
      <c r="M77" s="125"/>
    </row>
    <row r="78" spans="2:13" s="119" customFormat="1" x14ac:dyDescent="0.2">
      <c r="B78" s="125"/>
      <c r="C78" s="125"/>
      <c r="D78" s="127">
        <f t="shared" si="12"/>
        <v>1.1000000000000003</v>
      </c>
      <c r="E78" s="126">
        <f t="shared" si="11"/>
        <v>12.487085454545452</v>
      </c>
      <c r="F78" s="126">
        <f t="shared" si="10"/>
        <v>15.822398181818182</v>
      </c>
      <c r="H78" s="126"/>
      <c r="I78" s="125"/>
      <c r="J78" s="125"/>
      <c r="K78" s="125"/>
      <c r="L78" s="125"/>
      <c r="M78" s="125"/>
    </row>
    <row r="79" spans="2:13" s="119" customFormat="1" x14ac:dyDescent="0.2">
      <c r="B79" s="125"/>
      <c r="C79" s="125"/>
      <c r="D79" s="127">
        <f t="shared" si="12"/>
        <v>1.1500000000000004</v>
      </c>
      <c r="E79" s="126">
        <f t="shared" si="11"/>
        <v>11.944168695652168</v>
      </c>
      <c r="F79" s="126">
        <f t="shared" si="10"/>
        <v>15.134467826086953</v>
      </c>
      <c r="H79" s="126"/>
      <c r="I79" s="125"/>
      <c r="J79" s="125"/>
      <c r="K79" s="125"/>
      <c r="L79" s="125"/>
      <c r="M79" s="125"/>
    </row>
    <row r="80" spans="2:13" s="119" customFormat="1" x14ac:dyDescent="0.2">
      <c r="B80" s="125"/>
      <c r="C80" s="125"/>
      <c r="D80" s="127">
        <f t="shared" si="12"/>
        <v>1.2000000000000004</v>
      </c>
      <c r="E80" s="126">
        <f t="shared" si="11"/>
        <v>11.446494999999995</v>
      </c>
      <c r="F80" s="126">
        <f t="shared" si="10"/>
        <v>14.503864999999998</v>
      </c>
      <c r="H80" s="126"/>
      <c r="I80" s="125"/>
      <c r="J80" s="125"/>
      <c r="K80" s="125"/>
      <c r="L80" s="125"/>
      <c r="M80" s="125"/>
    </row>
    <row r="81" spans="2:13" s="119" customFormat="1" x14ac:dyDescent="0.2">
      <c r="B81" s="125"/>
      <c r="C81" s="125"/>
      <c r="D81" s="127">
        <f t="shared" si="12"/>
        <v>1.2500000000000004</v>
      </c>
      <c r="E81" s="126">
        <f t="shared" si="11"/>
        <v>10.988635199999996</v>
      </c>
      <c r="F81" s="126">
        <f t="shared" si="10"/>
        <v>13.923710399999997</v>
      </c>
      <c r="H81" s="126"/>
      <c r="I81" s="125"/>
      <c r="J81" s="125"/>
      <c r="K81" s="125"/>
      <c r="L81" s="125"/>
      <c r="M81" s="125"/>
    </row>
    <row r="82" spans="2:13" s="119" customFormat="1" x14ac:dyDescent="0.2">
      <c r="B82" s="125"/>
      <c r="C82" s="125"/>
      <c r="D82" s="127">
        <f t="shared" si="12"/>
        <v>1.3000000000000005</v>
      </c>
      <c r="E82" s="126">
        <f t="shared" si="11"/>
        <v>10.56599538461538</v>
      </c>
      <c r="F82" s="126">
        <f t="shared" si="10"/>
        <v>13.388183076923074</v>
      </c>
      <c r="H82" s="126"/>
      <c r="I82" s="125"/>
      <c r="J82" s="125"/>
      <c r="K82" s="125"/>
      <c r="L82" s="125"/>
      <c r="M82" s="125"/>
    </row>
    <row r="83" spans="2:13" s="119" customFormat="1" x14ac:dyDescent="0.2">
      <c r="B83" s="125"/>
      <c r="C83" s="125"/>
      <c r="D83" s="127">
        <f t="shared" si="12"/>
        <v>1.3500000000000005</v>
      </c>
      <c r="E83" s="126">
        <f t="shared" si="11"/>
        <v>10.174662222222219</v>
      </c>
      <c r="F83" s="126">
        <f t="shared" si="10"/>
        <v>12.892324444444442</v>
      </c>
      <c r="H83" s="126"/>
      <c r="I83" s="125"/>
      <c r="J83" s="125"/>
      <c r="K83" s="125"/>
      <c r="L83" s="125"/>
      <c r="M83" s="125"/>
    </row>
    <row r="84" spans="2:13" s="119" customFormat="1" x14ac:dyDescent="0.2">
      <c r="B84" s="125"/>
      <c r="C84" s="125"/>
      <c r="D84" s="127">
        <f t="shared" si="12"/>
        <v>1.4000000000000006</v>
      </c>
      <c r="E84" s="126">
        <f t="shared" si="11"/>
        <v>9.8112814285714229</v>
      </c>
      <c r="F84" s="126">
        <f t="shared" si="10"/>
        <v>12.431884285714281</v>
      </c>
      <c r="H84" s="126"/>
      <c r="I84" s="125"/>
      <c r="J84" s="125"/>
      <c r="K84" s="125"/>
      <c r="L84" s="125"/>
      <c r="M84" s="125"/>
    </row>
    <row r="85" spans="2:13" s="119" customFormat="1" x14ac:dyDescent="0.2">
      <c r="B85" s="125"/>
      <c r="C85" s="125"/>
      <c r="D85" s="127">
        <f t="shared" si="12"/>
        <v>1.4500000000000006</v>
      </c>
      <c r="E85" s="126">
        <f t="shared" si="11"/>
        <v>9.4729613793103411</v>
      </c>
      <c r="F85" s="126">
        <f t="shared" si="10"/>
        <v>12.003198620689652</v>
      </c>
      <c r="H85" s="126"/>
      <c r="I85" s="125"/>
      <c r="J85" s="125"/>
      <c r="K85" s="125"/>
      <c r="L85" s="125"/>
      <c r="M85" s="125"/>
    </row>
    <row r="86" spans="2:13" s="119" customFormat="1" x14ac:dyDescent="0.2">
      <c r="B86" s="125"/>
      <c r="C86" s="125"/>
      <c r="D86" s="127">
        <f t="shared" si="12"/>
        <v>1.5000000000000007</v>
      </c>
      <c r="E86" s="126">
        <f t="shared" si="11"/>
        <v>9.1571959999999955</v>
      </c>
      <c r="F86" s="126">
        <f t="shared" si="10"/>
        <v>11.603091999999997</v>
      </c>
      <c r="H86" s="126"/>
      <c r="I86" s="125"/>
      <c r="J86" s="125"/>
      <c r="K86" s="125"/>
      <c r="L86" s="125"/>
      <c r="M86" s="125"/>
    </row>
    <row r="87" spans="2:13" s="119" customFormat="1" x14ac:dyDescent="0.2">
      <c r="B87" s="125"/>
      <c r="C87" s="125"/>
      <c r="D87" s="127">
        <f t="shared" si="12"/>
        <v>1.5500000000000007</v>
      </c>
      <c r="E87" s="126">
        <f t="shared" si="11"/>
        <v>8.8618025806451577</v>
      </c>
      <c r="F87" s="126">
        <f t="shared" si="10"/>
        <v>11.228798709677417</v>
      </c>
      <c r="H87" s="126"/>
      <c r="I87" s="125"/>
      <c r="J87" s="125"/>
      <c r="K87" s="125"/>
      <c r="L87" s="125"/>
      <c r="M87" s="125"/>
    </row>
    <row r="88" spans="2:13" s="119" customFormat="1" x14ac:dyDescent="0.2">
      <c r="B88" s="125"/>
      <c r="C88" s="125"/>
      <c r="D88" s="127">
        <f t="shared" si="12"/>
        <v>1.6000000000000008</v>
      </c>
      <c r="E88" s="126">
        <f t="shared" si="11"/>
        <v>8.5848712499999955</v>
      </c>
      <c r="F88" s="126">
        <f t="shared" si="10"/>
        <v>10.877898749999996</v>
      </c>
      <c r="H88" s="126"/>
      <c r="I88" s="125"/>
      <c r="J88" s="125"/>
      <c r="K88" s="125"/>
      <c r="L88" s="125"/>
      <c r="M88" s="125"/>
    </row>
    <row r="89" spans="2:13" s="119" customFormat="1" x14ac:dyDescent="0.2">
      <c r="B89" s="125"/>
      <c r="C89" s="125"/>
      <c r="D89" s="127">
        <f t="shared" si="12"/>
        <v>1.6500000000000008</v>
      </c>
      <c r="E89" s="126">
        <f t="shared" si="11"/>
        <v>8.3247236363636326</v>
      </c>
      <c r="F89" s="126">
        <f t="shared" si="10"/>
        <v>10.548265454545451</v>
      </c>
      <c r="H89" s="126"/>
      <c r="I89" s="125"/>
      <c r="J89" s="125"/>
      <c r="K89" s="125"/>
      <c r="L89" s="125"/>
      <c r="M89" s="125"/>
    </row>
    <row r="90" spans="2:13" s="119" customFormat="1" x14ac:dyDescent="0.2">
      <c r="B90" s="125"/>
      <c r="C90" s="125"/>
      <c r="D90" s="127">
        <f t="shared" si="12"/>
        <v>1.7000000000000008</v>
      </c>
      <c r="E90" s="126">
        <f t="shared" si="11"/>
        <v>8.0798788235294072</v>
      </c>
      <c r="F90" s="126">
        <f t="shared" si="10"/>
        <v>10.238022352941172</v>
      </c>
      <c r="H90" s="126"/>
      <c r="I90" s="125"/>
      <c r="J90" s="125"/>
      <c r="K90" s="125"/>
      <c r="L90" s="125"/>
      <c r="M90" s="125"/>
    </row>
    <row r="91" spans="2:13" s="119" customFormat="1" x14ac:dyDescent="0.2">
      <c r="B91" s="125"/>
      <c r="C91" s="125"/>
      <c r="D91" s="127">
        <f t="shared" si="12"/>
        <v>1.7500000000000009</v>
      </c>
      <c r="E91" s="126">
        <f t="shared" si="11"/>
        <v>7.8490251428571387</v>
      </c>
      <c r="F91" s="126">
        <f t="shared" si="10"/>
        <v>9.9455074285714247</v>
      </c>
      <c r="H91" s="126"/>
      <c r="I91" s="125"/>
      <c r="J91" s="125"/>
      <c r="K91" s="125"/>
      <c r="L91" s="125"/>
      <c r="M91" s="125"/>
    </row>
    <row r="92" spans="2:13" s="119" customFormat="1" x14ac:dyDescent="0.2">
      <c r="B92" s="125"/>
      <c r="C92" s="125"/>
      <c r="D92" s="127">
        <f t="shared" si="12"/>
        <v>1.8000000000000009</v>
      </c>
      <c r="E92" s="126">
        <f t="shared" si="11"/>
        <v>7.6309966666666629</v>
      </c>
      <c r="F92" s="126">
        <f t="shared" si="10"/>
        <v>9.6692433333333305</v>
      </c>
      <c r="H92" s="126"/>
      <c r="I92" s="125"/>
      <c r="J92" s="125"/>
      <c r="K92" s="125"/>
      <c r="L92" s="125"/>
      <c r="M92" s="125"/>
    </row>
    <row r="93" spans="2:13" s="119" customFormat="1" x14ac:dyDescent="0.2">
      <c r="B93" s="125"/>
      <c r="C93" s="125"/>
      <c r="D93" s="127">
        <f t="shared" si="12"/>
        <v>1.850000000000001</v>
      </c>
      <c r="E93" s="126">
        <f t="shared" si="11"/>
        <v>7.4247535135135099</v>
      </c>
      <c r="F93" s="126">
        <f t="shared" si="10"/>
        <v>9.407912432432429</v>
      </c>
      <c r="H93" s="126"/>
      <c r="I93" s="125"/>
      <c r="J93" s="125"/>
      <c r="K93" s="125"/>
      <c r="L93" s="125"/>
      <c r="M93" s="125"/>
    </row>
    <row r="94" spans="2:13" s="119" customFormat="1" x14ac:dyDescent="0.2">
      <c r="B94" s="125"/>
      <c r="C94" s="125"/>
      <c r="D94" s="127">
        <f t="shared" si="12"/>
        <v>1.900000000000001</v>
      </c>
      <c r="E94" s="126">
        <f t="shared" si="11"/>
        <v>7.2293652631578915</v>
      </c>
      <c r="F94" s="126">
        <f t="shared" si="10"/>
        <v>9.160335789473681</v>
      </c>
      <c r="H94" s="126"/>
      <c r="I94" s="125"/>
      <c r="J94" s="125"/>
      <c r="K94" s="125"/>
      <c r="L94" s="125"/>
      <c r="M94" s="125"/>
    </row>
    <row r="95" spans="2:13" s="119" customFormat="1" x14ac:dyDescent="0.2">
      <c r="B95" s="125"/>
      <c r="C95" s="125"/>
      <c r="D95" s="127">
        <f t="shared" si="12"/>
        <v>1.9500000000000011</v>
      </c>
      <c r="E95" s="126">
        <f t="shared" si="11"/>
        <v>7.0439969230769188</v>
      </c>
      <c r="F95" s="126">
        <f t="shared" si="10"/>
        <v>8.9254553846153808</v>
      </c>
      <c r="H95" s="126"/>
      <c r="I95" s="125"/>
      <c r="J95" s="125"/>
      <c r="K95" s="125"/>
      <c r="L95" s="125"/>
      <c r="M95" s="125"/>
    </row>
    <row r="96" spans="2:13" s="119" customFormat="1" x14ac:dyDescent="0.2">
      <c r="B96" s="125"/>
      <c r="C96" s="125"/>
      <c r="D96" s="127">
        <f t="shared" si="12"/>
        <v>2.0000000000000009</v>
      </c>
      <c r="E96" s="126">
        <f t="shared" si="11"/>
        <v>6.8678969999999966</v>
      </c>
      <c r="F96" s="126">
        <f t="shared" si="10"/>
        <v>8.7023189999999975</v>
      </c>
      <c r="H96" s="126"/>
      <c r="I96" s="125"/>
      <c r="J96" s="125"/>
      <c r="K96" s="125"/>
      <c r="L96" s="125"/>
      <c r="M96" s="125"/>
    </row>
    <row r="97" spans="2:13" s="119" customFormat="1" x14ac:dyDescent="0.2">
      <c r="B97" s="125"/>
      <c r="C97" s="125"/>
      <c r="D97" s="127">
        <f t="shared" si="12"/>
        <v>2.0500000000000007</v>
      </c>
      <c r="E97" s="126">
        <f t="shared" si="11"/>
        <v>6.7003873170731678</v>
      </c>
      <c r="F97" s="126">
        <f t="shared" si="10"/>
        <v>8.4900673170731675</v>
      </c>
      <c r="H97" s="126"/>
      <c r="I97" s="125"/>
      <c r="J97" s="125"/>
      <c r="K97" s="125"/>
      <c r="L97" s="125"/>
      <c r="M97" s="125"/>
    </row>
    <row r="98" spans="2:13" s="119" customFormat="1" x14ac:dyDescent="0.2">
      <c r="D98" s="127">
        <f t="shared" si="12"/>
        <v>2.1000000000000005</v>
      </c>
      <c r="E98" s="126">
        <f t="shared" si="11"/>
        <v>6.5408542857142846</v>
      </c>
      <c r="F98" s="126">
        <f t="shared" si="10"/>
        <v>8.2879228571428563</v>
      </c>
      <c r="H98" s="126"/>
    </row>
    <row r="99" spans="2:13" s="119" customFormat="1" x14ac:dyDescent="0.2"/>
  </sheetData>
  <mergeCells count="3">
    <mergeCell ref="A3:B3"/>
    <mergeCell ref="R8:S8"/>
    <mergeCell ref="A1:B1"/>
  </mergeCells>
  <dataValidations count="3">
    <dataValidation type="list" allowBlank="1" showInputMessage="1" showErrorMessage="1" sqref="B4" xr:uid="{00000000-0002-0000-0300-000000000000}">
      <formula1>$P$6:$P$7</formula1>
    </dataValidation>
    <dataValidation type="list" allowBlank="1" showInputMessage="1" showErrorMessage="1" sqref="B5" xr:uid="{00000000-0002-0000-0300-000001000000}">
      <formula1>$P$10:$P$14</formula1>
    </dataValidation>
    <dataValidation type="list" allowBlank="1" showInputMessage="1" showErrorMessage="1" sqref="B6" xr:uid="{00000000-0002-0000-0300-000002000000}">
      <formula1>$P$17:$P$19</formula1>
    </dataValidation>
  </dataValidations>
  <hyperlinks>
    <hyperlink ref="Q23" r:id="rId1" xr:uid="{00000000-0004-0000-0300-000000000000}"/>
  </hyperlinks>
  <pageMargins left="0.7" right="0.7" top="0.75" bottom="0.75" header="0.3" footer="0.3"/>
  <pageSetup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N27"/>
  <sheetViews>
    <sheetView zoomScaleNormal="100" workbookViewId="0">
      <selection activeCell="C8" sqref="C8"/>
    </sheetView>
  </sheetViews>
  <sheetFormatPr defaultColWidth="9.140625" defaultRowHeight="15" x14ac:dyDescent="0.25"/>
  <cols>
    <col min="1" max="1" width="9.140625" style="28"/>
    <col min="2" max="2" width="22.5703125" style="28" bestFit="1" customWidth="1"/>
    <col min="3" max="3" width="17.42578125" style="28" customWidth="1"/>
    <col min="4" max="4" width="18.28515625" style="28" customWidth="1"/>
    <col min="5" max="5" width="9.5703125" style="28" customWidth="1"/>
    <col min="6" max="7" width="10.140625" style="28" customWidth="1"/>
    <col min="8" max="16384" width="9.140625" style="28"/>
  </cols>
  <sheetData>
    <row r="1" spans="2:7" ht="23.25" x14ac:dyDescent="0.25">
      <c r="B1" s="229" t="s">
        <v>347</v>
      </c>
      <c r="C1" s="230"/>
      <c r="D1" s="230"/>
      <c r="E1" s="230"/>
      <c r="F1" s="231"/>
    </row>
    <row r="2" spans="2:7" ht="16.5" thickBot="1" x14ac:dyDescent="0.3">
      <c r="B2" s="112"/>
      <c r="C2" s="113">
        <v>1</v>
      </c>
      <c r="D2" s="113">
        <v>0.9</v>
      </c>
      <c r="E2" s="113">
        <v>0.75</v>
      </c>
      <c r="F2" s="114">
        <v>0.5</v>
      </c>
    </row>
    <row r="3" spans="2:7" x14ac:dyDescent="0.25">
      <c r="B3" s="59" t="s">
        <v>348</v>
      </c>
      <c r="C3" s="60">
        <v>21.5</v>
      </c>
      <c r="D3" s="60">
        <v>17.5</v>
      </c>
      <c r="E3" s="60">
        <v>12.5</v>
      </c>
      <c r="F3" s="61">
        <v>6.5</v>
      </c>
    </row>
    <row r="4" spans="2:7" x14ac:dyDescent="0.25">
      <c r="B4" s="54" t="s">
        <v>349</v>
      </c>
      <c r="C4" s="55">
        <v>26</v>
      </c>
      <c r="D4" s="55">
        <v>21</v>
      </c>
      <c r="E4" s="55">
        <v>15</v>
      </c>
      <c r="F4" s="56">
        <v>6.5</v>
      </c>
    </row>
    <row r="5" spans="2:7" x14ac:dyDescent="0.25">
      <c r="B5" s="54" t="s">
        <v>350</v>
      </c>
      <c r="C5" s="148">
        <v>40</v>
      </c>
      <c r="D5" s="108">
        <f>D$3*$C$5/$C$3</f>
        <v>32.558139534883722</v>
      </c>
      <c r="E5" s="108">
        <f>E$3*$C$5/$C$3</f>
        <v>23.255813953488371</v>
      </c>
      <c r="F5" s="110">
        <f>F$3*$C$5/$C$3</f>
        <v>12.093023255813954</v>
      </c>
    </row>
    <row r="6" spans="2:7" ht="15.75" thickBot="1" x14ac:dyDescent="0.3">
      <c r="B6" s="57" t="s">
        <v>351</v>
      </c>
      <c r="C6" s="58">
        <v>11</v>
      </c>
      <c r="D6" s="109">
        <f>D$3*$C$6/$C$3</f>
        <v>8.9534883720930232</v>
      </c>
      <c r="E6" s="109">
        <f>E$3*$C$6/$C$3</f>
        <v>6.3953488372093021</v>
      </c>
      <c r="F6" s="111">
        <f>F$3*$C$6/$C$3</f>
        <v>3.3255813953488373</v>
      </c>
    </row>
    <row r="8" spans="2:7" ht="15.75" x14ac:dyDescent="0.25">
      <c r="B8" s="149" t="s">
        <v>352</v>
      </c>
      <c r="C8" s="67" t="s">
        <v>41</v>
      </c>
      <c r="D8" s="68">
        <v>1.1499999999999999</v>
      </c>
      <c r="E8" s="29" t="s">
        <v>38</v>
      </c>
    </row>
    <row r="9" spans="2:7" ht="29.25" thickBot="1" x14ac:dyDescent="0.3">
      <c r="B9" s="232" t="s">
        <v>353</v>
      </c>
      <c r="C9" s="232"/>
      <c r="D9" s="232"/>
      <c r="E9" s="232"/>
      <c r="F9" s="232"/>
      <c r="G9" s="232"/>
    </row>
    <row r="10" spans="2:7" ht="26.25" x14ac:dyDescent="0.25">
      <c r="B10" s="69" t="s">
        <v>354</v>
      </c>
      <c r="C10" s="70" t="s">
        <v>355</v>
      </c>
      <c r="D10" s="71" t="s">
        <v>356</v>
      </c>
      <c r="E10" s="70" t="s">
        <v>357</v>
      </c>
      <c r="F10" s="70" t="s">
        <v>358</v>
      </c>
      <c r="G10" s="72" t="s">
        <v>359</v>
      </c>
    </row>
    <row r="11" spans="2:7" s="30" customFormat="1" ht="6.75" customHeight="1" x14ac:dyDescent="0.25">
      <c r="B11" s="73"/>
      <c r="C11" s="74"/>
      <c r="D11" s="75"/>
      <c r="E11" s="74"/>
      <c r="F11" s="74"/>
      <c r="G11" s="76"/>
    </row>
    <row r="12" spans="2:7" s="31" customFormat="1" x14ac:dyDescent="0.25">
      <c r="B12" s="227" t="s">
        <v>360</v>
      </c>
      <c r="C12" s="228"/>
      <c r="D12" s="228"/>
      <c r="E12" s="150"/>
      <c r="F12" s="77">
        <v>1</v>
      </c>
      <c r="G12" s="78">
        <v>0.8</v>
      </c>
    </row>
    <row r="13" spans="2:7" x14ac:dyDescent="0.25">
      <c r="B13" s="54" t="s">
        <v>361</v>
      </c>
      <c r="C13" s="79">
        <v>2100</v>
      </c>
      <c r="D13" s="79" t="s">
        <v>362</v>
      </c>
      <c r="E13" s="80">
        <f>C13*0.02831685</f>
        <v>59.465385000000005</v>
      </c>
      <c r="F13" s="81">
        <f>D8*E13</f>
        <v>68.385192750000002</v>
      </c>
      <c r="G13" s="82">
        <f>F13*G12</f>
        <v>54.708154200000003</v>
      </c>
    </row>
    <row r="14" spans="2:7" x14ac:dyDescent="0.25">
      <c r="B14" s="54" t="s">
        <v>363</v>
      </c>
      <c r="C14" s="79">
        <v>1200</v>
      </c>
      <c r="D14" s="79" t="s">
        <v>364</v>
      </c>
      <c r="E14" s="80">
        <f t="shared" ref="E14:E16" si="0">C14*0.02831685</f>
        <v>33.980220000000003</v>
      </c>
      <c r="F14" s="81">
        <f>D8*E14</f>
        <v>39.077252999999999</v>
      </c>
      <c r="G14" s="82">
        <f>F14*G12</f>
        <v>31.261802400000001</v>
      </c>
    </row>
    <row r="15" spans="2:7" x14ac:dyDescent="0.25">
      <c r="B15" s="54" t="s">
        <v>365</v>
      </c>
      <c r="C15" s="79">
        <v>1050</v>
      </c>
      <c r="D15" s="79" t="s">
        <v>366</v>
      </c>
      <c r="E15" s="80">
        <f t="shared" si="0"/>
        <v>29.732692500000002</v>
      </c>
      <c r="F15" s="81">
        <f>D8*E15</f>
        <v>34.192596375000001</v>
      </c>
      <c r="G15" s="82">
        <f>F15*G12</f>
        <v>27.354077100000001</v>
      </c>
    </row>
    <row r="16" spans="2:7" x14ac:dyDescent="0.25">
      <c r="B16" s="54" t="s">
        <v>367</v>
      </c>
      <c r="C16" s="79">
        <v>562</v>
      </c>
      <c r="D16" s="79" t="s">
        <v>368</v>
      </c>
      <c r="E16" s="80">
        <f t="shared" si="0"/>
        <v>15.914069700000001</v>
      </c>
      <c r="F16" s="81">
        <f>D8*E16</f>
        <v>18.301180155000001</v>
      </c>
      <c r="G16" s="82">
        <f>F16*G12</f>
        <v>14.640944124000001</v>
      </c>
    </row>
    <row r="17" spans="2:14" x14ac:dyDescent="0.25">
      <c r="B17" s="227" t="s">
        <v>369</v>
      </c>
      <c r="C17" s="228"/>
      <c r="D17" s="228"/>
      <c r="E17" s="83"/>
      <c r="F17" s="84"/>
      <c r="G17" s="85"/>
      <c r="N17" s="151">
        <f>110-F18</f>
        <v>17.191524125000001</v>
      </c>
    </row>
    <row r="18" spans="2:14" x14ac:dyDescent="0.25">
      <c r="B18" s="54" t="s">
        <v>370</v>
      </c>
      <c r="C18" s="79">
        <v>2850</v>
      </c>
      <c r="D18" s="79" t="s">
        <v>371</v>
      </c>
      <c r="E18" s="80">
        <f>C18*0.02831685</f>
        <v>80.703022500000003</v>
      </c>
      <c r="F18" s="81">
        <f>D8*E18</f>
        <v>92.808475874999999</v>
      </c>
      <c r="G18" s="82">
        <f>F18*G12</f>
        <v>74.246780700000002</v>
      </c>
      <c r="M18" s="28">
        <f>110/F18</f>
        <v>1.1852365741697404</v>
      </c>
      <c r="N18" s="28">
        <f>110-F19*3</f>
        <v>12.30686750000001</v>
      </c>
    </row>
    <row r="19" spans="2:14" x14ac:dyDescent="0.25">
      <c r="B19" s="103" t="s">
        <v>372</v>
      </c>
      <c r="C19" s="104">
        <v>1000</v>
      </c>
      <c r="D19" s="104" t="s">
        <v>373</v>
      </c>
      <c r="E19" s="105">
        <f t="shared" ref="E19:E20" si="1">C19*0.02831685</f>
        <v>28.316850000000002</v>
      </c>
      <c r="F19" s="106">
        <f>D8*E19</f>
        <v>32.564377499999999</v>
      </c>
      <c r="G19" s="107">
        <f>F19*G12</f>
        <v>26.051501999999999</v>
      </c>
      <c r="M19" s="28">
        <f>110/F19</f>
        <v>3.3779242363837603</v>
      </c>
    </row>
    <row r="20" spans="2:14" x14ac:dyDescent="0.25">
      <c r="B20" s="54" t="s">
        <v>374</v>
      </c>
      <c r="C20" s="79">
        <v>1000</v>
      </c>
      <c r="D20" s="79" t="s">
        <v>375</v>
      </c>
      <c r="E20" s="80">
        <f t="shared" si="1"/>
        <v>28.316850000000002</v>
      </c>
      <c r="F20" s="81">
        <f>D8*E20</f>
        <v>32.564377499999999</v>
      </c>
      <c r="G20" s="82">
        <f>F20*G12</f>
        <v>26.051501999999999</v>
      </c>
    </row>
    <row r="21" spans="2:14" x14ac:dyDescent="0.25">
      <c r="B21" s="227" t="s">
        <v>376</v>
      </c>
      <c r="C21" s="228"/>
      <c r="D21" s="228"/>
      <c r="E21" s="83"/>
      <c r="F21" s="84"/>
      <c r="G21" s="86"/>
    </row>
    <row r="22" spans="2:14" x14ac:dyDescent="0.25">
      <c r="B22" s="54" t="s">
        <v>377</v>
      </c>
      <c r="C22" s="79">
        <v>4100</v>
      </c>
      <c r="D22" s="79" t="s">
        <v>378</v>
      </c>
      <c r="E22" s="80">
        <f t="shared" ref="E22:E23" si="2">C22*0.02831685</f>
        <v>116.099085</v>
      </c>
      <c r="F22" s="81">
        <f>D8*E22</f>
        <v>133.51394775</v>
      </c>
      <c r="G22" s="82">
        <f>F22*G12</f>
        <v>106.81115820000001</v>
      </c>
    </row>
    <row r="23" spans="2:14" x14ac:dyDescent="0.25">
      <c r="B23" s="54" t="s">
        <v>379</v>
      </c>
      <c r="C23" s="79">
        <v>950</v>
      </c>
      <c r="D23" s="79" t="s">
        <v>380</v>
      </c>
      <c r="E23" s="80">
        <f t="shared" si="2"/>
        <v>26.901007500000002</v>
      </c>
      <c r="F23" s="81">
        <f>D8*E23</f>
        <v>30.936158625000001</v>
      </c>
      <c r="G23" s="82">
        <f>F23*G12</f>
        <v>24.748926900000001</v>
      </c>
    </row>
    <row r="24" spans="2:14" x14ac:dyDescent="0.25">
      <c r="B24" s="227" t="s">
        <v>381</v>
      </c>
      <c r="C24" s="228"/>
      <c r="D24" s="228"/>
      <c r="E24" s="83"/>
      <c r="F24" s="84"/>
      <c r="G24" s="86"/>
    </row>
    <row r="25" spans="2:14" x14ac:dyDescent="0.25">
      <c r="B25" s="54" t="s">
        <v>382</v>
      </c>
      <c r="C25" s="87">
        <v>1000</v>
      </c>
      <c r="D25" s="79" t="s">
        <v>383</v>
      </c>
      <c r="E25" s="80">
        <f t="shared" ref="E25:E27" si="3">C25*0.02831685</f>
        <v>28.316850000000002</v>
      </c>
      <c r="F25" s="81">
        <f>D8*E25</f>
        <v>32.564377499999999</v>
      </c>
      <c r="G25" s="82">
        <f>F25*G12</f>
        <v>26.051501999999999</v>
      </c>
    </row>
    <row r="26" spans="2:14" x14ac:dyDescent="0.25">
      <c r="B26" s="54" t="s">
        <v>350</v>
      </c>
      <c r="C26" s="87">
        <v>1100</v>
      </c>
      <c r="D26" s="79" t="s">
        <v>384</v>
      </c>
      <c r="E26" s="80">
        <f t="shared" si="3"/>
        <v>31.148535000000003</v>
      </c>
      <c r="F26" s="81">
        <f>D8*E26</f>
        <v>35.820815250000003</v>
      </c>
      <c r="G26" s="82">
        <f>F26*G12</f>
        <v>28.656652200000003</v>
      </c>
    </row>
    <row r="27" spans="2:14" ht="15.75" thickBot="1" x14ac:dyDescent="0.3">
      <c r="B27" s="57" t="s">
        <v>351</v>
      </c>
      <c r="C27" s="88">
        <v>700</v>
      </c>
      <c r="D27" s="89" t="s">
        <v>385</v>
      </c>
      <c r="E27" s="90">
        <f t="shared" si="3"/>
        <v>19.821795000000002</v>
      </c>
      <c r="F27" s="91">
        <f>D8*E27</f>
        <v>22.795064249999999</v>
      </c>
      <c r="G27" s="92">
        <f>F27*G12</f>
        <v>18.236051400000001</v>
      </c>
    </row>
  </sheetData>
  <mergeCells count="6">
    <mergeCell ref="B24:D24"/>
    <mergeCell ref="B1:F1"/>
    <mergeCell ref="B9:G9"/>
    <mergeCell ref="B12:D12"/>
    <mergeCell ref="B17:D17"/>
    <mergeCell ref="B21:D21"/>
  </mergeCells>
  <pageMargins left="0.7" right="0.7" top="0.75" bottom="0.75" header="0.3" footer="0.3"/>
  <pageSetup scale="16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'Max Mix Rate'!$A$10:$A$98</xm:f>
          </x14:formula1>
          <xm:sqref>C8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pany Document" ma:contentTypeID="0x0101006450AF52053E4366878046AAF3AB30AB000D489474509CA74F846B24CFFC1A5756" ma:contentTypeVersion="14" ma:contentTypeDescription="Basis of all company documents." ma:contentTypeScope="" ma:versionID="cf25d12b714495bbf88b25173c3488eb">
  <xsd:schema xmlns:xsd="http://www.w3.org/2001/XMLSchema" xmlns:xs="http://www.w3.org/2001/XMLSchema" xmlns:p="http://schemas.microsoft.com/office/2006/metadata/properties" xmlns:ns2="02c7e64b-4f3d-402b-a9fd-e07d49becb32" xmlns:ns3="6898f4c9-bdf1-4f55-8423-61bd055d9994" xmlns:ns4="ca9cb6b8-2e82-47da-9dc6-c64aef9c713e" targetNamespace="http://schemas.microsoft.com/office/2006/metadata/properties" ma:root="true" ma:fieldsID="3bc050a2484fd4256105db6899c3a7f5" ns2:_="" ns3:_="" ns4:_="">
    <xsd:import namespace="02c7e64b-4f3d-402b-a9fd-e07d49becb32"/>
    <xsd:import namespace="6898f4c9-bdf1-4f55-8423-61bd055d9994"/>
    <xsd:import namespace="ca9cb6b8-2e82-47da-9dc6-c64aef9c713e"/>
    <xsd:element name="properties">
      <xsd:complexType>
        <xsd:sequence>
          <xsd:element name="documentManagement">
            <xsd:complexType>
              <xsd:all>
                <xsd:element ref="ns2:SIZADocumentNumber" minOccurs="0"/>
                <xsd:element ref="ns2:i7c7954a6da6485baed72bf62adc9a98" minOccurs="0"/>
                <xsd:element ref="ns2:TaxCatchAll" minOccurs="0"/>
                <xsd:element ref="ns2:TaxCatchAllLabel" minOccurs="0"/>
                <xsd:element ref="ns2:cc7be7e4400b4b3e8e8dee769eded5de" minOccurs="0"/>
                <xsd:element ref="ns2:lb0c8933d6cc439796668a3c8f7729a7" minOccurs="0"/>
                <xsd:element ref="ns2:SuggestedDocument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7e64b-4f3d-402b-a9fd-e07d49becb32" elementFormDefault="qualified">
    <xsd:import namespace="http://schemas.microsoft.com/office/2006/documentManagement/types"/>
    <xsd:import namespace="http://schemas.microsoft.com/office/infopath/2007/PartnerControls"/>
    <xsd:element name="SIZADocumentNumber" ma:index="8" nillable="true" ma:displayName="Document Number" ma:internalName="SIZADocumentNumber">
      <xsd:simpleType>
        <xsd:restriction base="dms:Text"/>
      </xsd:simpleType>
    </xsd:element>
    <xsd:element name="i7c7954a6da6485baed72bf62adc9a98" ma:index="9" nillable="true" ma:taxonomy="true" ma:internalName="i7c7954a6da6485baed72bf62adc9a98" ma:taxonomyFieldName="SIZADocumentType" ma:displayName="Document Type" ma:fieldId="{27c7954a-6da6-485b-aed7-2bf62adc9a98}" ma:sspId="f010a23a-bb52-4e9a-8614-5e3078a5f94d" ma:termSetId="f5074eab-6e66-4dde-b1c9-be956c7c3e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5615f3c7-14e0-423b-a7e8-e87dd16b3fa4}" ma:internalName="TaxCatchAll" ma:showField="CatchAllData" ma:web="02c7e64b-4f3d-402b-a9fd-e07d49becb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5615f3c7-14e0-423b-a7e8-e87dd16b3fa4}" ma:internalName="TaxCatchAllLabel" ma:readOnly="true" ma:showField="CatchAllDataLabel" ma:web="02c7e64b-4f3d-402b-a9fd-e07d49becb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c7be7e4400b4b3e8e8dee769eded5de" ma:index="13" nillable="true" ma:taxonomy="true" ma:internalName="cc7be7e4400b4b3e8e8dee769eded5de" ma:taxonomyFieldName="SIZABusinessArea" ma:displayName="Department" ma:fieldId="{cc7be7e4-400b-4b3e-8e8d-ee769eded5de}" ma:sspId="f010a23a-bb52-4e9a-8614-5e3078a5f94d" ma:termSetId="a16b7763-60ac-4de9-aea4-a38eec74b5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b0c8933d6cc439796668a3c8f7729a7" ma:index="15" nillable="true" ma:taxonomy="true" ma:internalName="lb0c8933d6cc439796668a3c8f7729a7" ma:taxonomyFieldName="SIZACompanyLocation" ma:displayName="Company Location" ma:fieldId="{5b0c8933-d6cc-4397-9666-8a3c8f7729a7}" ma:sspId="f010a23a-bb52-4e9a-8614-5e3078a5f94d" ma:termSetId="11c1e720-e982-466a-aacd-09d4c23fd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uggestedDocument" ma:index="17" nillable="true" ma:displayName="Suggested Document" ma:default="0" ma:internalName="Suggested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8f4c9-bdf1-4f55-8423-61bd055d99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cb6b8-2e82-47da-9dc6-c64aef9c713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a9cb6b8-2e82-47da-9dc6-c64aef9c713e">
      <UserInfo>
        <DisplayName>Jackson Kostiuk</DisplayName>
        <AccountId>153</AccountId>
        <AccountType/>
      </UserInfo>
      <UserInfo>
        <DisplayName>Luke Titford</DisplayName>
        <AccountId>297</AccountId>
        <AccountType/>
      </UserInfo>
      <UserInfo>
        <DisplayName>Gabe Grinde</DisplayName>
        <AccountId>84</AccountId>
        <AccountType/>
      </UserInfo>
    </SharedWithUsers>
    <i7c7954a6da6485baed72bf62adc9a98 xmlns="02c7e64b-4f3d-402b-a9fd-e07d49becb32">
      <Terms xmlns="http://schemas.microsoft.com/office/infopath/2007/PartnerControls"/>
    </i7c7954a6da6485baed72bf62adc9a98>
    <SuggestedDocument xmlns="02c7e64b-4f3d-402b-a9fd-e07d49becb32">false</SuggestedDocument>
    <lb0c8933d6cc439796668a3c8f7729a7 xmlns="02c7e64b-4f3d-402b-a9fd-e07d49becb32">
      <Terms xmlns="http://schemas.microsoft.com/office/infopath/2007/PartnerControls"/>
    </lb0c8933d6cc439796668a3c8f7729a7>
    <SIZADocumentNumber xmlns="02c7e64b-4f3d-402b-a9fd-e07d49becb32" xsi:nil="true"/>
    <TaxCatchAll xmlns="02c7e64b-4f3d-402b-a9fd-e07d49becb32" xsi:nil="true"/>
    <cc7be7e4400b4b3e8e8dee769eded5de xmlns="02c7e64b-4f3d-402b-a9fd-e07d49becb32">
      <Terms xmlns="http://schemas.microsoft.com/office/infopath/2007/PartnerControls"/>
    </cc7be7e4400b4b3e8e8dee769eded5d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D8FFAF-A17F-489A-AA33-BEE146FEC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7e64b-4f3d-402b-a9fd-e07d49becb32"/>
    <ds:schemaRef ds:uri="6898f4c9-bdf1-4f55-8423-61bd055d9994"/>
    <ds:schemaRef ds:uri="ca9cb6b8-2e82-47da-9dc6-c64aef9c7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8C1E77-2DFC-47A7-883C-35D6A9A9843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1640dff-d6bf-4b9f-a24e-59e2b79d7820"/>
    <ds:schemaRef ds:uri="54c23ff0-0cbd-49ae-a0d0-4c3679e2ffe7"/>
    <ds:schemaRef ds:uri="http://purl.org/dc/terms/"/>
    <ds:schemaRef ds:uri="http://www.w3.org/XML/1998/namespace"/>
    <ds:schemaRef ds:uri="http://purl.org/dc/dcmitype/"/>
    <ds:schemaRef ds:uri="ca9cb6b8-2e82-47da-9dc6-c64aef9c713e"/>
    <ds:schemaRef ds:uri="02c7e64b-4f3d-402b-a9fd-e07d49becb32"/>
  </ds:schemaRefs>
</ds:datastoreItem>
</file>

<file path=customXml/itemProps3.xml><?xml version="1.0" encoding="utf-8"?>
<ds:datastoreItem xmlns:ds="http://schemas.openxmlformats.org/officeDocument/2006/customXml" ds:itemID="{CC02BFA2-2EDE-4C76-8CC2-FFA09234FD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Max Mix Rate</vt:lpstr>
      <vt:lpstr>Pumper Specs</vt:lpstr>
      <vt:lpstr>HP Calcs</vt:lpstr>
      <vt:lpstr>Bulk Eqpt Vol Weight Max</vt:lpstr>
      <vt:lpstr>Blend</vt:lpstr>
      <vt:lpstr>Bulk</vt:lpstr>
      <vt:lpstr>ENG_TYPE</vt:lpstr>
      <vt:lpstr>'Max Mix Rate'!Print_Area</vt:lpstr>
      <vt:lpstr>'Pumper Specs'!Print_Area</vt:lpstr>
      <vt:lpstr>'Pumper Specs'!Print_Titles</vt:lpstr>
      <vt:lpstr>RATE_PRES</vt:lpstr>
    </vt:vector>
  </TitlesOfParts>
  <Manager/>
  <Company>Sanjel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jgray@sanjel.com</dc:creator>
  <cp:keywords/>
  <dc:description/>
  <cp:lastModifiedBy>Jason Schneider</cp:lastModifiedBy>
  <cp:revision/>
  <dcterms:created xsi:type="dcterms:W3CDTF">2006-05-16T14:51:44Z</dcterms:created>
  <dcterms:modified xsi:type="dcterms:W3CDTF">2022-05-25T15:14:14Z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0x0101006450AF52053E4366878046AAF3AB30AB000D489474509CA74F846B24CFFC1A5756</vt:lpwstr>
  </property>
  <property fmtid="{D5CDD505-2E9C-101B-9397-08002B2CF9AE}" pid="3" name="Order">
    <vt:r8>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SIZACompanyLocation">
    <vt:lpwstr/>
  </property>
  <property fmtid="{D5CDD505-2E9C-101B-9397-08002B2CF9AE}" pid="11" name="SIZADocumentType">
    <vt:lpwstr/>
  </property>
  <property fmtid="{D5CDD505-2E9C-101B-9397-08002B2CF9AE}" pid="12" name="SIZABusinessArea">
    <vt:lpwstr/>
  </property>
</Properties>
</file>