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964" activeTab="7"/>
  </bookViews>
  <sheets>
    <sheet name="Template" sheetId="6" r:id="rId1"/>
    <sheet name="Inputs" sheetId="2" r:id="rId2"/>
    <sheet name="FS" sheetId="11" r:id="rId3"/>
    <sheet name="Calculations" sheetId="8" r:id="rId4"/>
    <sheet name="DebtQ" sheetId="10" r:id="rId5"/>
    <sheet name="Circ" sheetId="12" r:id="rId6"/>
    <sheet name="Timing" sheetId="4" r:id="rId7"/>
    <sheet name="Valuation" sheetId="14" r:id="rId8"/>
  </sheets>
  <externalReferences>
    <externalReference r:id="rId9"/>
  </externalReferences>
  <definedNames>
    <definedName name="DaysInYear">'[1]Formats&amp;Lists'!$E$42</definedName>
    <definedName name="Million">'[1]Formats&amp;Lists'!$E$34</definedName>
    <definedName name="MonthsInYear">'[1]Formats&amp;Lists'!$E$38</definedName>
    <definedName name="Products">'[1]Formats&amp;Lists'!$D$49:$D$56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7" i="14" l="1"/>
  <c r="J107" i="14"/>
  <c r="K107" i="14"/>
  <c r="L107" i="14"/>
  <c r="I115" i="14"/>
  <c r="J115" i="14"/>
  <c r="K115" i="14"/>
  <c r="L115" i="14"/>
  <c r="H115" i="14"/>
  <c r="H114" i="14"/>
  <c r="H107" i="14"/>
  <c r="F121" i="14"/>
  <c r="L85" i="14"/>
  <c r="L92" i="14"/>
  <c r="I85" i="14"/>
  <c r="J85" i="14"/>
  <c r="K85" i="14"/>
  <c r="I92" i="14"/>
  <c r="J92" i="14"/>
  <c r="K92" i="14"/>
  <c r="H92" i="14"/>
  <c r="H91" i="14"/>
  <c r="H85" i="14"/>
  <c r="F97" i="14"/>
  <c r="F77" i="14"/>
  <c r="C77" i="14"/>
  <c r="G77" i="14" s="1"/>
  <c r="F71" i="14"/>
  <c r="F67" i="14"/>
  <c r="F66" i="14"/>
  <c r="F65" i="14"/>
  <c r="F61" i="14"/>
  <c r="F60" i="14"/>
  <c r="F48" i="14"/>
  <c r="F36" i="14"/>
  <c r="F29" i="14"/>
  <c r="F30" i="14" s="1"/>
  <c r="F28" i="14"/>
  <c r="F26" i="14"/>
  <c r="F47" i="14" s="1"/>
  <c r="F50" i="14" s="1"/>
  <c r="F25" i="14"/>
  <c r="F35" i="14" s="1"/>
  <c r="F24" i="14"/>
  <c r="F23" i="14"/>
  <c r="F22" i="14"/>
  <c r="F12" i="14"/>
  <c r="L6" i="14"/>
  <c r="K6" i="14"/>
  <c r="J6" i="14"/>
  <c r="I6" i="14"/>
  <c r="H6" i="14"/>
  <c r="L5" i="14"/>
  <c r="K5" i="14"/>
  <c r="J5" i="14"/>
  <c r="I5" i="14"/>
  <c r="H5" i="14"/>
  <c r="L4" i="14"/>
  <c r="K4" i="14"/>
  <c r="J4" i="14"/>
  <c r="I4" i="14"/>
  <c r="H4" i="14"/>
  <c r="L3" i="14"/>
  <c r="K3" i="14"/>
  <c r="J3" i="14"/>
  <c r="I3" i="14"/>
  <c r="H3" i="14"/>
  <c r="A2" i="14"/>
  <c r="A1" i="14"/>
  <c r="I404" i="8"/>
  <c r="J404" i="8"/>
  <c r="K404" i="8"/>
  <c r="L404" i="8"/>
  <c r="H404" i="8"/>
  <c r="H401" i="8"/>
  <c r="H393" i="8"/>
  <c r="H78" i="14" l="1"/>
  <c r="I77" i="14"/>
  <c r="I80" i="14" s="1"/>
  <c r="L78" i="14"/>
  <c r="L122" i="14" s="1"/>
  <c r="H77" i="14"/>
  <c r="H80" i="14" s="1"/>
  <c r="H81" i="14" s="1"/>
  <c r="I78" i="14"/>
  <c r="L80" i="14"/>
  <c r="J78" i="14"/>
  <c r="K78" i="14"/>
  <c r="L77" i="14"/>
  <c r="F39" i="14"/>
  <c r="K77" i="14"/>
  <c r="K80" i="14" s="1"/>
  <c r="L81" i="14" s="1"/>
  <c r="J77" i="14"/>
  <c r="J80" i="14" s="1"/>
  <c r="F63" i="14"/>
  <c r="H100" i="14"/>
  <c r="F69" i="14"/>
  <c r="F125" i="14" s="1"/>
  <c r="F72" i="14"/>
  <c r="F74" i="14" s="1"/>
  <c r="F100" i="14" s="1"/>
  <c r="F38" i="14"/>
  <c r="F41" i="14"/>
  <c r="I102" i="11"/>
  <c r="J102" i="11"/>
  <c r="K102" i="11"/>
  <c r="L102" i="11"/>
  <c r="I111" i="11"/>
  <c r="J111" i="11"/>
  <c r="K111" i="11"/>
  <c r="L111" i="11"/>
  <c r="I125" i="11"/>
  <c r="J125" i="11"/>
  <c r="K125" i="11"/>
  <c r="L125" i="11"/>
  <c r="I126" i="11"/>
  <c r="J126" i="11"/>
  <c r="K126" i="11"/>
  <c r="L126" i="11"/>
  <c r="H126" i="11"/>
  <c r="H125" i="11"/>
  <c r="H111" i="11"/>
  <c r="H60" i="11" s="1"/>
  <c r="I60" i="11" s="1"/>
  <c r="J60" i="11" s="1"/>
  <c r="H107" i="11"/>
  <c r="H109" i="11" s="1"/>
  <c r="H102" i="11"/>
  <c r="H119" i="11"/>
  <c r="I89" i="11"/>
  <c r="J89" i="11"/>
  <c r="K89" i="11"/>
  <c r="L89" i="11"/>
  <c r="H89" i="11"/>
  <c r="I81" i="11"/>
  <c r="J81" i="11"/>
  <c r="K81" i="11"/>
  <c r="L81" i="11"/>
  <c r="I82" i="11"/>
  <c r="J82" i="11"/>
  <c r="K82" i="11"/>
  <c r="L82" i="11"/>
  <c r="H82" i="11"/>
  <c r="H81" i="11"/>
  <c r="H75" i="11"/>
  <c r="K48" i="11"/>
  <c r="L48" i="11"/>
  <c r="I33" i="11"/>
  <c r="J33" i="11"/>
  <c r="K33" i="11"/>
  <c r="L33" i="11"/>
  <c r="I34" i="11"/>
  <c r="J34" i="11"/>
  <c r="K34" i="11"/>
  <c r="L34" i="11"/>
  <c r="I35" i="11"/>
  <c r="J35" i="11"/>
  <c r="K35" i="11"/>
  <c r="L35" i="11"/>
  <c r="I36" i="11"/>
  <c r="J36" i="11"/>
  <c r="K36" i="11"/>
  <c r="L36" i="11"/>
  <c r="H36" i="11"/>
  <c r="H35" i="11"/>
  <c r="H34" i="11"/>
  <c r="H33" i="11"/>
  <c r="I22" i="11"/>
  <c r="I26" i="11" s="1"/>
  <c r="J22" i="11"/>
  <c r="K22" i="11"/>
  <c r="K26" i="11" s="1"/>
  <c r="L22" i="11"/>
  <c r="I23" i="11"/>
  <c r="J23" i="11"/>
  <c r="K23" i="11"/>
  <c r="L23" i="11"/>
  <c r="I24" i="11"/>
  <c r="J24" i="11"/>
  <c r="K24" i="11"/>
  <c r="L24" i="11"/>
  <c r="H24" i="11"/>
  <c r="H23" i="11"/>
  <c r="H22" i="11"/>
  <c r="H26" i="11" s="1"/>
  <c r="H12" i="11"/>
  <c r="H19" i="11" s="1"/>
  <c r="H28" i="11" s="1"/>
  <c r="I12" i="11"/>
  <c r="J12" i="11"/>
  <c r="K12" i="11"/>
  <c r="L12" i="11"/>
  <c r="H13" i="11"/>
  <c r="I13" i="11"/>
  <c r="J13" i="11"/>
  <c r="K13" i="11"/>
  <c r="L13" i="11"/>
  <c r="H14" i="11"/>
  <c r="I14" i="11"/>
  <c r="J14" i="11"/>
  <c r="K14" i="11"/>
  <c r="L14" i="11"/>
  <c r="L19" i="11" s="1"/>
  <c r="H15" i="11"/>
  <c r="I15" i="11"/>
  <c r="J15" i="11"/>
  <c r="K15" i="11"/>
  <c r="L15" i="11"/>
  <c r="H16" i="11"/>
  <c r="I16" i="11"/>
  <c r="J16" i="11"/>
  <c r="K16" i="11"/>
  <c r="L16" i="11"/>
  <c r="H17" i="11"/>
  <c r="I17" i="11"/>
  <c r="J17" i="11"/>
  <c r="K17" i="11"/>
  <c r="L17" i="11"/>
  <c r="I11" i="11"/>
  <c r="J11" i="11"/>
  <c r="K11" i="11"/>
  <c r="L11" i="11"/>
  <c r="H11" i="11"/>
  <c r="J33" i="12"/>
  <c r="R34" i="10"/>
  <c r="Q34" i="10"/>
  <c r="Z33" i="10"/>
  <c r="Y33" i="10"/>
  <c r="N33" i="10"/>
  <c r="F25" i="12"/>
  <c r="V35" i="10"/>
  <c r="V32" i="10" s="1"/>
  <c r="V45" i="10" s="1"/>
  <c r="U35" i="10"/>
  <c r="U32" i="10" s="1"/>
  <c r="J35" i="10"/>
  <c r="J32" i="10" s="1"/>
  <c r="J45" i="10" s="1"/>
  <c r="I35" i="10"/>
  <c r="I32" i="10" s="1"/>
  <c r="I45" i="10" s="1"/>
  <c r="F23" i="12"/>
  <c r="Z32" i="10"/>
  <c r="Y32" i="10"/>
  <c r="Y45" i="10" s="1"/>
  <c r="N32" i="10"/>
  <c r="M32" i="10"/>
  <c r="M45" i="10" s="1"/>
  <c r="I17" i="12"/>
  <c r="I33" i="12" s="1"/>
  <c r="J17" i="12"/>
  <c r="K17" i="12"/>
  <c r="K33" i="12" s="1"/>
  <c r="H17" i="12"/>
  <c r="H33" i="12" s="1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H10" i="12"/>
  <c r="I83" i="10"/>
  <c r="J83" i="10"/>
  <c r="J84" i="10" s="1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I84" i="10"/>
  <c r="H83" i="10"/>
  <c r="H84" i="10" s="1"/>
  <c r="F87" i="10"/>
  <c r="F83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V76" i="10"/>
  <c r="W76" i="10"/>
  <c r="X76" i="10"/>
  <c r="Y76" i="10"/>
  <c r="Z76" i="10"/>
  <c r="AA76" i="10"/>
  <c r="I77" i="10"/>
  <c r="J77" i="10"/>
  <c r="K77" i="10"/>
  <c r="L77" i="10"/>
  <c r="M77" i="10"/>
  <c r="N77" i="10"/>
  <c r="O77" i="10"/>
  <c r="P77" i="10"/>
  <c r="S77" i="10"/>
  <c r="T77" i="10"/>
  <c r="U77" i="10"/>
  <c r="V77" i="10"/>
  <c r="W77" i="10"/>
  <c r="X77" i="10"/>
  <c r="Y77" i="10"/>
  <c r="Z77" i="10"/>
  <c r="AA77" i="10"/>
  <c r="H77" i="10"/>
  <c r="H76" i="10"/>
  <c r="H63" i="10"/>
  <c r="F71" i="10"/>
  <c r="F57" i="10"/>
  <c r="F54" i="10"/>
  <c r="F53" i="10"/>
  <c r="M40" i="10"/>
  <c r="N40" i="10"/>
  <c r="N41" i="10" s="1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M41" i="10"/>
  <c r="I40" i="10"/>
  <c r="J40" i="10"/>
  <c r="J41" i="10" s="1"/>
  <c r="K40" i="10"/>
  <c r="L40" i="10"/>
  <c r="I41" i="10"/>
  <c r="H41" i="10"/>
  <c r="H40" i="10"/>
  <c r="F44" i="10"/>
  <c r="F40" i="10"/>
  <c r="O33" i="10"/>
  <c r="P33" i="10"/>
  <c r="Q33" i="10"/>
  <c r="R33" i="10"/>
  <c r="S33" i="10"/>
  <c r="T33" i="10"/>
  <c r="U33" i="10"/>
  <c r="V33" i="10"/>
  <c r="W33" i="10"/>
  <c r="X33" i="10"/>
  <c r="AA33" i="10"/>
  <c r="N34" i="10"/>
  <c r="O34" i="10"/>
  <c r="P34" i="10"/>
  <c r="S34" i="10"/>
  <c r="T34" i="10"/>
  <c r="U34" i="10"/>
  <c r="V34" i="10"/>
  <c r="W34" i="10"/>
  <c r="X34" i="10"/>
  <c r="Y34" i="10"/>
  <c r="Z34" i="10"/>
  <c r="AA34" i="10"/>
  <c r="N35" i="10"/>
  <c r="O35" i="10"/>
  <c r="O32" i="10" s="1"/>
  <c r="P35" i="10"/>
  <c r="P32" i="10" s="1"/>
  <c r="P45" i="10" s="1"/>
  <c r="Q35" i="10"/>
  <c r="Q32" i="10" s="1"/>
  <c r="Q45" i="10" s="1"/>
  <c r="R35" i="10"/>
  <c r="R32" i="10" s="1"/>
  <c r="S35" i="10"/>
  <c r="S32" i="10" s="1"/>
  <c r="S45" i="10" s="1"/>
  <c r="T35" i="10"/>
  <c r="T32" i="10" s="1"/>
  <c r="W35" i="10"/>
  <c r="W32" i="10" s="1"/>
  <c r="W45" i="10" s="1"/>
  <c r="X35" i="10"/>
  <c r="X32" i="10" s="1"/>
  <c r="Y35" i="10"/>
  <c r="Z35" i="10"/>
  <c r="AA35" i="10"/>
  <c r="AA32" i="10" s="1"/>
  <c r="I33" i="10"/>
  <c r="J33" i="10"/>
  <c r="K33" i="10"/>
  <c r="L33" i="10"/>
  <c r="I34" i="10"/>
  <c r="J34" i="10"/>
  <c r="K34" i="10"/>
  <c r="L34" i="10"/>
  <c r="M34" i="10"/>
  <c r="K35" i="10"/>
  <c r="L35" i="10"/>
  <c r="L32" i="10" s="1"/>
  <c r="L45" i="10" s="1"/>
  <c r="M35" i="10"/>
  <c r="H35" i="10"/>
  <c r="H34" i="10"/>
  <c r="H33" i="10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AA3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H4" i="12"/>
  <c r="H5" i="12"/>
  <c r="H6" i="12"/>
  <c r="H3" i="12"/>
  <c r="A2" i="12"/>
  <c r="A1" i="12"/>
  <c r="F27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H21" i="10"/>
  <c r="F22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N13" i="10"/>
  <c r="O13" i="10"/>
  <c r="T14" i="10" s="1"/>
  <c r="P13" i="10"/>
  <c r="Q13" i="10"/>
  <c r="R13" i="10"/>
  <c r="S13" i="10"/>
  <c r="T13" i="10"/>
  <c r="U13" i="10"/>
  <c r="W14" i="10" s="1"/>
  <c r="V13" i="10"/>
  <c r="W13" i="10"/>
  <c r="X13" i="10"/>
  <c r="Y13" i="10"/>
  <c r="Z13" i="10"/>
  <c r="AA13" i="10"/>
  <c r="N14" i="10"/>
  <c r="N15" i="10" s="1"/>
  <c r="S14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I11" i="10"/>
  <c r="J11" i="10"/>
  <c r="K11" i="10"/>
  <c r="L11" i="10"/>
  <c r="M11" i="10"/>
  <c r="I12" i="10"/>
  <c r="J12" i="10"/>
  <c r="K12" i="10"/>
  <c r="L12" i="10"/>
  <c r="M12" i="10"/>
  <c r="I13" i="10"/>
  <c r="J14" i="10" s="1"/>
  <c r="J13" i="10"/>
  <c r="K14" i="10" s="1"/>
  <c r="K13" i="10"/>
  <c r="L13" i="10"/>
  <c r="M13" i="10"/>
  <c r="I14" i="10"/>
  <c r="I15" i="10" s="1"/>
  <c r="I17" i="10"/>
  <c r="J17" i="10"/>
  <c r="K17" i="10"/>
  <c r="L17" i="10"/>
  <c r="M17" i="10"/>
  <c r="H17" i="10"/>
  <c r="H13" i="10"/>
  <c r="H14" i="10" s="1"/>
  <c r="H15" i="10" s="1"/>
  <c r="H12" i="10"/>
  <c r="H11" i="10"/>
  <c r="R3" i="10"/>
  <c r="S3" i="10"/>
  <c r="T3" i="10"/>
  <c r="U3" i="10"/>
  <c r="V3" i="10"/>
  <c r="W3" i="10"/>
  <c r="X3" i="10"/>
  <c r="Y3" i="10"/>
  <c r="Z3" i="10"/>
  <c r="AA3" i="10"/>
  <c r="R4" i="10"/>
  <c r="S4" i="10"/>
  <c r="T4" i="10"/>
  <c r="U4" i="10"/>
  <c r="V4" i="10"/>
  <c r="W4" i="10"/>
  <c r="X4" i="10"/>
  <c r="Y4" i="10"/>
  <c r="Z4" i="10"/>
  <c r="AA4" i="10"/>
  <c r="R5" i="10"/>
  <c r="S5" i="10"/>
  <c r="T5" i="10"/>
  <c r="U5" i="10"/>
  <c r="V5" i="10"/>
  <c r="W5" i="10"/>
  <c r="X5" i="10"/>
  <c r="Y5" i="10"/>
  <c r="Z5" i="10"/>
  <c r="AA5" i="10"/>
  <c r="R6" i="10"/>
  <c r="S6" i="10"/>
  <c r="T6" i="10"/>
  <c r="U6" i="10"/>
  <c r="V6" i="10"/>
  <c r="W6" i="10"/>
  <c r="X6" i="10"/>
  <c r="Y6" i="10"/>
  <c r="Z6" i="10"/>
  <c r="AA6" i="10"/>
  <c r="I3" i="10"/>
  <c r="J3" i="10"/>
  <c r="K3" i="10"/>
  <c r="L3" i="10"/>
  <c r="M3" i="10"/>
  <c r="N3" i="10"/>
  <c r="O3" i="10"/>
  <c r="P3" i="10"/>
  <c r="Q3" i="10"/>
  <c r="I4" i="10"/>
  <c r="J4" i="10"/>
  <c r="K4" i="10"/>
  <c r="L4" i="10"/>
  <c r="M4" i="10"/>
  <c r="N4" i="10"/>
  <c r="O4" i="10"/>
  <c r="P4" i="10"/>
  <c r="Q4" i="10"/>
  <c r="I5" i="10"/>
  <c r="J5" i="10"/>
  <c r="K5" i="10"/>
  <c r="L5" i="10"/>
  <c r="M5" i="10"/>
  <c r="N5" i="10"/>
  <c r="O5" i="10"/>
  <c r="P5" i="10"/>
  <c r="Q5" i="10"/>
  <c r="I6" i="10"/>
  <c r="J6" i="10"/>
  <c r="K6" i="10"/>
  <c r="L6" i="10"/>
  <c r="M6" i="10"/>
  <c r="N6" i="10"/>
  <c r="O6" i="10"/>
  <c r="P6" i="10"/>
  <c r="Q6" i="10"/>
  <c r="H4" i="10"/>
  <c r="H5" i="10"/>
  <c r="H6" i="10"/>
  <c r="H3" i="10"/>
  <c r="F13" i="10"/>
  <c r="F12" i="10"/>
  <c r="F11" i="10"/>
  <c r="L503" i="8"/>
  <c r="K503" i="8"/>
  <c r="J503" i="8"/>
  <c r="I503" i="8"/>
  <c r="H503" i="8"/>
  <c r="H500" i="8"/>
  <c r="F503" i="8"/>
  <c r="H485" i="8"/>
  <c r="H469" i="8"/>
  <c r="L464" i="8"/>
  <c r="K464" i="8"/>
  <c r="J464" i="8"/>
  <c r="I464" i="8"/>
  <c r="H464" i="8"/>
  <c r="H461" i="8"/>
  <c r="H453" i="8"/>
  <c r="F464" i="8"/>
  <c r="L443" i="8"/>
  <c r="K443" i="8"/>
  <c r="J443" i="8"/>
  <c r="I443" i="8"/>
  <c r="H443" i="8"/>
  <c r="H440" i="8"/>
  <c r="F443" i="8"/>
  <c r="H425" i="8"/>
  <c r="H409" i="8"/>
  <c r="F404" i="8"/>
  <c r="I386" i="8"/>
  <c r="I387" i="8"/>
  <c r="I385" i="8"/>
  <c r="H386" i="8"/>
  <c r="H387" i="8"/>
  <c r="H385" i="8"/>
  <c r="G386" i="8"/>
  <c r="G387" i="8"/>
  <c r="G385" i="8"/>
  <c r="K385" i="8" s="1"/>
  <c r="F386" i="8"/>
  <c r="F387" i="8"/>
  <c r="F385" i="8"/>
  <c r="J385" i="8" s="1"/>
  <c r="E386" i="8"/>
  <c r="E387" i="8"/>
  <c r="E385" i="8"/>
  <c r="F378" i="8"/>
  <c r="F376" i="8"/>
  <c r="H370" i="8"/>
  <c r="F371" i="8"/>
  <c r="L6" i="11"/>
  <c r="K6" i="11"/>
  <c r="J6" i="11"/>
  <c r="I6" i="11"/>
  <c r="H6" i="11"/>
  <c r="L5" i="11"/>
  <c r="L47" i="11" s="1"/>
  <c r="K5" i="11"/>
  <c r="K47" i="11" s="1"/>
  <c r="J5" i="11"/>
  <c r="J48" i="11" s="1"/>
  <c r="I5" i="11"/>
  <c r="I47" i="11" s="1"/>
  <c r="H5" i="11"/>
  <c r="H48" i="11" s="1"/>
  <c r="L4" i="11"/>
  <c r="K4" i="11"/>
  <c r="J4" i="11"/>
  <c r="I4" i="11"/>
  <c r="H4" i="11"/>
  <c r="L3" i="11"/>
  <c r="K3" i="11"/>
  <c r="J3" i="11"/>
  <c r="I3" i="11"/>
  <c r="H3" i="11"/>
  <c r="A2" i="11"/>
  <c r="A1" i="11"/>
  <c r="F361" i="8"/>
  <c r="F356" i="8"/>
  <c r="F355" i="8"/>
  <c r="F351" i="8"/>
  <c r="G332" i="8"/>
  <c r="H328" i="8" s="1"/>
  <c r="A2" i="10"/>
  <c r="A1" i="10"/>
  <c r="I3" i="6"/>
  <c r="J3" i="6"/>
  <c r="K3" i="6"/>
  <c r="L3" i="6"/>
  <c r="I4" i="6"/>
  <c r="J4" i="6"/>
  <c r="K4" i="6"/>
  <c r="L4" i="6"/>
  <c r="I5" i="6"/>
  <c r="J5" i="6"/>
  <c r="K5" i="6"/>
  <c r="L5" i="6"/>
  <c r="I6" i="6"/>
  <c r="J6" i="6"/>
  <c r="K6" i="6"/>
  <c r="L6" i="6"/>
  <c r="H4" i="6"/>
  <c r="H5" i="6"/>
  <c r="H6" i="6"/>
  <c r="H3" i="6"/>
  <c r="H322" i="8"/>
  <c r="G323" i="8"/>
  <c r="F323" i="8"/>
  <c r="F302" i="8"/>
  <c r="F303" i="8"/>
  <c r="F304" i="8"/>
  <c r="F305" i="8"/>
  <c r="F301" i="8"/>
  <c r="H293" i="8"/>
  <c r="F282" i="8"/>
  <c r="F283" i="8"/>
  <c r="F284" i="8"/>
  <c r="F285" i="8"/>
  <c r="F281" i="8"/>
  <c r="C276" i="8"/>
  <c r="C273" i="8"/>
  <c r="C274" i="8"/>
  <c r="C275" i="8"/>
  <c r="C272" i="8"/>
  <c r="F273" i="8"/>
  <c r="K273" i="8" s="1"/>
  <c r="F274" i="8"/>
  <c r="F275" i="8"/>
  <c r="F276" i="8"/>
  <c r="F272" i="8"/>
  <c r="H246" i="8"/>
  <c r="H247" i="8"/>
  <c r="H248" i="8"/>
  <c r="H282" i="8" s="1"/>
  <c r="H249" i="8"/>
  <c r="H232" i="8"/>
  <c r="I210" i="8"/>
  <c r="I232" i="8" s="1"/>
  <c r="J210" i="8" s="1"/>
  <c r="H211" i="8"/>
  <c r="H233" i="8" s="1"/>
  <c r="I211" i="8" s="1"/>
  <c r="I233" i="8" s="1"/>
  <c r="J211" i="8" s="1"/>
  <c r="J233" i="8" s="1"/>
  <c r="K211" i="8" s="1"/>
  <c r="K233" i="8" s="1"/>
  <c r="L211" i="8" s="1"/>
  <c r="L233" i="8" s="1"/>
  <c r="H212" i="8"/>
  <c r="H213" i="8"/>
  <c r="H214" i="8"/>
  <c r="H215" i="8"/>
  <c r="H216" i="8"/>
  <c r="H210" i="8"/>
  <c r="I191" i="8"/>
  <c r="J191" i="8"/>
  <c r="K191" i="8"/>
  <c r="L191" i="8"/>
  <c r="H191" i="8"/>
  <c r="H295" i="8" s="1"/>
  <c r="I189" i="8"/>
  <c r="J189" i="8"/>
  <c r="K189" i="8"/>
  <c r="L189" i="8"/>
  <c r="H189" i="8"/>
  <c r="L187" i="8"/>
  <c r="I187" i="8"/>
  <c r="J187" i="8"/>
  <c r="K187" i="8"/>
  <c r="H187" i="8"/>
  <c r="H198" i="8" s="1"/>
  <c r="I176" i="8" s="1"/>
  <c r="I186" i="8"/>
  <c r="J186" i="8"/>
  <c r="K186" i="8"/>
  <c r="L186" i="8"/>
  <c r="H186" i="8"/>
  <c r="H176" i="8"/>
  <c r="H142" i="8" s="1"/>
  <c r="H177" i="8"/>
  <c r="H178" i="8"/>
  <c r="H200" i="8" s="1"/>
  <c r="I178" i="8" s="1"/>
  <c r="I200" i="8" s="1"/>
  <c r="J178" i="8" s="1"/>
  <c r="J200" i="8" s="1"/>
  <c r="K178" i="8" s="1"/>
  <c r="K200" i="8" s="1"/>
  <c r="L178" i="8" s="1"/>
  <c r="L200" i="8" s="1"/>
  <c r="H179" i="8"/>
  <c r="H180" i="8"/>
  <c r="H250" i="8" s="1"/>
  <c r="H284" i="8" s="1"/>
  <c r="H181" i="8"/>
  <c r="H175" i="8"/>
  <c r="H245" i="8" s="1"/>
  <c r="C159" i="8"/>
  <c r="I141" i="8"/>
  <c r="J141" i="8"/>
  <c r="K141" i="8"/>
  <c r="L141" i="8"/>
  <c r="H141" i="8"/>
  <c r="I136" i="8"/>
  <c r="J136" i="8"/>
  <c r="K136" i="8"/>
  <c r="L136" i="8"/>
  <c r="H136" i="8"/>
  <c r="I124" i="8"/>
  <c r="J124" i="8"/>
  <c r="K124" i="8"/>
  <c r="L124" i="8"/>
  <c r="H124" i="8"/>
  <c r="I111" i="8"/>
  <c r="J111" i="8"/>
  <c r="K111" i="8"/>
  <c r="L111" i="8"/>
  <c r="H111" i="8"/>
  <c r="I96" i="8"/>
  <c r="J96" i="8"/>
  <c r="K96" i="8"/>
  <c r="L96" i="8"/>
  <c r="H96" i="8"/>
  <c r="I92" i="8"/>
  <c r="J92" i="8"/>
  <c r="K92" i="8"/>
  <c r="L92" i="8"/>
  <c r="H92" i="8"/>
  <c r="H86" i="8"/>
  <c r="H78" i="8"/>
  <c r="H53" i="8"/>
  <c r="I53" i="8"/>
  <c r="J53" i="8"/>
  <c r="K53" i="8"/>
  <c r="L53" i="8"/>
  <c r="H54" i="8"/>
  <c r="I54" i="8"/>
  <c r="J54" i="8"/>
  <c r="K54" i="8"/>
  <c r="L54" i="8"/>
  <c r="H55" i="8"/>
  <c r="I55" i="8"/>
  <c r="J55" i="8"/>
  <c r="K55" i="8"/>
  <c r="L55" i="8"/>
  <c r="H56" i="8"/>
  <c r="I56" i="8"/>
  <c r="J56" i="8"/>
  <c r="K56" i="8"/>
  <c r="L56" i="8"/>
  <c r="H57" i="8"/>
  <c r="I57" i="8"/>
  <c r="J57" i="8"/>
  <c r="K57" i="8"/>
  <c r="L57" i="8"/>
  <c r="H58" i="8"/>
  <c r="I58" i="8"/>
  <c r="J58" i="8"/>
  <c r="K58" i="8"/>
  <c r="L58" i="8"/>
  <c r="I52" i="8"/>
  <c r="J52" i="8"/>
  <c r="K52" i="8"/>
  <c r="L52" i="8"/>
  <c r="H52" i="8"/>
  <c r="I32" i="8"/>
  <c r="J32" i="8"/>
  <c r="K32" i="8"/>
  <c r="L32" i="8"/>
  <c r="I33" i="8"/>
  <c r="J33" i="8"/>
  <c r="K33" i="8"/>
  <c r="L33" i="8"/>
  <c r="I34" i="8"/>
  <c r="J34" i="8"/>
  <c r="K34" i="8"/>
  <c r="L34" i="8"/>
  <c r="I35" i="8"/>
  <c r="J35" i="8"/>
  <c r="K35" i="8"/>
  <c r="L35" i="8"/>
  <c r="I36" i="8"/>
  <c r="J36" i="8"/>
  <c r="K36" i="8"/>
  <c r="L36" i="8"/>
  <c r="I37" i="8"/>
  <c r="J37" i="8"/>
  <c r="K37" i="8"/>
  <c r="L37" i="8"/>
  <c r="I38" i="8"/>
  <c r="J38" i="8"/>
  <c r="K38" i="8"/>
  <c r="L38" i="8"/>
  <c r="H33" i="8"/>
  <c r="H34" i="8"/>
  <c r="H35" i="8"/>
  <c r="H36" i="8"/>
  <c r="H37" i="8"/>
  <c r="H38" i="8"/>
  <c r="H32" i="8"/>
  <c r="I25" i="8"/>
  <c r="J25" i="8"/>
  <c r="K25" i="8"/>
  <c r="L25" i="8"/>
  <c r="H25" i="8"/>
  <c r="I24" i="8"/>
  <c r="J24" i="8"/>
  <c r="K24" i="8"/>
  <c r="L24" i="8"/>
  <c r="H24" i="8"/>
  <c r="J137" i="2"/>
  <c r="K137" i="2" s="1"/>
  <c r="L137" i="2" s="1"/>
  <c r="I137" i="2"/>
  <c r="H137" i="2"/>
  <c r="I128" i="2"/>
  <c r="J128" i="2" s="1"/>
  <c r="K128" i="2" s="1"/>
  <c r="J95" i="2"/>
  <c r="K95" i="2" s="1"/>
  <c r="L95" i="2" s="1"/>
  <c r="I95" i="2"/>
  <c r="L84" i="2"/>
  <c r="J84" i="2"/>
  <c r="K84" i="2" s="1"/>
  <c r="I84" i="2"/>
  <c r="J79" i="2"/>
  <c r="K79" i="2" s="1"/>
  <c r="L79" i="2" s="1"/>
  <c r="I79" i="2"/>
  <c r="J70" i="2"/>
  <c r="K70" i="2" s="1"/>
  <c r="L70" i="2" s="1"/>
  <c r="I70" i="2"/>
  <c r="I66" i="2"/>
  <c r="J66" i="2" s="1"/>
  <c r="K66" i="2" s="1"/>
  <c r="L66" i="2" s="1"/>
  <c r="H66" i="2"/>
  <c r="J32" i="2"/>
  <c r="K32" i="2"/>
  <c r="L32" i="2" s="1"/>
  <c r="J33" i="2"/>
  <c r="K33" i="2" s="1"/>
  <c r="L33" i="2" s="1"/>
  <c r="J34" i="2"/>
  <c r="K34" i="2"/>
  <c r="L34" i="2" s="1"/>
  <c r="J35" i="2"/>
  <c r="K35" i="2"/>
  <c r="L35" i="2" s="1"/>
  <c r="J36" i="2"/>
  <c r="K36" i="2"/>
  <c r="L36" i="2" s="1"/>
  <c r="J37" i="2"/>
  <c r="K37" i="2" s="1"/>
  <c r="L37" i="2" s="1"/>
  <c r="J38" i="2"/>
  <c r="K38" i="2"/>
  <c r="L38" i="2"/>
  <c r="I33" i="2"/>
  <c r="I34" i="2"/>
  <c r="I35" i="2"/>
  <c r="I36" i="2"/>
  <c r="I37" i="2"/>
  <c r="I38" i="2"/>
  <c r="I32" i="2"/>
  <c r="J18" i="2"/>
  <c r="K18" i="2" s="1"/>
  <c r="L18" i="2" s="1"/>
  <c r="I18" i="2"/>
  <c r="L19" i="2"/>
  <c r="J19" i="2"/>
  <c r="K19" i="2"/>
  <c r="I19" i="2"/>
  <c r="I20" i="2"/>
  <c r="J20" i="2"/>
  <c r="K20" i="2"/>
  <c r="L20" i="2"/>
  <c r="H20" i="2"/>
  <c r="I3" i="2"/>
  <c r="J3" i="2"/>
  <c r="K3" i="2"/>
  <c r="L3" i="2"/>
  <c r="H3" i="2"/>
  <c r="D41" i="2" a="1"/>
  <c r="D47" i="2" s="1"/>
  <c r="D32" i="2" a="1"/>
  <c r="D38" i="2" s="1"/>
  <c r="D23" i="2" a="1"/>
  <c r="D29" i="2" s="1"/>
  <c r="I3" i="8"/>
  <c r="J3" i="8"/>
  <c r="K3" i="8"/>
  <c r="L3" i="8"/>
  <c r="H3" i="8"/>
  <c r="F10" i="8"/>
  <c r="A2" i="8"/>
  <c r="A1" i="8"/>
  <c r="A2" i="6"/>
  <c r="A1" i="6"/>
  <c r="I3" i="4"/>
  <c r="J3" i="4"/>
  <c r="K3" i="4"/>
  <c r="L3" i="4"/>
  <c r="H3" i="4"/>
  <c r="O28" i="4"/>
  <c r="P28" i="4"/>
  <c r="Q28" i="4"/>
  <c r="R28" i="4"/>
  <c r="S28" i="4" s="1"/>
  <c r="T28" i="4" s="1"/>
  <c r="U28" i="4" s="1"/>
  <c r="V28" i="4" s="1"/>
  <c r="W28" i="4" s="1"/>
  <c r="X28" i="4" s="1"/>
  <c r="Y28" i="4" s="1"/>
  <c r="Z28" i="4" s="1"/>
  <c r="AA28" i="4" s="1"/>
  <c r="J28" i="4"/>
  <c r="K28" i="4"/>
  <c r="L28" i="4" s="1"/>
  <c r="M28" i="4" s="1"/>
  <c r="N28" i="4" s="1"/>
  <c r="I28" i="4"/>
  <c r="F11" i="4"/>
  <c r="F13" i="4" s="1"/>
  <c r="F10" i="4"/>
  <c r="H29" i="4" s="1"/>
  <c r="H30" i="4" s="1"/>
  <c r="A2" i="4"/>
  <c r="A1" i="4"/>
  <c r="A2" i="2"/>
  <c r="A1" i="2"/>
  <c r="K81" i="14" l="1"/>
  <c r="I100" i="14"/>
  <c r="I81" i="14"/>
  <c r="I126" i="14" s="1"/>
  <c r="J81" i="14"/>
  <c r="J101" i="14" s="1"/>
  <c r="L100" i="14"/>
  <c r="L101" i="14"/>
  <c r="K101" i="14"/>
  <c r="H101" i="14"/>
  <c r="I101" i="14"/>
  <c r="K100" i="14"/>
  <c r="J100" i="14"/>
  <c r="L125" i="14"/>
  <c r="J125" i="14"/>
  <c r="J126" i="14"/>
  <c r="K126" i="14"/>
  <c r="L126" i="14"/>
  <c r="I125" i="14"/>
  <c r="H126" i="14"/>
  <c r="H125" i="14"/>
  <c r="K125" i="14"/>
  <c r="H57" i="10"/>
  <c r="I57" i="10" s="1"/>
  <c r="K19" i="11"/>
  <c r="K28" i="11" s="1"/>
  <c r="J26" i="11"/>
  <c r="I19" i="11"/>
  <c r="I28" i="11" s="1"/>
  <c r="J19" i="11"/>
  <c r="J28" i="11" s="1"/>
  <c r="L26" i="11"/>
  <c r="L28" i="11" s="1"/>
  <c r="J47" i="11"/>
  <c r="H47" i="11"/>
  <c r="I48" i="11"/>
  <c r="K60" i="11"/>
  <c r="H32" i="10"/>
  <c r="H45" i="10" s="1"/>
  <c r="F22" i="12"/>
  <c r="R45" i="10"/>
  <c r="Z45" i="10"/>
  <c r="O45" i="10"/>
  <c r="AA45" i="10"/>
  <c r="N45" i="10"/>
  <c r="U45" i="10"/>
  <c r="X45" i="10"/>
  <c r="T45" i="10"/>
  <c r="M33" i="10"/>
  <c r="F24" i="12"/>
  <c r="R77" i="10"/>
  <c r="F26" i="12"/>
  <c r="Q77" i="10"/>
  <c r="K32" i="10"/>
  <c r="K45" i="10" s="1"/>
  <c r="K84" i="10"/>
  <c r="O41" i="10"/>
  <c r="L41" i="10"/>
  <c r="K41" i="10"/>
  <c r="D33" i="2"/>
  <c r="D34" i="2"/>
  <c r="R14" i="10"/>
  <c r="Q14" i="10"/>
  <c r="P14" i="10"/>
  <c r="AA14" i="10"/>
  <c r="O14" i="10"/>
  <c r="O15" i="10" s="1"/>
  <c r="P15" i="10" s="1"/>
  <c r="Q15" i="10" s="1"/>
  <c r="R15" i="10" s="1"/>
  <c r="S15" i="10" s="1"/>
  <c r="T15" i="10" s="1"/>
  <c r="U15" i="10" s="1"/>
  <c r="V15" i="10" s="1"/>
  <c r="W15" i="10" s="1"/>
  <c r="X15" i="10" s="1"/>
  <c r="Y15" i="10" s="1"/>
  <c r="Z15" i="10" s="1"/>
  <c r="AA15" i="10" s="1"/>
  <c r="Z14" i="10"/>
  <c r="Y14" i="10"/>
  <c r="X14" i="10"/>
  <c r="V14" i="10"/>
  <c r="U14" i="10"/>
  <c r="J15" i="10"/>
  <c r="K15" i="10" s="1"/>
  <c r="M14" i="10"/>
  <c r="L14" i="10"/>
  <c r="I142" i="8"/>
  <c r="I198" i="8"/>
  <c r="H275" i="8"/>
  <c r="H226" i="8" s="1"/>
  <c r="H237" i="8" s="1"/>
  <c r="I215" i="8" s="1"/>
  <c r="K386" i="8"/>
  <c r="K387" i="8"/>
  <c r="H202" i="8"/>
  <c r="I180" i="8" s="1"/>
  <c r="I202" i="8" s="1"/>
  <c r="J180" i="8" s="1"/>
  <c r="J202" i="8" s="1"/>
  <c r="K180" i="8" s="1"/>
  <c r="K202" i="8" s="1"/>
  <c r="L180" i="8" s="1"/>
  <c r="L202" i="8" s="1"/>
  <c r="H197" i="8"/>
  <c r="I175" i="8" s="1"/>
  <c r="H251" i="8"/>
  <c r="J176" i="8"/>
  <c r="J246" i="8" s="1"/>
  <c r="I257" i="8"/>
  <c r="H304" i="8"/>
  <c r="H313" i="8" s="1"/>
  <c r="I295" i="8" s="1"/>
  <c r="I304" i="8" s="1"/>
  <c r="I313" i="8" s="1"/>
  <c r="J295" i="8" s="1"/>
  <c r="H257" i="8"/>
  <c r="H253" i="8"/>
  <c r="J275" i="8"/>
  <c r="I246" i="8"/>
  <c r="J387" i="8"/>
  <c r="K275" i="8"/>
  <c r="L275" i="8"/>
  <c r="H218" i="8"/>
  <c r="J386" i="8"/>
  <c r="J273" i="8"/>
  <c r="H273" i="8"/>
  <c r="H224" i="8" s="1"/>
  <c r="H235" i="8" s="1"/>
  <c r="H259" i="8" s="1"/>
  <c r="I273" i="8"/>
  <c r="L273" i="8"/>
  <c r="I275" i="8"/>
  <c r="D23" i="2"/>
  <c r="D25" i="2"/>
  <c r="D26" i="2"/>
  <c r="D32" i="2"/>
  <c r="H302" i="8"/>
  <c r="J232" i="8"/>
  <c r="K210" i="8" s="1"/>
  <c r="H183" i="8"/>
  <c r="L128" i="2"/>
  <c r="H31" i="4"/>
  <c r="I29" i="4"/>
  <c r="I30" i="4" s="1"/>
  <c r="H19" i="4"/>
  <c r="D35" i="2"/>
  <c r="D36" i="2"/>
  <c r="D24" i="2"/>
  <c r="D37" i="2"/>
  <c r="D27" i="2"/>
  <c r="D41" i="2"/>
  <c r="D28" i="2"/>
  <c r="D42" i="2"/>
  <c r="D43" i="2"/>
  <c r="D44" i="2"/>
  <c r="D45" i="2"/>
  <c r="D46" i="2"/>
  <c r="J57" i="10" l="1"/>
  <c r="L60" i="11"/>
  <c r="L84" i="10"/>
  <c r="P41" i="10"/>
  <c r="L15" i="10"/>
  <c r="M15" i="10" s="1"/>
  <c r="I213" i="8"/>
  <c r="I248" i="8" s="1"/>
  <c r="I282" i="8" s="1"/>
  <c r="I224" i="8" s="1"/>
  <c r="I235" i="8" s="1"/>
  <c r="I259" i="8" s="1"/>
  <c r="H256" i="8"/>
  <c r="J142" i="8"/>
  <c r="I245" i="8"/>
  <c r="I197" i="8"/>
  <c r="J198" i="8"/>
  <c r="H311" i="8"/>
  <c r="I293" i="8" s="1"/>
  <c r="J304" i="8"/>
  <c r="J313" i="8" s="1"/>
  <c r="K295" i="8" s="1"/>
  <c r="H261" i="8"/>
  <c r="I250" i="8"/>
  <c r="I284" i="8" s="1"/>
  <c r="I226" i="8" s="1"/>
  <c r="I237" i="8" s="1"/>
  <c r="K232" i="8"/>
  <c r="L210" i="8" s="1"/>
  <c r="H4" i="4"/>
  <c r="H20" i="4"/>
  <c r="I31" i="4"/>
  <c r="J29" i="4"/>
  <c r="J30" i="4" s="1"/>
  <c r="K57" i="10" l="1"/>
  <c r="M84" i="10"/>
  <c r="Q41" i="10"/>
  <c r="K176" i="8"/>
  <c r="J257" i="8"/>
  <c r="I256" i="8"/>
  <c r="J175" i="8"/>
  <c r="I302" i="8"/>
  <c r="I311" i="8" s="1"/>
  <c r="J293" i="8" s="1"/>
  <c r="K304" i="8"/>
  <c r="K313" i="8" s="1"/>
  <c r="L295" i="8" s="1"/>
  <c r="J213" i="8"/>
  <c r="J215" i="8"/>
  <c r="I261" i="8"/>
  <c r="L232" i="8"/>
  <c r="J31" i="4"/>
  <c r="K29" i="4"/>
  <c r="K30" i="4" s="1"/>
  <c r="H21" i="4"/>
  <c r="H6" i="4" s="1"/>
  <c r="I19" i="4"/>
  <c r="H5" i="4"/>
  <c r="H4" i="8"/>
  <c r="H4" i="2"/>
  <c r="L57" i="10" l="1"/>
  <c r="N84" i="10"/>
  <c r="R41" i="10"/>
  <c r="J302" i="8"/>
  <c r="J311" i="8" s="1"/>
  <c r="K293" i="8" s="1"/>
  <c r="H10" i="8"/>
  <c r="H11" i="8" s="1"/>
  <c r="J245" i="8"/>
  <c r="J197" i="8"/>
  <c r="K246" i="8"/>
  <c r="K198" i="8"/>
  <c r="K142" i="8"/>
  <c r="L304" i="8"/>
  <c r="L313" i="8" s="1"/>
  <c r="J248" i="8"/>
  <c r="J282" i="8" s="1"/>
  <c r="J224" i="8" s="1"/>
  <c r="J235" i="8" s="1"/>
  <c r="J250" i="8"/>
  <c r="J284" i="8" s="1"/>
  <c r="J226" i="8" s="1"/>
  <c r="J237" i="8" s="1"/>
  <c r="H5" i="2"/>
  <c r="H5" i="8"/>
  <c r="H323" i="8" s="1"/>
  <c r="H325" i="8" s="1"/>
  <c r="I322" i="8" s="1"/>
  <c r="I4" i="4"/>
  <c r="I20" i="4"/>
  <c r="H6" i="2"/>
  <c r="H6" i="8"/>
  <c r="L29" i="4"/>
  <c r="L30" i="4" s="1"/>
  <c r="K31" i="4"/>
  <c r="M57" i="10" l="1"/>
  <c r="O84" i="10"/>
  <c r="S41" i="10"/>
  <c r="K302" i="8"/>
  <c r="K311" i="8" s="1"/>
  <c r="L293" i="8" s="1"/>
  <c r="L176" i="8"/>
  <c r="K257" i="8"/>
  <c r="K175" i="8"/>
  <c r="J256" i="8"/>
  <c r="H14" i="8"/>
  <c r="H15" i="8"/>
  <c r="K213" i="8"/>
  <c r="K248" i="8" s="1"/>
  <c r="K282" i="8" s="1"/>
  <c r="K224" i="8" s="1"/>
  <c r="K235" i="8" s="1"/>
  <c r="J259" i="8"/>
  <c r="K215" i="8"/>
  <c r="J261" i="8"/>
  <c r="I5" i="4"/>
  <c r="J19" i="4"/>
  <c r="I21" i="4"/>
  <c r="I6" i="4" s="1"/>
  <c r="I4" i="2"/>
  <c r="I4" i="8"/>
  <c r="M29" i="4"/>
  <c r="M30" i="4" s="1"/>
  <c r="L31" i="4"/>
  <c r="H12" i="8"/>
  <c r="H17" i="8"/>
  <c r="H18" i="8"/>
  <c r="H27" i="8" s="1"/>
  <c r="N57" i="10" l="1"/>
  <c r="P84" i="10"/>
  <c r="T41" i="10"/>
  <c r="L302" i="8"/>
  <c r="L311" i="8" s="1"/>
  <c r="H43" i="8"/>
  <c r="H63" i="8" s="1"/>
  <c r="H48" i="8"/>
  <c r="H68" i="8" s="1"/>
  <c r="H44" i="8"/>
  <c r="H64" i="8" s="1"/>
  <c r="H47" i="8"/>
  <c r="H67" i="8" s="1"/>
  <c r="H46" i="8"/>
  <c r="H66" i="8" s="1"/>
  <c r="H42" i="8"/>
  <c r="H62" i="8" s="1"/>
  <c r="H45" i="8"/>
  <c r="H65" i="8" s="1"/>
  <c r="I10" i="8"/>
  <c r="I11" i="8" s="1"/>
  <c r="H79" i="8"/>
  <c r="H81" i="8" s="1"/>
  <c r="H87" i="8"/>
  <c r="H89" i="8" s="1"/>
  <c r="H160" i="8"/>
  <c r="H105" i="8"/>
  <c r="H108" i="8" s="1"/>
  <c r="H129" i="8"/>
  <c r="H130" i="8" s="1"/>
  <c r="H133" i="8" s="1"/>
  <c r="H76" i="8"/>
  <c r="H84" i="8"/>
  <c r="H163" i="8"/>
  <c r="H147" i="8"/>
  <c r="H192" i="8"/>
  <c r="H119" i="8"/>
  <c r="H188" i="8"/>
  <c r="H132" i="8"/>
  <c r="H107" i="8"/>
  <c r="H144" i="8"/>
  <c r="H190" i="8"/>
  <c r="K245" i="8"/>
  <c r="K197" i="8"/>
  <c r="H376" i="8"/>
  <c r="L246" i="8"/>
  <c r="L198" i="8"/>
  <c r="L257" i="8" s="1"/>
  <c r="L142" i="8"/>
  <c r="L213" i="8"/>
  <c r="K259" i="8"/>
  <c r="K250" i="8"/>
  <c r="K284" i="8" s="1"/>
  <c r="K226" i="8" s="1"/>
  <c r="K237" i="8" s="1"/>
  <c r="M31" i="4"/>
  <c r="N29" i="4"/>
  <c r="N30" i="4" s="1"/>
  <c r="J20" i="4"/>
  <c r="J4" i="4"/>
  <c r="I5" i="8"/>
  <c r="I323" i="8" s="1"/>
  <c r="I325" i="8" s="1"/>
  <c r="J322" i="8" s="1"/>
  <c r="I5" i="2"/>
  <c r="I6" i="2"/>
  <c r="I6" i="8"/>
  <c r="O57" i="10" l="1"/>
  <c r="Q84" i="10"/>
  <c r="U41" i="10"/>
  <c r="H110" i="8"/>
  <c r="H113" i="8" s="1"/>
  <c r="H203" i="8"/>
  <c r="H296" i="8"/>
  <c r="H285" i="8"/>
  <c r="H276" i="8"/>
  <c r="H227" i="8" s="1"/>
  <c r="H238" i="8" s="1"/>
  <c r="I216" i="8" s="1"/>
  <c r="H343" i="8"/>
  <c r="H152" i="8"/>
  <c r="H149" i="8"/>
  <c r="H70" i="8"/>
  <c r="H340" i="8"/>
  <c r="L175" i="8"/>
  <c r="K256" i="8"/>
  <c r="H153" i="8"/>
  <c r="H344" i="8"/>
  <c r="H345" i="8"/>
  <c r="H154" i="8"/>
  <c r="H201" i="8"/>
  <c r="H294" i="8"/>
  <c r="H274" i="8"/>
  <c r="H283" i="8"/>
  <c r="H342" i="8"/>
  <c r="H151" i="8"/>
  <c r="H346" i="8"/>
  <c r="H155" i="8"/>
  <c r="H341" i="8"/>
  <c r="H150" i="8"/>
  <c r="H135" i="8"/>
  <c r="H138" i="8" s="1"/>
  <c r="H32" i="11" s="1"/>
  <c r="I15" i="8"/>
  <c r="I14" i="8"/>
  <c r="H199" i="8"/>
  <c r="H292" i="8"/>
  <c r="H281" i="8"/>
  <c r="H272" i="8"/>
  <c r="H194" i="8"/>
  <c r="H99" i="8"/>
  <c r="H355" i="8" s="1"/>
  <c r="L215" i="8"/>
  <c r="K261" i="8"/>
  <c r="L248" i="8"/>
  <c r="L282" i="8" s="1"/>
  <c r="L224" i="8" s="1"/>
  <c r="L235" i="8" s="1"/>
  <c r="L259" i="8" s="1"/>
  <c r="I17" i="8"/>
  <c r="I18" i="8"/>
  <c r="I27" i="8" s="1"/>
  <c r="I12" i="8"/>
  <c r="O29" i="4"/>
  <c r="O30" i="4" s="1"/>
  <c r="N31" i="4"/>
  <c r="J4" i="2"/>
  <c r="J4" i="8"/>
  <c r="J5" i="4"/>
  <c r="K19" i="4"/>
  <c r="J21" i="4"/>
  <c r="J6" i="4" s="1"/>
  <c r="P57" i="10" l="1"/>
  <c r="R84" i="10"/>
  <c r="V41" i="10"/>
  <c r="H157" i="8"/>
  <c r="H287" i="8"/>
  <c r="I179" i="8"/>
  <c r="I43" i="8"/>
  <c r="I63" i="8" s="1"/>
  <c r="I46" i="8"/>
  <c r="I66" i="8" s="1"/>
  <c r="I42" i="8"/>
  <c r="I62" i="8" s="1"/>
  <c r="I48" i="8"/>
  <c r="I68" i="8" s="1"/>
  <c r="I47" i="8"/>
  <c r="I67" i="8" s="1"/>
  <c r="I44" i="8"/>
  <c r="I64" i="8" s="1"/>
  <c r="I45" i="8"/>
  <c r="I65" i="8" s="1"/>
  <c r="I177" i="8"/>
  <c r="H205" i="8"/>
  <c r="H225" i="8"/>
  <c r="H236" i="8" s="1"/>
  <c r="I214" i="8" s="1"/>
  <c r="L197" i="8"/>
  <c r="L256" i="8" s="1"/>
  <c r="L245" i="8"/>
  <c r="I76" i="8"/>
  <c r="I79" i="8" s="1"/>
  <c r="I84" i="8"/>
  <c r="I87" i="8" s="1"/>
  <c r="H301" i="8"/>
  <c r="H310" i="8" s="1"/>
  <c r="H298" i="8"/>
  <c r="I132" i="8"/>
  <c r="I163" i="8"/>
  <c r="I147" i="8"/>
  <c r="I190" i="8"/>
  <c r="I119" i="8"/>
  <c r="I107" i="8"/>
  <c r="I144" i="8"/>
  <c r="I129" i="8"/>
  <c r="I130" i="8" s="1"/>
  <c r="I133" i="8" s="1"/>
  <c r="I105" i="8"/>
  <c r="I108" i="8" s="1"/>
  <c r="I160" i="8"/>
  <c r="H348" i="8"/>
  <c r="H223" i="8"/>
  <c r="H278" i="8"/>
  <c r="H303" i="8"/>
  <c r="H312" i="8"/>
  <c r="I294" i="8" s="1"/>
  <c r="H164" i="8"/>
  <c r="H166" i="8" s="1"/>
  <c r="H116" i="8"/>
  <c r="H117" i="8" s="1"/>
  <c r="H120" i="8" s="1"/>
  <c r="H351" i="8"/>
  <c r="H361" i="8" s="1"/>
  <c r="H305" i="8"/>
  <c r="H314" i="8" s="1"/>
  <c r="J10" i="8"/>
  <c r="J11" i="8" s="1"/>
  <c r="H262" i="8"/>
  <c r="I181" i="8"/>
  <c r="L250" i="8"/>
  <c r="L284" i="8" s="1"/>
  <c r="L226" i="8" s="1"/>
  <c r="L237" i="8" s="1"/>
  <c r="L261" i="8" s="1"/>
  <c r="J5" i="8"/>
  <c r="J5" i="2"/>
  <c r="J6" i="8"/>
  <c r="J6" i="2"/>
  <c r="K20" i="4"/>
  <c r="K4" i="4"/>
  <c r="P29" i="4"/>
  <c r="P30" i="4" s="1"/>
  <c r="O31" i="4"/>
  <c r="Q57" i="10" l="1"/>
  <c r="S84" i="10"/>
  <c r="W41" i="10"/>
  <c r="I110" i="8"/>
  <c r="I113" i="8" s="1"/>
  <c r="I135" i="8"/>
  <c r="I138" i="8" s="1"/>
  <c r="I32" i="11" s="1"/>
  <c r="I81" i="8"/>
  <c r="I155" i="8"/>
  <c r="I346" i="8"/>
  <c r="H234" i="8"/>
  <c r="H229" i="8"/>
  <c r="H42" i="11" s="1"/>
  <c r="H108" i="14" s="1"/>
  <c r="H122" i="8"/>
  <c r="H126" i="8" s="1"/>
  <c r="I152" i="8"/>
  <c r="I343" i="8"/>
  <c r="I153" i="8"/>
  <c r="I344" i="8"/>
  <c r="H260" i="8"/>
  <c r="I89" i="8"/>
  <c r="I99" i="8" s="1"/>
  <c r="I355" i="8" s="1"/>
  <c r="I251" i="8"/>
  <c r="I201" i="8"/>
  <c r="I249" i="8"/>
  <c r="I283" i="8" s="1"/>
  <c r="H316" i="8"/>
  <c r="I303" i="8"/>
  <c r="I312" i="8" s="1"/>
  <c r="I274" i="8"/>
  <c r="I341" i="8"/>
  <c r="I150" i="8"/>
  <c r="J14" i="8"/>
  <c r="J15" i="8"/>
  <c r="I342" i="8"/>
  <c r="I151" i="8"/>
  <c r="I345" i="8"/>
  <c r="I154" i="8"/>
  <c r="I149" i="8"/>
  <c r="I157" i="8" s="1"/>
  <c r="I70" i="8"/>
  <c r="I340" i="8"/>
  <c r="J323" i="8"/>
  <c r="J325" i="8" s="1"/>
  <c r="K322" i="8" s="1"/>
  <c r="H307" i="8"/>
  <c r="I188" i="8"/>
  <c r="I199" i="8"/>
  <c r="I183" i="8"/>
  <c r="L19" i="4"/>
  <c r="K5" i="4"/>
  <c r="K21" i="4"/>
  <c r="K6" i="4" s="1"/>
  <c r="Q29" i="4"/>
  <c r="Q30" i="4" s="1"/>
  <c r="P31" i="4"/>
  <c r="K4" i="2"/>
  <c r="K4" i="8"/>
  <c r="J18" i="8"/>
  <c r="J27" i="8" s="1"/>
  <c r="J17" i="8"/>
  <c r="J12" i="8"/>
  <c r="H392" i="8" l="1"/>
  <c r="H452" i="8" s="1"/>
  <c r="H479" i="8" s="1"/>
  <c r="H86" i="14"/>
  <c r="H168" i="8"/>
  <c r="H356" i="8" s="1"/>
  <c r="H358" i="8" s="1"/>
  <c r="H88" i="11" s="1"/>
  <c r="H91" i="11" s="1"/>
  <c r="H103" i="11" s="1"/>
  <c r="H31" i="11"/>
  <c r="H38" i="11" s="1"/>
  <c r="H40" i="11" s="1"/>
  <c r="H44" i="11" s="1"/>
  <c r="H451" i="8" s="1"/>
  <c r="R57" i="10"/>
  <c r="T84" i="10"/>
  <c r="X41" i="10"/>
  <c r="I272" i="8"/>
  <c r="J129" i="8"/>
  <c r="J130" i="8" s="1"/>
  <c r="J133" i="8" s="1"/>
  <c r="J105" i="8"/>
  <c r="J108" i="8" s="1"/>
  <c r="J76" i="8"/>
  <c r="J79" i="8" s="1"/>
  <c r="J84" i="8"/>
  <c r="J87" i="8" s="1"/>
  <c r="I292" i="8"/>
  <c r="I192" i="8"/>
  <c r="I194" i="8" s="1"/>
  <c r="I107" i="11" s="1"/>
  <c r="I114" i="14" s="1"/>
  <c r="J177" i="8"/>
  <c r="J188" i="8" s="1"/>
  <c r="H240" i="8"/>
  <c r="H76" i="11" s="1"/>
  <c r="I212" i="8"/>
  <c r="H258" i="8"/>
  <c r="H264" i="8" s="1"/>
  <c r="I225" i="8"/>
  <c r="I236" i="8" s="1"/>
  <c r="J214" i="8" s="1"/>
  <c r="J163" i="8"/>
  <c r="J147" i="8"/>
  <c r="J119" i="8"/>
  <c r="J107" i="8"/>
  <c r="J132" i="8"/>
  <c r="J190" i="8"/>
  <c r="J144" i="8"/>
  <c r="J44" i="8"/>
  <c r="J64" i="8" s="1"/>
  <c r="J42" i="8"/>
  <c r="J62" i="8" s="1"/>
  <c r="J43" i="8"/>
  <c r="J63" i="8" s="1"/>
  <c r="J46" i="8"/>
  <c r="J66" i="8" s="1"/>
  <c r="J47" i="8"/>
  <c r="J67" i="8" s="1"/>
  <c r="J48" i="8"/>
  <c r="J68" i="8" s="1"/>
  <c r="J45" i="8"/>
  <c r="J65" i="8" s="1"/>
  <c r="I348" i="8"/>
  <c r="J179" i="8"/>
  <c r="K10" i="8"/>
  <c r="K11" i="8" s="1"/>
  <c r="I164" i="8"/>
  <c r="I166" i="8" s="1"/>
  <c r="I116" i="8"/>
  <c r="I117" i="8" s="1"/>
  <c r="I351" i="8"/>
  <c r="I361" i="8" s="1"/>
  <c r="J160" i="8"/>
  <c r="R29" i="4"/>
  <c r="R30" i="4" s="1"/>
  <c r="Q31" i="4"/>
  <c r="K6" i="8"/>
  <c r="K6" i="2"/>
  <c r="K5" i="8"/>
  <c r="K5" i="2"/>
  <c r="L20" i="4"/>
  <c r="L4" i="4"/>
  <c r="H419" i="8" l="1"/>
  <c r="I109" i="11"/>
  <c r="I91" i="14"/>
  <c r="H455" i="8"/>
  <c r="H457" i="8" s="1"/>
  <c r="H462" i="8" s="1"/>
  <c r="S57" i="10"/>
  <c r="I31" i="10"/>
  <c r="I37" i="10" s="1"/>
  <c r="I51" i="10" s="1"/>
  <c r="H101" i="11"/>
  <c r="H105" i="11" s="1"/>
  <c r="H31" i="10"/>
  <c r="J31" i="10"/>
  <c r="J37" i="10" s="1"/>
  <c r="J51" i="10" s="1"/>
  <c r="K31" i="10"/>
  <c r="K37" i="10" s="1"/>
  <c r="K51" i="10" s="1"/>
  <c r="H78" i="11"/>
  <c r="H478" i="8"/>
  <c r="H481" i="8" s="1"/>
  <c r="H484" i="8" s="1"/>
  <c r="U84" i="10"/>
  <c r="Y41" i="10"/>
  <c r="I120" i="8"/>
  <c r="J272" i="8"/>
  <c r="J89" i="8"/>
  <c r="J340" i="8"/>
  <c r="J149" i="8"/>
  <c r="J157" i="8" s="1"/>
  <c r="J70" i="8"/>
  <c r="J135" i="8"/>
  <c r="J138" i="8" s="1"/>
  <c r="J32" i="11" s="1"/>
  <c r="J344" i="8"/>
  <c r="J153" i="8"/>
  <c r="K14" i="8"/>
  <c r="K15" i="8"/>
  <c r="K160" i="8" s="1"/>
  <c r="J343" i="8"/>
  <c r="J152" i="8"/>
  <c r="I276" i="8"/>
  <c r="I296" i="8"/>
  <c r="I298" i="8" s="1"/>
  <c r="I203" i="8"/>
  <c r="J81" i="8"/>
  <c r="I218" i="8"/>
  <c r="I247" i="8"/>
  <c r="K323" i="8"/>
  <c r="K325" i="8" s="1"/>
  <c r="L322" i="8" s="1"/>
  <c r="J201" i="8"/>
  <c r="J274" i="8"/>
  <c r="J249" i="8"/>
  <c r="J283" i="8" s="1"/>
  <c r="J110" i="8"/>
  <c r="J113" i="8" s="1"/>
  <c r="J346" i="8"/>
  <c r="J155" i="8"/>
  <c r="I285" i="8"/>
  <c r="J341" i="8"/>
  <c r="J150" i="8"/>
  <c r="J342" i="8"/>
  <c r="J151" i="8"/>
  <c r="I260" i="8"/>
  <c r="J199" i="8"/>
  <c r="K177" i="8" s="1"/>
  <c r="J345" i="8"/>
  <c r="J154" i="8"/>
  <c r="I301" i="8"/>
  <c r="I310" i="8"/>
  <c r="J292" i="8" s="1"/>
  <c r="J294" i="8"/>
  <c r="J303" i="8" s="1"/>
  <c r="J312" i="8" s="1"/>
  <c r="L21" i="4"/>
  <c r="L6" i="4" s="1"/>
  <c r="L5" i="4"/>
  <c r="K12" i="8"/>
  <c r="L4" i="2"/>
  <c r="L4" i="8"/>
  <c r="K18" i="8"/>
  <c r="K27" i="8" s="1"/>
  <c r="K17" i="8"/>
  <c r="S29" i="4"/>
  <c r="S30" i="4" s="1"/>
  <c r="R31" i="4"/>
  <c r="H37" i="10" l="1"/>
  <c r="H51" i="10" s="1"/>
  <c r="H53" i="10" s="1"/>
  <c r="H54" i="10" s="1"/>
  <c r="H56" i="10" s="1"/>
  <c r="H58" i="10" s="1"/>
  <c r="H74" i="10" s="1"/>
  <c r="T57" i="10"/>
  <c r="U57" i="10"/>
  <c r="V57" i="10"/>
  <c r="H483" i="8"/>
  <c r="I485" i="8" s="1"/>
  <c r="H486" i="8"/>
  <c r="H488" i="8" s="1"/>
  <c r="H490" i="8" s="1"/>
  <c r="H492" i="8" s="1"/>
  <c r="H459" i="8"/>
  <c r="V84" i="10"/>
  <c r="Z41" i="10"/>
  <c r="J99" i="8"/>
  <c r="J355" i="8" s="1"/>
  <c r="J348" i="8"/>
  <c r="J181" i="8"/>
  <c r="I205" i="8"/>
  <c r="I75" i="11" s="1"/>
  <c r="J225" i="8"/>
  <c r="J236" i="8" s="1"/>
  <c r="K214" i="8" s="1"/>
  <c r="I305" i="8"/>
  <c r="I307" i="8" s="1"/>
  <c r="I393" i="8" s="1"/>
  <c r="I453" i="8" s="1"/>
  <c r="K179" i="8"/>
  <c r="I253" i="8"/>
  <c r="I281" i="8"/>
  <c r="K163" i="8"/>
  <c r="K147" i="8"/>
  <c r="K119" i="8"/>
  <c r="K132" i="8"/>
  <c r="K107" i="8"/>
  <c r="K188" i="8"/>
  <c r="K199" i="8" s="1"/>
  <c r="L177" i="8" s="1"/>
  <c r="K144" i="8"/>
  <c r="L10" i="8"/>
  <c r="L11" i="8" s="1"/>
  <c r="L12" i="8" s="1"/>
  <c r="K84" i="8"/>
  <c r="K87" i="8" s="1"/>
  <c r="K76" i="8"/>
  <c r="K79" i="8" s="1"/>
  <c r="J164" i="8"/>
  <c r="J166" i="8" s="1"/>
  <c r="J116" i="8"/>
  <c r="J117" i="8" s="1"/>
  <c r="J120" i="8" s="1"/>
  <c r="J351" i="8"/>
  <c r="J361" i="8" s="1"/>
  <c r="I122" i="8"/>
  <c r="I126" i="8" s="1"/>
  <c r="K129" i="8"/>
  <c r="K130" i="8" s="1"/>
  <c r="K133" i="8" s="1"/>
  <c r="K105" i="8"/>
  <c r="K108" i="8" s="1"/>
  <c r="K47" i="8"/>
  <c r="K67" i="8" s="1"/>
  <c r="K43" i="8"/>
  <c r="K63" i="8" s="1"/>
  <c r="K45" i="8"/>
  <c r="K65" i="8" s="1"/>
  <c r="K44" i="8"/>
  <c r="K64" i="8" s="1"/>
  <c r="K48" i="8"/>
  <c r="K68" i="8" s="1"/>
  <c r="K46" i="8"/>
  <c r="K66" i="8" s="1"/>
  <c r="K42" i="8"/>
  <c r="K62" i="8" s="1"/>
  <c r="J301" i="8"/>
  <c r="J310" i="8" s="1"/>
  <c r="K292" i="8" s="1"/>
  <c r="I278" i="8"/>
  <c r="I227" i="8"/>
  <c r="I238" i="8" s="1"/>
  <c r="J216" i="8" s="1"/>
  <c r="T29" i="4"/>
  <c r="T30" i="4" s="1"/>
  <c r="S31" i="4"/>
  <c r="L5" i="8"/>
  <c r="L5" i="2"/>
  <c r="L6" i="8"/>
  <c r="L6" i="2"/>
  <c r="W57" i="10" l="1"/>
  <c r="X57" i="10"/>
  <c r="I168" i="8"/>
  <c r="I356" i="8" s="1"/>
  <c r="I358" i="8" s="1"/>
  <c r="I88" i="11" s="1"/>
  <c r="I91" i="11" s="1"/>
  <c r="I103" i="11" s="1"/>
  <c r="I31" i="11"/>
  <c r="I38" i="11" s="1"/>
  <c r="I40" i="11" s="1"/>
  <c r="H60" i="10"/>
  <c r="H65" i="10" s="1"/>
  <c r="H64" i="10"/>
  <c r="H78" i="10"/>
  <c r="H75" i="10"/>
  <c r="H88" i="10" s="1"/>
  <c r="H463" i="8"/>
  <c r="H466" i="8" s="1"/>
  <c r="I461" i="8" s="1"/>
  <c r="W84" i="10"/>
  <c r="AA41" i="10"/>
  <c r="I314" i="8"/>
  <c r="I316" i="8" s="1"/>
  <c r="I262" i="8"/>
  <c r="K135" i="8"/>
  <c r="K138" i="8" s="1"/>
  <c r="K32" i="11" s="1"/>
  <c r="J260" i="8"/>
  <c r="K249" i="8"/>
  <c r="K81" i="8"/>
  <c r="J122" i="8"/>
  <c r="J126" i="8" s="1"/>
  <c r="K342" i="8"/>
  <c r="K151" i="8"/>
  <c r="I287" i="8"/>
  <c r="I223" i="8"/>
  <c r="L14" i="8"/>
  <c r="L15" i="8"/>
  <c r="K343" i="8"/>
  <c r="K152" i="8"/>
  <c r="K345" i="8"/>
  <c r="K154" i="8"/>
  <c r="K346" i="8"/>
  <c r="K155" i="8"/>
  <c r="J183" i="8"/>
  <c r="L323" i="8"/>
  <c r="L325" i="8" s="1"/>
  <c r="K301" i="8"/>
  <c r="K310" i="8"/>
  <c r="K190" i="8"/>
  <c r="K344" i="8"/>
  <c r="K153" i="8"/>
  <c r="J251" i="8"/>
  <c r="K272" i="8"/>
  <c r="K89" i="8"/>
  <c r="K99" i="8" s="1"/>
  <c r="K355" i="8" s="1"/>
  <c r="K341" i="8"/>
  <c r="K150" i="8"/>
  <c r="K340" i="8"/>
  <c r="K149" i="8"/>
  <c r="K70" i="8"/>
  <c r="K110" i="8"/>
  <c r="K113" i="8" s="1"/>
  <c r="L17" i="8"/>
  <c r="L18" i="8"/>
  <c r="L27" i="8" s="1"/>
  <c r="U29" i="4"/>
  <c r="U30" i="4" s="1"/>
  <c r="T31" i="4"/>
  <c r="Y57" i="10" l="1"/>
  <c r="Z57" i="10" s="1"/>
  <c r="H93" i="10"/>
  <c r="I101" i="11"/>
  <c r="I105" i="11" s="1"/>
  <c r="L31" i="10"/>
  <c r="L37" i="10" s="1"/>
  <c r="L51" i="10" s="1"/>
  <c r="N31" i="10"/>
  <c r="N37" i="10" s="1"/>
  <c r="N51" i="10" s="1"/>
  <c r="O31" i="10"/>
  <c r="O37" i="10" s="1"/>
  <c r="O51" i="10" s="1"/>
  <c r="M31" i="10"/>
  <c r="M37" i="10" s="1"/>
  <c r="M51" i="10" s="1"/>
  <c r="J168" i="8"/>
  <c r="J356" i="8" s="1"/>
  <c r="J358" i="8" s="1"/>
  <c r="J88" i="11" s="1"/>
  <c r="J91" i="11" s="1"/>
  <c r="J103" i="11" s="1"/>
  <c r="J31" i="11"/>
  <c r="J38" i="11" s="1"/>
  <c r="J40" i="11" s="1"/>
  <c r="H80" i="10"/>
  <c r="H468" i="8"/>
  <c r="H471" i="8" s="1"/>
  <c r="X84" i="10"/>
  <c r="I42" i="10"/>
  <c r="I44" i="10" s="1"/>
  <c r="I47" i="10" s="1"/>
  <c r="H42" i="10"/>
  <c r="H44" i="10" s="1"/>
  <c r="H47" i="10" s="1"/>
  <c r="H23" i="10" s="1"/>
  <c r="K42" i="10"/>
  <c r="K44" i="10" s="1"/>
  <c r="K47" i="10" s="1"/>
  <c r="J42" i="10"/>
  <c r="J44" i="10" s="1"/>
  <c r="J47" i="10" s="1"/>
  <c r="K157" i="8"/>
  <c r="L119" i="8"/>
  <c r="L163" i="8"/>
  <c r="L147" i="8"/>
  <c r="L132" i="8"/>
  <c r="L107" i="8"/>
  <c r="L188" i="8"/>
  <c r="L144" i="8"/>
  <c r="L129" i="8"/>
  <c r="L130" i="8" s="1"/>
  <c r="L133" i="8" s="1"/>
  <c r="L105" i="8"/>
  <c r="L108" i="8" s="1"/>
  <c r="L160" i="8"/>
  <c r="L47" i="8"/>
  <c r="L67" i="8" s="1"/>
  <c r="L45" i="8"/>
  <c r="L65" i="8" s="1"/>
  <c r="L43" i="8"/>
  <c r="L63" i="8" s="1"/>
  <c r="L48" i="8"/>
  <c r="L68" i="8" s="1"/>
  <c r="L44" i="8"/>
  <c r="L64" i="8" s="1"/>
  <c r="L46" i="8"/>
  <c r="L66" i="8" s="1"/>
  <c r="L42" i="8"/>
  <c r="L62" i="8" s="1"/>
  <c r="I229" i="8"/>
  <c r="I42" i="11" s="1"/>
  <c r="I234" i="8"/>
  <c r="J192" i="8"/>
  <c r="J285" i="8" s="1"/>
  <c r="L84" i="8"/>
  <c r="L87" i="8" s="1"/>
  <c r="L89" i="8" s="1"/>
  <c r="L99" i="8" s="1"/>
  <c r="L355" i="8" s="1"/>
  <c r="K201" i="8"/>
  <c r="K274" i="8"/>
  <c r="K294" i="8"/>
  <c r="K283" i="8"/>
  <c r="K116" i="8"/>
  <c r="K164" i="8"/>
  <c r="K166" i="8" s="1"/>
  <c r="K351" i="8"/>
  <c r="K361" i="8" s="1"/>
  <c r="K117" i="8"/>
  <c r="L76" i="8"/>
  <c r="L79" i="8" s="1"/>
  <c r="L81" i="8" s="1"/>
  <c r="K348" i="8"/>
  <c r="V29" i="4"/>
  <c r="V30" i="4" s="1"/>
  <c r="U31" i="4"/>
  <c r="I86" i="14" l="1"/>
  <c r="I90" i="14" s="1"/>
  <c r="I108" i="14"/>
  <c r="O42" i="10"/>
  <c r="O44" i="10" s="1"/>
  <c r="O47" i="10" s="1"/>
  <c r="AA57" i="10"/>
  <c r="I44" i="11"/>
  <c r="I451" i="8" s="1"/>
  <c r="I392" i="8"/>
  <c r="J101" i="11"/>
  <c r="Q31" i="10"/>
  <c r="Q37" i="10" s="1"/>
  <c r="Q51" i="10" s="1"/>
  <c r="R31" i="10"/>
  <c r="R37" i="10" s="1"/>
  <c r="R51" i="10" s="1"/>
  <c r="S31" i="10"/>
  <c r="S37" i="10" s="1"/>
  <c r="S51" i="10" s="1"/>
  <c r="P31" i="10"/>
  <c r="P37" i="10" s="1"/>
  <c r="J105" i="11"/>
  <c r="N42" i="10"/>
  <c r="N44" i="10" s="1"/>
  <c r="N47" i="10" s="1"/>
  <c r="M42" i="10"/>
  <c r="M44" i="10" s="1"/>
  <c r="M47" i="10" s="1"/>
  <c r="L42" i="10"/>
  <c r="L44" i="10" s="1"/>
  <c r="L47" i="10" s="1"/>
  <c r="I469" i="8"/>
  <c r="H473" i="8"/>
  <c r="H475" i="8" s="1"/>
  <c r="H494" i="8" s="1"/>
  <c r="H25" i="10"/>
  <c r="H27" i="10" s="1"/>
  <c r="H14" i="12" s="1"/>
  <c r="H66" i="10"/>
  <c r="Y84" i="10"/>
  <c r="K225" i="8"/>
  <c r="K236" i="8" s="1"/>
  <c r="L214" i="8" s="1"/>
  <c r="L199" i="8"/>
  <c r="L272" i="8"/>
  <c r="L340" i="8"/>
  <c r="L149" i="8"/>
  <c r="L70" i="8"/>
  <c r="K303" i="8"/>
  <c r="K312" i="8" s="1"/>
  <c r="L135" i="8"/>
  <c r="L138" i="8" s="1"/>
  <c r="L32" i="11" s="1"/>
  <c r="L155" i="8"/>
  <c r="L346" i="8"/>
  <c r="L150" i="8"/>
  <c r="L157" i="8" s="1"/>
  <c r="L341" i="8"/>
  <c r="K120" i="8"/>
  <c r="J212" i="8"/>
  <c r="I240" i="8"/>
  <c r="I76" i="11" s="1"/>
  <c r="I78" i="11" s="1"/>
  <c r="F10" i="14" s="1"/>
  <c r="I258" i="8"/>
  <c r="I264" i="8" s="1"/>
  <c r="L292" i="8"/>
  <c r="L153" i="8"/>
  <c r="L344" i="8"/>
  <c r="L151" i="8"/>
  <c r="L342" i="8"/>
  <c r="L152" i="8"/>
  <c r="L343" i="8"/>
  <c r="L110" i="8"/>
  <c r="L113" i="8" s="1"/>
  <c r="L179" i="8"/>
  <c r="J276" i="8"/>
  <c r="J194" i="8"/>
  <c r="J107" i="11" s="1"/>
  <c r="J114" i="14" s="1"/>
  <c r="J203" i="8"/>
  <c r="J296" i="8"/>
  <c r="L154" i="8"/>
  <c r="L345" i="8"/>
  <c r="W29" i="4"/>
  <c r="W30" i="4" s="1"/>
  <c r="V31" i="4"/>
  <c r="I88" i="14" l="1"/>
  <c r="I110" i="14"/>
  <c r="I113" i="14"/>
  <c r="J109" i="11"/>
  <c r="J91" i="14"/>
  <c r="I452" i="8"/>
  <c r="I479" i="8" s="1"/>
  <c r="I419" i="8"/>
  <c r="P51" i="10"/>
  <c r="R42" i="10"/>
  <c r="R44" i="10" s="1"/>
  <c r="R47" i="10" s="1"/>
  <c r="P42" i="10"/>
  <c r="P44" i="10" s="1"/>
  <c r="P47" i="10" s="1"/>
  <c r="Q42" i="10"/>
  <c r="Q44" i="10" s="1"/>
  <c r="Q47" i="10" s="1"/>
  <c r="S42" i="10"/>
  <c r="S44" i="10" s="1"/>
  <c r="S47" i="10" s="1"/>
  <c r="H498" i="8"/>
  <c r="H497" i="8"/>
  <c r="H501" i="8" s="1"/>
  <c r="I21" i="10"/>
  <c r="I53" i="10" s="1"/>
  <c r="I54" i="10" s="1"/>
  <c r="I56" i="10" s="1"/>
  <c r="I58" i="10" s="1"/>
  <c r="Z84" i="10"/>
  <c r="K260" i="8"/>
  <c r="J227" i="8"/>
  <c r="J238" i="8" s="1"/>
  <c r="J278" i="8"/>
  <c r="L116" i="8"/>
  <c r="L164" i="8"/>
  <c r="L166" i="8" s="1"/>
  <c r="L351" i="8"/>
  <c r="L361" i="8" s="1"/>
  <c r="J218" i="8"/>
  <c r="J247" i="8"/>
  <c r="L348" i="8"/>
  <c r="L301" i="8"/>
  <c r="L310" i="8"/>
  <c r="J305" i="8"/>
  <c r="J307" i="8" s="1"/>
  <c r="J393" i="8" s="1"/>
  <c r="J453" i="8" s="1"/>
  <c r="J298" i="8"/>
  <c r="K122" i="8"/>
  <c r="K126" i="8" s="1"/>
  <c r="L249" i="8"/>
  <c r="L190" i="8"/>
  <c r="J205" i="8"/>
  <c r="J75" i="11" s="1"/>
  <c r="K181" i="8"/>
  <c r="L117" i="8"/>
  <c r="L120" i="8" s="1"/>
  <c r="L122" i="8" s="1"/>
  <c r="L126" i="8" s="1"/>
  <c r="L168" i="8" s="1"/>
  <c r="L356" i="8" s="1"/>
  <c r="L358" i="8" s="1"/>
  <c r="L88" i="11" s="1"/>
  <c r="L91" i="11" s="1"/>
  <c r="X29" i="4"/>
  <c r="X30" i="4" s="1"/>
  <c r="W31" i="4"/>
  <c r="I478" i="8" l="1"/>
  <c r="I481" i="8" s="1"/>
  <c r="I486" i="8" s="1"/>
  <c r="I488" i="8" s="1"/>
  <c r="I490" i="8" s="1"/>
  <c r="I492" i="8" s="1"/>
  <c r="I455" i="8"/>
  <c r="I457" i="8" s="1"/>
  <c r="I462" i="8" s="1"/>
  <c r="L31" i="11"/>
  <c r="L38" i="11" s="1"/>
  <c r="L40" i="11" s="1"/>
  <c r="K168" i="8"/>
  <c r="K356" i="8" s="1"/>
  <c r="K358" i="8" s="1"/>
  <c r="K88" i="11" s="1"/>
  <c r="K91" i="11" s="1"/>
  <c r="K103" i="11" s="1"/>
  <c r="K31" i="11"/>
  <c r="K38" i="11" s="1"/>
  <c r="K40" i="11" s="1"/>
  <c r="H502" i="8"/>
  <c r="H507" i="8" s="1"/>
  <c r="H89" i="14" s="1"/>
  <c r="I23" i="10"/>
  <c r="I25" i="10" s="1"/>
  <c r="I74" i="10"/>
  <c r="I75" i="10"/>
  <c r="I88" i="10" s="1"/>
  <c r="I60" i="10"/>
  <c r="I65" i="10" s="1"/>
  <c r="I78" i="10"/>
  <c r="I64" i="10"/>
  <c r="AA84" i="10"/>
  <c r="J314" i="8"/>
  <c r="J316" i="8" s="1"/>
  <c r="K183" i="8"/>
  <c r="J281" i="8"/>
  <c r="J253" i="8"/>
  <c r="J262" i="8"/>
  <c r="K216" i="8"/>
  <c r="L201" i="8"/>
  <c r="L274" i="8"/>
  <c r="L283" i="8"/>
  <c r="L294" i="8"/>
  <c r="Y29" i="4"/>
  <c r="Y30" i="4" s="1"/>
  <c r="X31" i="4"/>
  <c r="I484" i="8" l="1"/>
  <c r="I483" i="8"/>
  <c r="J485" i="8" s="1"/>
  <c r="I459" i="8"/>
  <c r="I463" i="8" s="1"/>
  <c r="I468" i="8" s="1"/>
  <c r="I471" i="8" s="1"/>
  <c r="J469" i="8" s="1"/>
  <c r="T31" i="10"/>
  <c r="T37" i="10" s="1"/>
  <c r="K101" i="11"/>
  <c r="K105" i="11" s="1"/>
  <c r="W31" i="10"/>
  <c r="W37" i="10" s="1"/>
  <c r="W51" i="10" s="1"/>
  <c r="U31" i="10"/>
  <c r="U37" i="10" s="1"/>
  <c r="U51" i="10" s="1"/>
  <c r="V31" i="10"/>
  <c r="V37" i="10" s="1"/>
  <c r="V51" i="10" s="1"/>
  <c r="X31" i="10"/>
  <c r="X37" i="10" s="1"/>
  <c r="L101" i="11"/>
  <c r="AA31" i="10"/>
  <c r="AA37" i="10" s="1"/>
  <c r="AA51" i="10" s="1"/>
  <c r="Z31" i="10"/>
  <c r="Z37" i="10" s="1"/>
  <c r="Z51" i="10" s="1"/>
  <c r="Y31" i="10"/>
  <c r="Y37" i="10" s="1"/>
  <c r="Y51" i="10" s="1"/>
  <c r="L103" i="11"/>
  <c r="H505" i="8"/>
  <c r="I500" i="8" s="1"/>
  <c r="I93" i="10"/>
  <c r="I66" i="10"/>
  <c r="I80" i="10"/>
  <c r="J21" i="10"/>
  <c r="I27" i="10"/>
  <c r="I14" i="12" s="1"/>
  <c r="L225" i="8"/>
  <c r="L236" i="8" s="1"/>
  <c r="L260" i="8" s="1"/>
  <c r="L303" i="8"/>
  <c r="L312" i="8" s="1"/>
  <c r="J287" i="8"/>
  <c r="J223" i="8"/>
  <c r="K251" i="8"/>
  <c r="Z29" i="4"/>
  <c r="Z30" i="4" s="1"/>
  <c r="Y31" i="4"/>
  <c r="I473" i="8" l="1"/>
  <c r="I475" i="8" s="1"/>
  <c r="I494" i="8" s="1"/>
  <c r="I498" i="8" s="1"/>
  <c r="I466" i="8"/>
  <c r="J461" i="8" s="1"/>
  <c r="L105" i="11"/>
  <c r="X51" i="10"/>
  <c r="X42" i="10"/>
  <c r="X44" i="10" s="1"/>
  <c r="X47" i="10" s="1"/>
  <c r="Z42" i="10"/>
  <c r="Z44" i="10" s="1"/>
  <c r="Z47" i="10" s="1"/>
  <c r="Y42" i="10"/>
  <c r="Y44" i="10" s="1"/>
  <c r="Y47" i="10" s="1"/>
  <c r="AA42" i="10"/>
  <c r="AA44" i="10" s="1"/>
  <c r="AA47" i="10" s="1"/>
  <c r="T51" i="10"/>
  <c r="T42" i="10"/>
  <c r="T44" i="10" s="1"/>
  <c r="T47" i="10" s="1"/>
  <c r="V42" i="10"/>
  <c r="V44" i="10" s="1"/>
  <c r="V47" i="10" s="1"/>
  <c r="W42" i="10"/>
  <c r="W44" i="10" s="1"/>
  <c r="W47" i="10" s="1"/>
  <c r="U42" i="10"/>
  <c r="U44" i="10" s="1"/>
  <c r="U47" i="10" s="1"/>
  <c r="J53" i="10"/>
  <c r="J23" i="10"/>
  <c r="K192" i="8"/>
  <c r="J229" i="8"/>
  <c r="J42" i="11" s="1"/>
  <c r="J234" i="8"/>
  <c r="AA29" i="4"/>
  <c r="AA30" i="4" s="1"/>
  <c r="AA31" i="4" s="1"/>
  <c r="Z31" i="4"/>
  <c r="J86" i="14" l="1"/>
  <c r="J90" i="14" s="1"/>
  <c r="J108" i="14"/>
  <c r="I497" i="8"/>
  <c r="I501" i="8" s="1"/>
  <c r="I502" i="8" s="1"/>
  <c r="I507" i="8" s="1"/>
  <c r="I89" i="14" s="1"/>
  <c r="I94" i="14" s="1"/>
  <c r="J44" i="11"/>
  <c r="J451" i="8" s="1"/>
  <c r="J392" i="8"/>
  <c r="J25" i="10"/>
  <c r="J54" i="10"/>
  <c r="J56" i="10" s="1"/>
  <c r="J58" i="10" s="1"/>
  <c r="J240" i="8"/>
  <c r="J76" i="11" s="1"/>
  <c r="J78" i="11" s="1"/>
  <c r="J258" i="8"/>
  <c r="J264" i="8" s="1"/>
  <c r="K212" i="8"/>
  <c r="K194" i="8"/>
  <c r="K107" i="11" s="1"/>
  <c r="K114" i="14" s="1"/>
  <c r="K276" i="8"/>
  <c r="K203" i="8"/>
  <c r="K296" i="8"/>
  <c r="K285" i="8"/>
  <c r="J88" i="14" l="1"/>
  <c r="J113" i="14"/>
  <c r="J110" i="14"/>
  <c r="K109" i="11"/>
  <c r="K91" i="14"/>
  <c r="I96" i="14"/>
  <c r="I97" i="14"/>
  <c r="J419" i="8"/>
  <c r="J452" i="8"/>
  <c r="J479" i="8" s="1"/>
  <c r="I505" i="8"/>
  <c r="J500" i="8" s="1"/>
  <c r="K21" i="10"/>
  <c r="J27" i="10"/>
  <c r="J14" i="12" s="1"/>
  <c r="J74" i="10"/>
  <c r="J75" i="10"/>
  <c r="J88" i="10" s="1"/>
  <c r="J78" i="10"/>
  <c r="J60" i="10"/>
  <c r="J64" i="10"/>
  <c r="K305" i="8"/>
  <c r="K307" i="8" s="1"/>
  <c r="K393" i="8" s="1"/>
  <c r="K453" i="8" s="1"/>
  <c r="K298" i="8"/>
  <c r="K227" i="8"/>
  <c r="K238" i="8" s="1"/>
  <c r="L216" i="8" s="1"/>
  <c r="K278" i="8"/>
  <c r="K247" i="8"/>
  <c r="K218" i="8"/>
  <c r="L181" i="8"/>
  <c r="K205" i="8"/>
  <c r="K75" i="11" s="1"/>
  <c r="I99" i="14" l="1"/>
  <c r="I103" i="14" s="1"/>
  <c r="J455" i="8"/>
  <c r="J457" i="8" s="1"/>
  <c r="J462" i="8" s="1"/>
  <c r="J478" i="8"/>
  <c r="J481" i="8" s="1"/>
  <c r="J486" i="8" s="1"/>
  <c r="J488" i="8" s="1"/>
  <c r="J490" i="8" s="1"/>
  <c r="J492" i="8" s="1"/>
  <c r="J93" i="10"/>
  <c r="J65" i="10"/>
  <c r="J66" i="10"/>
  <c r="J80" i="10"/>
  <c r="K53" i="10"/>
  <c r="K23" i="10"/>
  <c r="K262" i="8"/>
  <c r="L183" i="8"/>
  <c r="L251" i="8"/>
  <c r="K281" i="8"/>
  <c r="K253" i="8"/>
  <c r="K314" i="8"/>
  <c r="K316" i="8" s="1"/>
  <c r="J459" i="8" l="1"/>
  <c r="J463" i="8" s="1"/>
  <c r="J468" i="8" s="1"/>
  <c r="J471" i="8" s="1"/>
  <c r="K469" i="8" s="1"/>
  <c r="J483" i="8"/>
  <c r="K485" i="8" s="1"/>
  <c r="J484" i="8"/>
  <c r="K25" i="10"/>
  <c r="K54" i="10"/>
  <c r="K56" i="10" s="1"/>
  <c r="K58" i="10" s="1"/>
  <c r="K287" i="8"/>
  <c r="K223" i="8"/>
  <c r="L192" i="8"/>
  <c r="L285" i="8" s="1"/>
  <c r="J473" i="8" l="1"/>
  <c r="J475" i="8" s="1"/>
  <c r="J494" i="8" s="1"/>
  <c r="J498" i="8" s="1"/>
  <c r="J466" i="8"/>
  <c r="K461" i="8" s="1"/>
  <c r="K74" i="10"/>
  <c r="K64" i="10"/>
  <c r="K78" i="10"/>
  <c r="K60" i="10"/>
  <c r="K65" i="10" s="1"/>
  <c r="K75" i="10"/>
  <c r="K88" i="10" s="1"/>
  <c r="L21" i="10"/>
  <c r="K27" i="10"/>
  <c r="K14" i="12" s="1"/>
  <c r="L296" i="8"/>
  <c r="L194" i="8"/>
  <c r="L107" i="11" s="1"/>
  <c r="L114" i="14" s="1"/>
  <c r="L276" i="8"/>
  <c r="L203" i="8"/>
  <c r="K229" i="8"/>
  <c r="K42" i="11" s="1"/>
  <c r="K234" i="8"/>
  <c r="K86" i="14" l="1"/>
  <c r="K108" i="14"/>
  <c r="L109" i="11"/>
  <c r="L91" i="14"/>
  <c r="K90" i="14"/>
  <c r="K88" i="14"/>
  <c r="J497" i="8"/>
  <c r="J501" i="8" s="1"/>
  <c r="J502" i="8" s="1"/>
  <c r="J507" i="8" s="1"/>
  <c r="J89" i="14" s="1"/>
  <c r="J94" i="14" s="1"/>
  <c r="K44" i="11"/>
  <c r="K451" i="8" s="1"/>
  <c r="K392" i="8"/>
  <c r="H329" i="8"/>
  <c r="H112" i="11" s="1"/>
  <c r="K66" i="10"/>
  <c r="K93" i="10"/>
  <c r="H334" i="8" s="1"/>
  <c r="H46" i="11" s="1"/>
  <c r="L53" i="10"/>
  <c r="L23" i="10"/>
  <c r="L25" i="10" s="1"/>
  <c r="K80" i="10"/>
  <c r="L205" i="8"/>
  <c r="L75" i="11" s="1"/>
  <c r="L278" i="8"/>
  <c r="L227" i="8"/>
  <c r="L238" i="8" s="1"/>
  <c r="L262" i="8" s="1"/>
  <c r="K258" i="8"/>
  <c r="K264" i="8" s="1"/>
  <c r="L212" i="8"/>
  <c r="K240" i="8"/>
  <c r="K76" i="11" s="1"/>
  <c r="K78" i="11" s="1"/>
  <c r="L305" i="8"/>
  <c r="L307" i="8" s="1"/>
  <c r="L393" i="8" s="1"/>
  <c r="L453" i="8" s="1"/>
  <c r="L298" i="8"/>
  <c r="K113" i="14" l="1"/>
  <c r="K110" i="14"/>
  <c r="H114" i="11"/>
  <c r="H111" i="14"/>
  <c r="J96" i="14"/>
  <c r="J97" i="14"/>
  <c r="J505" i="8"/>
  <c r="K500" i="8" s="1"/>
  <c r="K419" i="8"/>
  <c r="K452" i="8"/>
  <c r="K479" i="8" s="1"/>
  <c r="M21" i="10"/>
  <c r="L27" i="10"/>
  <c r="L14" i="12" s="1"/>
  <c r="H85" i="10"/>
  <c r="H87" i="10" s="1"/>
  <c r="H90" i="10" s="1"/>
  <c r="H67" i="10" s="1"/>
  <c r="H69" i="10" s="1"/>
  <c r="I85" i="10"/>
  <c r="I87" i="10" s="1"/>
  <c r="I90" i="10" s="1"/>
  <c r="J85" i="10"/>
  <c r="J87" i="10" s="1"/>
  <c r="J90" i="10" s="1"/>
  <c r="K85" i="10"/>
  <c r="K87" i="10" s="1"/>
  <c r="K90" i="10" s="1"/>
  <c r="L54" i="10"/>
  <c r="L56" i="10" s="1"/>
  <c r="L58" i="10" s="1"/>
  <c r="L314" i="8"/>
  <c r="L316" i="8" s="1"/>
  <c r="L247" i="8"/>
  <c r="L218" i="8"/>
  <c r="J99" i="14" l="1"/>
  <c r="J103" i="14" s="1"/>
  <c r="K478" i="8"/>
  <c r="K481" i="8" s="1"/>
  <c r="K486" i="8" s="1"/>
  <c r="K488" i="8" s="1"/>
  <c r="K490" i="8" s="1"/>
  <c r="K492" i="8" s="1"/>
  <c r="K455" i="8"/>
  <c r="K457" i="8" s="1"/>
  <c r="K462" i="8" s="1"/>
  <c r="I63" i="10"/>
  <c r="H71" i="10"/>
  <c r="H15" i="12" s="1"/>
  <c r="H31" i="12" s="1"/>
  <c r="M53" i="10"/>
  <c r="M23" i="10"/>
  <c r="L60" i="10"/>
  <c r="L65" i="10" s="1"/>
  <c r="L74" i="10"/>
  <c r="L78" i="10"/>
  <c r="L64" i="10"/>
  <c r="L75" i="10"/>
  <c r="L88" i="10" s="1"/>
  <c r="L281" i="8"/>
  <c r="L253" i="8"/>
  <c r="K459" i="8" l="1"/>
  <c r="K463" i="8" s="1"/>
  <c r="K468" i="8" s="1"/>
  <c r="K471" i="8" s="1"/>
  <c r="L469" i="8" s="1"/>
  <c r="K483" i="8"/>
  <c r="L485" i="8" s="1"/>
  <c r="K484" i="8"/>
  <c r="L66" i="10"/>
  <c r="L93" i="10"/>
  <c r="I67" i="10"/>
  <c r="I69" i="10" s="1"/>
  <c r="J63" i="10" s="1"/>
  <c r="M25" i="10"/>
  <c r="L80" i="10"/>
  <c r="M54" i="10"/>
  <c r="M56" i="10" s="1"/>
  <c r="M58" i="10" s="1"/>
  <c r="L287" i="8"/>
  <c r="L223" i="8"/>
  <c r="K473" i="8" l="1"/>
  <c r="K475" i="8" s="1"/>
  <c r="K494" i="8" s="1"/>
  <c r="K497" i="8" s="1"/>
  <c r="K501" i="8" s="1"/>
  <c r="K466" i="8"/>
  <c r="L461" i="8" s="1"/>
  <c r="N21" i="10"/>
  <c r="M27" i="10"/>
  <c r="M14" i="12" s="1"/>
  <c r="I71" i="10"/>
  <c r="I15" i="12" s="1"/>
  <c r="I31" i="12" s="1"/>
  <c r="M74" i="10"/>
  <c r="M60" i="10"/>
  <c r="M65" i="10" s="1"/>
  <c r="M64" i="10"/>
  <c r="M78" i="10"/>
  <c r="M75" i="10"/>
  <c r="M88" i="10" s="1"/>
  <c r="J67" i="10"/>
  <c r="J69" i="10" s="1"/>
  <c r="K63" i="10" s="1"/>
  <c r="L229" i="8"/>
  <c r="L42" i="11" s="1"/>
  <c r="L234" i="8"/>
  <c r="L86" i="14" l="1"/>
  <c r="L90" i="14" s="1"/>
  <c r="L108" i="14"/>
  <c r="K498" i="8"/>
  <c r="K502" i="8" s="1"/>
  <c r="K507" i="8" s="1"/>
  <c r="K89" i="14" s="1"/>
  <c r="K94" i="14" s="1"/>
  <c r="L44" i="11"/>
  <c r="L451" i="8" s="1"/>
  <c r="L392" i="8"/>
  <c r="M93" i="10"/>
  <c r="J71" i="10"/>
  <c r="J15" i="12" s="1"/>
  <c r="J31" i="12" s="1"/>
  <c r="N53" i="10"/>
  <c r="N23" i="10"/>
  <c r="K67" i="10"/>
  <c r="H330" i="8" s="1"/>
  <c r="M80" i="10"/>
  <c r="M66" i="10"/>
  <c r="L240" i="8"/>
  <c r="L76" i="11" s="1"/>
  <c r="L78" i="11" s="1"/>
  <c r="L258" i="8"/>
  <c r="L264" i="8" s="1"/>
  <c r="L88" i="14" l="1"/>
  <c r="L110" i="14"/>
  <c r="L113" i="14"/>
  <c r="K97" i="14"/>
  <c r="K96" i="14"/>
  <c r="K505" i="8"/>
  <c r="L500" i="8" s="1"/>
  <c r="L452" i="8"/>
  <c r="L479" i="8" s="1"/>
  <c r="L419" i="8"/>
  <c r="H332" i="8"/>
  <c r="I328" i="8" s="1"/>
  <c r="H113" i="11"/>
  <c r="K69" i="10"/>
  <c r="L63" i="10" s="1"/>
  <c r="N54" i="10"/>
  <c r="N56" i="10" s="1"/>
  <c r="N58" i="10" s="1"/>
  <c r="N25" i="10"/>
  <c r="K99" i="14" l="1"/>
  <c r="K103" i="14" s="1"/>
  <c r="L455" i="8"/>
  <c r="L457" i="8" s="1"/>
  <c r="L462" i="8" s="1"/>
  <c r="L478" i="8"/>
  <c r="L481" i="8" s="1"/>
  <c r="L486" i="8" s="1"/>
  <c r="L488" i="8" s="1"/>
  <c r="L490" i="8" s="1"/>
  <c r="L492" i="8" s="1"/>
  <c r="H66" i="11"/>
  <c r="K71" i="10"/>
  <c r="K15" i="12" s="1"/>
  <c r="K31" i="12" s="1"/>
  <c r="O21" i="10"/>
  <c r="N27" i="10"/>
  <c r="N14" i="12" s="1"/>
  <c r="N60" i="10"/>
  <c r="N64" i="10"/>
  <c r="N78" i="10"/>
  <c r="N75" i="10"/>
  <c r="N88" i="10" s="1"/>
  <c r="N74" i="10"/>
  <c r="L483" i="8" l="1"/>
  <c r="L459" i="8"/>
  <c r="L463" i="8" s="1"/>
  <c r="L468" i="8" s="1"/>
  <c r="L471" i="8" s="1"/>
  <c r="L473" i="8" s="1"/>
  <c r="L475" i="8" s="1"/>
  <c r="L494" i="8" s="1"/>
  <c r="L498" i="8" s="1"/>
  <c r="L484" i="8"/>
  <c r="N93" i="10"/>
  <c r="N80" i="10"/>
  <c r="O53" i="10"/>
  <c r="O23" i="10"/>
  <c r="N65" i="10"/>
  <c r="N66" i="10"/>
  <c r="L497" i="8" l="1"/>
  <c r="L501" i="8" s="1"/>
  <c r="L502" i="8" s="1"/>
  <c r="L507" i="8" s="1"/>
  <c r="L89" i="14" s="1"/>
  <c r="L94" i="14" s="1"/>
  <c r="L466" i="8"/>
  <c r="O25" i="10"/>
  <c r="O54" i="10"/>
  <c r="O56" i="10" s="1"/>
  <c r="O58" i="10" s="1"/>
  <c r="L96" i="14" l="1"/>
  <c r="L97" i="14"/>
  <c r="L505" i="8"/>
  <c r="O60" i="10"/>
  <c r="O65" i="10" s="1"/>
  <c r="O75" i="10"/>
  <c r="O88" i="10" s="1"/>
  <c r="O74" i="10"/>
  <c r="O78" i="10"/>
  <c r="O64" i="10"/>
  <c r="P21" i="10"/>
  <c r="O27" i="10"/>
  <c r="O14" i="12" s="1"/>
  <c r="L99" i="14" l="1"/>
  <c r="L103" i="14" s="1"/>
  <c r="P53" i="10"/>
  <c r="P23" i="10"/>
  <c r="O93" i="10"/>
  <c r="O66" i="10"/>
  <c r="O80" i="10"/>
  <c r="O85" i="10" l="1"/>
  <c r="O87" i="10" s="1"/>
  <c r="O90" i="10" s="1"/>
  <c r="L85" i="10"/>
  <c r="L87" i="10" s="1"/>
  <c r="L90" i="10" s="1"/>
  <c r="L67" i="10" s="1"/>
  <c r="L69" i="10" s="1"/>
  <c r="M85" i="10"/>
  <c r="M87" i="10" s="1"/>
  <c r="M90" i="10" s="1"/>
  <c r="N85" i="10"/>
  <c r="N87" i="10" s="1"/>
  <c r="N90" i="10" s="1"/>
  <c r="P54" i="10"/>
  <c r="P56" i="10" s="1"/>
  <c r="P58" i="10" s="1"/>
  <c r="P25" i="10"/>
  <c r="P60" i="10" l="1"/>
  <c r="P65" i="10" s="1"/>
  <c r="P64" i="10"/>
  <c r="P75" i="10"/>
  <c r="P88" i="10" s="1"/>
  <c r="P74" i="10"/>
  <c r="P78" i="10"/>
  <c r="Q21" i="10"/>
  <c r="P27" i="10"/>
  <c r="P14" i="12" s="1"/>
  <c r="M63" i="10"/>
  <c r="L71" i="10"/>
  <c r="L15" i="12" s="1"/>
  <c r="L31" i="12" s="1"/>
  <c r="P66" i="10" l="1"/>
  <c r="P93" i="10"/>
  <c r="P80" i="10"/>
  <c r="M67" i="10"/>
  <c r="M69" i="10" s="1"/>
  <c r="N63" i="10" s="1"/>
  <c r="Q53" i="10"/>
  <c r="Q23" i="10"/>
  <c r="Q25" i="10" l="1"/>
  <c r="Q54" i="10"/>
  <c r="Q56" i="10" s="1"/>
  <c r="Q58" i="10" s="1"/>
  <c r="M71" i="10"/>
  <c r="M15" i="12" s="1"/>
  <c r="M31" i="12" s="1"/>
  <c r="N67" i="10"/>
  <c r="N69" i="10" s="1"/>
  <c r="O63" i="10" s="1"/>
  <c r="Q78" i="10" l="1"/>
  <c r="Q64" i="10"/>
  <c r="Q75" i="10"/>
  <c r="Q88" i="10" s="1"/>
  <c r="Q74" i="10"/>
  <c r="Q60" i="10"/>
  <c r="Q65" i="10" s="1"/>
  <c r="O67" i="10"/>
  <c r="I330" i="8" s="1"/>
  <c r="I113" i="11" s="1"/>
  <c r="N71" i="10"/>
  <c r="N15" i="12" s="1"/>
  <c r="N31" i="12" s="1"/>
  <c r="R21" i="10"/>
  <c r="Q27" i="10"/>
  <c r="Q14" i="12" s="1"/>
  <c r="Q66" i="10" l="1"/>
  <c r="Q93" i="10"/>
  <c r="Q80" i="10"/>
  <c r="R53" i="10"/>
  <c r="R23" i="10"/>
  <c r="R25" i="10" s="1"/>
  <c r="O69" i="10"/>
  <c r="S21" i="10" l="1"/>
  <c r="R27" i="10"/>
  <c r="R14" i="12" s="1"/>
  <c r="P63" i="10"/>
  <c r="O71" i="10"/>
  <c r="O15" i="12" s="1"/>
  <c r="O31" i="12" s="1"/>
  <c r="R54" i="10"/>
  <c r="R56" i="10" s="1"/>
  <c r="R58" i="10" s="1"/>
  <c r="R78" i="10" l="1"/>
  <c r="R75" i="10"/>
  <c r="R88" i="10" s="1"/>
  <c r="R74" i="10"/>
  <c r="R60" i="10"/>
  <c r="R65" i="10" s="1"/>
  <c r="R64" i="10"/>
  <c r="S53" i="10"/>
  <c r="S23" i="10"/>
  <c r="R66" i="10" l="1"/>
  <c r="S25" i="10"/>
  <c r="S54" i="10"/>
  <c r="S56" i="10" s="1"/>
  <c r="S58" i="10" s="1"/>
  <c r="R93" i="10"/>
  <c r="R80" i="10"/>
  <c r="T21" i="10" l="1"/>
  <c r="S27" i="10"/>
  <c r="S14" i="12" s="1"/>
  <c r="S64" i="10"/>
  <c r="S78" i="10"/>
  <c r="S75" i="10"/>
  <c r="S88" i="10" s="1"/>
  <c r="S74" i="10"/>
  <c r="S60" i="10"/>
  <c r="S93" i="10" l="1"/>
  <c r="S80" i="10"/>
  <c r="S85" i="10" s="1"/>
  <c r="S87" i="10" s="1"/>
  <c r="S90" i="10" s="1"/>
  <c r="T53" i="10"/>
  <c r="T23" i="10"/>
  <c r="T25" i="10" s="1"/>
  <c r="U21" i="10" s="1"/>
  <c r="S65" i="10"/>
  <c r="S66" i="10"/>
  <c r="Q85" i="10" l="1"/>
  <c r="Q87" i="10" s="1"/>
  <c r="Q90" i="10" s="1"/>
  <c r="R85" i="10"/>
  <c r="R87" i="10" s="1"/>
  <c r="R90" i="10" s="1"/>
  <c r="P85" i="10"/>
  <c r="P87" i="10" s="1"/>
  <c r="P90" i="10" s="1"/>
  <c r="P67" i="10" s="1"/>
  <c r="P69" i="10" s="1"/>
  <c r="P71" i="10" s="1"/>
  <c r="P15" i="12" s="1"/>
  <c r="P31" i="12" s="1"/>
  <c r="U53" i="10"/>
  <c r="U54" i="10" s="1"/>
  <c r="U56" i="10" s="1"/>
  <c r="U58" i="10" s="1"/>
  <c r="U23" i="10"/>
  <c r="T27" i="10"/>
  <c r="T14" i="12" s="1"/>
  <c r="T54" i="10"/>
  <c r="T56" i="10" s="1"/>
  <c r="T58" i="10" s="1"/>
  <c r="Q63" i="10" l="1"/>
  <c r="Q67" i="10" s="1"/>
  <c r="Q69" i="10" s="1"/>
  <c r="R63" i="10" s="1"/>
  <c r="R67" i="10" s="1"/>
  <c r="R69" i="10" s="1"/>
  <c r="S63" i="10" s="1"/>
  <c r="U60" i="10"/>
  <c r="U65" i="10" s="1"/>
  <c r="U64" i="10"/>
  <c r="U74" i="10"/>
  <c r="U78" i="10"/>
  <c r="U75" i="10"/>
  <c r="U88" i="10" s="1"/>
  <c r="U25" i="10"/>
  <c r="T75" i="10"/>
  <c r="T88" i="10" s="1"/>
  <c r="T64" i="10"/>
  <c r="T74" i="10"/>
  <c r="T60" i="10"/>
  <c r="T65" i="10" s="1"/>
  <c r="T78" i="10"/>
  <c r="Q71" i="10" l="1"/>
  <c r="Q15" i="12" s="1"/>
  <c r="Q31" i="12" s="1"/>
  <c r="U93" i="10"/>
  <c r="U66" i="10"/>
  <c r="R71" i="10"/>
  <c r="R15" i="12" s="1"/>
  <c r="R31" i="12" s="1"/>
  <c r="V21" i="10"/>
  <c r="U27" i="10"/>
  <c r="U14" i="12" s="1"/>
  <c r="S67" i="10"/>
  <c r="J330" i="8" s="1"/>
  <c r="J113" i="11" s="1"/>
  <c r="U80" i="10"/>
  <c r="T93" i="10"/>
  <c r="T80" i="10"/>
  <c r="T66" i="10"/>
  <c r="S69" i="10" l="1"/>
  <c r="T63" i="10" s="1"/>
  <c r="V53" i="10"/>
  <c r="V23" i="10"/>
  <c r="S71" i="10" l="1"/>
  <c r="S15" i="12" s="1"/>
  <c r="S31" i="12" s="1"/>
  <c r="V54" i="10"/>
  <c r="V56" i="10" s="1"/>
  <c r="V58" i="10" s="1"/>
  <c r="V25" i="10"/>
  <c r="W21" i="10" l="1"/>
  <c r="V27" i="10"/>
  <c r="V14" i="12" s="1"/>
  <c r="V74" i="10"/>
  <c r="V75" i="10"/>
  <c r="V88" i="10" s="1"/>
  <c r="V60" i="10"/>
  <c r="V64" i="10"/>
  <c r="V78" i="10"/>
  <c r="W53" i="10" l="1"/>
  <c r="W23" i="10"/>
  <c r="V93" i="10"/>
  <c r="V65" i="10"/>
  <c r="V66" i="10"/>
  <c r="V80" i="10"/>
  <c r="W25" i="10" l="1"/>
  <c r="W54" i="10"/>
  <c r="W56" i="10" s="1"/>
  <c r="W58" i="10" s="1"/>
  <c r="X21" i="10" l="1"/>
  <c r="W27" i="10"/>
  <c r="W14" i="12" s="1"/>
  <c r="W74" i="10"/>
  <c r="W75" i="10"/>
  <c r="W88" i="10" s="1"/>
  <c r="W60" i="10"/>
  <c r="W65" i="10" s="1"/>
  <c r="W64" i="10"/>
  <c r="W78" i="10"/>
  <c r="K329" i="8" l="1"/>
  <c r="K112" i="11" s="1"/>
  <c r="W66" i="10"/>
  <c r="W93" i="10"/>
  <c r="K334" i="8" s="1"/>
  <c r="K46" i="11" s="1"/>
  <c r="K111" i="14" s="1"/>
  <c r="X53" i="10"/>
  <c r="X23" i="10"/>
  <c r="W80" i="10"/>
  <c r="K50" i="11" l="1"/>
  <c r="K391" i="8" s="1"/>
  <c r="K114" i="11"/>
  <c r="T85" i="10"/>
  <c r="T87" i="10" s="1"/>
  <c r="T90" i="10" s="1"/>
  <c r="T67" i="10" s="1"/>
  <c r="T69" i="10" s="1"/>
  <c r="U85" i="10"/>
  <c r="U87" i="10" s="1"/>
  <c r="U90" i="10" s="1"/>
  <c r="V85" i="10"/>
  <c r="V87" i="10" s="1"/>
  <c r="V90" i="10" s="1"/>
  <c r="W85" i="10"/>
  <c r="W87" i="10" s="1"/>
  <c r="W90" i="10" s="1"/>
  <c r="X25" i="10"/>
  <c r="X54" i="10"/>
  <c r="X56" i="10" s="1"/>
  <c r="X58" i="10" s="1"/>
  <c r="K418" i="8" l="1"/>
  <c r="K421" i="8" s="1"/>
  <c r="K395" i="8"/>
  <c r="U63" i="10"/>
  <c r="T71" i="10"/>
  <c r="T15" i="12" s="1"/>
  <c r="T31" i="12" s="1"/>
  <c r="X74" i="10"/>
  <c r="X78" i="10"/>
  <c r="X75" i="10"/>
  <c r="X88" i="10" s="1"/>
  <c r="X60" i="10"/>
  <c r="X64" i="10"/>
  <c r="Y21" i="10"/>
  <c r="X27" i="10"/>
  <c r="X14" i="12" s="1"/>
  <c r="K397" i="8" l="1"/>
  <c r="K402" i="8" s="1"/>
  <c r="X80" i="10"/>
  <c r="U67" i="10"/>
  <c r="U69" i="10" s="1"/>
  <c r="V63" i="10" s="1"/>
  <c r="Y53" i="10"/>
  <c r="Y23" i="10"/>
  <c r="X93" i="10"/>
  <c r="X65" i="10"/>
  <c r="X66" i="10"/>
  <c r="K399" i="8" l="1"/>
  <c r="V67" i="10"/>
  <c r="V69" i="10" s="1"/>
  <c r="Y25" i="10"/>
  <c r="Y54" i="10"/>
  <c r="Y56" i="10" s="1"/>
  <c r="Y58" i="10" s="1"/>
  <c r="U71" i="10"/>
  <c r="U15" i="12" s="1"/>
  <c r="U31" i="12" s="1"/>
  <c r="W63" i="10" l="1"/>
  <c r="V71" i="10"/>
  <c r="V15" i="12" s="1"/>
  <c r="V31" i="12" s="1"/>
  <c r="Y78" i="10"/>
  <c r="Y74" i="10"/>
  <c r="Y75" i="10"/>
  <c r="Y88" i="10" s="1"/>
  <c r="Y60" i="10"/>
  <c r="Y65" i="10" s="1"/>
  <c r="Y64" i="10"/>
  <c r="Z21" i="10"/>
  <c r="Y27" i="10"/>
  <c r="Y14" i="12" s="1"/>
  <c r="Y93" i="10" l="1"/>
  <c r="Y66" i="10"/>
  <c r="Z53" i="10"/>
  <c r="Z23" i="10"/>
  <c r="Y80" i="10"/>
  <c r="W67" i="10"/>
  <c r="W69" i="10" s="1"/>
  <c r="X63" i="10" l="1"/>
  <c r="W71" i="10"/>
  <c r="W15" i="12" s="1"/>
  <c r="W31" i="12" s="1"/>
  <c r="Z25" i="10"/>
  <c r="Z54" i="10"/>
  <c r="Z56" i="10" s="1"/>
  <c r="Z58" i="10" s="1"/>
  <c r="Z64" i="10" l="1"/>
  <c r="Z75" i="10"/>
  <c r="Z88" i="10" s="1"/>
  <c r="Z74" i="10"/>
  <c r="Z78" i="10"/>
  <c r="Z60" i="10"/>
  <c r="Z65" i="10" s="1"/>
  <c r="AA21" i="10"/>
  <c r="Z27" i="10"/>
  <c r="Z14" i="12" s="1"/>
  <c r="Z66" i="10" l="1"/>
  <c r="Z80" i="10"/>
  <c r="AA23" i="10"/>
  <c r="AA53" i="10"/>
  <c r="AA54" i="10" s="1"/>
  <c r="AA56" i="10" s="1"/>
  <c r="AA58" i="10" s="1"/>
  <c r="Z93" i="10"/>
  <c r="AA25" i="10" l="1"/>
  <c r="AA27" i="10" s="1"/>
  <c r="AA14" i="12" s="1"/>
  <c r="F14" i="12" s="1"/>
  <c r="F30" i="12" s="1"/>
  <c r="AA64" i="10"/>
  <c r="AA60" i="10"/>
  <c r="AA65" i="10" s="1"/>
  <c r="AA75" i="10"/>
  <c r="AA88" i="10" s="1"/>
  <c r="AA74" i="10"/>
  <c r="AA78" i="10"/>
  <c r="H50" i="11"/>
  <c r="H391" i="8" l="1"/>
  <c r="AA93" i="10"/>
  <c r="AA80" i="10"/>
  <c r="I329" i="8"/>
  <c r="J329" i="8"/>
  <c r="J112" i="11" s="1"/>
  <c r="L329" i="8"/>
  <c r="L112" i="11" s="1"/>
  <c r="AA66" i="10"/>
  <c r="H418" i="8" l="1"/>
  <c r="H395" i="8"/>
  <c r="I332" i="8"/>
  <c r="I66" i="11" s="1"/>
  <c r="F13" i="14" s="1"/>
  <c r="I112" i="11"/>
  <c r="Y85" i="10"/>
  <c r="Y87" i="10" s="1"/>
  <c r="Y90" i="10" s="1"/>
  <c r="AA85" i="10"/>
  <c r="AA87" i="10" s="1"/>
  <c r="AA90" i="10" s="1"/>
  <c r="X85" i="10"/>
  <c r="X87" i="10" s="1"/>
  <c r="X90" i="10" s="1"/>
  <c r="X67" i="10" s="1"/>
  <c r="X69" i="10" s="1"/>
  <c r="Z85" i="10"/>
  <c r="Z87" i="10" s="1"/>
  <c r="Z90" i="10" s="1"/>
  <c r="I334" i="8"/>
  <c r="I46" i="11" s="1"/>
  <c r="I111" i="14" s="1"/>
  <c r="J334" i="8"/>
  <c r="J46" i="11" s="1"/>
  <c r="J111" i="14" s="1"/>
  <c r="L334" i="8"/>
  <c r="L46" i="11" s="1"/>
  <c r="L111" i="14" s="1"/>
  <c r="H397" i="8" l="1"/>
  <c r="H402" i="8" s="1"/>
  <c r="H421" i="8"/>
  <c r="H424" i="8" s="1"/>
  <c r="J50" i="11"/>
  <c r="J391" i="8" s="1"/>
  <c r="J114" i="11"/>
  <c r="J116" i="11" s="1"/>
  <c r="J118" i="11" s="1"/>
  <c r="J328" i="8"/>
  <c r="J332" i="8" s="1"/>
  <c r="K328" i="8" s="1"/>
  <c r="L50" i="11"/>
  <c r="L391" i="8" s="1"/>
  <c r="L114" i="11"/>
  <c r="I50" i="11"/>
  <c r="I391" i="8" s="1"/>
  <c r="I114" i="11"/>
  <c r="I116" i="11" s="1"/>
  <c r="I118" i="11" s="1"/>
  <c r="Y63" i="10"/>
  <c r="X71" i="10"/>
  <c r="H423" i="8" l="1"/>
  <c r="I425" i="8" s="1"/>
  <c r="H399" i="8"/>
  <c r="L395" i="8"/>
  <c r="L418" i="8"/>
  <c r="L421" i="8" s="1"/>
  <c r="J395" i="8"/>
  <c r="J418" i="8"/>
  <c r="J421" i="8" s="1"/>
  <c r="I418" i="8"/>
  <c r="I421" i="8" s="1"/>
  <c r="I424" i="8" s="1"/>
  <c r="I395" i="8"/>
  <c r="H426" i="8"/>
  <c r="H428" i="8" s="1"/>
  <c r="H430" i="8" s="1"/>
  <c r="H432" i="8" s="1"/>
  <c r="J66" i="11"/>
  <c r="X15" i="12"/>
  <c r="X31" i="12" s="1"/>
  <c r="Y67" i="10"/>
  <c r="Y69" i="10" s="1"/>
  <c r="Z63" i="10" s="1"/>
  <c r="J424" i="8" l="1"/>
  <c r="K424" i="8" s="1"/>
  <c r="L424" i="8" s="1"/>
  <c r="H403" i="8"/>
  <c r="H406" i="8" s="1"/>
  <c r="I401" i="8" s="1"/>
  <c r="I426" i="8"/>
  <c r="I428" i="8" s="1"/>
  <c r="I430" i="8" s="1"/>
  <c r="I432" i="8" s="1"/>
  <c r="I423" i="8"/>
  <c r="J423" i="8" s="1"/>
  <c r="I397" i="8"/>
  <c r="I402" i="8" s="1"/>
  <c r="J397" i="8"/>
  <c r="J402" i="8" s="1"/>
  <c r="L397" i="8"/>
  <c r="L402" i="8" s="1"/>
  <c r="Y71" i="10"/>
  <c r="Z67" i="10"/>
  <c r="Z69" i="10" s="1"/>
  <c r="AA63" i="10" s="1"/>
  <c r="H116" i="11"/>
  <c r="H118" i="11" s="1"/>
  <c r="H121" i="11" s="1"/>
  <c r="L399" i="8" l="1"/>
  <c r="H408" i="8"/>
  <c r="H411" i="8" s="1"/>
  <c r="I409" i="8" s="1"/>
  <c r="I399" i="8"/>
  <c r="J425" i="8"/>
  <c r="J426" i="8" s="1"/>
  <c r="J428" i="8" s="1"/>
  <c r="J430" i="8" s="1"/>
  <c r="J432" i="8" s="1"/>
  <c r="J399" i="8"/>
  <c r="K423" i="8"/>
  <c r="K425" i="8"/>
  <c r="K426" i="8" s="1"/>
  <c r="K428" i="8" s="1"/>
  <c r="K430" i="8" s="1"/>
  <c r="K432" i="8" s="1"/>
  <c r="H367" i="8"/>
  <c r="Y15" i="12"/>
  <c r="Y31" i="12" s="1"/>
  <c r="Z71" i="10"/>
  <c r="AA67" i="10"/>
  <c r="AA69" i="10" s="1"/>
  <c r="AA71" i="10" s="1"/>
  <c r="H413" i="8" l="1"/>
  <c r="H415" i="8" s="1"/>
  <c r="H434" i="8" s="1"/>
  <c r="H438" i="8" s="1"/>
  <c r="I403" i="8"/>
  <c r="I408" i="8" s="1"/>
  <c r="I411" i="8" s="1"/>
  <c r="I413" i="8" s="1"/>
  <c r="I415" i="8" s="1"/>
  <c r="I434" i="8" s="1"/>
  <c r="L423" i="8"/>
  <c r="L425" i="8"/>
  <c r="L426" i="8" s="1"/>
  <c r="L428" i="8" s="1"/>
  <c r="L430" i="8" s="1"/>
  <c r="L432" i="8" s="1"/>
  <c r="H371" i="8"/>
  <c r="AA15" i="12"/>
  <c r="AA31" i="12" s="1"/>
  <c r="Z15" i="12"/>
  <c r="Z31" i="12" s="1"/>
  <c r="L330" i="8"/>
  <c r="L113" i="11" s="1"/>
  <c r="K330" i="8"/>
  <c r="L116" i="11" l="1"/>
  <c r="L118" i="11" s="1"/>
  <c r="H437" i="8"/>
  <c r="H441" i="8" s="1"/>
  <c r="H442" i="8" s="1"/>
  <c r="H447" i="8" s="1"/>
  <c r="H52" i="11" s="1"/>
  <c r="I406" i="8"/>
  <c r="J401" i="8" s="1"/>
  <c r="J409" i="8"/>
  <c r="I437" i="8"/>
  <c r="I441" i="8" s="1"/>
  <c r="I438" i="8"/>
  <c r="K332" i="8"/>
  <c r="K66" i="11" s="1"/>
  <c r="K113" i="11"/>
  <c r="H372" i="8"/>
  <c r="H374" i="8" s="1"/>
  <c r="H123" i="11"/>
  <c r="F15" i="12"/>
  <c r="F31" i="12" s="1"/>
  <c r="K116" i="11" l="1"/>
  <c r="K118" i="11" s="1"/>
  <c r="H54" i="11"/>
  <c r="H61" i="11" s="1"/>
  <c r="H63" i="11" s="1"/>
  <c r="H112" i="14"/>
  <c r="J403" i="8"/>
  <c r="J408" i="8" s="1"/>
  <c r="J411" i="8" s="1"/>
  <c r="H445" i="8"/>
  <c r="I440" i="8" s="1"/>
  <c r="I442" i="8" s="1"/>
  <c r="I447" i="8" s="1"/>
  <c r="I52" i="11" s="1"/>
  <c r="I112" i="14" s="1"/>
  <c r="K16" i="12"/>
  <c r="K32" i="12" s="1"/>
  <c r="I16" i="12"/>
  <c r="I32" i="12" s="1"/>
  <c r="H16" i="12"/>
  <c r="H32" i="12" s="1"/>
  <c r="J16" i="12"/>
  <c r="J32" i="12" s="1"/>
  <c r="L328" i="8"/>
  <c r="L332" i="8" s="1"/>
  <c r="L66" i="11" s="1"/>
  <c r="H378" i="8"/>
  <c r="H124" i="11"/>
  <c r="H116" i="14" s="1"/>
  <c r="I370" i="8"/>
  <c r="I376" i="8" s="1"/>
  <c r="H67" i="11"/>
  <c r="K409" i="8" l="1"/>
  <c r="J413" i="8"/>
  <c r="J415" i="8" s="1"/>
  <c r="J434" i="8" s="1"/>
  <c r="J438" i="8" s="1"/>
  <c r="J406" i="8"/>
  <c r="K401" i="8" s="1"/>
  <c r="I445" i="8"/>
  <c r="J440" i="8" s="1"/>
  <c r="L16" i="12"/>
  <c r="L32" i="12" s="1"/>
  <c r="O16" i="12"/>
  <c r="O32" i="12" s="1"/>
  <c r="M16" i="12"/>
  <c r="M32" i="12" s="1"/>
  <c r="N16" i="12"/>
  <c r="N32" i="12" s="1"/>
  <c r="I54" i="11"/>
  <c r="K18" i="12"/>
  <c r="K34" i="12" s="1"/>
  <c r="J18" i="12"/>
  <c r="J34" i="12" s="1"/>
  <c r="H18" i="12"/>
  <c r="H34" i="12" s="1"/>
  <c r="I18" i="12"/>
  <c r="I34" i="12" s="1"/>
  <c r="H69" i="11"/>
  <c r="H71" i="11" s="1"/>
  <c r="H128" i="11"/>
  <c r="M17" i="12"/>
  <c r="M33" i="12" s="1"/>
  <c r="N17" i="12"/>
  <c r="N33" i="12" s="1"/>
  <c r="O17" i="12"/>
  <c r="O33" i="12" s="1"/>
  <c r="L17" i="12"/>
  <c r="I61" i="11" l="1"/>
  <c r="I63" i="11" s="1"/>
  <c r="F31" i="14"/>
  <c r="F51" i="14" s="1"/>
  <c r="F53" i="14" s="1"/>
  <c r="J437" i="8"/>
  <c r="J441" i="8" s="1"/>
  <c r="J442" i="8" s="1"/>
  <c r="J447" i="8" s="1"/>
  <c r="J52" i="11" s="1"/>
  <c r="J112" i="14" s="1"/>
  <c r="K403" i="8"/>
  <c r="K408" i="8" s="1"/>
  <c r="K411" i="8" s="1"/>
  <c r="L409" i="8" s="1"/>
  <c r="H83" i="11"/>
  <c r="H85" i="11" s="1"/>
  <c r="H93" i="11" s="1"/>
  <c r="H95" i="11" s="1"/>
  <c r="I119" i="11"/>
  <c r="I121" i="11" s="1"/>
  <c r="L33" i="12"/>
  <c r="R16" i="12" l="1"/>
  <c r="R32" i="12" s="1"/>
  <c r="S16" i="12"/>
  <c r="S32" i="12" s="1"/>
  <c r="Q16" i="12"/>
  <c r="Q32" i="12" s="1"/>
  <c r="P16" i="12"/>
  <c r="P32" i="12" s="1"/>
  <c r="J54" i="11"/>
  <c r="J61" i="11" s="1"/>
  <c r="J63" i="11" s="1"/>
  <c r="J445" i="8"/>
  <c r="K440" i="8" s="1"/>
  <c r="K406" i="8"/>
  <c r="L401" i="8" s="1"/>
  <c r="L403" i="8" s="1"/>
  <c r="L408" i="8" s="1"/>
  <c r="L411" i="8" s="1"/>
  <c r="L413" i="8" s="1"/>
  <c r="L415" i="8" s="1"/>
  <c r="L434" i="8" s="1"/>
  <c r="K413" i="8"/>
  <c r="K415" i="8" s="1"/>
  <c r="K434" i="8" s="1"/>
  <c r="I367" i="8"/>
  <c r="L438" i="8" l="1"/>
  <c r="L437" i="8"/>
  <c r="L441" i="8" s="1"/>
  <c r="K438" i="8"/>
  <c r="K437" i="8"/>
  <c r="K441" i="8" s="1"/>
  <c r="L406" i="8"/>
  <c r="I371" i="8"/>
  <c r="K442" i="8" l="1"/>
  <c r="K447" i="8" s="1"/>
  <c r="K52" i="11" s="1"/>
  <c r="I123" i="11"/>
  <c r="I372" i="8"/>
  <c r="W16" i="12" l="1"/>
  <c r="W32" i="12" s="1"/>
  <c r="K112" i="14"/>
  <c r="U16" i="12"/>
  <c r="U32" i="12" s="1"/>
  <c r="T16" i="12"/>
  <c r="T32" i="12" s="1"/>
  <c r="V16" i="12"/>
  <c r="V32" i="12" s="1"/>
  <c r="K54" i="11"/>
  <c r="K61" i="11" s="1"/>
  <c r="K63" i="11" s="1"/>
  <c r="K445" i="8"/>
  <c r="L440" i="8" s="1"/>
  <c r="L442" i="8" s="1"/>
  <c r="L447" i="8" s="1"/>
  <c r="L52" i="11" s="1"/>
  <c r="L112" i="14" s="1"/>
  <c r="I378" i="8"/>
  <c r="I124" i="11"/>
  <c r="I128" i="11" s="1"/>
  <c r="I374" i="8"/>
  <c r="I116" i="14" l="1"/>
  <c r="I118" i="14" s="1"/>
  <c r="L54" i="11"/>
  <c r="L61" i="11" s="1"/>
  <c r="L63" i="11" s="1"/>
  <c r="AA16" i="12"/>
  <c r="AA32" i="12" s="1"/>
  <c r="Z16" i="12"/>
  <c r="Z32" i="12" s="1"/>
  <c r="Y16" i="12"/>
  <c r="Y32" i="12" s="1"/>
  <c r="X16" i="12"/>
  <c r="L445" i="8"/>
  <c r="J370" i="8"/>
  <c r="I67" i="11"/>
  <c r="J119" i="11"/>
  <c r="J121" i="11" s="1"/>
  <c r="I83" i="11"/>
  <c r="I85" i="11" s="1"/>
  <c r="O18" i="12"/>
  <c r="O34" i="12" s="1"/>
  <c r="L18" i="12"/>
  <c r="L34" i="12" s="1"/>
  <c r="M18" i="12"/>
  <c r="M34" i="12" s="1"/>
  <c r="N18" i="12"/>
  <c r="N34" i="12" s="1"/>
  <c r="I120" i="14" l="1"/>
  <c r="I121" i="14"/>
  <c r="I69" i="11"/>
  <c r="F14" i="14"/>
  <c r="I93" i="11"/>
  <c r="I95" i="11" s="1"/>
  <c r="F11" i="14"/>
  <c r="X32" i="12"/>
  <c r="F16" i="12"/>
  <c r="F32" i="12" s="1"/>
  <c r="J367" i="8"/>
  <c r="J376" i="8"/>
  <c r="I71" i="11" l="1"/>
  <c r="F32" i="14"/>
  <c r="F42" i="14" s="1"/>
  <c r="F44" i="14" s="1"/>
  <c r="S17" i="12"/>
  <c r="S33" i="12" s="1"/>
  <c r="Q17" i="12"/>
  <c r="Q33" i="12" s="1"/>
  <c r="P17" i="12"/>
  <c r="P33" i="12" s="1"/>
  <c r="R17" i="12"/>
  <c r="R33" i="12" s="1"/>
  <c r="J371" i="8"/>
  <c r="J372" i="8" s="1"/>
  <c r="J378" i="8" l="1"/>
  <c r="J124" i="11"/>
  <c r="J123" i="11"/>
  <c r="J374" i="8"/>
  <c r="J116" i="14" l="1"/>
  <c r="J128" i="11"/>
  <c r="K119" i="11" s="1"/>
  <c r="K121" i="11" s="1"/>
  <c r="J67" i="11"/>
  <c r="J69" i="11" s="1"/>
  <c r="J71" i="11" s="1"/>
  <c r="K370" i="8"/>
  <c r="S18" i="12"/>
  <c r="S34" i="12" s="1"/>
  <c r="Q18" i="12"/>
  <c r="Q34" i="12" s="1"/>
  <c r="R18" i="12"/>
  <c r="R34" i="12" s="1"/>
  <c r="P18" i="12"/>
  <c r="P34" i="12" s="1"/>
  <c r="J118" i="14" l="1"/>
  <c r="J83" i="11"/>
  <c r="J85" i="11" s="1"/>
  <c r="J93" i="11" s="1"/>
  <c r="J95" i="11" s="1"/>
  <c r="K367" i="8"/>
  <c r="K376" i="8"/>
  <c r="J120" i="14" l="1"/>
  <c r="J121" i="14"/>
  <c r="W17" i="12"/>
  <c r="W33" i="12" s="1"/>
  <c r="T17" i="12"/>
  <c r="V17" i="12"/>
  <c r="V33" i="12" s="1"/>
  <c r="U17" i="12"/>
  <c r="U33" i="12" s="1"/>
  <c r="K371" i="8"/>
  <c r="K372" i="8" s="1"/>
  <c r="K378" i="8" l="1"/>
  <c r="K124" i="11"/>
  <c r="K123" i="11"/>
  <c r="K116" i="14" s="1"/>
  <c r="K374" i="8"/>
  <c r="T33" i="12"/>
  <c r="K118" i="14" l="1"/>
  <c r="K128" i="11"/>
  <c r="L119" i="11" s="1"/>
  <c r="L121" i="11" s="1"/>
  <c r="K67" i="11"/>
  <c r="K69" i="11" s="1"/>
  <c r="K71" i="11" s="1"/>
  <c r="L370" i="8"/>
  <c r="T18" i="12"/>
  <c r="V18" i="12"/>
  <c r="V34" i="12" s="1"/>
  <c r="W18" i="12"/>
  <c r="W34" i="12" s="1"/>
  <c r="U18" i="12"/>
  <c r="U34" i="12" s="1"/>
  <c r="K121" i="14" l="1"/>
  <c r="K120" i="14"/>
  <c r="K83" i="11"/>
  <c r="K85" i="11" s="1"/>
  <c r="K93" i="11" s="1"/>
  <c r="K95" i="11" s="1"/>
  <c r="T34" i="12"/>
  <c r="L376" i="8"/>
  <c r="L367" i="8"/>
  <c r="L371" i="8" l="1"/>
  <c r="L372" i="8" s="1"/>
  <c r="X17" i="12"/>
  <c r="Z17" i="12"/>
  <c r="Z33" i="12" s="1"/>
  <c r="AA17" i="12"/>
  <c r="AA33" i="12" s="1"/>
  <c r="Y17" i="12"/>
  <c r="Y33" i="12" s="1"/>
  <c r="L378" i="8" l="1"/>
  <c r="L124" i="11"/>
  <c r="X33" i="12"/>
  <c r="F17" i="12"/>
  <c r="F33" i="12" s="1"/>
  <c r="L123" i="11"/>
  <c r="L374" i="8"/>
  <c r="L67" i="11" s="1"/>
  <c r="L69" i="11" s="1"/>
  <c r="L71" i="11" s="1"/>
  <c r="L116" i="14" l="1"/>
  <c r="L128" i="11"/>
  <c r="L83" i="11" s="1"/>
  <c r="L85" i="11" s="1"/>
  <c r="L93" i="11" s="1"/>
  <c r="L95" i="11" s="1"/>
  <c r="Y18" i="12"/>
  <c r="Y34" i="12" s="1"/>
  <c r="AA18" i="12"/>
  <c r="AA34" i="12" s="1"/>
  <c r="X18" i="12"/>
  <c r="Z18" i="12"/>
  <c r="Z34" i="12" s="1"/>
  <c r="K122" i="14" l="1"/>
  <c r="K124" i="14" s="1"/>
  <c r="K128" i="14" s="1"/>
  <c r="L118" i="14"/>
  <c r="J122" i="14"/>
  <c r="J124" i="14" s="1"/>
  <c r="J128" i="14" s="1"/>
  <c r="I122" i="14"/>
  <c r="I124" i="14" s="1"/>
  <c r="I128" i="14" s="1"/>
  <c r="X34" i="12"/>
  <c r="F18" i="12"/>
  <c r="F34" i="12" s="1"/>
  <c r="L120" i="14" l="1"/>
  <c r="L121" i="14"/>
  <c r="L124" i="14" l="1"/>
  <c r="L128" i="14" s="1"/>
  <c r="H113" i="14" l="1"/>
  <c r="H110" i="14"/>
  <c r="H90" i="14"/>
  <c r="H88" i="14"/>
  <c r="H94" i="14" l="1"/>
  <c r="H97" i="14" l="1"/>
  <c r="H96" i="14"/>
  <c r="H99" i="14" l="1"/>
  <c r="H103" i="14" s="1"/>
  <c r="F104" i="14" s="1"/>
  <c r="H118" i="14" l="1"/>
  <c r="H121" i="14" l="1"/>
  <c r="H120" i="14"/>
  <c r="F16" i="14" l="1"/>
  <c r="H122" i="14" l="1"/>
  <c r="H124" i="14" s="1"/>
  <c r="H128" i="14" s="1"/>
  <c r="F129" i="14" l="1"/>
</calcChain>
</file>

<file path=xl/sharedStrings.xml><?xml version="1.0" encoding="utf-8"?>
<sst xmlns="http://schemas.openxmlformats.org/spreadsheetml/2006/main" count="1440" uniqueCount="500">
  <si>
    <t>Period reference</t>
  </si>
  <si>
    <t>Start of period</t>
  </si>
  <si>
    <t>End of period</t>
  </si>
  <si>
    <t>Actual / Projected</t>
  </si>
  <si>
    <t>Overall Project inputs</t>
  </si>
  <si>
    <t>Operations start date</t>
  </si>
  <si>
    <t>Projected period start date</t>
  </si>
  <si>
    <t>Model duration (projected period)</t>
  </si>
  <si>
    <t>#date</t>
  </si>
  <si>
    <t># years</t>
  </si>
  <si>
    <t>Units</t>
  </si>
  <si>
    <t>Model end date</t>
  </si>
  <si>
    <t>Annual timeline</t>
  </si>
  <si>
    <t>Actual / Projected period</t>
  </si>
  <si>
    <t>#</t>
  </si>
  <si>
    <t>Actual/projected</t>
  </si>
  <si>
    <t>Months per period</t>
  </si>
  <si>
    <t xml:space="preserve">Quarterly timeline </t>
  </si>
  <si>
    <t>End of Sheet</t>
  </si>
  <si>
    <t>Flag and counters</t>
  </si>
  <si>
    <t>Operations start flag</t>
  </si>
  <si>
    <t>#flag</t>
  </si>
  <si>
    <t>Operations ON flag</t>
  </si>
  <si>
    <t>Operations counter</t>
  </si>
  <si>
    <t>Actual period flag</t>
  </si>
  <si>
    <t>Projected period flag</t>
  </si>
  <si>
    <t>Operational proportion of the year</t>
  </si>
  <si>
    <t>%</t>
  </si>
  <si>
    <t>Number of days operational in the year</t>
  </si>
  <si>
    <t>Revenue</t>
  </si>
  <si>
    <t>Revenue related inputs</t>
  </si>
  <si>
    <t>Milk yield</t>
  </si>
  <si>
    <t>Milk yield per day</t>
  </si>
  <si>
    <t>liters</t>
  </si>
  <si>
    <t>Y-o-y growth in milk yield</t>
  </si>
  <si>
    <t>Normal loss</t>
  </si>
  <si>
    <t>Product mix</t>
  </si>
  <si>
    <t>% of milk yield</t>
  </si>
  <si>
    <t>Product selling price</t>
  </si>
  <si>
    <t>Rs./liter</t>
  </si>
  <si>
    <t>Y-o-y growth in product selling price</t>
  </si>
  <si>
    <t>% p.a.</t>
  </si>
  <si>
    <t>Cost related inputs</t>
  </si>
  <si>
    <t>Fixed costs</t>
  </si>
  <si>
    <t>Rent</t>
  </si>
  <si>
    <t>Rent per annum</t>
  </si>
  <si>
    <t>Rs. Mn</t>
  </si>
  <si>
    <t>Rent escalation interval</t>
  </si>
  <si>
    <t># of years</t>
  </si>
  <si>
    <t>Rent escalation %</t>
  </si>
  <si>
    <t>Insurance (business continuity)</t>
  </si>
  <si>
    <t>Business continuity insurance expenditure</t>
  </si>
  <si>
    <t>Escalation interval</t>
  </si>
  <si>
    <t>Escalation %</t>
  </si>
  <si>
    <t>Housekeeping and maintenance</t>
  </si>
  <si>
    <t>Housekeeping and maintenance expense input</t>
  </si>
  <si>
    <t>Housekeeping and maintenance expense</t>
  </si>
  <si>
    <t>Escalation y-o-y</t>
  </si>
  <si>
    <t>Other miscellaneous expenses</t>
  </si>
  <si>
    <t>Increase in expenses y-o-y</t>
  </si>
  <si>
    <t>Variable costs</t>
  </si>
  <si>
    <t>Labour cost</t>
  </si>
  <si>
    <t>Number of FTEs</t>
  </si>
  <si>
    <t>Increase in milk yield per additional FTE</t>
  </si>
  <si>
    <t>liters per day</t>
  </si>
  <si>
    <t>Labour cost per FTE per month</t>
  </si>
  <si>
    <t>Rs.</t>
  </si>
  <si>
    <t>Increase in labour cost per annum</t>
  </si>
  <si>
    <t>Managerial remuneration</t>
  </si>
  <si>
    <t>Number of senior managerial personnel</t>
  </si>
  <si>
    <t>Revenue threshold for adding senior managerial personnel</t>
  </si>
  <si>
    <t>Incremental revenue per additional senior manager (rounded)</t>
  </si>
  <si>
    <t>Labour cost per senior manager per month</t>
  </si>
  <si>
    <t>Feedstock</t>
  </si>
  <si>
    <t>Quantity consumed</t>
  </si>
  <si>
    <t>kgs</t>
  </si>
  <si>
    <t>Gross yield threshold for increase in consumption</t>
  </si>
  <si>
    <t>Incremental consumption based on increase in yield</t>
  </si>
  <si>
    <t>Cost of feedstock</t>
  </si>
  <si>
    <t>Rs. / kg</t>
  </si>
  <si>
    <t>Increase in cost of feedstock per annum</t>
  </si>
  <si>
    <t>Cattle maintenance cost</t>
  </si>
  <si>
    <t>Historical cattle maintenance cost</t>
  </si>
  <si>
    <t>% of livestock asset base (gross)</t>
  </si>
  <si>
    <t>Packaging cost</t>
  </si>
  <si>
    <t>Packaging cost (actual)</t>
  </si>
  <si>
    <t>Packaging cost per liter (projected)</t>
  </si>
  <si>
    <t>% of selling price</t>
  </si>
  <si>
    <t>Selling, Marketing and Advertising costs (SMA costs)</t>
  </si>
  <si>
    <t>SMA costs (actual)</t>
  </si>
  <si>
    <t>Projected SMA costs for the first year of projections</t>
  </si>
  <si>
    <t>% of total revenues</t>
  </si>
  <si>
    <t>Reduction in SMA costs per annum</t>
  </si>
  <si>
    <t>Stabilised SMA costs</t>
  </si>
  <si>
    <t>Milk</t>
  </si>
  <si>
    <t>Yogurt</t>
  </si>
  <si>
    <t>Butter</t>
  </si>
  <si>
    <t>Cheese</t>
  </si>
  <si>
    <t>Cottage Cheese (Paneer)</t>
  </si>
  <si>
    <t>Milk-Based Energy Drinks</t>
  </si>
  <si>
    <t>Ice-creams</t>
  </si>
  <si>
    <t>Fixed assets related inputs</t>
  </si>
  <si>
    <t>Land</t>
  </si>
  <si>
    <t>Land acquisition</t>
  </si>
  <si>
    <t>Livestock</t>
  </si>
  <si>
    <t>Additions to livestock as % of gross block</t>
  </si>
  <si>
    <t xml:space="preserve">Additions to livestock </t>
  </si>
  <si>
    <t>Buildings</t>
  </si>
  <si>
    <t>Capex additions to building - actual</t>
  </si>
  <si>
    <t>Capex additions to building - projected</t>
  </si>
  <si>
    <t>% of gross block</t>
  </si>
  <si>
    <t>Plant and machinery (P&amp;M)</t>
  </si>
  <si>
    <t>Capex additions to P&amp;M - actual</t>
  </si>
  <si>
    <t xml:space="preserve">Capex additions to P&amp;L - projected overrides </t>
  </si>
  <si>
    <t>Capex additions to P&amp;M - projected (increase y-o-y)</t>
  </si>
  <si>
    <t>Furniture &amp; fixtures (F&amp;F)</t>
  </si>
  <si>
    <t>Capex additions to F&amp;F - actual</t>
  </si>
  <si>
    <t>Capex additions to F&amp;F - projected</t>
  </si>
  <si>
    <t>Vehicles</t>
  </si>
  <si>
    <t>Capex additions to vehicles - actual</t>
  </si>
  <si>
    <t>Capex additions to vehicles - projected</t>
  </si>
  <si>
    <t>Computers</t>
  </si>
  <si>
    <t>Capex additions to Computers - actual</t>
  </si>
  <si>
    <t>Capex additions to Computers - projected</t>
  </si>
  <si>
    <t>% of net block</t>
  </si>
  <si>
    <t>Depriciation related inputs</t>
  </si>
  <si>
    <t>Asset class</t>
  </si>
  <si>
    <t>Book depreciation</t>
  </si>
  <si>
    <t xml:space="preserve">Tax depreciation (WDV %)
</t>
  </si>
  <si>
    <t>SLM (%)</t>
  </si>
  <si>
    <t>Residual life (%)</t>
  </si>
  <si>
    <t>WDV (%)</t>
  </si>
  <si>
    <t xml:space="preserve">Chosen book depreciation method 
(1 - SLM, 0 - WDV)
</t>
  </si>
  <si>
    <t>P&amp;M</t>
  </si>
  <si>
    <t>F&amp;F</t>
  </si>
  <si>
    <t>Capital structure related inputs</t>
  </si>
  <si>
    <t>Initial capital infusion date</t>
  </si>
  <si>
    <t>Equity infused</t>
  </si>
  <si>
    <t>Senior debt</t>
  </si>
  <si>
    <t>Implied debt-to-capital ratio</t>
  </si>
  <si>
    <t>Debt repayment terms</t>
  </si>
  <si>
    <t>Interest moratorium</t>
  </si>
  <si>
    <t># months</t>
  </si>
  <si>
    <t>Repayment profile</t>
  </si>
  <si>
    <t>#list</t>
  </si>
  <si>
    <t>Quarterly</t>
  </si>
  <si>
    <t>Interest rate</t>
  </si>
  <si>
    <t>DSCR to be maintained for sculpting repayments</t>
  </si>
  <si>
    <t>Number of quarters to be considered for sculpting repayments</t>
  </si>
  <si>
    <t>Refinancing terms</t>
  </si>
  <si>
    <t>Lock-in period for refinancing</t>
  </si>
  <si>
    <t>Interest rate upon refinancing</t>
  </si>
  <si>
    <t>Average CFADS to be achieved to be eligible for refinancing</t>
  </si>
  <si>
    <t>% of opening principal</t>
  </si>
  <si>
    <t>Number of quarters CFADS to be checked for refinanced loan</t>
  </si>
  <si>
    <t>Cash at the end of the year</t>
  </si>
  <si>
    <t>Threshold of cash to be maintained</t>
  </si>
  <si>
    <t>Interest income on excess cash</t>
  </si>
  <si>
    <t>Interest expense on short-term promoter loan to meet cash shortfall</t>
  </si>
  <si>
    <t>% p.a. on opening balance</t>
  </si>
  <si>
    <t>Working capital related inputs</t>
  </si>
  <si>
    <t>Inventory</t>
  </si>
  <si>
    <t># of days of sales</t>
  </si>
  <si>
    <t>Debtors</t>
  </si>
  <si>
    <t>Creditors and payables</t>
  </si>
  <si>
    <t>for fixed costs</t>
  </si>
  <si>
    <t># of days of corresponding cost</t>
  </si>
  <si>
    <t>for variable costs</t>
  </si>
  <si>
    <t>Provisions</t>
  </si>
  <si>
    <t>% of debtors</t>
  </si>
  <si>
    <t>Tax related inputs</t>
  </si>
  <si>
    <t>Corporate tax rate</t>
  </si>
  <si>
    <t>% of taxable income</t>
  </si>
  <si>
    <t>MAT rate</t>
  </si>
  <si>
    <t>% of adjusted book profit</t>
  </si>
  <si>
    <t>Applicable Surcharge if taxable income less than</t>
  </si>
  <si>
    <t xml:space="preserve">Applicable surcharge if taxable income less than </t>
  </si>
  <si>
    <t>Applicable surcharge if taxable income greater than</t>
  </si>
  <si>
    <t>Education cess + secondary and higher education cess</t>
  </si>
  <si>
    <t>Number of years business losses allowed to be carried forward</t>
  </si>
  <si>
    <t>#years</t>
  </si>
  <si>
    <t>Number of years MAT credit allowed to be carried forward</t>
  </si>
  <si>
    <t>Valuation related inputs</t>
  </si>
  <si>
    <t>Valuation date</t>
  </si>
  <si>
    <t>Explicit period</t>
  </si>
  <si>
    <t>Discount rate inputs</t>
  </si>
  <si>
    <t>Risk free rate</t>
  </si>
  <si>
    <t>Market return</t>
  </si>
  <si>
    <t>Long-term debt proportion in capital structure</t>
  </si>
  <si>
    <t>Beta of comparable companies</t>
  </si>
  <si>
    <t>Long-term stable growth rate</t>
  </si>
  <si>
    <t>Multiples related inputs</t>
  </si>
  <si>
    <t>Average revenue of comparable companies for FY16</t>
  </si>
  <si>
    <t>Average EBITDA margin of comparable companies for FY16</t>
  </si>
  <si>
    <t>Average market capitalisation of comparable companies as at 31 March 2016</t>
  </si>
  <si>
    <t>Average EV/EBITDA of comparable companies</t>
  </si>
  <si>
    <t>Average P/E multiple of comparable companies</t>
  </si>
  <si>
    <t>Discount to be applied to multiples</t>
  </si>
  <si>
    <t>Discount to be applied to P/E</t>
  </si>
  <si>
    <t>END OF SHEET</t>
  </si>
  <si>
    <t>Milk yield for the year</t>
  </si>
  <si>
    <t>Milk products mix</t>
  </si>
  <si>
    <t>Percentage mix</t>
  </si>
  <si>
    <t>Quantity</t>
  </si>
  <si>
    <t>Milk products price</t>
  </si>
  <si>
    <t>Total revenue</t>
  </si>
  <si>
    <t>Fixed cost</t>
  </si>
  <si>
    <t>Rent escalation flag for projected period</t>
  </si>
  <si>
    <t>Actual period rent</t>
  </si>
  <si>
    <t>Projected rent</t>
  </si>
  <si>
    <t>Rent expense</t>
  </si>
  <si>
    <t>Escalation flag for projected period</t>
  </si>
  <si>
    <t>Actual period insurance expense</t>
  </si>
  <si>
    <t>Projected insurance expense</t>
  </si>
  <si>
    <t>Insurance expense</t>
  </si>
  <si>
    <t>Total fixed cost</t>
  </si>
  <si>
    <t>Variable cost</t>
  </si>
  <si>
    <t>Number of FTEs added during the year</t>
  </si>
  <si>
    <t>Number of FTEs in actual period</t>
  </si>
  <si>
    <t>Total number of FTEs in projected period</t>
  </si>
  <si>
    <t>Total number of FTEs in the year</t>
  </si>
  <si>
    <t>Rs./FTE/month</t>
  </si>
  <si>
    <t>Labour cost for the year</t>
  </si>
  <si>
    <t>Revenue threshold for adding senior manager - flag</t>
  </si>
  <si>
    <t>Number of senior Managers to be added</t>
  </si>
  <si>
    <t>Number of senior managerial personnel in actual period</t>
  </si>
  <si>
    <t>Number of senior managerial personnel in projected period</t>
  </si>
  <si>
    <t>Total number of senior managerial personnel</t>
  </si>
  <si>
    <t>Rs./Manager/month</t>
  </si>
  <si>
    <t>Managerial remuneration expense for the year</t>
  </si>
  <si>
    <t>Gross yield threshold for increase in feedstock consumption - flag</t>
  </si>
  <si>
    <t>Incremental feedstock consumption</t>
  </si>
  <si>
    <t>Feedstock consumed in actual period</t>
  </si>
  <si>
    <t>Feedstock consumed in projected period</t>
  </si>
  <si>
    <t>Feedstock consumed</t>
  </si>
  <si>
    <t>Cost per kg of feedstock</t>
  </si>
  <si>
    <t>Rs./kg</t>
  </si>
  <si>
    <t>Feedstock cost for the year</t>
  </si>
  <si>
    <t>Gross asset base of livestock</t>
  </si>
  <si>
    <t>Packaging cost in actual period</t>
  </si>
  <si>
    <t>Packaging cost in projected period</t>
  </si>
  <si>
    <t>Total packaging cost</t>
  </si>
  <si>
    <t>Selling, marketing and Administration (SMA) costs</t>
  </si>
  <si>
    <t>Change in SMA cost y-o-y in projected period</t>
  </si>
  <si>
    <t>SMA cost in actual period</t>
  </si>
  <si>
    <t>SMA cost in projected period</t>
  </si>
  <si>
    <t>SMA cost for the year</t>
  </si>
  <si>
    <t>Total variable costs</t>
  </si>
  <si>
    <t>Fixed asset calculations and control accounts</t>
  </si>
  <si>
    <t>Gross block</t>
  </si>
  <si>
    <t>Opening gross block</t>
  </si>
  <si>
    <t>Plant &amp; machinery</t>
  </si>
  <si>
    <t>Furniture &amp; fixtures</t>
  </si>
  <si>
    <t>Total</t>
  </si>
  <si>
    <t>Additions</t>
  </si>
  <si>
    <t>Closing gross block</t>
  </si>
  <si>
    <t>Opening accumulated depreciation</t>
  </si>
  <si>
    <t>Accumulated depreciation</t>
  </si>
  <si>
    <t>Depreciation for the year</t>
  </si>
  <si>
    <t>Closing accumulated depreciation</t>
  </si>
  <si>
    <t>Net block</t>
  </si>
  <si>
    <t>Opening net block</t>
  </si>
  <si>
    <t>Closing net block</t>
  </si>
  <si>
    <t>Depriciation</t>
  </si>
  <si>
    <t>Straight line method</t>
  </si>
  <si>
    <t>Written-down value method</t>
  </si>
  <si>
    <t>Tax depreciation</t>
  </si>
  <si>
    <t>Opening net block + additions during the year - accumulated depreciation = Block for tax depreciation</t>
  </si>
  <si>
    <t>Tax depreciation - WDV method</t>
  </si>
  <si>
    <t>Closing net block (tax)</t>
  </si>
  <si>
    <t>Capital structure</t>
  </si>
  <si>
    <t>Equity</t>
  </si>
  <si>
    <t>Opening balance</t>
  </si>
  <si>
    <t>Additions during the year</t>
  </si>
  <si>
    <t>Closing balance</t>
  </si>
  <si>
    <t>Debt</t>
  </si>
  <si>
    <t>Repayments during the year</t>
  </si>
  <si>
    <t>Interest expense for the year</t>
  </si>
  <si>
    <t>Working capital</t>
  </si>
  <si>
    <t>Rs.Mn</t>
  </si>
  <si>
    <t>Total inventory</t>
  </si>
  <si>
    <t>For fixed costs</t>
  </si>
  <si>
    <t>For variable costs</t>
  </si>
  <si>
    <t>Total creditors and payables</t>
  </si>
  <si>
    <t>Short term funding</t>
  </si>
  <si>
    <t>Cash balance for the year before short-term funding</t>
  </si>
  <si>
    <t>Tax on EBT</t>
  </si>
  <si>
    <t>Tax rates</t>
  </si>
  <si>
    <t>Particulars</t>
  </si>
  <si>
    <t>Tax rate (%)</t>
  </si>
  <si>
    <t>MAT rate (%)</t>
  </si>
  <si>
    <t>Taxable income less than</t>
  </si>
  <si>
    <t>Taxable income greater than</t>
  </si>
  <si>
    <t>Surcharge (%)</t>
  </si>
  <si>
    <t>Education cess (%)</t>
  </si>
  <si>
    <t>Income tax rate (%)</t>
  </si>
  <si>
    <t>Tax computations</t>
  </si>
  <si>
    <t>PBT</t>
  </si>
  <si>
    <t>Add: book depreciation</t>
  </si>
  <si>
    <t>Less: tax depreciation</t>
  </si>
  <si>
    <t>Taxable income</t>
  </si>
  <si>
    <t>Business loss for the year</t>
  </si>
  <si>
    <t>Amount of tax profits available for set-off</t>
  </si>
  <si>
    <t>Opening balance of unabsorbed business losses</t>
  </si>
  <si>
    <t>Added during the year</t>
  </si>
  <si>
    <t>Used during the year</t>
  </si>
  <si>
    <t>Lapsed during the year</t>
  </si>
  <si>
    <t>Closing balance of unabsorbed business losses</t>
  </si>
  <si>
    <t>Taxable income after set-off of business losses</t>
  </si>
  <si>
    <t>Less: carry forward of unabsorbed depreciation</t>
  </si>
  <si>
    <t>Taxable income for Income tax</t>
  </si>
  <si>
    <t>Income tax rate applicable</t>
  </si>
  <si>
    <t>Income tax payable</t>
  </si>
  <si>
    <t>MAT computations</t>
  </si>
  <si>
    <t>Book profits before depreciation</t>
  </si>
  <si>
    <t>Depreciation</t>
  </si>
  <si>
    <t>Book profits after depreciation</t>
  </si>
  <si>
    <t>Cumulative book losses</t>
  </si>
  <si>
    <t>Cumulative book depreciation</t>
  </si>
  <si>
    <t>Brought forward book losses available for set off</t>
  </si>
  <si>
    <t>Book losses set off during the year</t>
  </si>
  <si>
    <t>Taxable income for MAT</t>
  </si>
  <si>
    <t>MAT rate applicable</t>
  </si>
  <si>
    <t>MAT</t>
  </si>
  <si>
    <t>Higher of Income tax or MAT</t>
  </si>
  <si>
    <t>MAT credit</t>
  </si>
  <si>
    <t>MAT amount available for set off</t>
  </si>
  <si>
    <t>Normal tax eligible for set-off</t>
  </si>
  <si>
    <t>Opening balance of MAT credit</t>
  </si>
  <si>
    <t>Closing balance of MAT credit</t>
  </si>
  <si>
    <t>Net tax liability for the year</t>
  </si>
  <si>
    <t>Tax on EBIT</t>
  </si>
  <si>
    <t>PBIT</t>
  </si>
  <si>
    <t>Net tax on EBIT</t>
  </si>
  <si>
    <t>End of the sheet</t>
  </si>
  <si>
    <t>Debt related flags</t>
  </si>
  <si>
    <t>Debt drawdown flag</t>
  </si>
  <si>
    <t>Moratorium ON flag</t>
  </si>
  <si>
    <t>Repayment start date flag</t>
  </si>
  <si>
    <t>Repayment ON flag</t>
  </si>
  <si>
    <t>Repayment counter</t>
  </si>
  <si>
    <t>#counter</t>
  </si>
  <si>
    <t>Corresponding year-end</t>
  </si>
  <si>
    <t>Debt schedule</t>
  </si>
  <si>
    <t>Original debt schedule</t>
  </si>
  <si>
    <t>Repayments</t>
  </si>
  <si>
    <t>Interest expense</t>
  </si>
  <si>
    <t>DSCR for sculpting repayments</t>
  </si>
  <si>
    <t>EBITDA</t>
  </si>
  <si>
    <t>Less: Interest on senior debt</t>
  </si>
  <si>
    <t>Circ</t>
  </si>
  <si>
    <t>Less: Interest on shortfall funding / working capital loan</t>
  </si>
  <si>
    <t>Add: interest income on excess cash</t>
  </si>
  <si>
    <t>Less: taxes</t>
  </si>
  <si>
    <t>Cash flow available for debt service (CFADS)</t>
  </si>
  <si>
    <t>Sculpted repayments</t>
  </si>
  <si>
    <t>Periodic flags for sculpting repayments</t>
  </si>
  <si>
    <t>Sculpting counter</t>
  </si>
  <si>
    <t>Applicable CFADS for rolling 4-quarter period</t>
  </si>
  <si>
    <t>Total possible repayments for the period</t>
  </si>
  <si>
    <t>Interest for the period</t>
  </si>
  <si>
    <t>Permissible principal repayment for the period</t>
  </si>
  <si>
    <t>Refinancing calculations</t>
  </si>
  <si>
    <t>CFADS</t>
  </si>
  <si>
    <t>CFADS as % of outstanding opening principal balance</t>
  </si>
  <si>
    <t>Average CFADS</t>
  </si>
  <si>
    <t>CFADS eligible for refinancing</t>
  </si>
  <si>
    <t>Refinancing eligiblity start flag (as per drawdown date)</t>
  </si>
  <si>
    <t>Refinancing flag</t>
  </si>
  <si>
    <t># flag</t>
  </si>
  <si>
    <t>Refinanced debt</t>
  </si>
  <si>
    <t>Refinanced debt schedule</t>
  </si>
  <si>
    <t>Addition of original debt</t>
  </si>
  <si>
    <t>Addition of refinanced debt</t>
  </si>
  <si>
    <t>Repayment of original debt</t>
  </si>
  <si>
    <t>Repayment of refinanced debt</t>
  </si>
  <si>
    <t>DSCR for sculpting repayments for refinanced debt</t>
  </si>
  <si>
    <t>Less: Interest on senior debt - post refinancing</t>
  </si>
  <si>
    <t>Sculpted repayments - post refinancing</t>
  </si>
  <si>
    <t>Interest to be considered for P&amp;L</t>
  </si>
  <si>
    <t>End of sheet</t>
  </si>
  <si>
    <t>Circularity breaker</t>
  </si>
  <si>
    <t>Copy</t>
  </si>
  <si>
    <t>Interest on senior debt</t>
  </si>
  <si>
    <t>Interest on senior debt - post refinancing</t>
  </si>
  <si>
    <t>Taxes</t>
  </si>
  <si>
    <t>Interest expense on working capital loan</t>
  </si>
  <si>
    <t>Paste</t>
  </si>
  <si>
    <t>Difference</t>
  </si>
  <si>
    <t>Revenues</t>
  </si>
  <si>
    <t>Total revenues</t>
  </si>
  <si>
    <t>Insurance</t>
  </si>
  <si>
    <t>Total fixed costs</t>
  </si>
  <si>
    <t>Contribution</t>
  </si>
  <si>
    <t>Profit and loss statement</t>
  </si>
  <si>
    <t>Employee cost</t>
  </si>
  <si>
    <t>Selling, Marketing and Advertising costs</t>
  </si>
  <si>
    <t>Total Variable costs</t>
  </si>
  <si>
    <t>EBIT</t>
  </si>
  <si>
    <t>Interest expense on senior debt</t>
  </si>
  <si>
    <t>Interest income</t>
  </si>
  <si>
    <t>EBT</t>
  </si>
  <si>
    <t>Tax</t>
  </si>
  <si>
    <t>PAT</t>
  </si>
  <si>
    <t>Balance sheet</t>
  </si>
  <si>
    <t>Shareholders' Funds</t>
  </si>
  <si>
    <t>Equity share capital</t>
  </si>
  <si>
    <t>Reserves &amp; surplus</t>
  </si>
  <si>
    <t>Total Shareholders' funds</t>
  </si>
  <si>
    <t>Debt funds</t>
  </si>
  <si>
    <t>Long-term loans</t>
  </si>
  <si>
    <t>Short-term working capital loan</t>
  </si>
  <si>
    <t>Total Debt funds</t>
  </si>
  <si>
    <t>Total Liabilities</t>
  </si>
  <si>
    <t>Fixed assets</t>
  </si>
  <si>
    <t>Less: accumulated depreciation</t>
  </si>
  <si>
    <t>Current Assets</t>
  </si>
  <si>
    <t>Cash and cash equivalents</t>
  </si>
  <si>
    <t>Total current assets</t>
  </si>
  <si>
    <t>Less: Current liabilities &amp; provisions</t>
  </si>
  <si>
    <t>Total current liabilities and provisions</t>
  </si>
  <si>
    <t>Net current assets</t>
  </si>
  <si>
    <t>Total Assets</t>
  </si>
  <si>
    <t>Liabilities</t>
  </si>
  <si>
    <t>Assets</t>
  </si>
  <si>
    <t>Cash flow statement</t>
  </si>
  <si>
    <t>Less: tax</t>
  </si>
  <si>
    <t>Add / (less): change in working capital</t>
  </si>
  <si>
    <t>Cash flow from operating activities</t>
  </si>
  <si>
    <t>Capex</t>
  </si>
  <si>
    <t>Cash flow from investing activities</t>
  </si>
  <si>
    <t>Inflow of equity</t>
  </si>
  <si>
    <t>Inflow of long-term debt</t>
  </si>
  <si>
    <t>Long-term debt repayment</t>
  </si>
  <si>
    <t>Cash flow from financing activities</t>
  </si>
  <si>
    <t>Net cash flow generated during the year</t>
  </si>
  <si>
    <t>Add: Opening balance</t>
  </si>
  <si>
    <t>Closing balance of cash and cash equivalents (before shortfall funding)</t>
  </si>
  <si>
    <t>Add: Inflow of short-term working capital funding</t>
  </si>
  <si>
    <t>Less: Repayment of working capital loans</t>
  </si>
  <si>
    <t>Closing balance of cash and cash equivalents</t>
  </si>
  <si>
    <t>Valuation as per NAV</t>
  </si>
  <si>
    <t>Net block of assets</t>
  </si>
  <si>
    <t>Current assets</t>
  </si>
  <si>
    <t>Less: Long-term debt</t>
  </si>
  <si>
    <t>Less: Short-term debt</t>
  </si>
  <si>
    <t>Equity value</t>
  </si>
  <si>
    <t>PAT of MDPL</t>
  </si>
  <si>
    <t>Revenue of MDPL for FY25</t>
  </si>
  <si>
    <t>EBITDA of MDPL for FY25</t>
  </si>
  <si>
    <t>EBITDA margin of MDPL for FY25</t>
  </si>
  <si>
    <t>Net debt of MDPL as at 31 March 2025</t>
  </si>
  <si>
    <t>Valuation as per EV/EBITDA multiple</t>
  </si>
  <si>
    <t>Average EV/EBITDA multiple of comparable companies</t>
  </si>
  <si>
    <t>Discount to be applied to multiple</t>
  </si>
  <si>
    <t>Discounted EV/EVITDA multiple to be applied</t>
  </si>
  <si>
    <t>EBITDA of MDPL</t>
  </si>
  <si>
    <t>Enterprise value of MDPL</t>
  </si>
  <si>
    <t>Less: Net debt</t>
  </si>
  <si>
    <t>Equity value of MDPL as per EV/EBITDA multiple</t>
  </si>
  <si>
    <t>Valuation as per P/E multiple</t>
  </si>
  <si>
    <t>Discounted P/E multiple to be applied</t>
  </si>
  <si>
    <t>Equity value of MDPL as per P/E multiple</t>
  </si>
  <si>
    <t>Valuation as per discounted cash-flow method</t>
  </si>
  <si>
    <t>Discount rate estimation</t>
  </si>
  <si>
    <t>Cost of debt</t>
  </si>
  <si>
    <t>Marginal tax rate</t>
  </si>
  <si>
    <t>After-tax cost of debt</t>
  </si>
  <si>
    <t>Beta</t>
  </si>
  <si>
    <t>Cost of equity</t>
  </si>
  <si>
    <t xml:space="preserve">Long-term proportion of debt to capital </t>
  </si>
  <si>
    <t xml:space="preserve">Long-term proportion of equity to capital </t>
  </si>
  <si>
    <t>WACC</t>
  </si>
  <si>
    <t>Valuation related timing flags</t>
  </si>
  <si>
    <t>Explicit period for the purpose of valuation</t>
  </si>
  <si>
    <t>Terminal period flag</t>
  </si>
  <si>
    <t>Valuation period</t>
  </si>
  <si>
    <t>#days</t>
  </si>
  <si>
    <t>Valuation period - mid period discounting</t>
  </si>
  <si>
    <t>FCFF</t>
  </si>
  <si>
    <t>less: Depreciation</t>
  </si>
  <si>
    <t>Less: tax on EBIT</t>
  </si>
  <si>
    <t>Add: depreciation</t>
  </si>
  <si>
    <t>Less: capex</t>
  </si>
  <si>
    <t>Add/(less): changes in working capital</t>
  </si>
  <si>
    <t>FCFF for explicit period</t>
  </si>
  <si>
    <t>Terminal period cash flow</t>
  </si>
  <si>
    <t>FCFF to be discounted</t>
  </si>
  <si>
    <t>Discount factor</t>
  </si>
  <si>
    <t>Discount factor - mid-period</t>
  </si>
  <si>
    <t>Discounted cash flows</t>
  </si>
  <si>
    <t>Enterprise value</t>
  </si>
  <si>
    <t>FCFE</t>
  </si>
  <si>
    <t>Add/(less): interest income/expense</t>
  </si>
  <si>
    <t>Less: tax on EBT</t>
  </si>
  <si>
    <t>Add/(less): changes in debt</t>
  </si>
  <si>
    <t>FCFE for explicit period</t>
  </si>
  <si>
    <t>Repayment of outstanding debt in terminal period</t>
  </si>
  <si>
    <t>FCFE to be discounted</t>
  </si>
  <si>
    <t>Valuation as per multiple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</si>
</sst>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F800]dddd\,\ mmmm\ dd\,\ yyyy"/>
    <numFmt numFmtId="165" formatCode="0.0"/>
    <numFmt numFmtId="166" formatCode="0.0%"/>
    <numFmt numFmtId="168" formatCode="#,##0.0_);[Red]\(#,##0.0\)"/>
    <numFmt numFmtId="178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00B050"/>
      <name val="Arial"/>
      <family val="2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theme="6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6" fillId="8" borderId="10">
      <alignment horizontal="right"/>
    </xf>
    <xf numFmtId="168" fontId="6" fillId="8" borderId="10">
      <alignment horizontal="right" vertical="center"/>
    </xf>
    <xf numFmtId="0" fontId="3" fillId="10" borderId="0">
      <alignment vertical="center"/>
    </xf>
    <xf numFmtId="178" fontId="11" fillId="11" borderId="0">
      <alignment horizontal="right" vertical="center"/>
    </xf>
  </cellStyleXfs>
  <cellXfs count="159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 applyAlignment="1">
      <alignment horizontal="right"/>
    </xf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/>
    <xf numFmtId="164" fontId="0" fillId="0" borderId="7" xfId="0" applyNumberFormat="1" applyBorder="1"/>
    <xf numFmtId="2" fontId="0" fillId="0" borderId="8" xfId="0" applyNumberFormat="1" applyBorder="1"/>
    <xf numFmtId="0" fontId="0" fillId="0" borderId="9" xfId="0" applyBorder="1"/>
    <xf numFmtId="0" fontId="0" fillId="0" borderId="0" xfId="0" applyFill="1" applyBorder="1" applyAlignment="1">
      <alignment horizontal="center"/>
    </xf>
    <xf numFmtId="164" fontId="0" fillId="2" borderId="0" xfId="0" applyNumberFormat="1" applyFill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6" borderId="0" xfId="0" applyFill="1"/>
    <xf numFmtId="164" fontId="0" fillId="6" borderId="7" xfId="0" applyNumberFormat="1" applyFill="1" applyBorder="1"/>
    <xf numFmtId="164" fontId="0" fillId="6" borderId="8" xfId="0" applyNumberFormat="1" applyFill="1" applyBorder="1"/>
    <xf numFmtId="2" fontId="0" fillId="6" borderId="8" xfId="0" applyNumberFormat="1" applyFill="1" applyBorder="1"/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1" applyFont="1"/>
    <xf numFmtId="9" fontId="0" fillId="0" borderId="0" xfId="1" applyFont="1" applyAlignment="1">
      <alignment horizontal="center"/>
    </xf>
    <xf numFmtId="0" fontId="0" fillId="2" borderId="0" xfId="0" applyFill="1" applyAlignment="1">
      <alignment horizontal="left"/>
    </xf>
    <xf numFmtId="0" fontId="5" fillId="0" borderId="0" xfId="0" applyFont="1"/>
    <xf numFmtId="9" fontId="0" fillId="0" borderId="0" xfId="0" applyNumberFormat="1"/>
    <xf numFmtId="10" fontId="0" fillId="0" borderId="0" xfId="0" applyNumberFormat="1"/>
    <xf numFmtId="166" fontId="0" fillId="0" borderId="0" xfId="1" applyNumberFormat="1" applyFont="1"/>
    <xf numFmtId="10" fontId="0" fillId="0" borderId="0" xfId="1" applyNumberFormat="1" applyFont="1"/>
    <xf numFmtId="9" fontId="0" fillId="0" borderId="0" xfId="1" applyNumberFormat="1" applyFont="1"/>
    <xf numFmtId="9" fontId="0" fillId="9" borderId="0" xfId="1" applyNumberFormat="1" applyFont="1" applyFill="1"/>
    <xf numFmtId="0" fontId="0" fillId="9" borderId="0" xfId="0" applyFill="1"/>
    <xf numFmtId="0" fontId="7" fillId="0" borderId="0" xfId="0" applyFont="1"/>
    <xf numFmtId="0" fontId="2" fillId="0" borderId="0" xfId="0" applyFont="1"/>
    <xf numFmtId="0" fontId="8" fillId="0" borderId="0" xfId="0" applyFont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9" fontId="0" fillId="0" borderId="12" xfId="1" applyFont="1" applyBorder="1"/>
    <xf numFmtId="9" fontId="0" fillId="0" borderId="13" xfId="1" applyFont="1" applyBorder="1"/>
    <xf numFmtId="9" fontId="0" fillId="0" borderId="11" xfId="1" applyFont="1" applyBorder="1" applyAlignment="1">
      <alignment horizontal="center"/>
    </xf>
    <xf numFmtId="9" fontId="0" fillId="0" borderId="12" xfId="1" applyFont="1" applyBorder="1" applyAlignment="1">
      <alignment horizontal="center"/>
    </xf>
    <xf numFmtId="9" fontId="0" fillId="0" borderId="13" xfId="1" applyFont="1" applyBorder="1" applyAlignment="1">
      <alignment horizontal="center"/>
    </xf>
    <xf numFmtId="9" fontId="0" fillId="0" borderId="0" xfId="1" applyFont="1" applyBorder="1"/>
    <xf numFmtId="9" fontId="0" fillId="0" borderId="1" xfId="1" applyFont="1" applyBorder="1"/>
    <xf numFmtId="9" fontId="0" fillId="0" borderId="0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2" fontId="0" fillId="0" borderId="0" xfId="1" applyNumberFormat="1" applyFont="1" applyBorder="1"/>
    <xf numFmtId="2" fontId="0" fillId="0" borderId="1" xfId="1" applyNumberFormat="1" applyFont="1" applyBorder="1"/>
    <xf numFmtId="0" fontId="8" fillId="0" borderId="2" xfId="0" applyFont="1" applyBorder="1"/>
    <xf numFmtId="10" fontId="0" fillId="0" borderId="0" xfId="0" applyNumberFormat="1" applyBorder="1"/>
    <xf numFmtId="10" fontId="0" fillId="0" borderId="8" xfId="0" applyNumberFormat="1" applyBorder="1"/>
    <xf numFmtId="2" fontId="0" fillId="0" borderId="1" xfId="0" applyNumberFormat="1" applyBorder="1"/>
    <xf numFmtId="2" fontId="0" fillId="0" borderId="9" xfId="0" applyNumberFormat="1" applyBorder="1"/>
    <xf numFmtId="10" fontId="0" fillId="0" borderId="1" xfId="0" applyNumberFormat="1" applyBorder="1"/>
    <xf numFmtId="10" fontId="0" fillId="0" borderId="9" xfId="0" applyNumberFormat="1" applyBorder="1"/>
    <xf numFmtId="2" fontId="0" fillId="0" borderId="0" xfId="0" applyNumberFormat="1" applyBorder="1"/>
    <xf numFmtId="0" fontId="0" fillId="0" borderId="14" xfId="0" applyBorder="1"/>
    <xf numFmtId="0" fontId="0" fillId="0" borderId="15" xfId="0" applyBorder="1"/>
    <xf numFmtId="2" fontId="0" fillId="0" borderId="15" xfId="0" applyNumberFormat="1" applyBorder="1"/>
    <xf numFmtId="2" fontId="0" fillId="0" borderId="16" xfId="0" applyNumberFormat="1" applyBorder="1"/>
    <xf numFmtId="0" fontId="0" fillId="2" borderId="0" xfId="0" applyFill="1" applyBorder="1"/>
    <xf numFmtId="0" fontId="0" fillId="2" borderId="4" xfId="0" applyFill="1" applyBorder="1"/>
    <xf numFmtId="0" fontId="0" fillId="2" borderId="1" xfId="0" applyFill="1" applyBorder="1"/>
    <xf numFmtId="2" fontId="0" fillId="2" borderId="1" xfId="0" applyNumberFormat="1" applyFill="1" applyBorder="1"/>
    <xf numFmtId="2" fontId="0" fillId="2" borderId="9" xfId="0" applyNumberFormat="1" applyFill="1" applyBorder="1"/>
    <xf numFmtId="0" fontId="0" fillId="2" borderId="9" xfId="0" applyFill="1" applyBorder="1"/>
    <xf numFmtId="2" fontId="0" fillId="2" borderId="0" xfId="0" applyNumberFormat="1" applyFill="1"/>
    <xf numFmtId="9" fontId="0" fillId="2" borderId="1" xfId="1" applyFont="1" applyFill="1" applyBorder="1"/>
    <xf numFmtId="166" fontId="0" fillId="0" borderId="0" xfId="1" applyNumberFormat="1" applyFont="1" applyBorder="1"/>
    <xf numFmtId="10" fontId="0" fillId="0" borderId="0" xfId="1" applyNumberFormat="1" applyFont="1" applyBorder="1"/>
    <xf numFmtId="9" fontId="0" fillId="0" borderId="0" xfId="0" applyNumberFormat="1" applyBorder="1"/>
    <xf numFmtId="164" fontId="0" fillId="0" borderId="0" xfId="0" applyNumberFormat="1" applyBorder="1"/>
    <xf numFmtId="0" fontId="0" fillId="0" borderId="0" xfId="1" applyNumberFormat="1" applyFont="1" applyBorder="1"/>
    <xf numFmtId="2" fontId="0" fillId="0" borderId="5" xfId="0" applyNumberFormat="1" applyBorder="1"/>
    <xf numFmtId="2" fontId="0" fillId="0" borderId="7" xfId="0" applyNumberFormat="1" applyBorder="1"/>
    <xf numFmtId="9" fontId="0" fillId="2" borderId="0" xfId="0" applyNumberFormat="1" applyFill="1"/>
    <xf numFmtId="9" fontId="0" fillId="0" borderId="1" xfId="0" applyNumberFormat="1" applyBorder="1"/>
    <xf numFmtId="0" fontId="0" fillId="2" borderId="3" xfId="0" applyFill="1" applyBorder="1"/>
    <xf numFmtId="2" fontId="0" fillId="2" borderId="0" xfId="0" applyNumberFormat="1" applyFill="1" applyBorder="1"/>
    <xf numFmtId="2" fontId="0" fillId="2" borderId="8" xfId="0" applyNumberFormat="1" applyFill="1" applyBorder="1"/>
    <xf numFmtId="9" fontId="0" fillId="2" borderId="1" xfId="0" applyNumberFormat="1" applyFill="1" applyBorder="1"/>
    <xf numFmtId="9" fontId="0" fillId="0" borderId="0" xfId="0" applyNumberFormat="1" applyBorder="1" applyAlignment="1">
      <alignment horizontal="center"/>
    </xf>
    <xf numFmtId="10" fontId="0" fillId="0" borderId="8" xfId="1" applyNumberFormat="1" applyFont="1" applyBorder="1"/>
    <xf numFmtId="9" fontId="0" fillId="0" borderId="1" xfId="0" applyNumberFormat="1" applyBorder="1" applyAlignment="1">
      <alignment horizontal="center"/>
    </xf>
    <xf numFmtId="10" fontId="0" fillId="0" borderId="1" xfId="1" applyNumberFormat="1" applyFont="1" applyBorder="1"/>
    <xf numFmtId="10" fontId="0" fillId="0" borderId="9" xfId="1" applyNumberFormat="1" applyFont="1" applyBorder="1"/>
    <xf numFmtId="0" fontId="0" fillId="0" borderId="16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0" xfId="0" applyAlignment="1">
      <alignment horizontal="right"/>
    </xf>
    <xf numFmtId="164" fontId="0" fillId="0" borderId="5" xfId="0" applyNumberFormat="1" applyBorder="1"/>
    <xf numFmtId="164" fontId="0" fillId="0" borderId="1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0" fontId="0" fillId="0" borderId="5" xfId="1" applyNumberFormat="1" applyFont="1" applyBorder="1"/>
    <xf numFmtId="0" fontId="0" fillId="0" borderId="0" xfId="0" applyNumberFormat="1" applyBorder="1"/>
    <xf numFmtId="9" fontId="0" fillId="0" borderId="15" xfId="0" applyNumberFormat="1" applyBorder="1"/>
    <xf numFmtId="165" fontId="0" fillId="0" borderId="0" xfId="0" applyNumberFormat="1" applyBorder="1"/>
    <xf numFmtId="2" fontId="0" fillId="0" borderId="3" xfId="0" applyNumberFormat="1" applyBorder="1"/>
    <xf numFmtId="0" fontId="0" fillId="0" borderId="15" xfId="0" applyBorder="1" applyAlignment="1">
      <alignment horizontal="center"/>
    </xf>
    <xf numFmtId="2" fontId="0" fillId="0" borderId="14" xfId="0" applyNumberFormat="1" applyBorder="1"/>
    <xf numFmtId="0" fontId="10" fillId="0" borderId="2" xfId="0" applyFont="1" applyBorder="1"/>
    <xf numFmtId="0" fontId="2" fillId="0" borderId="3" xfId="0" applyFont="1" applyBorder="1"/>
    <xf numFmtId="0" fontId="8" fillId="0" borderId="3" xfId="0" applyFont="1" applyBorder="1"/>
    <xf numFmtId="164" fontId="0" fillId="0" borderId="1" xfId="0" applyNumberForma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2" fontId="2" fillId="0" borderId="2" xfId="0" applyNumberFormat="1" applyFont="1" applyBorder="1"/>
    <xf numFmtId="2" fontId="2" fillId="0" borderId="5" xfId="0" applyNumberFormat="1" applyFont="1" applyBorder="1"/>
    <xf numFmtId="2" fontId="2" fillId="0" borderId="7" xfId="0" applyNumberFormat="1" applyFont="1" applyBorder="1"/>
    <xf numFmtId="2" fontId="2" fillId="0" borderId="3" xfId="0" applyNumberFormat="1" applyFont="1" applyBorder="1"/>
    <xf numFmtId="2" fontId="2" fillId="0" borderId="0" xfId="0" applyNumberFormat="1" applyFont="1" applyBorder="1"/>
    <xf numFmtId="2" fontId="2" fillId="0" borderId="8" xfId="0" applyNumberFormat="1" applyFont="1" applyBorder="1"/>
    <xf numFmtId="0" fontId="2" fillId="0" borderId="14" xfId="0" applyFont="1" applyBorder="1"/>
    <xf numFmtId="0" fontId="2" fillId="0" borderId="15" xfId="0" applyFont="1" applyBorder="1" applyAlignment="1">
      <alignment horizontal="center"/>
    </xf>
    <xf numFmtId="0" fontId="2" fillId="0" borderId="15" xfId="0" applyFont="1" applyBorder="1"/>
    <xf numFmtId="2" fontId="2" fillId="0" borderId="15" xfId="0" applyNumberFormat="1" applyFont="1" applyBorder="1"/>
    <xf numFmtId="2" fontId="2" fillId="0" borderId="16" xfId="0" applyNumberFormat="1" applyFont="1" applyBorder="1"/>
    <xf numFmtId="0" fontId="2" fillId="0" borderId="2" xfId="0" applyFont="1" applyBorder="1"/>
    <xf numFmtId="0" fontId="0" fillId="7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9" fillId="0" borderId="11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165" fontId="0" fillId="0" borderId="8" xfId="0" applyNumberFormat="1" applyBorder="1"/>
    <xf numFmtId="2" fontId="0" fillId="0" borderId="2" xfId="0" applyNumberFormat="1" applyBorder="1"/>
    <xf numFmtId="2" fontId="0" fillId="0" borderId="4" xfId="0" applyNumberFormat="1" applyBorder="1"/>
    <xf numFmtId="2" fontId="0" fillId="0" borderId="8" xfId="1" applyNumberFormat="1" applyFont="1" applyBorder="1"/>
    <xf numFmtId="2" fontId="0" fillId="2" borderId="15" xfId="0" applyNumberFormat="1" applyFill="1" applyBorder="1"/>
    <xf numFmtId="2" fontId="0" fillId="2" borderId="16" xfId="0" applyNumberFormat="1" applyFill="1" applyBorder="1"/>
    <xf numFmtId="2" fontId="0" fillId="0" borderId="3" xfId="1" applyNumberFormat="1" applyFont="1" applyBorder="1"/>
    <xf numFmtId="2" fontId="0" fillId="2" borderId="14" xfId="0" applyNumberFormat="1" applyFill="1" applyBorder="1"/>
    <xf numFmtId="0" fontId="0" fillId="2" borderId="1" xfId="0" applyFill="1" applyBorder="1" applyAlignment="1">
      <alignment horizontal="center"/>
    </xf>
    <xf numFmtId="1" fontId="0" fillId="0" borderId="0" xfId="0" applyNumberFormat="1" applyBorder="1"/>
    <xf numFmtId="1" fontId="0" fillId="0" borderId="8" xfId="0" applyNumberFormat="1" applyBorder="1"/>
    <xf numFmtId="1" fontId="0" fillId="0" borderId="1" xfId="0" applyNumberFormat="1" applyBorder="1"/>
    <xf numFmtId="1" fontId="0" fillId="0" borderId="9" xfId="0" applyNumberFormat="1" applyBorder="1"/>
    <xf numFmtId="0" fontId="0" fillId="2" borderId="15" xfId="0" applyFill="1" applyBorder="1" applyAlignment="1">
      <alignment horizontal="center"/>
    </xf>
    <xf numFmtId="10" fontId="0" fillId="2" borderId="16" xfId="0" applyNumberFormat="1" applyFill="1" applyBorder="1"/>
  </cellXfs>
  <cellStyles count="6">
    <cellStyle name="BlockedForInput" xfId="4"/>
    <cellStyle name="InputNumber" xfId="3"/>
    <cellStyle name="InputPercent" xfId="2"/>
    <cellStyle name="Normal" xfId="0" builtinId="0"/>
    <cellStyle name="OutputStyle" xfId="5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ket%20Chaudhuri\Downloads\FM&amp;Vals%20case%20study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Study-Intro"/>
      <sheetName val="Case study-Tables"/>
      <sheetName val="Snapshot"/>
      <sheetName val="Valn"/>
      <sheetName val="FS"/>
      <sheetName val="Inputs"/>
      <sheetName val="Calculations"/>
      <sheetName val="DebtQ"/>
      <sheetName val="Checks"/>
      <sheetName val="Circ"/>
      <sheetName val="Timing"/>
      <sheetName val="Formats&amp;Lists"/>
      <sheetName val="TemplateA"/>
      <sheetName val="TemplateQ"/>
    </sheetNames>
    <sheetDataSet>
      <sheetData sheetId="0"/>
      <sheetData sheetId="1"/>
      <sheetData sheetId="2"/>
      <sheetData sheetId="3"/>
      <sheetData sheetId="4"/>
      <sheetData sheetId="5">
        <row r="249">
          <cell r="F249">
            <v>0</v>
          </cell>
        </row>
      </sheetData>
      <sheetData sheetId="6"/>
      <sheetData sheetId="7"/>
      <sheetData sheetId="8"/>
      <sheetData sheetId="9"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</sheetData>
      <sheetData sheetId="10"/>
      <sheetData sheetId="11">
        <row r="34">
          <cell r="E34">
            <v>1000000</v>
          </cell>
        </row>
        <row r="38">
          <cell r="E38">
            <v>12</v>
          </cell>
        </row>
        <row r="42">
          <cell r="E42">
            <v>365</v>
          </cell>
        </row>
        <row r="49">
          <cell r="D49" t="str">
            <v>Milk</v>
          </cell>
        </row>
        <row r="50">
          <cell r="D50" t="str">
            <v>Yogurt</v>
          </cell>
        </row>
        <row r="51">
          <cell r="D51" t="str">
            <v>Butter</v>
          </cell>
        </row>
        <row r="52">
          <cell r="D52" t="str">
            <v>Cheese</v>
          </cell>
        </row>
        <row r="53">
          <cell r="D53" t="str">
            <v>Cottage Cheese (Paneer)</v>
          </cell>
        </row>
        <row r="54">
          <cell r="D54" t="str">
            <v>Milk-Based Energy Drinks</v>
          </cell>
        </row>
        <row r="55">
          <cell r="D55" t="str">
            <v>Ice-creams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GridLines="0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K9" sqref="K9"/>
    </sheetView>
  </sheetViews>
  <sheetFormatPr defaultRowHeight="14.4" x14ac:dyDescent="0.3"/>
  <cols>
    <col min="1" max="1" width="3.88671875" customWidth="1"/>
    <col min="2" max="2" width="5.21875" customWidth="1"/>
    <col min="3" max="3" width="4.77734375" customWidth="1"/>
    <col min="4" max="4" width="35.77734375" customWidth="1"/>
    <col min="5" max="5" width="11.33203125" customWidth="1"/>
    <col min="6" max="6" width="18.88671875" customWidth="1"/>
    <col min="7" max="7" width="17.77734375" customWidth="1"/>
    <col min="8" max="12" width="13.21875" bestFit="1" customWidth="1"/>
  </cols>
  <sheetData>
    <row r="1" spans="1:13" s="3" customFormat="1" ht="20.399999999999999" customHeight="1" x14ac:dyDescent="0.3">
      <c r="A1" s="7" t="str">
        <f ca="1">MID(CELL("filename",A1),FIND("[",CELL("filename",A1))+1,FIND("]",CELL("filename",A1))-FIND("[",CELL("filename",A1))-6)</f>
        <v>Valuation_project</v>
      </c>
    </row>
    <row r="2" spans="1:13" s="3" customFormat="1" ht="16.2" customHeight="1" x14ac:dyDescent="0.3">
      <c r="A2" s="7" t="str">
        <f ca="1">MID(CELL("filename",A2),FIND("]",CELL("filename",A2))+1,LEN(CELL("filename",A2)))</f>
        <v>Template</v>
      </c>
    </row>
    <row r="3" spans="1:13" s="3" customFormat="1" x14ac:dyDescent="0.3">
      <c r="G3" s="6" t="s">
        <v>0</v>
      </c>
      <c r="H3" s="8">
        <f>Inputs!H3</f>
        <v>1</v>
      </c>
      <c r="I3" s="8">
        <f>Inputs!I3</f>
        <v>2</v>
      </c>
      <c r="J3" s="8">
        <f>Inputs!J3</f>
        <v>3</v>
      </c>
      <c r="K3" s="8">
        <f>Inputs!K3</f>
        <v>4</v>
      </c>
      <c r="L3" s="8">
        <f>Inputs!L3</f>
        <v>5</v>
      </c>
      <c r="M3" s="8"/>
    </row>
    <row r="4" spans="1:13" s="3" customFormat="1" x14ac:dyDescent="0.3">
      <c r="G4" s="6" t="s">
        <v>1</v>
      </c>
      <c r="H4" s="24">
        <f>Inputs!H4</f>
        <v>45017</v>
      </c>
      <c r="I4" s="24">
        <f>Inputs!I4</f>
        <v>45383</v>
      </c>
      <c r="J4" s="24">
        <f>Inputs!J4</f>
        <v>45748</v>
      </c>
      <c r="K4" s="24">
        <f>Inputs!K4</f>
        <v>46113</v>
      </c>
      <c r="L4" s="24">
        <f>Inputs!L4</f>
        <v>46478</v>
      </c>
      <c r="M4" s="24"/>
    </row>
    <row r="5" spans="1:13" s="3" customFormat="1" x14ac:dyDescent="0.3">
      <c r="G5" s="6" t="s">
        <v>2</v>
      </c>
      <c r="H5" s="24">
        <f>Inputs!H5</f>
        <v>45382</v>
      </c>
      <c r="I5" s="24">
        <f>Inputs!I5</f>
        <v>45747</v>
      </c>
      <c r="J5" s="24">
        <f>Inputs!J5</f>
        <v>46112</v>
      </c>
      <c r="K5" s="24">
        <f>Inputs!K5</f>
        <v>46477</v>
      </c>
      <c r="L5" s="24">
        <f>Inputs!L5</f>
        <v>46843</v>
      </c>
      <c r="M5" s="24"/>
    </row>
    <row r="6" spans="1:13" s="3" customFormat="1" x14ac:dyDescent="0.3">
      <c r="E6" s="8" t="s">
        <v>10</v>
      </c>
      <c r="G6" s="6" t="s">
        <v>3</v>
      </c>
      <c r="H6" s="8" t="str">
        <f>Inputs!H6</f>
        <v>Actual</v>
      </c>
      <c r="I6" s="8" t="str">
        <f>Inputs!I6</f>
        <v>Projected</v>
      </c>
      <c r="J6" s="8" t="str">
        <f>Inputs!J6</f>
        <v>Projected</v>
      </c>
      <c r="K6" s="8" t="str">
        <f>Inputs!K6</f>
        <v>Projected</v>
      </c>
      <c r="L6" s="8" t="str">
        <f>Inputs!L6</f>
        <v>Projected</v>
      </c>
      <c r="M6" s="8"/>
    </row>
    <row r="8" spans="1:13" s="134" customFormat="1" x14ac:dyDescent="0.3"/>
    <row r="10" spans="1:13" x14ac:dyDescent="0.3">
      <c r="E10" s="9"/>
      <c r="F10" s="10"/>
    </row>
    <row r="11" spans="1:13" x14ac:dyDescent="0.3">
      <c r="E11" s="9"/>
      <c r="F11" s="10"/>
    </row>
    <row r="12" spans="1:13" x14ac:dyDescent="0.3">
      <c r="E12" s="9"/>
      <c r="F12" s="11"/>
    </row>
  </sheetData>
  <mergeCells count="1">
    <mergeCell ref="A8:XF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"/>
  <sheetViews>
    <sheetView showGridLines="0" zoomScale="85" zoomScaleNormal="85" workbookViewId="0">
      <pane xSplit="7" ySplit="6" topLeftCell="H220" activePane="bottomRight" state="frozen"/>
      <selection pane="topRight" activeCell="H1" sqref="H1"/>
      <selection pane="bottomLeft" activeCell="A7" sqref="A7"/>
      <selection pane="bottomRight" activeCell="G229" sqref="G229"/>
    </sheetView>
  </sheetViews>
  <sheetFormatPr defaultRowHeight="14.4" x14ac:dyDescent="0.3"/>
  <cols>
    <col min="1" max="1" width="3.88671875" customWidth="1"/>
    <col min="2" max="2" width="5.21875" customWidth="1"/>
    <col min="3" max="3" width="4.77734375" customWidth="1"/>
    <col min="4" max="4" width="57.88671875" bestFit="1" customWidth="1"/>
    <col min="5" max="5" width="27.33203125" bestFit="1" customWidth="1"/>
    <col min="6" max="6" width="14.6640625" bestFit="1" customWidth="1"/>
    <col min="7" max="7" width="15.44140625" bestFit="1" customWidth="1"/>
    <col min="8" max="8" width="22.5546875" customWidth="1"/>
    <col min="9" max="9" width="23.44140625" bestFit="1" customWidth="1"/>
    <col min="10" max="11" width="14.21875" customWidth="1"/>
    <col min="12" max="12" width="15.109375" customWidth="1"/>
  </cols>
  <sheetData>
    <row r="1" spans="1:13" s="3" customFormat="1" ht="20.399999999999999" customHeight="1" x14ac:dyDescent="0.3">
      <c r="A1" s="7" t="str">
        <f ca="1">MID(CELL("filename",A1),FIND("[",CELL("filename",A1))+1,FIND("]",CELL("filename",A1))-FIND("[",CELL("filename",A1))-6)</f>
        <v>Valuation_project</v>
      </c>
    </row>
    <row r="2" spans="1:13" s="3" customFormat="1" ht="16.2" customHeight="1" x14ac:dyDescent="0.3">
      <c r="A2" s="7" t="str">
        <f ca="1">MID(CELL("filename",A2),FIND("]",CELL("filename",A2))+1,LEN(CELL("filename",A2)))</f>
        <v>Inputs</v>
      </c>
    </row>
    <row r="3" spans="1:13" s="3" customFormat="1" x14ac:dyDescent="0.3">
      <c r="G3" s="6" t="s">
        <v>0</v>
      </c>
      <c r="H3" s="8">
        <f>Timing!H3</f>
        <v>1</v>
      </c>
      <c r="I3" s="8">
        <f>Timing!I3</f>
        <v>2</v>
      </c>
      <c r="J3" s="8">
        <f>Timing!J3</f>
        <v>3</v>
      </c>
      <c r="K3" s="8">
        <f>Timing!K3</f>
        <v>4</v>
      </c>
      <c r="L3" s="8">
        <f>Timing!L3</f>
        <v>5</v>
      </c>
      <c r="M3" s="8"/>
    </row>
    <row r="4" spans="1:13" s="3" customFormat="1" x14ac:dyDescent="0.3">
      <c r="G4" s="6" t="s">
        <v>1</v>
      </c>
      <c r="H4" s="24">
        <f>Timing!H4</f>
        <v>45017</v>
      </c>
      <c r="I4" s="24">
        <f>Timing!I4</f>
        <v>45383</v>
      </c>
      <c r="J4" s="24">
        <f>Timing!J4</f>
        <v>45748</v>
      </c>
      <c r="K4" s="24">
        <f>Timing!K4</f>
        <v>46113</v>
      </c>
      <c r="L4" s="24">
        <f>Timing!L4</f>
        <v>46478</v>
      </c>
      <c r="M4" s="24"/>
    </row>
    <row r="5" spans="1:13" s="3" customFormat="1" x14ac:dyDescent="0.3">
      <c r="G5" s="6" t="s">
        <v>2</v>
      </c>
      <c r="H5" s="24">
        <f>Timing!H5</f>
        <v>45382</v>
      </c>
      <c r="I5" s="24">
        <f>Timing!I5</f>
        <v>45747</v>
      </c>
      <c r="J5" s="24">
        <f>Timing!J5</f>
        <v>46112</v>
      </c>
      <c r="K5" s="24">
        <f>Timing!K5</f>
        <v>46477</v>
      </c>
      <c r="L5" s="24">
        <f>Timing!L5</f>
        <v>46843</v>
      </c>
      <c r="M5" s="24"/>
    </row>
    <row r="6" spans="1:13" s="3" customFormat="1" x14ac:dyDescent="0.3">
      <c r="E6" s="8" t="s">
        <v>10</v>
      </c>
      <c r="G6" s="6" t="s">
        <v>3</v>
      </c>
      <c r="H6" s="8" t="str">
        <f>Timing!H6</f>
        <v>Actual</v>
      </c>
      <c r="I6" s="8" t="str">
        <f>Timing!I6</f>
        <v>Projected</v>
      </c>
      <c r="J6" s="8" t="str">
        <f>Timing!J6</f>
        <v>Projected</v>
      </c>
      <c r="K6" s="8" t="str">
        <f>Timing!K6</f>
        <v>Projected</v>
      </c>
      <c r="L6" s="8" t="str">
        <f>Timing!L6</f>
        <v>Projected</v>
      </c>
      <c r="M6" s="8"/>
    </row>
    <row r="8" spans="1:13" s="135" customFormat="1" x14ac:dyDescent="0.3">
      <c r="A8" s="135" t="s">
        <v>4</v>
      </c>
    </row>
    <row r="10" spans="1:13" x14ac:dyDescent="0.3">
      <c r="D10" t="s">
        <v>5</v>
      </c>
      <c r="E10" s="9" t="s">
        <v>8</v>
      </c>
      <c r="F10" s="10">
        <v>45017</v>
      </c>
    </row>
    <row r="11" spans="1:13" x14ac:dyDescent="0.3">
      <c r="D11" t="s">
        <v>6</v>
      </c>
      <c r="E11" s="9" t="s">
        <v>8</v>
      </c>
      <c r="F11" s="10">
        <v>45382</v>
      </c>
    </row>
    <row r="12" spans="1:13" x14ac:dyDescent="0.3">
      <c r="D12" t="s">
        <v>7</v>
      </c>
      <c r="E12" s="9" t="s">
        <v>9</v>
      </c>
      <c r="F12" s="11">
        <v>4</v>
      </c>
    </row>
    <row r="15" spans="1:13" s="135" customFormat="1" x14ac:dyDescent="0.3">
      <c r="A15" s="135" t="s">
        <v>30</v>
      </c>
    </row>
    <row r="17" spans="4:12" x14ac:dyDescent="0.3">
      <c r="D17" s="34" t="s">
        <v>31</v>
      </c>
      <c r="E17" s="9"/>
    </row>
    <row r="18" spans="4:12" x14ac:dyDescent="0.3">
      <c r="D18" t="s">
        <v>32</v>
      </c>
      <c r="E18" s="9" t="s">
        <v>33</v>
      </c>
      <c r="H18">
        <v>800</v>
      </c>
      <c r="I18">
        <f>H18*(1+I19)</f>
        <v>919.99999999999989</v>
      </c>
      <c r="J18">
        <f t="shared" ref="J18:L18" si="0">I18*(1+J19)</f>
        <v>1057.9999999999998</v>
      </c>
      <c r="K18">
        <f t="shared" si="0"/>
        <v>1216.6999999999996</v>
      </c>
      <c r="L18">
        <f t="shared" si="0"/>
        <v>1399.2049999999995</v>
      </c>
    </row>
    <row r="19" spans="4:12" x14ac:dyDescent="0.3">
      <c r="D19" t="s">
        <v>34</v>
      </c>
      <c r="E19" s="9" t="s">
        <v>27</v>
      </c>
      <c r="F19" s="31">
        <v>0.15</v>
      </c>
      <c r="G19" s="35"/>
      <c r="H19" s="5"/>
      <c r="I19" s="31">
        <f>$F$19</f>
        <v>0.15</v>
      </c>
      <c r="J19" s="31">
        <f t="shared" ref="J19:K19" si="1">$F$19</f>
        <v>0.15</v>
      </c>
      <c r="K19" s="31">
        <f t="shared" si="1"/>
        <v>0.15</v>
      </c>
      <c r="L19" s="31">
        <f>$F$19</f>
        <v>0.15</v>
      </c>
    </row>
    <row r="20" spans="4:12" x14ac:dyDescent="0.3">
      <c r="D20" t="s">
        <v>35</v>
      </c>
      <c r="E20" s="9" t="s">
        <v>27</v>
      </c>
      <c r="F20" s="36">
        <v>2.5000000000000001E-2</v>
      </c>
      <c r="H20" s="36">
        <f>$F$20</f>
        <v>2.5000000000000001E-2</v>
      </c>
      <c r="I20" s="36">
        <f t="shared" ref="I20:L20" si="2">$F$20</f>
        <v>2.5000000000000001E-2</v>
      </c>
      <c r="J20" s="36">
        <f t="shared" si="2"/>
        <v>2.5000000000000001E-2</v>
      </c>
      <c r="K20" s="36">
        <f t="shared" si="2"/>
        <v>2.5000000000000001E-2</v>
      </c>
      <c r="L20" s="36">
        <f t="shared" si="2"/>
        <v>2.5000000000000001E-2</v>
      </c>
    </row>
    <row r="21" spans="4:12" x14ac:dyDescent="0.3">
      <c r="E21" s="9"/>
    </row>
    <row r="22" spans="4:12" x14ac:dyDescent="0.3">
      <c r="D22" s="34" t="s">
        <v>36</v>
      </c>
      <c r="E22" s="9"/>
    </row>
    <row r="23" spans="4:12" x14ac:dyDescent="0.3">
      <c r="D23" t="str">
        <f t="array" ref="D23:D29">Products</f>
        <v>Milk</v>
      </c>
      <c r="E23" s="9" t="s">
        <v>37</v>
      </c>
      <c r="H23" s="38">
        <v>0.35</v>
      </c>
      <c r="I23" s="38">
        <v>0.35</v>
      </c>
      <c r="J23" s="38">
        <v>0.35</v>
      </c>
      <c r="K23" s="38">
        <v>0.35</v>
      </c>
      <c r="L23" s="38">
        <v>0.35</v>
      </c>
    </row>
    <row r="24" spans="4:12" x14ac:dyDescent="0.3">
      <c r="D24" t="str">
        <v>Yogurt</v>
      </c>
      <c r="E24" s="9" t="s">
        <v>37</v>
      </c>
      <c r="H24" s="38">
        <v>0.17499999999999999</v>
      </c>
      <c r="I24" s="38">
        <v>0.17499999999999999</v>
      </c>
      <c r="J24" s="38">
        <v>0.17499999999999999</v>
      </c>
      <c r="K24" s="38">
        <v>0.17499999999999999</v>
      </c>
      <c r="L24" s="38">
        <v>0.17499999999999999</v>
      </c>
    </row>
    <row r="25" spans="4:12" x14ac:dyDescent="0.3">
      <c r="D25" t="str">
        <v>Butter</v>
      </c>
      <c r="E25" s="9" t="s">
        <v>37</v>
      </c>
      <c r="H25" s="38">
        <v>7.4999999999999997E-2</v>
      </c>
      <c r="I25" s="38">
        <v>7.4999999999999997E-2</v>
      </c>
      <c r="J25" s="38">
        <v>7.4999999999999997E-2</v>
      </c>
      <c r="K25" s="38">
        <v>7.4999999999999997E-2</v>
      </c>
      <c r="L25" s="38">
        <v>7.4999999999999997E-2</v>
      </c>
    </row>
    <row r="26" spans="4:12" x14ac:dyDescent="0.3">
      <c r="D26" t="str">
        <v>Cheese</v>
      </c>
      <c r="E26" s="9" t="s">
        <v>37</v>
      </c>
      <c r="H26" s="38">
        <v>0.15</v>
      </c>
      <c r="I26" s="38">
        <v>0.15</v>
      </c>
      <c r="J26" s="38">
        <v>0.15</v>
      </c>
      <c r="K26" s="38">
        <v>0.15</v>
      </c>
      <c r="L26" s="38">
        <v>0.15</v>
      </c>
    </row>
    <row r="27" spans="4:12" x14ac:dyDescent="0.3">
      <c r="D27" t="str">
        <v>Cottage Cheese (Paneer)</v>
      </c>
      <c r="E27" s="9" t="s">
        <v>37</v>
      </c>
      <c r="H27" s="38">
        <v>0.15</v>
      </c>
      <c r="I27" s="38">
        <v>0.15</v>
      </c>
      <c r="J27" s="38">
        <v>0.15</v>
      </c>
      <c r="K27" s="38">
        <v>0.15</v>
      </c>
      <c r="L27" s="38">
        <v>0.15</v>
      </c>
    </row>
    <row r="28" spans="4:12" x14ac:dyDescent="0.3">
      <c r="D28" t="str">
        <v>Milk-Based Energy Drinks</v>
      </c>
      <c r="E28" s="9" t="s">
        <v>37</v>
      </c>
      <c r="H28" s="38">
        <v>0.05</v>
      </c>
      <c r="I28" s="38">
        <v>0.05</v>
      </c>
      <c r="J28" s="38">
        <v>0.05</v>
      </c>
      <c r="K28" s="38">
        <v>0.05</v>
      </c>
      <c r="L28" s="38">
        <v>0.05</v>
      </c>
    </row>
    <row r="29" spans="4:12" x14ac:dyDescent="0.3">
      <c r="D29" t="str">
        <v>Ice-creams</v>
      </c>
      <c r="E29" s="9" t="s">
        <v>37</v>
      </c>
      <c r="H29" s="38">
        <v>0.05</v>
      </c>
      <c r="I29" s="38">
        <v>0.05</v>
      </c>
      <c r="J29" s="38">
        <v>0.05</v>
      </c>
      <c r="K29" s="38">
        <v>0.05</v>
      </c>
      <c r="L29" s="38">
        <v>0.05</v>
      </c>
    </row>
    <row r="30" spans="4:12" x14ac:dyDescent="0.3">
      <c r="E30" s="9"/>
    </row>
    <row r="31" spans="4:12" x14ac:dyDescent="0.3">
      <c r="D31" s="34" t="s">
        <v>38</v>
      </c>
      <c r="E31" s="9"/>
    </row>
    <row r="32" spans="4:12" x14ac:dyDescent="0.3">
      <c r="D32" t="str">
        <f t="array" ref="D32:D38">Products</f>
        <v>Milk</v>
      </c>
      <c r="E32" s="9" t="s">
        <v>39</v>
      </c>
      <c r="H32">
        <v>60.480000000000004</v>
      </c>
      <c r="I32" s="17">
        <f>H32*(1+I41)</f>
        <v>67.737600000000015</v>
      </c>
      <c r="J32" s="17">
        <f t="shared" ref="J32:L32" si="3">I32*(1+J41)</f>
        <v>75.86611200000003</v>
      </c>
      <c r="K32" s="17">
        <f t="shared" si="3"/>
        <v>84.970045440000035</v>
      </c>
      <c r="L32" s="17">
        <f t="shared" si="3"/>
        <v>95.166450892800043</v>
      </c>
    </row>
    <row r="33" spans="4:12" x14ac:dyDescent="0.3">
      <c r="D33" t="str">
        <v>Yogurt</v>
      </c>
      <c r="E33" s="9" t="s">
        <v>39</v>
      </c>
      <c r="H33">
        <v>103.74000000000001</v>
      </c>
      <c r="I33" s="17">
        <f t="shared" ref="I33:L38" si="4">H33*(1+I42)</f>
        <v>118.26360000000003</v>
      </c>
      <c r="J33" s="17">
        <f t="shared" si="4"/>
        <v>134.82050400000006</v>
      </c>
      <c r="K33" s="17">
        <f t="shared" si="4"/>
        <v>153.69537456000009</v>
      </c>
      <c r="L33" s="17">
        <f t="shared" si="4"/>
        <v>175.21272699840011</v>
      </c>
    </row>
    <row r="34" spans="4:12" x14ac:dyDescent="0.3">
      <c r="D34" t="str">
        <v>Butter</v>
      </c>
      <c r="E34" s="9" t="s">
        <v>39</v>
      </c>
      <c r="H34">
        <v>197.6</v>
      </c>
      <c r="I34" s="17">
        <f t="shared" si="4"/>
        <v>205.50399999999999</v>
      </c>
      <c r="J34" s="17">
        <f t="shared" si="4"/>
        <v>213.72415999999998</v>
      </c>
      <c r="K34" s="17">
        <f t="shared" si="4"/>
        <v>222.2731264</v>
      </c>
      <c r="L34" s="17">
        <f t="shared" si="4"/>
        <v>231.16405145600001</v>
      </c>
    </row>
    <row r="35" spans="4:12" x14ac:dyDescent="0.3">
      <c r="D35" t="str">
        <v>Cheese</v>
      </c>
      <c r="E35" s="9" t="s">
        <v>39</v>
      </c>
      <c r="H35">
        <v>520</v>
      </c>
      <c r="I35" s="17">
        <f t="shared" si="4"/>
        <v>540.80000000000007</v>
      </c>
      <c r="J35" s="17">
        <f t="shared" si="4"/>
        <v>562.43200000000013</v>
      </c>
      <c r="K35" s="17">
        <f t="shared" si="4"/>
        <v>584.92928000000018</v>
      </c>
      <c r="L35" s="17">
        <f t="shared" si="4"/>
        <v>608.32645120000018</v>
      </c>
    </row>
    <row r="36" spans="4:12" x14ac:dyDescent="0.3">
      <c r="D36" t="str">
        <v>Cottage Cheese (Paneer)</v>
      </c>
      <c r="E36" s="9" t="s">
        <v>39</v>
      </c>
      <c r="H36">
        <v>406.85</v>
      </c>
      <c r="I36" s="17">
        <f t="shared" si="4"/>
        <v>419.05550000000005</v>
      </c>
      <c r="J36" s="17">
        <f t="shared" si="4"/>
        <v>431.62716500000005</v>
      </c>
      <c r="K36" s="17">
        <f t="shared" si="4"/>
        <v>444.57597995000003</v>
      </c>
      <c r="L36" s="17">
        <f t="shared" si="4"/>
        <v>457.91325934850005</v>
      </c>
    </row>
    <row r="37" spans="4:12" x14ac:dyDescent="0.3">
      <c r="D37" t="str">
        <v>Milk-Based Energy Drinks</v>
      </c>
      <c r="E37" s="9" t="s">
        <v>39</v>
      </c>
      <c r="H37">
        <v>182</v>
      </c>
      <c r="I37" s="17">
        <f t="shared" si="4"/>
        <v>189.28</v>
      </c>
      <c r="J37" s="17">
        <f t="shared" si="4"/>
        <v>196.85120000000001</v>
      </c>
      <c r="K37" s="17">
        <f t="shared" si="4"/>
        <v>204.72524800000002</v>
      </c>
      <c r="L37" s="17">
        <f t="shared" si="4"/>
        <v>212.91425792000004</v>
      </c>
    </row>
    <row r="38" spans="4:12" x14ac:dyDescent="0.3">
      <c r="D38" t="str">
        <v>Ice-creams</v>
      </c>
      <c r="E38" s="9" t="s">
        <v>39</v>
      </c>
      <c r="H38">
        <v>566.5</v>
      </c>
      <c r="I38" s="17">
        <f t="shared" si="4"/>
        <v>583.495</v>
      </c>
      <c r="J38" s="17">
        <f t="shared" si="4"/>
        <v>600.99985000000004</v>
      </c>
      <c r="K38" s="17">
        <f t="shared" si="4"/>
        <v>619.02984550000008</v>
      </c>
      <c r="L38" s="17">
        <f t="shared" si="4"/>
        <v>637.60074086500015</v>
      </c>
    </row>
    <row r="39" spans="4:12" x14ac:dyDescent="0.3">
      <c r="E39" s="9"/>
    </row>
    <row r="40" spans="4:12" x14ac:dyDescent="0.3">
      <c r="D40" s="34" t="s">
        <v>40</v>
      </c>
      <c r="E40" s="9"/>
    </row>
    <row r="41" spans="4:12" x14ac:dyDescent="0.3">
      <c r="D41" t="str">
        <f t="array" ref="D41:D47">Products</f>
        <v>Milk</v>
      </c>
      <c r="E41" s="9" t="s">
        <v>41</v>
      </c>
      <c r="H41" s="5"/>
      <c r="I41" s="38">
        <v>0.12</v>
      </c>
      <c r="J41" s="38">
        <v>0.12</v>
      </c>
      <c r="K41" s="38">
        <v>0.12</v>
      </c>
      <c r="L41" s="38">
        <v>0.12</v>
      </c>
    </row>
    <row r="42" spans="4:12" x14ac:dyDescent="0.3">
      <c r="D42" t="str">
        <v>Yogurt</v>
      </c>
      <c r="E42" s="9" t="s">
        <v>41</v>
      </c>
      <c r="H42" s="5"/>
      <c r="I42" s="38">
        <v>0.14000000000000001</v>
      </c>
      <c r="J42" s="38">
        <v>0.14000000000000001</v>
      </c>
      <c r="K42" s="38">
        <v>0.14000000000000001</v>
      </c>
      <c r="L42" s="38">
        <v>0.14000000000000001</v>
      </c>
    </row>
    <row r="43" spans="4:12" x14ac:dyDescent="0.3">
      <c r="D43" t="str">
        <v>Butter</v>
      </c>
      <c r="E43" s="9" t="s">
        <v>41</v>
      </c>
      <c r="H43" s="5"/>
      <c r="I43" s="38">
        <v>0.04</v>
      </c>
      <c r="J43" s="38">
        <v>0.04</v>
      </c>
      <c r="K43" s="38">
        <v>0.04</v>
      </c>
      <c r="L43" s="38">
        <v>0.04</v>
      </c>
    </row>
    <row r="44" spans="4:12" x14ac:dyDescent="0.3">
      <c r="D44" t="str">
        <v>Cheese</v>
      </c>
      <c r="E44" s="9" t="s">
        <v>41</v>
      </c>
      <c r="H44" s="5"/>
      <c r="I44" s="38">
        <v>0.04</v>
      </c>
      <c r="J44" s="38">
        <v>0.04</v>
      </c>
      <c r="K44" s="38">
        <v>0.04</v>
      </c>
      <c r="L44" s="38">
        <v>0.04</v>
      </c>
    </row>
    <row r="45" spans="4:12" x14ac:dyDescent="0.3">
      <c r="D45" t="str">
        <v>Cottage Cheese (Paneer)</v>
      </c>
      <c r="E45" s="9" t="s">
        <v>41</v>
      </c>
      <c r="H45" s="5"/>
      <c r="I45" s="38">
        <v>0.03</v>
      </c>
      <c r="J45" s="38">
        <v>0.03</v>
      </c>
      <c r="K45" s="38">
        <v>0.03</v>
      </c>
      <c r="L45" s="38">
        <v>0.03</v>
      </c>
    </row>
    <row r="46" spans="4:12" x14ac:dyDescent="0.3">
      <c r="D46" t="str">
        <v>Milk-Based Energy Drinks</v>
      </c>
      <c r="E46" s="9" t="s">
        <v>41</v>
      </c>
      <c r="H46" s="5"/>
      <c r="I46" s="38">
        <v>0.04</v>
      </c>
      <c r="J46" s="38">
        <v>0.04</v>
      </c>
      <c r="K46" s="38">
        <v>0.04</v>
      </c>
      <c r="L46" s="38">
        <v>0.04</v>
      </c>
    </row>
    <row r="47" spans="4:12" x14ac:dyDescent="0.3">
      <c r="D47" t="str">
        <v>Ice-creams</v>
      </c>
      <c r="E47" s="9" t="s">
        <v>41</v>
      </c>
      <c r="H47" s="5"/>
      <c r="I47" s="38">
        <v>0.03</v>
      </c>
      <c r="J47" s="38">
        <v>0.03</v>
      </c>
      <c r="K47" s="38">
        <v>0.03</v>
      </c>
      <c r="L47" s="38">
        <v>0.03</v>
      </c>
    </row>
    <row r="50" spans="1:8" s="137" customFormat="1" x14ac:dyDescent="0.3">
      <c r="A50" s="137" t="s">
        <v>42</v>
      </c>
    </row>
    <row r="52" spans="1:8" x14ac:dyDescent="0.3">
      <c r="D52" s="34" t="s">
        <v>43</v>
      </c>
      <c r="E52" s="9"/>
    </row>
    <row r="53" spans="1:8" x14ac:dyDescent="0.3">
      <c r="E53" s="9"/>
    </row>
    <row r="54" spans="1:8" x14ac:dyDescent="0.3">
      <c r="D54" s="42" t="s">
        <v>44</v>
      </c>
      <c r="E54" s="9"/>
    </row>
    <row r="55" spans="1:8" x14ac:dyDescent="0.3">
      <c r="D55" t="s">
        <v>45</v>
      </c>
      <c r="E55" s="9" t="s">
        <v>46</v>
      </c>
      <c r="H55">
        <v>8.6</v>
      </c>
    </row>
    <row r="56" spans="1:8" x14ac:dyDescent="0.3">
      <c r="D56" t="s">
        <v>47</v>
      </c>
      <c r="E56" s="9" t="s">
        <v>48</v>
      </c>
      <c r="F56">
        <v>3</v>
      </c>
    </row>
    <row r="57" spans="1:8" x14ac:dyDescent="0.3">
      <c r="D57" t="s">
        <v>49</v>
      </c>
      <c r="E57" s="9" t="s">
        <v>27</v>
      </c>
      <c r="F57" s="31">
        <v>0.1</v>
      </c>
    </row>
    <row r="58" spans="1:8" x14ac:dyDescent="0.3">
      <c r="E58" s="9"/>
    </row>
    <row r="59" spans="1:8" x14ac:dyDescent="0.3">
      <c r="D59" s="42" t="s">
        <v>50</v>
      </c>
      <c r="E59" s="9"/>
    </row>
    <row r="60" spans="1:8" x14ac:dyDescent="0.3">
      <c r="D60" t="s">
        <v>51</v>
      </c>
      <c r="E60" s="9" t="s">
        <v>46</v>
      </c>
      <c r="H60">
        <v>0.26</v>
      </c>
    </row>
    <row r="61" spans="1:8" x14ac:dyDescent="0.3">
      <c r="D61" t="s">
        <v>52</v>
      </c>
      <c r="E61" s="9" t="s">
        <v>48</v>
      </c>
      <c r="F61">
        <v>2</v>
      </c>
    </row>
    <row r="62" spans="1:8" x14ac:dyDescent="0.3">
      <c r="D62" t="s">
        <v>53</v>
      </c>
      <c r="E62" s="9" t="s">
        <v>27</v>
      </c>
      <c r="F62" s="31">
        <v>0.04</v>
      </c>
    </row>
    <row r="63" spans="1:8" x14ac:dyDescent="0.3">
      <c r="E63" s="9"/>
    </row>
    <row r="64" spans="1:8" x14ac:dyDescent="0.3">
      <c r="D64" s="42" t="s">
        <v>54</v>
      </c>
      <c r="E64" s="9"/>
    </row>
    <row r="65" spans="4:13" x14ac:dyDescent="0.3">
      <c r="D65" t="s">
        <v>55</v>
      </c>
      <c r="E65" s="9" t="s">
        <v>46</v>
      </c>
      <c r="H65" s="17">
        <v>0.4</v>
      </c>
    </row>
    <row r="66" spans="4:13" x14ac:dyDescent="0.3">
      <c r="D66" t="s">
        <v>56</v>
      </c>
      <c r="E66" s="9" t="s">
        <v>46</v>
      </c>
      <c r="H66" s="17">
        <f>IF(ISBLANK(H65),G66*(1+H67),H65)</f>
        <v>0.4</v>
      </c>
      <c r="I66" s="17">
        <f t="shared" ref="I66:L66" si="5">IF(ISBLANK(I65),H66*(1+I67),I65)</f>
        <v>0.42000000000000004</v>
      </c>
      <c r="J66" s="17">
        <f t="shared" si="5"/>
        <v>0.44100000000000006</v>
      </c>
      <c r="K66" s="17">
        <f t="shared" si="5"/>
        <v>0.46305000000000007</v>
      </c>
      <c r="L66" s="17">
        <f t="shared" si="5"/>
        <v>0.48620250000000009</v>
      </c>
    </row>
    <row r="67" spans="4:13" x14ac:dyDescent="0.3">
      <c r="D67" t="s">
        <v>57</v>
      </c>
      <c r="E67" s="9" t="s">
        <v>27</v>
      </c>
      <c r="H67" s="40"/>
      <c r="I67" s="39">
        <v>0.05</v>
      </c>
      <c r="J67" s="39">
        <v>0.05</v>
      </c>
      <c r="K67" s="39">
        <v>0.05</v>
      </c>
      <c r="L67" s="39">
        <v>0.05</v>
      </c>
    </row>
    <row r="68" spans="4:13" x14ac:dyDescent="0.3">
      <c r="E68" s="9"/>
    </row>
    <row r="69" spans="4:13" x14ac:dyDescent="0.3">
      <c r="D69" s="42" t="s">
        <v>58</v>
      </c>
      <c r="E69" s="9"/>
    </row>
    <row r="70" spans="4:13" x14ac:dyDescent="0.3">
      <c r="D70" t="s">
        <v>58</v>
      </c>
      <c r="E70" s="9" t="s">
        <v>46</v>
      </c>
      <c r="H70" s="11">
        <v>1</v>
      </c>
      <c r="I70" s="17">
        <f>H70*(1+I71)</f>
        <v>1.04</v>
      </c>
      <c r="J70" s="17">
        <f t="shared" ref="J70:L70" si="6">I70*(1+J71)</f>
        <v>1.0816000000000001</v>
      </c>
      <c r="K70" s="17">
        <f t="shared" si="6"/>
        <v>1.1248640000000001</v>
      </c>
      <c r="L70" s="17">
        <f t="shared" si="6"/>
        <v>1.1698585600000002</v>
      </c>
    </row>
    <row r="71" spans="4:13" x14ac:dyDescent="0.3">
      <c r="D71" t="s">
        <v>59</v>
      </c>
      <c r="E71" s="9" t="s">
        <v>41</v>
      </c>
      <c r="H71" s="41"/>
      <c r="I71" s="31">
        <v>0.04</v>
      </c>
      <c r="J71" s="31">
        <v>0.04</v>
      </c>
      <c r="K71" s="31">
        <v>0.04</v>
      </c>
      <c r="L71" s="31">
        <v>0.04</v>
      </c>
      <c r="M71" s="31"/>
    </row>
    <row r="72" spans="4:13" x14ac:dyDescent="0.3">
      <c r="E72" s="9"/>
    </row>
    <row r="73" spans="4:13" x14ac:dyDescent="0.3">
      <c r="D73" s="43" t="s">
        <v>60</v>
      </c>
    </row>
    <row r="75" spans="4:13" x14ac:dyDescent="0.3">
      <c r="D75" s="44" t="s">
        <v>61</v>
      </c>
    </row>
    <row r="76" spans="4:13" x14ac:dyDescent="0.3">
      <c r="D76" t="s">
        <v>62</v>
      </c>
      <c r="E76" t="s">
        <v>14</v>
      </c>
      <c r="H76">
        <v>35</v>
      </c>
    </row>
    <row r="77" spans="4:13" x14ac:dyDescent="0.3">
      <c r="D77" t="s">
        <v>63</v>
      </c>
      <c r="E77" t="s">
        <v>64</v>
      </c>
      <c r="F77">
        <v>20</v>
      </c>
    </row>
    <row r="79" spans="4:13" x14ac:dyDescent="0.3">
      <c r="D79" t="s">
        <v>65</v>
      </c>
      <c r="E79" t="s">
        <v>66</v>
      </c>
      <c r="H79">
        <v>20000</v>
      </c>
      <c r="I79" s="17">
        <f>H79*(1+I80)</f>
        <v>21000</v>
      </c>
      <c r="J79" s="17">
        <f t="shared" ref="J79:L79" si="7">I79*(1+J80)</f>
        <v>22050</v>
      </c>
      <c r="K79" s="17">
        <f t="shared" si="7"/>
        <v>23152.5</v>
      </c>
      <c r="L79" s="17">
        <f t="shared" si="7"/>
        <v>24310.125</v>
      </c>
    </row>
    <row r="80" spans="4:13" x14ac:dyDescent="0.3">
      <c r="D80" t="s">
        <v>67</v>
      </c>
      <c r="E80" t="s">
        <v>41</v>
      </c>
      <c r="H80" s="41"/>
      <c r="I80" s="31">
        <v>0.05</v>
      </c>
      <c r="J80" s="31">
        <v>0.05</v>
      </c>
      <c r="K80" s="31">
        <v>0.05</v>
      </c>
      <c r="L80" s="31">
        <v>0.05</v>
      </c>
    </row>
    <row r="82" spans="4:13" x14ac:dyDescent="0.3">
      <c r="D82" s="44" t="s">
        <v>68</v>
      </c>
    </row>
    <row r="83" spans="4:13" x14ac:dyDescent="0.3">
      <c r="D83" t="s">
        <v>69</v>
      </c>
      <c r="E83" t="s">
        <v>14</v>
      </c>
      <c r="H83">
        <v>7</v>
      </c>
    </row>
    <row r="84" spans="4:13" x14ac:dyDescent="0.3">
      <c r="D84" t="s">
        <v>70</v>
      </c>
      <c r="E84" t="s">
        <v>46</v>
      </c>
      <c r="F84">
        <v>100</v>
      </c>
      <c r="H84">
        <v>65625</v>
      </c>
      <c r="I84" s="17">
        <f>H84*(1+I85)</f>
        <v>68906.25</v>
      </c>
      <c r="J84" s="17">
        <f t="shared" ref="J84:K84" si="8">I84*(1+J85)</f>
        <v>72351.5625</v>
      </c>
      <c r="K84" s="17">
        <f t="shared" si="8"/>
        <v>75969.140625</v>
      </c>
      <c r="L84" s="17">
        <f>K84*(1+L85)</f>
        <v>79767.59765625</v>
      </c>
    </row>
    <row r="85" spans="4:13" x14ac:dyDescent="0.3">
      <c r="D85" t="s">
        <v>71</v>
      </c>
      <c r="E85" t="s">
        <v>46</v>
      </c>
      <c r="F85">
        <v>50</v>
      </c>
      <c r="H85" s="41"/>
      <c r="I85" s="31">
        <v>0.05</v>
      </c>
      <c r="J85" s="31">
        <v>0.05</v>
      </c>
      <c r="K85" s="31">
        <v>0.05</v>
      </c>
      <c r="L85" s="31">
        <v>0.05</v>
      </c>
      <c r="M85" s="31"/>
    </row>
    <row r="87" spans="4:13" x14ac:dyDescent="0.3">
      <c r="D87" t="s">
        <v>72</v>
      </c>
      <c r="E87" t="s">
        <v>66</v>
      </c>
    </row>
    <row r="88" spans="4:13" x14ac:dyDescent="0.3">
      <c r="D88" t="s">
        <v>67</v>
      </c>
      <c r="E88" t="s">
        <v>41</v>
      </c>
    </row>
    <row r="90" spans="4:13" x14ac:dyDescent="0.3">
      <c r="D90" s="44" t="s">
        <v>73</v>
      </c>
    </row>
    <row r="91" spans="4:13" x14ac:dyDescent="0.3">
      <c r="D91" t="s">
        <v>74</v>
      </c>
      <c r="E91" t="s">
        <v>75</v>
      </c>
      <c r="H91">
        <v>147500</v>
      </c>
    </row>
    <row r="92" spans="4:13" x14ac:dyDescent="0.3">
      <c r="D92" t="s">
        <v>76</v>
      </c>
      <c r="E92" t="s">
        <v>64</v>
      </c>
      <c r="F92">
        <v>25</v>
      </c>
    </row>
    <row r="93" spans="4:13" x14ac:dyDescent="0.3">
      <c r="D93" t="s">
        <v>77</v>
      </c>
      <c r="E93" t="s">
        <v>75</v>
      </c>
      <c r="F93">
        <v>500</v>
      </c>
    </row>
    <row r="95" spans="4:13" x14ac:dyDescent="0.3">
      <c r="D95" s="44" t="s">
        <v>78</v>
      </c>
      <c r="E95" t="s">
        <v>79</v>
      </c>
      <c r="H95">
        <v>15.1</v>
      </c>
      <c r="I95" s="17">
        <f>H95*(1+I96)</f>
        <v>15.704000000000001</v>
      </c>
      <c r="J95" s="17">
        <f t="shared" ref="J95:L95" si="9">I95*(1+J96)</f>
        <v>16.332160000000002</v>
      </c>
      <c r="K95" s="17">
        <f t="shared" si="9"/>
        <v>16.985446400000001</v>
      </c>
      <c r="L95" s="17">
        <f t="shared" si="9"/>
        <v>17.664864256000001</v>
      </c>
    </row>
    <row r="96" spans="4:13" x14ac:dyDescent="0.3">
      <c r="D96" t="s">
        <v>80</v>
      </c>
      <c r="E96" t="s">
        <v>41</v>
      </c>
      <c r="H96" s="31"/>
      <c r="I96" s="31">
        <v>0.04</v>
      </c>
      <c r="J96" s="31">
        <v>0.04</v>
      </c>
      <c r="K96" s="31">
        <v>0.04</v>
      </c>
      <c r="L96" s="31">
        <v>0.04</v>
      </c>
    </row>
    <row r="98" spans="4:8" x14ac:dyDescent="0.3">
      <c r="D98" s="44" t="s">
        <v>81</v>
      </c>
    </row>
    <row r="99" spans="4:8" x14ac:dyDescent="0.3">
      <c r="D99" t="s">
        <v>82</v>
      </c>
      <c r="E99" t="s">
        <v>46</v>
      </c>
      <c r="H99">
        <v>3.3</v>
      </c>
    </row>
    <row r="100" spans="4:8" x14ac:dyDescent="0.3">
      <c r="D100" t="s">
        <v>81</v>
      </c>
      <c r="E100" t="s">
        <v>83</v>
      </c>
      <c r="F100" s="31">
        <v>0.03</v>
      </c>
    </row>
    <row r="102" spans="4:8" x14ac:dyDescent="0.3">
      <c r="D102" s="44" t="s">
        <v>84</v>
      </c>
    </row>
    <row r="103" spans="4:8" x14ac:dyDescent="0.3">
      <c r="D103" t="s">
        <v>85</v>
      </c>
      <c r="E103" t="s">
        <v>46</v>
      </c>
      <c r="H103">
        <v>1.4</v>
      </c>
    </row>
    <row r="104" spans="4:8" x14ac:dyDescent="0.3">
      <c r="D104" t="s">
        <v>86</v>
      </c>
    </row>
    <row r="105" spans="4:8" x14ac:dyDescent="0.3">
      <c r="D105" t="s">
        <v>94</v>
      </c>
      <c r="E105" t="s">
        <v>87</v>
      </c>
      <c r="F105" s="31">
        <v>0.03</v>
      </c>
    </row>
    <row r="106" spans="4:8" x14ac:dyDescent="0.3">
      <c r="D106" t="s">
        <v>95</v>
      </c>
      <c r="E106" t="s">
        <v>87</v>
      </c>
      <c r="F106" s="31">
        <v>0.06</v>
      </c>
    </row>
    <row r="107" spans="4:8" x14ac:dyDescent="0.3">
      <c r="D107" t="s">
        <v>96</v>
      </c>
      <c r="E107" t="s">
        <v>87</v>
      </c>
      <c r="F107" s="31">
        <v>4.4999999999999998E-2</v>
      </c>
    </row>
    <row r="108" spans="4:8" x14ac:dyDescent="0.3">
      <c r="D108" t="s">
        <v>97</v>
      </c>
      <c r="E108" t="s">
        <v>87</v>
      </c>
      <c r="F108" s="31">
        <v>0.06</v>
      </c>
    </row>
    <row r="109" spans="4:8" x14ac:dyDescent="0.3">
      <c r="D109" t="s">
        <v>98</v>
      </c>
      <c r="E109" t="s">
        <v>87</v>
      </c>
      <c r="F109" s="31">
        <v>0.04</v>
      </c>
    </row>
    <row r="110" spans="4:8" x14ac:dyDescent="0.3">
      <c r="D110" t="s">
        <v>99</v>
      </c>
      <c r="E110" t="s">
        <v>87</v>
      </c>
      <c r="F110" s="31">
        <v>7.4999999999999997E-2</v>
      </c>
    </row>
    <row r="111" spans="4:8" x14ac:dyDescent="0.3">
      <c r="D111" t="s">
        <v>100</v>
      </c>
      <c r="E111" t="s">
        <v>87</v>
      </c>
      <c r="F111" s="31">
        <v>0.09</v>
      </c>
    </row>
    <row r="113" spans="1:12" x14ac:dyDescent="0.3">
      <c r="D113" s="44" t="s">
        <v>88</v>
      </c>
    </row>
    <row r="114" spans="1:12" x14ac:dyDescent="0.3">
      <c r="D114" t="s">
        <v>89</v>
      </c>
      <c r="E114" t="s">
        <v>46</v>
      </c>
      <c r="H114">
        <v>6.1</v>
      </c>
    </row>
    <row r="115" spans="1:12" x14ac:dyDescent="0.3">
      <c r="D115" t="s">
        <v>90</v>
      </c>
      <c r="E115" t="s">
        <v>91</v>
      </c>
      <c r="F115" s="31">
        <v>0.1</v>
      </c>
    </row>
    <row r="116" spans="1:12" x14ac:dyDescent="0.3">
      <c r="D116" t="s">
        <v>92</v>
      </c>
      <c r="E116" t="s">
        <v>91</v>
      </c>
      <c r="F116" s="31">
        <v>5.0000000000000001E-3</v>
      </c>
    </row>
    <row r="117" spans="1:12" x14ac:dyDescent="0.3">
      <c r="D117" t="s">
        <v>93</v>
      </c>
      <c r="E117" t="s">
        <v>91</v>
      </c>
      <c r="F117" s="31">
        <v>6.5000000000000002E-2</v>
      </c>
    </row>
    <row r="120" spans="1:12" s="135" customFormat="1" x14ac:dyDescent="0.3">
      <c r="A120" s="135" t="s">
        <v>101</v>
      </c>
    </row>
    <row r="122" spans="1:12" x14ac:dyDescent="0.3">
      <c r="D122" s="44" t="s">
        <v>102</v>
      </c>
    </row>
    <row r="123" spans="1:12" x14ac:dyDescent="0.3">
      <c r="D123" t="s">
        <v>103</v>
      </c>
      <c r="E123" t="s">
        <v>46</v>
      </c>
      <c r="H123">
        <v>20</v>
      </c>
    </row>
    <row r="126" spans="1:12" x14ac:dyDescent="0.3">
      <c r="D126" s="44" t="s">
        <v>104</v>
      </c>
    </row>
    <row r="127" spans="1:12" x14ac:dyDescent="0.3">
      <c r="D127" t="s">
        <v>105</v>
      </c>
      <c r="E127" t="s">
        <v>41</v>
      </c>
      <c r="H127" s="37">
        <v>0.11</v>
      </c>
      <c r="I127" s="37">
        <v>0.1</v>
      </c>
      <c r="J127" s="37">
        <v>0.1</v>
      </c>
      <c r="K127" s="37">
        <v>0.1</v>
      </c>
      <c r="L127" s="37">
        <v>0.1</v>
      </c>
    </row>
    <row r="128" spans="1:12" x14ac:dyDescent="0.3">
      <c r="D128" t="s">
        <v>106</v>
      </c>
      <c r="E128" t="s">
        <v>46</v>
      </c>
      <c r="H128">
        <v>1</v>
      </c>
      <c r="I128" s="17">
        <f>SUM($G128:H128)*I127</f>
        <v>0.1</v>
      </c>
      <c r="J128" s="17">
        <f>SUM($G128:I128)*J127</f>
        <v>0.11000000000000001</v>
      </c>
      <c r="K128" s="17">
        <f>SUM($G128:J128)*K127</f>
        <v>0.12100000000000002</v>
      </c>
      <c r="L128" s="17">
        <f>SUM($G128:K128)*L127</f>
        <v>0.13310000000000002</v>
      </c>
    </row>
    <row r="130" spans="4:12" x14ac:dyDescent="0.3">
      <c r="D130" s="44" t="s">
        <v>107</v>
      </c>
    </row>
    <row r="131" spans="4:12" x14ac:dyDescent="0.3">
      <c r="D131" t="s">
        <v>108</v>
      </c>
      <c r="E131" t="s">
        <v>46</v>
      </c>
      <c r="H131">
        <v>3.5</v>
      </c>
    </row>
    <row r="132" spans="4:12" x14ac:dyDescent="0.3">
      <c r="D132" t="s">
        <v>109</v>
      </c>
      <c r="E132" t="s">
        <v>110</v>
      </c>
      <c r="F132" s="31">
        <v>2.5000000000000001E-2</v>
      </c>
    </row>
    <row r="134" spans="4:12" x14ac:dyDescent="0.3">
      <c r="D134" s="44" t="s">
        <v>111</v>
      </c>
    </row>
    <row r="135" spans="4:12" x14ac:dyDescent="0.3">
      <c r="D135" t="s">
        <v>112</v>
      </c>
      <c r="E135" t="s">
        <v>46</v>
      </c>
      <c r="H135" s="17">
        <v>2.5</v>
      </c>
    </row>
    <row r="136" spans="4:12" x14ac:dyDescent="0.3">
      <c r="D136" t="s">
        <v>113</v>
      </c>
      <c r="E136" t="s">
        <v>46</v>
      </c>
      <c r="H136" s="4"/>
      <c r="I136" s="17">
        <v>0.2</v>
      </c>
    </row>
    <row r="137" spans="4:12" x14ac:dyDescent="0.3">
      <c r="D137" t="s">
        <v>114</v>
      </c>
      <c r="E137" t="s">
        <v>46</v>
      </c>
      <c r="F137" s="31">
        <v>0.04</v>
      </c>
      <c r="H137" s="17">
        <f>IF(NOT(ISBLANK(H135)),H135,IF(NOT(ISBLANK(H136)),H136,G137*(1+$F$137)))</f>
        <v>2.5</v>
      </c>
      <c r="I137" s="17">
        <f>IF(NOT(ISBLANK(I135)),I135,IF(NOT(ISBLANK(I136)),I136,H137*(1+$F$137)))</f>
        <v>0.2</v>
      </c>
      <c r="J137" s="17">
        <f t="shared" ref="J137:L137" si="10">IF(NOT(ISBLANK(J135)),J135,IF(NOT(ISBLANK(J136)),J136,I137*(1+$F$137)))</f>
        <v>0.20800000000000002</v>
      </c>
      <c r="K137" s="17">
        <f t="shared" si="10"/>
        <v>0.21632000000000004</v>
      </c>
      <c r="L137" s="17">
        <f t="shared" si="10"/>
        <v>0.22497280000000006</v>
      </c>
    </row>
    <row r="139" spans="4:12" x14ac:dyDescent="0.3">
      <c r="D139" s="44" t="s">
        <v>115</v>
      </c>
    </row>
    <row r="140" spans="4:12" x14ac:dyDescent="0.3">
      <c r="D140" t="s">
        <v>116</v>
      </c>
      <c r="E140" t="s">
        <v>46</v>
      </c>
      <c r="H140">
        <v>0.8</v>
      </c>
    </row>
    <row r="141" spans="4:12" x14ac:dyDescent="0.3">
      <c r="D141" t="s">
        <v>117</v>
      </c>
      <c r="E141" t="s">
        <v>110</v>
      </c>
      <c r="F141" s="31">
        <v>0.01</v>
      </c>
    </row>
    <row r="143" spans="4:12" x14ac:dyDescent="0.3">
      <c r="D143" s="44" t="s">
        <v>118</v>
      </c>
    </row>
    <row r="144" spans="4:12" x14ac:dyDescent="0.3">
      <c r="D144" t="s">
        <v>119</v>
      </c>
      <c r="E144" t="s">
        <v>46</v>
      </c>
      <c r="H144">
        <v>1.5</v>
      </c>
    </row>
    <row r="145" spans="1:12" x14ac:dyDescent="0.3">
      <c r="D145" t="s">
        <v>120</v>
      </c>
      <c r="E145" t="s">
        <v>46</v>
      </c>
      <c r="I145">
        <v>0</v>
      </c>
      <c r="J145">
        <v>1.1000000000000001</v>
      </c>
      <c r="K145">
        <v>0</v>
      </c>
      <c r="L145">
        <v>1.5</v>
      </c>
    </row>
    <row r="147" spans="1:12" x14ac:dyDescent="0.3">
      <c r="D147" s="44" t="s">
        <v>121</v>
      </c>
    </row>
    <row r="148" spans="1:12" x14ac:dyDescent="0.3">
      <c r="D148" t="s">
        <v>122</v>
      </c>
      <c r="E148" t="s">
        <v>46</v>
      </c>
      <c r="H148">
        <v>0.5</v>
      </c>
    </row>
    <row r="149" spans="1:12" x14ac:dyDescent="0.3">
      <c r="D149" t="s">
        <v>123</v>
      </c>
      <c r="E149" t="s">
        <v>124</v>
      </c>
      <c r="F149" s="31">
        <v>0.3</v>
      </c>
    </row>
    <row r="152" spans="1:12" s="135" customFormat="1" x14ac:dyDescent="0.3">
      <c r="A152" s="135" t="s">
        <v>125</v>
      </c>
    </row>
    <row r="154" spans="1:12" ht="38.4" customHeight="1" x14ac:dyDescent="0.3">
      <c r="D154" s="138" t="s">
        <v>126</v>
      </c>
      <c r="E154" s="140" t="s">
        <v>127</v>
      </c>
      <c r="F154" s="141"/>
      <c r="G154" s="141"/>
      <c r="H154" s="141"/>
      <c r="I154" s="142" t="s">
        <v>128</v>
      </c>
      <c r="J154" s="1"/>
      <c r="K154" s="1"/>
    </row>
    <row r="155" spans="1:12" ht="72" x14ac:dyDescent="0.3">
      <c r="D155" s="139"/>
      <c r="E155" s="48" t="s">
        <v>129</v>
      </c>
      <c r="F155" s="49" t="s">
        <v>130</v>
      </c>
      <c r="G155" s="50" t="s">
        <v>131</v>
      </c>
      <c r="H155" s="51" t="s">
        <v>132</v>
      </c>
      <c r="I155" s="143"/>
      <c r="J155" s="1"/>
      <c r="K155" s="1"/>
    </row>
    <row r="156" spans="1:12" x14ac:dyDescent="0.3">
      <c r="D156" s="13" t="s">
        <v>107</v>
      </c>
      <c r="E156" s="54">
        <v>0.04</v>
      </c>
      <c r="F156" s="52">
        <v>0</v>
      </c>
      <c r="G156" s="59">
        <v>0.04</v>
      </c>
      <c r="H156" s="61">
        <v>1</v>
      </c>
      <c r="I156" s="52">
        <v>0.05</v>
      </c>
      <c r="J156" s="1"/>
      <c r="K156" s="1"/>
    </row>
    <row r="157" spans="1:12" x14ac:dyDescent="0.3">
      <c r="D157" s="13" t="s">
        <v>133</v>
      </c>
      <c r="E157" s="55">
        <v>0.15</v>
      </c>
      <c r="F157" s="52">
        <v>0</v>
      </c>
      <c r="G157" s="59">
        <v>0.15</v>
      </c>
      <c r="H157" s="61">
        <v>1</v>
      </c>
      <c r="I157" s="52">
        <v>0.15</v>
      </c>
      <c r="J157" s="1"/>
      <c r="K157" s="1"/>
    </row>
    <row r="158" spans="1:12" x14ac:dyDescent="0.3">
      <c r="D158" s="13" t="s">
        <v>134</v>
      </c>
      <c r="E158" s="55">
        <v>0.1</v>
      </c>
      <c r="F158" s="52">
        <v>0</v>
      </c>
      <c r="G158" s="59">
        <v>0.1</v>
      </c>
      <c r="H158" s="61">
        <v>1</v>
      </c>
      <c r="I158" s="52">
        <v>0.1</v>
      </c>
      <c r="J158" s="1"/>
      <c r="K158" s="1"/>
    </row>
    <row r="159" spans="1:12" x14ac:dyDescent="0.3">
      <c r="D159" s="13" t="s">
        <v>118</v>
      </c>
      <c r="E159" s="55">
        <v>0.15</v>
      </c>
      <c r="F159" s="52">
        <v>0</v>
      </c>
      <c r="G159" s="59">
        <v>0.15</v>
      </c>
      <c r="H159" s="61">
        <v>1</v>
      </c>
      <c r="I159" s="52">
        <v>0.4</v>
      </c>
      <c r="J159" s="1"/>
      <c r="K159" s="1"/>
    </row>
    <row r="160" spans="1:12" x14ac:dyDescent="0.3">
      <c r="D160" s="14" t="s">
        <v>121</v>
      </c>
      <c r="E160" s="56">
        <v>0.3</v>
      </c>
      <c r="F160" s="53">
        <v>0</v>
      </c>
      <c r="G160" s="60">
        <v>0.3</v>
      </c>
      <c r="H160" s="62">
        <v>1</v>
      </c>
      <c r="I160" s="53">
        <v>0.6</v>
      </c>
      <c r="J160" s="1"/>
      <c r="K160" s="1"/>
    </row>
    <row r="164" spans="1:6" s="135" customFormat="1" x14ac:dyDescent="0.3">
      <c r="A164" s="135" t="s">
        <v>135</v>
      </c>
    </row>
    <row r="166" spans="1:6" x14ac:dyDescent="0.3">
      <c r="D166" t="s">
        <v>136</v>
      </c>
      <c r="E166" t="s">
        <v>8</v>
      </c>
      <c r="F166" s="10">
        <v>45017</v>
      </c>
    </row>
    <row r="168" spans="1:6" x14ac:dyDescent="0.3">
      <c r="D168" t="s">
        <v>137</v>
      </c>
      <c r="E168" t="s">
        <v>46</v>
      </c>
      <c r="F168">
        <v>20</v>
      </c>
    </row>
    <row r="169" spans="1:6" x14ac:dyDescent="0.3">
      <c r="D169" t="s">
        <v>138</v>
      </c>
      <c r="E169" t="s">
        <v>46</v>
      </c>
      <c r="F169">
        <v>30</v>
      </c>
    </row>
    <row r="171" spans="1:6" x14ac:dyDescent="0.3">
      <c r="D171" t="s">
        <v>139</v>
      </c>
      <c r="E171" t="s">
        <v>27</v>
      </c>
      <c r="F171" s="31">
        <v>0.6</v>
      </c>
    </row>
    <row r="173" spans="1:6" x14ac:dyDescent="0.3">
      <c r="D173" t="s">
        <v>140</v>
      </c>
    </row>
    <row r="174" spans="1:6" x14ac:dyDescent="0.3">
      <c r="D174" t="s">
        <v>141</v>
      </c>
      <c r="E174" t="s">
        <v>142</v>
      </c>
      <c r="F174">
        <v>12</v>
      </c>
    </row>
    <row r="175" spans="1:6" x14ac:dyDescent="0.3">
      <c r="D175" t="s">
        <v>143</v>
      </c>
      <c r="E175" t="s">
        <v>144</v>
      </c>
      <c r="F175" s="105" t="s">
        <v>145</v>
      </c>
    </row>
    <row r="176" spans="1:6" x14ac:dyDescent="0.3">
      <c r="D176" t="s">
        <v>146</v>
      </c>
      <c r="E176" t="s">
        <v>41</v>
      </c>
      <c r="F176" s="31">
        <v>0.105</v>
      </c>
    </row>
    <row r="177" spans="1:6" x14ac:dyDescent="0.3">
      <c r="D177" t="s">
        <v>147</v>
      </c>
      <c r="E177" t="s">
        <v>14</v>
      </c>
      <c r="F177">
        <v>1.1000000000000001</v>
      </c>
    </row>
    <row r="178" spans="1:6" x14ac:dyDescent="0.3">
      <c r="D178" t="s">
        <v>148</v>
      </c>
      <c r="E178" t="s">
        <v>14</v>
      </c>
      <c r="F178">
        <v>4</v>
      </c>
    </row>
    <row r="180" spans="1:6" x14ac:dyDescent="0.3">
      <c r="D180" t="s">
        <v>149</v>
      </c>
    </row>
    <row r="181" spans="1:6" x14ac:dyDescent="0.3">
      <c r="D181" t="s">
        <v>150</v>
      </c>
      <c r="E181" t="s">
        <v>9</v>
      </c>
      <c r="F181">
        <v>2</v>
      </c>
    </row>
    <row r="182" spans="1:6" x14ac:dyDescent="0.3">
      <c r="D182" t="s">
        <v>151</v>
      </c>
      <c r="E182" t="s">
        <v>41</v>
      </c>
      <c r="F182" s="31">
        <v>0.1</v>
      </c>
    </row>
    <row r="183" spans="1:6" x14ac:dyDescent="0.3">
      <c r="D183" t="s">
        <v>152</v>
      </c>
      <c r="E183" t="s">
        <v>153</v>
      </c>
      <c r="F183" s="31">
        <v>0.25</v>
      </c>
    </row>
    <row r="184" spans="1:6" x14ac:dyDescent="0.3">
      <c r="D184" t="s">
        <v>154</v>
      </c>
      <c r="E184" t="s">
        <v>14</v>
      </c>
      <c r="F184">
        <v>3</v>
      </c>
    </row>
    <row r="186" spans="1:6" x14ac:dyDescent="0.3">
      <c r="D186" t="s">
        <v>155</v>
      </c>
    </row>
    <row r="187" spans="1:6" x14ac:dyDescent="0.3">
      <c r="D187" t="s">
        <v>156</v>
      </c>
      <c r="E187" t="s">
        <v>46</v>
      </c>
      <c r="F187">
        <v>10</v>
      </c>
    </row>
    <row r="188" spans="1:6" x14ac:dyDescent="0.3">
      <c r="D188" t="s">
        <v>157</v>
      </c>
      <c r="E188" t="s">
        <v>41</v>
      </c>
      <c r="F188" s="31">
        <v>0.08</v>
      </c>
    </row>
    <row r="189" spans="1:6" x14ac:dyDescent="0.3">
      <c r="D189" t="s">
        <v>158</v>
      </c>
      <c r="E189" t="s">
        <v>159</v>
      </c>
      <c r="F189" s="31">
        <v>0.13</v>
      </c>
    </row>
    <row r="192" spans="1:6" s="135" customFormat="1" x14ac:dyDescent="0.3">
      <c r="A192" s="135" t="s">
        <v>160</v>
      </c>
    </row>
    <row r="194" spans="4:6" x14ac:dyDescent="0.3">
      <c r="D194" s="44" t="s">
        <v>161</v>
      </c>
    </row>
    <row r="195" spans="4:6" x14ac:dyDescent="0.3">
      <c r="D195" t="s">
        <v>94</v>
      </c>
      <c r="E195" t="s">
        <v>162</v>
      </c>
      <c r="F195">
        <v>10</v>
      </c>
    </row>
    <row r="196" spans="4:6" x14ac:dyDescent="0.3">
      <c r="D196" t="s">
        <v>95</v>
      </c>
      <c r="E196" t="s">
        <v>162</v>
      </c>
      <c r="F196">
        <v>18</v>
      </c>
    </row>
    <row r="197" spans="4:6" x14ac:dyDescent="0.3">
      <c r="D197" t="s">
        <v>96</v>
      </c>
      <c r="E197" t="s">
        <v>162</v>
      </c>
      <c r="F197">
        <v>30</v>
      </c>
    </row>
    <row r="198" spans="4:6" x14ac:dyDescent="0.3">
      <c r="D198" t="s">
        <v>97</v>
      </c>
      <c r="E198" t="s">
        <v>162</v>
      </c>
      <c r="F198">
        <v>45</v>
      </c>
    </row>
    <row r="199" spans="4:6" x14ac:dyDescent="0.3">
      <c r="D199" t="s">
        <v>98</v>
      </c>
      <c r="E199" t="s">
        <v>162</v>
      </c>
      <c r="F199">
        <v>30</v>
      </c>
    </row>
    <row r="200" spans="4:6" x14ac:dyDescent="0.3">
      <c r="D200" t="s">
        <v>99</v>
      </c>
      <c r="E200" t="s">
        <v>162</v>
      </c>
      <c r="F200">
        <v>60</v>
      </c>
    </row>
    <row r="201" spans="4:6" x14ac:dyDescent="0.3">
      <c r="D201" t="s">
        <v>100</v>
      </c>
      <c r="E201" t="s">
        <v>162</v>
      </c>
      <c r="F201">
        <v>60</v>
      </c>
    </row>
    <row r="203" spans="4:6" x14ac:dyDescent="0.3">
      <c r="D203" t="s">
        <v>163</v>
      </c>
      <c r="E203" t="s">
        <v>162</v>
      </c>
      <c r="F203">
        <v>30</v>
      </c>
    </row>
    <row r="205" spans="4:6" x14ac:dyDescent="0.3">
      <c r="D205" s="44" t="s">
        <v>164</v>
      </c>
    </row>
    <row r="206" spans="4:6" x14ac:dyDescent="0.3">
      <c r="D206" t="s">
        <v>165</v>
      </c>
      <c r="E206" t="s">
        <v>166</v>
      </c>
      <c r="F206">
        <v>30</v>
      </c>
    </row>
    <row r="207" spans="4:6" x14ac:dyDescent="0.3">
      <c r="D207" t="s">
        <v>167</v>
      </c>
      <c r="E207" t="s">
        <v>166</v>
      </c>
      <c r="F207">
        <v>45</v>
      </c>
    </row>
    <row r="209" spans="1:6" x14ac:dyDescent="0.3">
      <c r="D209" t="s">
        <v>168</v>
      </c>
      <c r="E209" t="s">
        <v>169</v>
      </c>
      <c r="F209" s="31">
        <v>0.05</v>
      </c>
    </row>
    <row r="212" spans="1:6" s="135" customFormat="1" x14ac:dyDescent="0.3">
      <c r="A212" s="135" t="s">
        <v>170</v>
      </c>
    </row>
    <row r="214" spans="1:6" x14ac:dyDescent="0.3">
      <c r="D214" t="s">
        <v>171</v>
      </c>
      <c r="E214" t="s">
        <v>172</v>
      </c>
      <c r="F214" s="32">
        <v>0.3</v>
      </c>
    </row>
    <row r="215" spans="1:6" x14ac:dyDescent="0.3">
      <c r="D215" t="s">
        <v>173</v>
      </c>
      <c r="E215" t="s">
        <v>174</v>
      </c>
      <c r="F215" s="32">
        <v>0.185</v>
      </c>
    </row>
    <row r="216" spans="1:6" x14ac:dyDescent="0.3">
      <c r="F216" s="9"/>
    </row>
    <row r="217" spans="1:6" x14ac:dyDescent="0.3">
      <c r="E217" t="s">
        <v>46</v>
      </c>
      <c r="F217" s="9" t="s">
        <v>27</v>
      </c>
    </row>
    <row r="218" spans="1:6" x14ac:dyDescent="0.3">
      <c r="D218" t="s">
        <v>175</v>
      </c>
      <c r="E218">
        <v>10</v>
      </c>
      <c r="F218" s="9">
        <v>0</v>
      </c>
    </row>
    <row r="219" spans="1:6" x14ac:dyDescent="0.3">
      <c r="D219" t="s">
        <v>176</v>
      </c>
      <c r="E219">
        <v>100</v>
      </c>
      <c r="F219" s="32">
        <v>7.0000000000000007E-2</v>
      </c>
    </row>
    <row r="220" spans="1:6" x14ac:dyDescent="0.3">
      <c r="D220" t="s">
        <v>177</v>
      </c>
      <c r="E220">
        <v>100</v>
      </c>
      <c r="F220" s="32">
        <v>0.12</v>
      </c>
    </row>
    <row r="221" spans="1:6" x14ac:dyDescent="0.3">
      <c r="F221" s="9"/>
    </row>
    <row r="222" spans="1:6" x14ac:dyDescent="0.3">
      <c r="D222" t="s">
        <v>178</v>
      </c>
      <c r="E222" t="s">
        <v>27</v>
      </c>
      <c r="F222" s="32">
        <v>0.03</v>
      </c>
    </row>
    <row r="223" spans="1:6" x14ac:dyDescent="0.3">
      <c r="F223" s="9"/>
    </row>
    <row r="224" spans="1:6" x14ac:dyDescent="0.3">
      <c r="D224" t="s">
        <v>179</v>
      </c>
      <c r="E224" t="s">
        <v>180</v>
      </c>
      <c r="F224" s="9">
        <v>8</v>
      </c>
    </row>
    <row r="225" spans="1:6" x14ac:dyDescent="0.3">
      <c r="D225" t="s">
        <v>181</v>
      </c>
      <c r="E225" t="s">
        <v>180</v>
      </c>
      <c r="F225" s="9">
        <v>10</v>
      </c>
    </row>
    <row r="228" spans="1:6" s="135" customFormat="1" x14ac:dyDescent="0.3">
      <c r="A228" s="135" t="s">
        <v>182</v>
      </c>
    </row>
    <row r="230" spans="1:6" x14ac:dyDescent="0.3">
      <c r="D230" t="s">
        <v>183</v>
      </c>
      <c r="E230" t="s">
        <v>8</v>
      </c>
      <c r="F230" s="10">
        <v>45747</v>
      </c>
    </row>
    <row r="231" spans="1:6" x14ac:dyDescent="0.3">
      <c r="D231" t="s">
        <v>184</v>
      </c>
      <c r="E231" t="s">
        <v>48</v>
      </c>
      <c r="F231">
        <v>3</v>
      </c>
    </row>
    <row r="233" spans="1:6" x14ac:dyDescent="0.3">
      <c r="D233" s="44" t="s">
        <v>185</v>
      </c>
    </row>
    <row r="234" spans="1:6" x14ac:dyDescent="0.3">
      <c r="D234" t="s">
        <v>186</v>
      </c>
      <c r="E234" t="s">
        <v>27</v>
      </c>
      <c r="F234" s="31">
        <v>0.06</v>
      </c>
    </row>
    <row r="235" spans="1:6" x14ac:dyDescent="0.3">
      <c r="D235" t="s">
        <v>187</v>
      </c>
      <c r="E235" t="s">
        <v>27</v>
      </c>
      <c r="F235" s="31">
        <v>0.155</v>
      </c>
    </row>
    <row r="236" spans="1:6" x14ac:dyDescent="0.3">
      <c r="D236" t="s">
        <v>188</v>
      </c>
      <c r="E236" t="s">
        <v>27</v>
      </c>
      <c r="F236" s="31">
        <v>0</v>
      </c>
    </row>
    <row r="238" spans="1:6" x14ac:dyDescent="0.3">
      <c r="D238" t="s">
        <v>189</v>
      </c>
      <c r="E238" t="s">
        <v>14</v>
      </c>
      <c r="F238">
        <v>0.75</v>
      </c>
    </row>
    <row r="240" spans="1:6" x14ac:dyDescent="0.3">
      <c r="D240" t="s">
        <v>190</v>
      </c>
      <c r="E240" t="s">
        <v>27</v>
      </c>
      <c r="F240" s="31">
        <v>4.4999999999999998E-2</v>
      </c>
    </row>
    <row r="242" spans="1:6" x14ac:dyDescent="0.3">
      <c r="D242" s="44" t="s">
        <v>191</v>
      </c>
    </row>
    <row r="243" spans="1:6" x14ac:dyDescent="0.3">
      <c r="D243" t="s">
        <v>192</v>
      </c>
      <c r="E243" t="s">
        <v>46</v>
      </c>
      <c r="F243">
        <v>80</v>
      </c>
    </row>
    <row r="244" spans="1:6" x14ac:dyDescent="0.3">
      <c r="D244" t="s">
        <v>193</v>
      </c>
      <c r="E244" t="s">
        <v>27</v>
      </c>
      <c r="F244" s="31">
        <v>0.42</v>
      </c>
    </row>
    <row r="245" spans="1:6" x14ac:dyDescent="0.3">
      <c r="D245" t="s">
        <v>194</v>
      </c>
      <c r="E245" t="s">
        <v>46</v>
      </c>
      <c r="F245">
        <v>290</v>
      </c>
    </row>
    <row r="246" spans="1:6" x14ac:dyDescent="0.3">
      <c r="D246" t="s">
        <v>195</v>
      </c>
      <c r="E246" t="s">
        <v>14</v>
      </c>
      <c r="F246">
        <v>14</v>
      </c>
    </row>
    <row r="247" spans="1:6" x14ac:dyDescent="0.3">
      <c r="D247" t="s">
        <v>196</v>
      </c>
      <c r="E247" t="s">
        <v>14</v>
      </c>
      <c r="F247">
        <v>21</v>
      </c>
    </row>
    <row r="248" spans="1:6" x14ac:dyDescent="0.3">
      <c r="D248" t="s">
        <v>197</v>
      </c>
      <c r="E248" t="s">
        <v>27</v>
      </c>
      <c r="F248" s="31">
        <v>0</v>
      </c>
    </row>
    <row r="249" spans="1:6" x14ac:dyDescent="0.3">
      <c r="D249" t="s">
        <v>198</v>
      </c>
      <c r="E249" t="s">
        <v>27</v>
      </c>
      <c r="F249" s="31">
        <v>0</v>
      </c>
    </row>
    <row r="252" spans="1:6" s="136" customFormat="1" x14ac:dyDescent="0.3">
      <c r="A252" s="136" t="s">
        <v>199</v>
      </c>
    </row>
  </sheetData>
  <mergeCells count="13">
    <mergeCell ref="D154:D155"/>
    <mergeCell ref="E154:H154"/>
    <mergeCell ref="I154:I155"/>
    <mergeCell ref="A8:XFD8"/>
    <mergeCell ref="A15:XFD15"/>
    <mergeCell ref="A50:XFD50"/>
    <mergeCell ref="A120:XFD120"/>
    <mergeCell ref="A152:XFD152"/>
    <mergeCell ref="A164:XFD164"/>
    <mergeCell ref="A192:XFD192"/>
    <mergeCell ref="A212:XFD212"/>
    <mergeCell ref="A228:XFD228"/>
    <mergeCell ref="A252:XFD2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showGridLines="0" zoomScale="85" zoomScaleNormal="85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O92" sqref="O92"/>
    </sheetView>
  </sheetViews>
  <sheetFormatPr defaultRowHeight="14.4" x14ac:dyDescent="0.3"/>
  <cols>
    <col min="1" max="1" width="3.88671875" customWidth="1"/>
    <col min="2" max="2" width="5.21875" customWidth="1"/>
    <col min="3" max="3" width="4.77734375" customWidth="1"/>
    <col min="4" max="4" width="62.88671875" bestFit="1" customWidth="1"/>
    <col min="5" max="5" width="11.33203125" customWidth="1"/>
    <col min="6" max="6" width="18.88671875" customWidth="1"/>
    <col min="7" max="7" width="17.77734375" customWidth="1"/>
    <col min="8" max="12" width="13.6640625" bestFit="1" customWidth="1"/>
  </cols>
  <sheetData>
    <row r="1" spans="1:13" s="3" customFormat="1" ht="20.399999999999999" customHeight="1" x14ac:dyDescent="0.3">
      <c r="A1" s="7" t="str">
        <f ca="1">MID(CELL("filename",A1),FIND("[",CELL("filename",A1))+1,FIND("]",CELL("filename",A1))-FIND("[",CELL("filename",A1))-6)</f>
        <v>Valuation_project</v>
      </c>
    </row>
    <row r="2" spans="1:13" s="3" customFormat="1" ht="16.2" customHeight="1" x14ac:dyDescent="0.3">
      <c r="A2" s="7" t="str">
        <f ca="1">MID(CELL("filename",A2),FIND("]",CELL("filename",A2))+1,LEN(CELL("filename",A2)))</f>
        <v>FS</v>
      </c>
    </row>
    <row r="3" spans="1:13" s="3" customFormat="1" x14ac:dyDescent="0.3">
      <c r="G3" s="6" t="s">
        <v>0</v>
      </c>
      <c r="H3" s="8">
        <f>Inputs!H3</f>
        <v>1</v>
      </c>
      <c r="I3" s="8">
        <f>Inputs!I3</f>
        <v>2</v>
      </c>
      <c r="J3" s="8">
        <f>Inputs!J3</f>
        <v>3</v>
      </c>
      <c r="K3" s="8">
        <f>Inputs!K3</f>
        <v>4</v>
      </c>
      <c r="L3" s="8">
        <f>Inputs!L3</f>
        <v>5</v>
      </c>
      <c r="M3" s="8"/>
    </row>
    <row r="4" spans="1:13" s="3" customFormat="1" x14ac:dyDescent="0.3">
      <c r="G4" s="6" t="s">
        <v>1</v>
      </c>
      <c r="H4" s="24">
        <f>Inputs!H4</f>
        <v>45017</v>
      </c>
      <c r="I4" s="24">
        <f>Inputs!I4</f>
        <v>45383</v>
      </c>
      <c r="J4" s="24">
        <f>Inputs!J4</f>
        <v>45748</v>
      </c>
      <c r="K4" s="24">
        <f>Inputs!K4</f>
        <v>46113</v>
      </c>
      <c r="L4" s="24">
        <f>Inputs!L4</f>
        <v>46478</v>
      </c>
      <c r="M4" s="24"/>
    </row>
    <row r="5" spans="1:13" s="3" customFormat="1" x14ac:dyDescent="0.3">
      <c r="G5" s="6" t="s">
        <v>2</v>
      </c>
      <c r="H5" s="24">
        <f>Inputs!H5</f>
        <v>45382</v>
      </c>
      <c r="I5" s="24">
        <f>Inputs!I5</f>
        <v>45747</v>
      </c>
      <c r="J5" s="24">
        <f>Inputs!J5</f>
        <v>46112</v>
      </c>
      <c r="K5" s="24">
        <f>Inputs!K5</f>
        <v>46477</v>
      </c>
      <c r="L5" s="24">
        <f>Inputs!L5</f>
        <v>46843</v>
      </c>
      <c r="M5" s="24"/>
    </row>
    <row r="6" spans="1:13" s="3" customFormat="1" x14ac:dyDescent="0.3">
      <c r="E6" s="8" t="s">
        <v>10</v>
      </c>
      <c r="G6" s="6" t="s">
        <v>3</v>
      </c>
      <c r="H6" s="8" t="str">
        <f>Inputs!H6</f>
        <v>Actual</v>
      </c>
      <c r="I6" s="8" t="str">
        <f>Inputs!I6</f>
        <v>Projected</v>
      </c>
      <c r="J6" s="8" t="str">
        <f>Inputs!J6</f>
        <v>Projected</v>
      </c>
      <c r="K6" s="8" t="str">
        <f>Inputs!K6</f>
        <v>Projected</v>
      </c>
      <c r="L6" s="8" t="str">
        <f>Inputs!L6</f>
        <v>Projected</v>
      </c>
      <c r="M6" s="8"/>
    </row>
    <row r="8" spans="1:13" s="33" customFormat="1" x14ac:dyDescent="0.3">
      <c r="A8" s="33" t="s">
        <v>394</v>
      </c>
    </row>
    <row r="10" spans="1:13" x14ac:dyDescent="0.3">
      <c r="D10" s="116" t="s">
        <v>389</v>
      </c>
      <c r="E10" s="15"/>
      <c r="F10" s="106"/>
      <c r="G10" s="45"/>
      <c r="H10" s="45"/>
      <c r="I10" s="45"/>
      <c r="J10" s="45"/>
      <c r="K10" s="45"/>
      <c r="L10" s="46"/>
    </row>
    <row r="11" spans="1:13" x14ac:dyDescent="0.3">
      <c r="D11" s="13" t="s">
        <v>94</v>
      </c>
      <c r="E11" s="16" t="s">
        <v>46</v>
      </c>
      <c r="F11" s="86"/>
      <c r="G11" s="1"/>
      <c r="H11" s="70">
        <f>Calculations!H62</f>
        <v>6.043040640000001</v>
      </c>
      <c r="I11" s="70">
        <f>Calculations!I62</f>
        <v>7.762170124799999</v>
      </c>
      <c r="J11" s="70">
        <f>Calculations!J62</f>
        <v>9.9976751207424019</v>
      </c>
      <c r="K11" s="70">
        <f>Calculations!K62</f>
        <v>12.877005555516213</v>
      </c>
      <c r="L11" s="19">
        <f>Calculations!L62</f>
        <v>16.631023109355581</v>
      </c>
    </row>
    <row r="12" spans="1:13" x14ac:dyDescent="0.3">
      <c r="D12" s="13" t="s">
        <v>95</v>
      </c>
      <c r="E12" s="16" t="s">
        <v>46</v>
      </c>
      <c r="F12" s="112"/>
      <c r="G12" s="1"/>
      <c r="H12" s="70">
        <f>Calculations!H63</f>
        <v>5.1827466600000003</v>
      </c>
      <c r="I12" s="70">
        <f>Calculations!I63</f>
        <v>6.7760164426499996</v>
      </c>
      <c r="J12" s="70">
        <f>Calculations!J63</f>
        <v>8.8833575563141505</v>
      </c>
      <c r="K12" s="70">
        <f>Calculations!K63</f>
        <v>11.646081756327854</v>
      </c>
      <c r="L12" s="19">
        <f>Calculations!L63</f>
        <v>15.309843355648681</v>
      </c>
    </row>
    <row r="13" spans="1:13" x14ac:dyDescent="0.3">
      <c r="D13" s="13" t="s">
        <v>96</v>
      </c>
      <c r="E13" s="16" t="s">
        <v>46</v>
      </c>
      <c r="F13" s="1"/>
      <c r="G13" s="1"/>
      <c r="H13" s="70">
        <f>Calculations!H64</f>
        <v>4.2308135999999994</v>
      </c>
      <c r="I13" s="70">
        <f>Calculations!I64</f>
        <v>5.0462277839999992</v>
      </c>
      <c r="J13" s="70">
        <f>Calculations!J64</f>
        <v>6.0352884296639973</v>
      </c>
      <c r="K13" s="70">
        <f>Calculations!K64</f>
        <v>7.2182049618781416</v>
      </c>
      <c r="L13" s="19">
        <f>Calculations!L64</f>
        <v>8.6566251155964125</v>
      </c>
    </row>
    <row r="14" spans="1:13" x14ac:dyDescent="0.3">
      <c r="D14" s="13" t="s">
        <v>97</v>
      </c>
      <c r="E14" s="16" t="s">
        <v>46</v>
      </c>
      <c r="F14" s="1"/>
      <c r="G14" s="1"/>
      <c r="H14" s="70">
        <f>Calculations!H65</f>
        <v>22.267440000000001</v>
      </c>
      <c r="I14" s="70">
        <f>Calculations!I65</f>
        <v>26.559093599999997</v>
      </c>
      <c r="J14" s="70">
        <f>Calculations!J65</f>
        <v>31.764675945599997</v>
      </c>
      <c r="K14" s="70">
        <f>Calculations!K65</f>
        <v>37.990552430937598</v>
      </c>
      <c r="L14" s="19">
        <f>Calculations!L65</f>
        <v>45.561184818928496</v>
      </c>
    </row>
    <row r="15" spans="1:13" x14ac:dyDescent="0.3">
      <c r="D15" s="13" t="s">
        <v>98</v>
      </c>
      <c r="E15" s="16" t="s">
        <v>46</v>
      </c>
      <c r="F15" s="1"/>
      <c r="G15" s="1"/>
      <c r="H15" s="70">
        <f>Calculations!H66</f>
        <v>17.4221307</v>
      </c>
      <c r="I15" s="70">
        <f>Calculations!I66</f>
        <v>20.580129896624999</v>
      </c>
      <c r="J15" s="70">
        <f>Calculations!J66</f>
        <v>24.377163862552308</v>
      </c>
      <c r="K15" s="70">
        <f>Calculations!K66</f>
        <v>28.874750595193206</v>
      </c>
      <c r="L15" s="19">
        <f>Calculations!L66</f>
        <v>34.295846578855688</v>
      </c>
    </row>
    <row r="16" spans="1:13" x14ac:dyDescent="0.3">
      <c r="D16" s="13" t="s">
        <v>99</v>
      </c>
      <c r="E16" s="16" t="s">
        <v>46</v>
      </c>
      <c r="F16" s="1"/>
      <c r="G16" s="1"/>
      <c r="H16" s="70">
        <f>Calculations!H67</f>
        <v>2.5978680000000001</v>
      </c>
      <c r="I16" s="70">
        <f>Calculations!I67</f>
        <v>3.0985609199999993</v>
      </c>
      <c r="J16" s="70">
        <f>Calculations!J67</f>
        <v>3.705878860319999</v>
      </c>
      <c r="K16" s="70">
        <f>Calculations!K67</f>
        <v>4.4322311169427193</v>
      </c>
      <c r="L16" s="19">
        <f>Calculations!L67</f>
        <v>5.315471562208324</v>
      </c>
    </row>
    <row r="17" spans="4:13" x14ac:dyDescent="0.3">
      <c r="D17" s="13" t="s">
        <v>100</v>
      </c>
      <c r="E17" s="16" t="s">
        <v>46</v>
      </c>
      <c r="F17" s="1"/>
      <c r="G17" s="1"/>
      <c r="H17" s="70">
        <f>Calculations!H68</f>
        <v>8.0862210000000001</v>
      </c>
      <c r="I17" s="70">
        <f>Calculations!I68</f>
        <v>9.5519590237499994</v>
      </c>
      <c r="J17" s="70">
        <f>Calculations!J68</f>
        <v>11.314295463631872</v>
      </c>
      <c r="K17" s="70">
        <f>Calculations!K68</f>
        <v>13.401782976671955</v>
      </c>
      <c r="L17" s="19">
        <f>Calculations!L68</f>
        <v>15.917903475418253</v>
      </c>
    </row>
    <row r="18" spans="4:13" x14ac:dyDescent="0.3">
      <c r="D18" s="13"/>
      <c r="E18" s="16"/>
      <c r="F18" s="1"/>
      <c r="G18" s="1"/>
      <c r="H18" s="1"/>
      <c r="I18" s="1"/>
      <c r="J18" s="1"/>
      <c r="K18" s="1"/>
      <c r="L18" s="47"/>
    </row>
    <row r="19" spans="4:13" x14ac:dyDescent="0.3">
      <c r="D19" s="117" t="s">
        <v>390</v>
      </c>
      <c r="E19" s="120" t="s">
        <v>46</v>
      </c>
      <c r="F19" s="121"/>
      <c r="G19" s="121"/>
      <c r="H19" s="122">
        <f>SUM(H11:H18)</f>
        <v>65.830260600000003</v>
      </c>
      <c r="I19" s="123">
        <f t="shared" ref="I19:L19" si="0">SUM(I11:I18)</f>
        <v>79.374157791824985</v>
      </c>
      <c r="J19" s="123">
        <f t="shared" si="0"/>
        <v>96.078335238824735</v>
      </c>
      <c r="K19" s="123">
        <f t="shared" si="0"/>
        <v>116.44060939346768</v>
      </c>
      <c r="L19" s="124">
        <f t="shared" si="0"/>
        <v>141.68789801601145</v>
      </c>
    </row>
    <row r="20" spans="4:13" x14ac:dyDescent="0.3">
      <c r="D20" s="13"/>
      <c r="E20" s="16"/>
      <c r="F20" s="1"/>
      <c r="G20" s="1"/>
      <c r="H20" s="13"/>
      <c r="I20" s="1"/>
      <c r="J20" s="1"/>
      <c r="K20" s="1"/>
      <c r="L20" s="47"/>
    </row>
    <row r="21" spans="4:13" x14ac:dyDescent="0.3">
      <c r="D21" s="13" t="s">
        <v>43</v>
      </c>
      <c r="E21" s="16"/>
      <c r="F21" s="1"/>
      <c r="G21" s="1"/>
      <c r="H21" s="13"/>
      <c r="I21" s="1"/>
      <c r="J21" s="1"/>
      <c r="K21" s="1"/>
      <c r="L21" s="47"/>
    </row>
    <row r="22" spans="4:13" x14ac:dyDescent="0.3">
      <c r="D22" s="13" t="s">
        <v>44</v>
      </c>
      <c r="E22" s="16" t="s">
        <v>46</v>
      </c>
      <c r="F22" s="1"/>
      <c r="G22" s="1"/>
      <c r="H22" s="13">
        <f>-Calculations!H81</f>
        <v>-8.6</v>
      </c>
      <c r="I22" s="1">
        <f>-Calculations!I81</f>
        <v>-8.6</v>
      </c>
      <c r="J22" s="1">
        <f>-Calculations!J81</f>
        <v>-8.6</v>
      </c>
      <c r="K22" s="1">
        <f>-Calculations!K81</f>
        <v>-9.4600000000000009</v>
      </c>
      <c r="L22" s="47">
        <f>-Calculations!L81</f>
        <v>-9.4600000000000009</v>
      </c>
    </row>
    <row r="23" spans="4:13" x14ac:dyDescent="0.3">
      <c r="D23" s="13" t="s">
        <v>391</v>
      </c>
      <c r="E23" s="16" t="s">
        <v>46</v>
      </c>
      <c r="F23" s="1"/>
      <c r="G23" s="1"/>
      <c r="H23" s="113">
        <f>-Calculations!H89</f>
        <v>-0.26</v>
      </c>
      <c r="I23" s="70">
        <f>-Calculations!I89</f>
        <v>-0.26</v>
      </c>
      <c r="J23" s="70">
        <f>-Calculations!J89</f>
        <v>-0.27040000000000003</v>
      </c>
      <c r="K23" s="70">
        <f>-Calculations!K89</f>
        <v>-0.27040000000000003</v>
      </c>
      <c r="L23" s="19">
        <f>-Calculations!L89</f>
        <v>-0.28198645479452061</v>
      </c>
    </row>
    <row r="24" spans="4:13" x14ac:dyDescent="0.3">
      <c r="D24" s="13" t="s">
        <v>54</v>
      </c>
      <c r="E24" s="16" t="s">
        <v>46</v>
      </c>
      <c r="F24" s="1"/>
      <c r="G24" s="1"/>
      <c r="H24" s="113">
        <f>-Calculations!H92</f>
        <v>-0.4</v>
      </c>
      <c r="I24" s="70">
        <f>-Calculations!I92</f>
        <v>-0.42000000000000004</v>
      </c>
      <c r="J24" s="70">
        <f>-Calculations!J92</f>
        <v>-0.44100000000000006</v>
      </c>
      <c r="K24" s="70">
        <f>-Calculations!K92</f>
        <v>-0.46305000000000007</v>
      </c>
      <c r="L24" s="19">
        <f>-Calculations!L92</f>
        <v>-0.48620250000000009</v>
      </c>
    </row>
    <row r="25" spans="4:13" x14ac:dyDescent="0.3">
      <c r="D25" s="13"/>
      <c r="E25" s="16"/>
      <c r="F25" s="1"/>
      <c r="G25" s="1"/>
      <c r="H25" s="13"/>
      <c r="I25" s="1"/>
      <c r="J25" s="1"/>
      <c r="K25" s="1"/>
      <c r="L25" s="47"/>
    </row>
    <row r="26" spans="4:13" x14ac:dyDescent="0.3">
      <c r="D26" s="117" t="s">
        <v>392</v>
      </c>
      <c r="E26" s="120" t="s">
        <v>46</v>
      </c>
      <c r="F26" s="121"/>
      <c r="G26" s="121"/>
      <c r="H26" s="125">
        <f>SUM(H22:H24)</f>
        <v>-9.26</v>
      </c>
      <c r="I26" s="126">
        <f t="shared" ref="I26:L26" si="1">SUM(I22:I24)</f>
        <v>-9.2799999999999994</v>
      </c>
      <c r="J26" s="126">
        <f t="shared" si="1"/>
        <v>-9.3114000000000008</v>
      </c>
      <c r="K26" s="126">
        <f t="shared" si="1"/>
        <v>-10.193450000000002</v>
      </c>
      <c r="L26" s="127">
        <f t="shared" si="1"/>
        <v>-10.228188954794522</v>
      </c>
    </row>
    <row r="27" spans="4:13" x14ac:dyDescent="0.3">
      <c r="D27" s="13"/>
      <c r="E27" s="16"/>
      <c r="F27" s="1"/>
      <c r="G27" s="1"/>
      <c r="H27" s="13"/>
      <c r="I27" s="1"/>
      <c r="J27" s="1"/>
      <c r="K27" s="1"/>
      <c r="L27" s="47"/>
    </row>
    <row r="28" spans="4:13" x14ac:dyDescent="0.3">
      <c r="D28" s="71" t="s">
        <v>393</v>
      </c>
      <c r="E28" s="114" t="s">
        <v>46</v>
      </c>
      <c r="F28" s="72"/>
      <c r="G28" s="72"/>
      <c r="H28" s="115">
        <f>SUM(H19,H26)</f>
        <v>56.570260600000005</v>
      </c>
      <c r="I28" s="73">
        <f t="shared" ref="I28:L28" si="2">SUM(I19,I26)</f>
        <v>70.094157791824983</v>
      </c>
      <c r="J28" s="73">
        <f t="shared" si="2"/>
        <v>86.766935238824729</v>
      </c>
      <c r="K28" s="73">
        <f t="shared" si="2"/>
        <v>106.24715939346768</v>
      </c>
      <c r="L28" s="74">
        <f t="shared" si="2"/>
        <v>131.45970906121693</v>
      </c>
    </row>
    <row r="29" spans="4:13" x14ac:dyDescent="0.3">
      <c r="D29" s="12"/>
      <c r="E29" s="15"/>
      <c r="F29" s="45"/>
      <c r="G29" s="45"/>
      <c r="H29" s="45"/>
      <c r="I29" s="45"/>
      <c r="J29" s="45"/>
      <c r="K29" s="45"/>
      <c r="L29" s="46"/>
    </row>
    <row r="30" spans="4:13" x14ac:dyDescent="0.3">
      <c r="D30" s="13" t="s">
        <v>60</v>
      </c>
      <c r="E30" s="16"/>
      <c r="F30" s="1"/>
      <c r="G30" s="1"/>
      <c r="H30" s="1"/>
      <c r="I30" s="1"/>
      <c r="J30" s="1"/>
      <c r="K30" s="1"/>
      <c r="L30" s="47"/>
    </row>
    <row r="31" spans="4:13" x14ac:dyDescent="0.3">
      <c r="D31" s="13" t="s">
        <v>395</v>
      </c>
      <c r="E31" s="16" t="s">
        <v>46</v>
      </c>
      <c r="F31" s="1"/>
      <c r="G31" s="1"/>
      <c r="H31" s="70">
        <f>-SUM(Calculations!H113,Calculations!H126)</f>
        <v>-13.912500000000001</v>
      </c>
      <c r="I31" s="70">
        <f>-SUM(Calculations!I113,Calculations!I126)</f>
        <v>-16.076080942622951</v>
      </c>
      <c r="J31" s="70">
        <f>-SUM(Calculations!J113,Calculations!J126)</f>
        <v>-18.727024334016395</v>
      </c>
      <c r="K31" s="70">
        <f>-SUM(Calculations!K113,Calculations!K126)</f>
        <v>-22.789081659836064</v>
      </c>
      <c r="L31" s="19">
        <f>-SUM(Calculations!L113,Calculations!L126)</f>
        <v>-26.911308375000001</v>
      </c>
      <c r="M31" s="17"/>
    </row>
    <row r="32" spans="4:13" x14ac:dyDescent="0.3">
      <c r="D32" s="13" t="s">
        <v>73</v>
      </c>
      <c r="E32" s="16" t="s">
        <v>46</v>
      </c>
      <c r="F32" s="1"/>
      <c r="G32" s="1"/>
      <c r="H32" s="70">
        <f>-Calculations!H138</f>
        <v>-2.2272500000000002</v>
      </c>
      <c r="I32" s="70">
        <f>-Calculations!I138</f>
        <v>-2.3555999999999999</v>
      </c>
      <c r="J32" s="70">
        <f>-Calculations!J138</f>
        <v>-2.4988204800000005</v>
      </c>
      <c r="K32" s="70">
        <f>-Calculations!K138</f>
        <v>-2.6582223616</v>
      </c>
      <c r="L32" s="19">
        <f>-Calculations!L138</f>
        <v>-2.8352107130880002</v>
      </c>
    </row>
    <row r="33" spans="4:12" x14ac:dyDescent="0.3">
      <c r="D33" s="13" t="s">
        <v>81</v>
      </c>
      <c r="E33" s="16" t="s">
        <v>46</v>
      </c>
      <c r="F33" s="1"/>
      <c r="G33" s="1"/>
      <c r="H33" s="70">
        <f>-Calculations!H144</f>
        <v>-3.3</v>
      </c>
      <c r="I33" s="70">
        <f>-Calculations!I144</f>
        <v>-0.03</v>
      </c>
      <c r="J33" s="70">
        <f>-Calculations!J144</f>
        <v>-3.3000000000000002E-2</v>
      </c>
      <c r="K33" s="70">
        <f>-Calculations!K144</f>
        <v>-3.6300000000000006E-2</v>
      </c>
      <c r="L33" s="19">
        <f>-Calculations!L144</f>
        <v>-3.9930000000000007E-2</v>
      </c>
    </row>
    <row r="34" spans="4:12" x14ac:dyDescent="0.3">
      <c r="D34" s="13" t="s">
        <v>84</v>
      </c>
      <c r="E34" s="16" t="s">
        <v>46</v>
      </c>
      <c r="F34" s="1"/>
      <c r="G34" s="1"/>
      <c r="H34" s="70">
        <f>-Calculations!H157</f>
        <v>-1.4</v>
      </c>
      <c r="I34" s="70">
        <f>-Calculations!I157</f>
        <v>-4.3753255335854995</v>
      </c>
      <c r="J34" s="70">
        <f>-Calculations!J157</f>
        <v>-5.2817143038249608</v>
      </c>
      <c r="K34" s="70">
        <f>-Calculations!K157</f>
        <v>-6.3828952666648373</v>
      </c>
      <c r="L34" s="19">
        <f>-Calculations!L157</f>
        <v>-7.7438460570646308</v>
      </c>
    </row>
    <row r="35" spans="4:12" x14ac:dyDescent="0.3">
      <c r="D35" s="13" t="s">
        <v>396</v>
      </c>
      <c r="E35" s="16" t="s">
        <v>46</v>
      </c>
      <c r="F35" s="1"/>
      <c r="G35" s="1"/>
      <c r="H35" s="70">
        <f>-Calculations!H166</f>
        <v>-6.1</v>
      </c>
      <c r="I35" s="70">
        <f>-Calculations!I166</f>
        <v>-7.9374157791824986</v>
      </c>
      <c r="J35" s="70">
        <f>-Calculations!J166</f>
        <v>-9.1274418476883508</v>
      </c>
      <c r="K35" s="70">
        <f>-Calculations!K166</f>
        <v>-10.479654845412091</v>
      </c>
      <c r="L35" s="19">
        <f>-Calculations!L166</f>
        <v>-12.043471331360971</v>
      </c>
    </row>
    <row r="36" spans="4:12" x14ac:dyDescent="0.3">
      <c r="D36" s="13" t="s">
        <v>58</v>
      </c>
      <c r="E36" s="16" t="s">
        <v>46</v>
      </c>
      <c r="F36" s="1"/>
      <c r="G36" s="1"/>
      <c r="H36" s="70">
        <f>-Calculations!H96</f>
        <v>-1</v>
      </c>
      <c r="I36" s="70">
        <f>-Calculations!I96</f>
        <v>-1.04</v>
      </c>
      <c r="J36" s="70">
        <f>-Calculations!J96</f>
        <v>-1.0816000000000001</v>
      </c>
      <c r="K36" s="70">
        <f>-Calculations!K96</f>
        <v>-1.1248640000000001</v>
      </c>
      <c r="L36" s="19">
        <f>-Calculations!L96</f>
        <v>-1.1698585600000002</v>
      </c>
    </row>
    <row r="37" spans="4:12" x14ac:dyDescent="0.3">
      <c r="D37" s="13"/>
      <c r="E37" s="16"/>
      <c r="F37" s="1"/>
      <c r="G37" s="1"/>
      <c r="H37" s="70"/>
      <c r="I37" s="70"/>
      <c r="J37" s="70"/>
      <c r="K37" s="70"/>
      <c r="L37" s="19"/>
    </row>
    <row r="38" spans="4:12" x14ac:dyDescent="0.3">
      <c r="D38" s="117" t="s">
        <v>397</v>
      </c>
      <c r="E38" s="120" t="s">
        <v>46</v>
      </c>
      <c r="F38" s="121"/>
      <c r="G38" s="121"/>
      <c r="H38" s="122">
        <f>SUM(H31:H37)</f>
        <v>-27.939750000000004</v>
      </c>
      <c r="I38" s="123">
        <f t="shared" ref="I38:L38" si="3">SUM(I31:I37)</f>
        <v>-31.814422255390948</v>
      </c>
      <c r="J38" s="123">
        <f t="shared" si="3"/>
        <v>-36.749600965529709</v>
      </c>
      <c r="K38" s="123">
        <f t="shared" si="3"/>
        <v>-43.471018133512999</v>
      </c>
      <c r="L38" s="124">
        <f t="shared" si="3"/>
        <v>-50.743625036513599</v>
      </c>
    </row>
    <row r="39" spans="4:12" x14ac:dyDescent="0.3">
      <c r="D39" s="13"/>
      <c r="E39" s="16"/>
      <c r="F39" s="1"/>
      <c r="G39" s="1"/>
      <c r="H39" s="113"/>
      <c r="I39" s="70"/>
      <c r="J39" s="70"/>
      <c r="K39" s="70"/>
      <c r="L39" s="19"/>
    </row>
    <row r="40" spans="4:12" x14ac:dyDescent="0.3">
      <c r="D40" s="71" t="s">
        <v>348</v>
      </c>
      <c r="E40" s="114" t="s">
        <v>46</v>
      </c>
      <c r="F40" s="72"/>
      <c r="G40" s="72"/>
      <c r="H40" s="115">
        <f>SUM(H28,H38)</f>
        <v>28.630510600000001</v>
      </c>
      <c r="I40" s="73">
        <f t="shared" ref="I40:L40" si="4">SUM(I28,I38)</f>
        <v>38.279735536434032</v>
      </c>
      <c r="J40" s="73">
        <f t="shared" si="4"/>
        <v>50.01733427329502</v>
      </c>
      <c r="K40" s="73">
        <f t="shared" si="4"/>
        <v>62.776141259954684</v>
      </c>
      <c r="L40" s="74">
        <f t="shared" si="4"/>
        <v>80.716084024703321</v>
      </c>
    </row>
    <row r="41" spans="4:12" x14ac:dyDescent="0.3">
      <c r="D41" s="12"/>
      <c r="E41" s="15"/>
      <c r="F41" s="45"/>
      <c r="G41" s="45"/>
      <c r="H41" s="45"/>
      <c r="I41" s="45"/>
      <c r="J41" s="45"/>
      <c r="K41" s="45"/>
      <c r="L41" s="46"/>
    </row>
    <row r="42" spans="4:12" x14ac:dyDescent="0.3">
      <c r="D42" s="13" t="s">
        <v>315</v>
      </c>
      <c r="E42" s="16" t="s">
        <v>46</v>
      </c>
      <c r="F42" s="1"/>
      <c r="G42" s="1"/>
      <c r="H42" s="70">
        <f ca="1">Calculations!H229</f>
        <v>-0.95809523809523811</v>
      </c>
      <c r="I42" s="70">
        <f ca="1">Calculations!I229</f>
        <v>-1.0243</v>
      </c>
      <c r="J42" s="70">
        <f ca="1">Calculations!J229</f>
        <v>-1.2388859761904765</v>
      </c>
      <c r="K42" s="70">
        <f ca="1">Calculations!K229</f>
        <v>-1.1156154341666666</v>
      </c>
      <c r="L42" s="19">
        <f ca="1">Calculations!L229</f>
        <v>-1.3372334778684523</v>
      </c>
    </row>
    <row r="43" spans="4:12" x14ac:dyDescent="0.3">
      <c r="D43" s="13"/>
      <c r="E43" s="16"/>
      <c r="F43" s="1"/>
      <c r="G43" s="1"/>
      <c r="H43" s="1"/>
      <c r="I43" s="1"/>
      <c r="J43" s="1"/>
      <c r="K43" s="1"/>
      <c r="L43" s="47"/>
    </row>
    <row r="44" spans="4:12" x14ac:dyDescent="0.3">
      <c r="D44" s="128" t="s">
        <v>398</v>
      </c>
      <c r="E44" s="129" t="s">
        <v>46</v>
      </c>
      <c r="F44" s="130"/>
      <c r="G44" s="130"/>
      <c r="H44" s="131">
        <f t="shared" ref="H44:L44" ca="1" si="5">SUM(H40:H43)</f>
        <v>27.672415361904761</v>
      </c>
      <c r="I44" s="131">
        <f t="shared" ca="1" si="5"/>
        <v>37.255435536434035</v>
      </c>
      <c r="J44" s="131">
        <f t="shared" ca="1" si="5"/>
        <v>48.778448297104546</v>
      </c>
      <c r="K44" s="131">
        <f t="shared" ca="1" si="5"/>
        <v>61.660525825788021</v>
      </c>
      <c r="L44" s="132">
        <f t="shared" ca="1" si="5"/>
        <v>79.378850546834869</v>
      </c>
    </row>
    <row r="45" spans="4:12" x14ac:dyDescent="0.3">
      <c r="D45" s="13"/>
      <c r="E45" s="16"/>
      <c r="F45" s="1"/>
      <c r="G45" s="1"/>
      <c r="H45" s="1"/>
      <c r="I45" s="1"/>
      <c r="J45" s="1"/>
      <c r="K45" s="1"/>
      <c r="L45" s="47"/>
    </row>
    <row r="46" spans="4:12" x14ac:dyDescent="0.3">
      <c r="D46" s="13" t="s">
        <v>399</v>
      </c>
      <c r="E46" s="16" t="s">
        <v>46</v>
      </c>
      <c r="F46" s="1"/>
      <c r="G46" s="1"/>
      <c r="H46" s="70">
        <f ca="1">Calculations!H334</f>
        <v>-11.025</v>
      </c>
      <c r="I46" s="70">
        <f ca="1">Calculations!I334</f>
        <v>-12.6</v>
      </c>
      <c r="J46" s="70">
        <f ca="1">Calculations!J334</f>
        <v>-12.15</v>
      </c>
      <c r="K46" s="70">
        <f ca="1">Calculations!K334</f>
        <v>-12.15</v>
      </c>
      <c r="L46" s="19">
        <f ca="1">Calculations!L334</f>
        <v>-12.6</v>
      </c>
    </row>
    <row r="47" spans="4:12" x14ac:dyDescent="0.3">
      <c r="D47" s="13" t="s">
        <v>386</v>
      </c>
      <c r="E47" s="16"/>
      <c r="F47" s="1"/>
      <c r="G47" s="1"/>
      <c r="H47" s="70">
        <f>SUMIF(Circ!$H$10:$AG$10,FS!H$5,Circ!$H$25:$AG$25)</f>
        <v>0</v>
      </c>
      <c r="I47" s="70">
        <f>SUMIF(Circ!$H$10:$AG$10,FS!I$5,Circ!$H$25:$AG$25)</f>
        <v>-1.2964480874316939</v>
      </c>
      <c r="J47" s="70">
        <f>SUMIF(Circ!$H$10:$AG$10,FS!J$5,Circ!$H$25:$AG$25)</f>
        <v>-2.424818410522859</v>
      </c>
      <c r="K47" s="70">
        <f>SUMIF(Circ!$H$10:$AG$10,FS!K$5,Circ!$H$25:$AG$25)</f>
        <v>-3.4069013788854003</v>
      </c>
      <c r="L47" s="19">
        <f>SUMIF(Circ!$H$10:$AG$10,FS!L$5,Circ!$H$25:$AG$25)</f>
        <v>-4.2733381760108067</v>
      </c>
    </row>
    <row r="48" spans="4:12" x14ac:dyDescent="0.3">
      <c r="D48" s="13" t="s">
        <v>400</v>
      </c>
      <c r="E48" s="16" t="s">
        <v>46</v>
      </c>
      <c r="F48" s="1"/>
      <c r="G48" s="1"/>
      <c r="H48" s="70">
        <f>SUMIF(Circ!$H$10:$AG$10,FS!H$5,Circ!$H$26:$AG$26)</f>
        <v>0</v>
      </c>
      <c r="I48" s="70">
        <f>SUMIF(Circ!$H$10:$AG$10,FS!I$5,Circ!$H$26:$AG$26)</f>
        <v>0</v>
      </c>
      <c r="J48" s="70">
        <f>SUMIF(Circ!$H$10:$AG$10,FS!J$5,Circ!$H$26:$AG$26)</f>
        <v>0</v>
      </c>
      <c r="K48" s="70">
        <f>SUMIF(Circ!$H$10:$AG$10,FS!K$5,Circ!$H$26:$AG$26)</f>
        <v>0</v>
      </c>
      <c r="L48" s="19">
        <f>SUMIF(Circ!$H$10:$AG$10,FS!L$5,Circ!$H$26:$AG$26)</f>
        <v>0</v>
      </c>
    </row>
    <row r="49" spans="1:12" x14ac:dyDescent="0.3">
      <c r="D49" s="13"/>
      <c r="E49" s="16"/>
      <c r="F49" s="1"/>
      <c r="G49" s="1"/>
      <c r="H49" s="70"/>
      <c r="I49" s="70"/>
      <c r="J49" s="70"/>
      <c r="K49" s="70"/>
      <c r="L49" s="19"/>
    </row>
    <row r="50" spans="1:12" x14ac:dyDescent="0.3">
      <c r="D50" s="128" t="s">
        <v>401</v>
      </c>
      <c r="E50" s="129" t="s">
        <v>46</v>
      </c>
      <c r="F50" s="130"/>
      <c r="G50" s="130"/>
      <c r="H50" s="131">
        <f ca="1">SUM(H44:H49)</f>
        <v>16.647415361904763</v>
      </c>
      <c r="I50" s="131">
        <f t="shared" ref="I50:L50" ca="1" si="6">SUM(I44:I49)</f>
        <v>23.358987449002338</v>
      </c>
      <c r="J50" s="131">
        <f t="shared" ca="1" si="6"/>
        <v>34.203629886581687</v>
      </c>
      <c r="K50" s="131">
        <f t="shared" ca="1" si="6"/>
        <v>46.103624446902622</v>
      </c>
      <c r="L50" s="132">
        <f t="shared" ca="1" si="6"/>
        <v>62.505512370824064</v>
      </c>
    </row>
    <row r="51" spans="1:12" x14ac:dyDescent="0.3">
      <c r="D51" s="13"/>
      <c r="E51" s="16"/>
      <c r="F51" s="1"/>
      <c r="G51" s="1"/>
      <c r="H51" s="1"/>
      <c r="I51" s="1"/>
      <c r="J51" s="1"/>
      <c r="K51" s="1"/>
      <c r="L51" s="47"/>
    </row>
    <row r="52" spans="1:12" x14ac:dyDescent="0.3">
      <c r="D52" s="13" t="s">
        <v>402</v>
      </c>
      <c r="E52" s="16" t="s">
        <v>46</v>
      </c>
      <c r="F52" s="1" t="s">
        <v>350</v>
      </c>
      <c r="G52" s="1"/>
      <c r="H52" s="70">
        <f ca="1">-Calculations!H447</f>
        <v>-5.3150460696780009</v>
      </c>
      <c r="I52" s="70">
        <f ca="1">-Calculations!I447</f>
        <v>-7.6875153090136443</v>
      </c>
      <c r="J52" s="70">
        <f ca="1">-Calculations!J447</f>
        <v>-11.278441380974613</v>
      </c>
      <c r="K52" s="70">
        <f ca="1">-Calculations!K447</f>
        <v>-15.28546894367607</v>
      </c>
      <c r="L52" s="19">
        <f ca="1">-Calculations!L447</f>
        <v>-20.652062943088946</v>
      </c>
    </row>
    <row r="53" spans="1:12" x14ac:dyDescent="0.3">
      <c r="D53" s="13"/>
      <c r="E53" s="16"/>
      <c r="F53" s="1"/>
      <c r="G53" s="1"/>
      <c r="H53" s="1"/>
      <c r="I53" s="1"/>
      <c r="J53" s="1"/>
      <c r="K53" s="1"/>
      <c r="L53" s="47"/>
    </row>
    <row r="54" spans="1:12" x14ac:dyDescent="0.3">
      <c r="D54" s="128" t="s">
        <v>403</v>
      </c>
      <c r="E54" s="129" t="s">
        <v>46</v>
      </c>
      <c r="F54" s="130"/>
      <c r="G54" s="130"/>
      <c r="H54" s="131">
        <f ca="1">SUM(H50:H53)</f>
        <v>11.332369292226762</v>
      </c>
      <c r="I54" s="131">
        <f t="shared" ref="I54:L54" ca="1" si="7">SUM(I50:I53)</f>
        <v>15.671472139988694</v>
      </c>
      <c r="J54" s="131">
        <f t="shared" ca="1" si="7"/>
        <v>22.925188505607075</v>
      </c>
      <c r="K54" s="131">
        <f t="shared" ca="1" si="7"/>
        <v>30.818155503226549</v>
      </c>
      <c r="L54" s="132">
        <f t="shared" ca="1" si="7"/>
        <v>41.853449427735114</v>
      </c>
    </row>
    <row r="56" spans="1:12" s="135" customFormat="1" x14ac:dyDescent="0.3">
      <c r="A56" s="135" t="s">
        <v>404</v>
      </c>
    </row>
    <row r="58" spans="1:12" x14ac:dyDescent="0.3">
      <c r="D58" s="116" t="s">
        <v>423</v>
      </c>
      <c r="E58" s="45"/>
      <c r="F58" s="45"/>
      <c r="G58" s="45"/>
      <c r="H58" s="45"/>
      <c r="I58" s="45"/>
      <c r="J58" s="45"/>
      <c r="K58" s="45"/>
      <c r="L58" s="46"/>
    </row>
    <row r="59" spans="1:12" x14ac:dyDescent="0.3">
      <c r="D59" s="13" t="s">
        <v>405</v>
      </c>
      <c r="E59" s="1"/>
      <c r="F59" s="1"/>
      <c r="G59" s="1"/>
      <c r="H59" s="1"/>
      <c r="I59" s="1"/>
      <c r="J59" s="1"/>
      <c r="K59" s="1"/>
      <c r="L59" s="47"/>
    </row>
    <row r="60" spans="1:12" x14ac:dyDescent="0.3">
      <c r="D60" s="13" t="s">
        <v>406</v>
      </c>
      <c r="E60" s="16" t="s">
        <v>46</v>
      </c>
      <c r="F60" s="1"/>
      <c r="G60" s="1"/>
      <c r="H60" s="70">
        <f>G60+H111</f>
        <v>20</v>
      </c>
      <c r="I60" s="70">
        <f>H60+I111</f>
        <v>20</v>
      </c>
      <c r="J60" s="70">
        <f>I60+J111</f>
        <v>20</v>
      </c>
      <c r="K60" s="70">
        <f>J60+K111</f>
        <v>20</v>
      </c>
      <c r="L60" s="19">
        <f>K60+L111</f>
        <v>20</v>
      </c>
    </row>
    <row r="61" spans="1:12" x14ac:dyDescent="0.3">
      <c r="D61" s="13" t="s">
        <v>407</v>
      </c>
      <c r="E61" s="16" t="s">
        <v>46</v>
      </c>
      <c r="F61" s="1"/>
      <c r="G61" s="1"/>
      <c r="H61" s="70">
        <f ca="1">G61+H54</f>
        <v>11.332369292226762</v>
      </c>
      <c r="I61" s="70">
        <f t="shared" ref="I61:L61" ca="1" si="8">H61+I54</f>
        <v>27.003841432215456</v>
      </c>
      <c r="J61" s="70">
        <f t="shared" ca="1" si="8"/>
        <v>49.929029937822534</v>
      </c>
      <c r="K61" s="70">
        <f t="shared" ca="1" si="8"/>
        <v>80.747185441049083</v>
      </c>
      <c r="L61" s="19">
        <f t="shared" ca="1" si="8"/>
        <v>122.6006348687842</v>
      </c>
    </row>
    <row r="62" spans="1:12" x14ac:dyDescent="0.3">
      <c r="D62" s="13"/>
      <c r="E62" s="16"/>
      <c r="F62" s="1"/>
      <c r="G62" s="1"/>
      <c r="H62" s="70"/>
      <c r="I62" s="70"/>
      <c r="J62" s="70"/>
      <c r="K62" s="70"/>
      <c r="L62" s="19"/>
    </row>
    <row r="63" spans="1:12" s="43" customFormat="1" x14ac:dyDescent="0.3">
      <c r="D63" s="128" t="s">
        <v>408</v>
      </c>
      <c r="E63" s="129" t="s">
        <v>46</v>
      </c>
      <c r="F63" s="130"/>
      <c r="G63" s="130"/>
      <c r="H63" s="131">
        <f ca="1">SUM(H60:H62)</f>
        <v>31.332369292226762</v>
      </c>
      <c r="I63" s="131">
        <f t="shared" ref="I63:L63" ca="1" si="9">SUM(I60:I62)</f>
        <v>47.003841432215452</v>
      </c>
      <c r="J63" s="131">
        <f t="shared" ca="1" si="9"/>
        <v>69.929029937822534</v>
      </c>
      <c r="K63" s="131">
        <f t="shared" ca="1" si="9"/>
        <v>100.74718544104908</v>
      </c>
      <c r="L63" s="132">
        <f t="shared" ca="1" si="9"/>
        <v>142.6006348687842</v>
      </c>
    </row>
    <row r="64" spans="1:12" x14ac:dyDescent="0.3">
      <c r="D64" s="13"/>
      <c r="E64" s="16"/>
      <c r="F64" s="1"/>
      <c r="G64" s="1"/>
      <c r="H64" s="1"/>
      <c r="I64" s="1"/>
      <c r="J64" s="1"/>
      <c r="K64" s="1"/>
      <c r="L64" s="47"/>
    </row>
    <row r="65" spans="4:12" x14ac:dyDescent="0.3">
      <c r="D65" s="13" t="s">
        <v>409</v>
      </c>
      <c r="E65" s="16"/>
      <c r="F65" s="1"/>
      <c r="G65" s="1"/>
      <c r="H65" s="1"/>
      <c r="I65" s="1"/>
      <c r="J65" s="1"/>
      <c r="K65" s="1"/>
      <c r="L65" s="47"/>
    </row>
    <row r="66" spans="4:12" x14ac:dyDescent="0.3">
      <c r="D66" s="13" t="s">
        <v>410</v>
      </c>
      <c r="E66" s="16" t="s">
        <v>46</v>
      </c>
      <c r="F66" s="1"/>
      <c r="G66" s="1"/>
      <c r="H66" s="70">
        <f ca="1">Calculations!H332</f>
        <v>30</v>
      </c>
      <c r="I66" s="70">
        <f ca="1">Calculations!I332</f>
        <v>20.433375046361512</v>
      </c>
      <c r="J66" s="70">
        <f ca="1">Calculations!J332</f>
        <v>5.1898482332510696</v>
      </c>
      <c r="K66" s="70">
        <f ca="1">Calculations!K332</f>
        <v>-7.1054273576010019E-15</v>
      </c>
      <c r="L66" s="19">
        <f ca="1">Calculations!L332</f>
        <v>-7.1054273576010019E-15</v>
      </c>
    </row>
    <row r="67" spans="4:12" x14ac:dyDescent="0.3">
      <c r="D67" s="13" t="s">
        <v>411</v>
      </c>
      <c r="E67" s="16" t="s">
        <v>46</v>
      </c>
      <c r="F67" s="1"/>
      <c r="G67" s="1"/>
      <c r="H67" s="70">
        <f ca="1">Calculations!H374</f>
        <v>0</v>
      </c>
      <c r="I67" s="70">
        <f ca="1">Calculations!I374</f>
        <v>0</v>
      </c>
      <c r="J67" s="70">
        <f ca="1">Calculations!J374</f>
        <v>0</v>
      </c>
      <c r="K67" s="70">
        <f ca="1">Calculations!K374</f>
        <v>0</v>
      </c>
      <c r="L67" s="19">
        <f ca="1">Calculations!L374</f>
        <v>0</v>
      </c>
    </row>
    <row r="68" spans="4:12" x14ac:dyDescent="0.3">
      <c r="D68" s="13"/>
      <c r="E68" s="16"/>
      <c r="F68" s="1"/>
      <c r="G68" s="1"/>
      <c r="H68" s="70"/>
      <c r="I68" s="70"/>
      <c r="J68" s="70"/>
      <c r="K68" s="70"/>
      <c r="L68" s="19"/>
    </row>
    <row r="69" spans="4:12" s="43" customFormat="1" x14ac:dyDescent="0.3">
      <c r="D69" s="128" t="s">
        <v>412</v>
      </c>
      <c r="E69" s="129" t="s">
        <v>46</v>
      </c>
      <c r="F69" s="130"/>
      <c r="G69" s="130"/>
      <c r="H69" s="131">
        <f ca="1">SUM(H66:H68)</f>
        <v>30</v>
      </c>
      <c r="I69" s="131">
        <f t="shared" ref="I69:L69" ca="1" si="10">SUM(I66:I68)</f>
        <v>20.433375046361512</v>
      </c>
      <c r="J69" s="131">
        <f t="shared" ca="1" si="10"/>
        <v>5.1898482332510696</v>
      </c>
      <c r="K69" s="131">
        <f t="shared" ca="1" si="10"/>
        <v>-7.1054273576010019E-15</v>
      </c>
      <c r="L69" s="132">
        <f t="shared" ca="1" si="10"/>
        <v>-7.1054273576010019E-15</v>
      </c>
    </row>
    <row r="70" spans="4:12" x14ac:dyDescent="0.3">
      <c r="D70" s="13"/>
      <c r="E70" s="1"/>
      <c r="F70" s="1"/>
      <c r="G70" s="1"/>
      <c r="H70" s="1"/>
      <c r="I70" s="1"/>
      <c r="J70" s="1"/>
      <c r="K70" s="1"/>
      <c r="L70" s="47"/>
    </row>
    <row r="71" spans="4:12" s="43" customFormat="1" x14ac:dyDescent="0.3">
      <c r="D71" s="128" t="s">
        <v>413</v>
      </c>
      <c r="E71" s="130"/>
      <c r="F71" s="130"/>
      <c r="G71" s="130"/>
      <c r="H71" s="131">
        <f ca="1">SUM(H63,H69)</f>
        <v>61.332369292226758</v>
      </c>
      <c r="I71" s="131">
        <f t="shared" ref="I71:L71" ca="1" si="11">SUM(I63,I69)</f>
        <v>67.437216478576971</v>
      </c>
      <c r="J71" s="131">
        <f t="shared" ca="1" si="11"/>
        <v>75.118878171073604</v>
      </c>
      <c r="K71" s="131">
        <f t="shared" ca="1" si="11"/>
        <v>100.74718544104908</v>
      </c>
      <c r="L71" s="132">
        <f t="shared" ca="1" si="11"/>
        <v>142.6006348687842</v>
      </c>
    </row>
    <row r="72" spans="4:12" x14ac:dyDescent="0.3">
      <c r="D72" s="1"/>
      <c r="E72" s="1"/>
      <c r="F72" s="1"/>
      <c r="G72" s="1"/>
      <c r="H72" s="70"/>
      <c r="I72" s="70"/>
      <c r="J72" s="70"/>
      <c r="K72" s="70"/>
      <c r="L72" s="70"/>
    </row>
    <row r="73" spans="4:12" x14ac:dyDescent="0.3">
      <c r="D73" s="116" t="s">
        <v>424</v>
      </c>
      <c r="E73" s="45"/>
      <c r="F73" s="45"/>
      <c r="G73" s="45"/>
      <c r="H73" s="45"/>
      <c r="I73" s="45"/>
      <c r="J73" s="45"/>
      <c r="K73" s="45"/>
      <c r="L73" s="46"/>
    </row>
    <row r="74" spans="4:12" x14ac:dyDescent="0.3">
      <c r="D74" s="118" t="s">
        <v>414</v>
      </c>
      <c r="E74" s="1"/>
      <c r="F74" s="1"/>
      <c r="G74" s="1"/>
      <c r="H74" s="1"/>
      <c r="I74" s="1"/>
      <c r="J74" s="1"/>
      <c r="K74" s="1"/>
      <c r="L74" s="47"/>
    </row>
    <row r="75" spans="4:12" x14ac:dyDescent="0.3">
      <c r="D75" s="13" t="s">
        <v>249</v>
      </c>
      <c r="E75" s="1"/>
      <c r="F75" s="1"/>
      <c r="G75" s="1"/>
      <c r="H75" s="70">
        <f>Calculations!H205</f>
        <v>29.8</v>
      </c>
      <c r="I75" s="70">
        <f ca="1">Calculations!I205</f>
        <v>30.295500000000001</v>
      </c>
      <c r="J75" s="70">
        <f ca="1">Calculations!J205</f>
        <v>31.8812675</v>
      </c>
      <c r="K75" s="70">
        <f ca="1">Calculations!K205</f>
        <v>32.342677987500004</v>
      </c>
      <c r="L75" s="19">
        <f ca="1">Calculations!L205</f>
        <v>34.315021125187499</v>
      </c>
    </row>
    <row r="76" spans="4:12" x14ac:dyDescent="0.3">
      <c r="D76" s="13" t="s">
        <v>415</v>
      </c>
      <c r="E76" s="1"/>
      <c r="F76" s="1"/>
      <c r="G76" s="1"/>
      <c r="H76" s="70">
        <f ca="1">Calculations!H240</f>
        <v>-0.95809523809523811</v>
      </c>
      <c r="I76" s="70">
        <f ca="1">Calculations!I240</f>
        <v>-1.9823952380952383</v>
      </c>
      <c r="J76" s="70">
        <f ca="1">Calculations!J240</f>
        <v>-3.2212812142857143</v>
      </c>
      <c r="K76" s="70">
        <f ca="1">Calculations!K240</f>
        <v>-4.336896648452381</v>
      </c>
      <c r="L76" s="19">
        <f ca="1">Calculations!L240</f>
        <v>-5.6741301263208337</v>
      </c>
    </row>
    <row r="77" spans="4:12" x14ac:dyDescent="0.3">
      <c r="D77" s="13"/>
      <c r="E77" s="1"/>
      <c r="F77" s="1"/>
      <c r="G77" s="1"/>
      <c r="H77" s="70"/>
      <c r="I77" s="70"/>
      <c r="J77" s="70"/>
      <c r="K77" s="70"/>
      <c r="L77" s="19"/>
    </row>
    <row r="78" spans="4:12" x14ac:dyDescent="0.3">
      <c r="D78" s="128" t="s">
        <v>260</v>
      </c>
      <c r="E78" s="129" t="s">
        <v>46</v>
      </c>
      <c r="F78" s="130"/>
      <c r="G78" s="130"/>
      <c r="H78" s="131">
        <f ca="1">SUM(H75:H77)</f>
        <v>28.841904761904761</v>
      </c>
      <c r="I78" s="131">
        <f t="shared" ref="I78:L78" ca="1" si="12">SUM(I75:I77)</f>
        <v>28.313104761904761</v>
      </c>
      <c r="J78" s="131">
        <f t="shared" ca="1" si="12"/>
        <v>28.659986285714286</v>
      </c>
      <c r="K78" s="131">
        <f t="shared" ca="1" si="12"/>
        <v>28.005781339047623</v>
      </c>
      <c r="L78" s="132">
        <f t="shared" ca="1" si="12"/>
        <v>28.640890998866666</v>
      </c>
    </row>
    <row r="79" spans="4:12" x14ac:dyDescent="0.3">
      <c r="D79" s="13"/>
      <c r="E79" s="16"/>
      <c r="F79" s="1"/>
      <c r="G79" s="1"/>
      <c r="H79" s="1"/>
      <c r="I79" s="1"/>
      <c r="J79" s="1"/>
      <c r="K79" s="1"/>
      <c r="L79" s="47"/>
    </row>
    <row r="80" spans="4:12" x14ac:dyDescent="0.3">
      <c r="D80" s="118" t="s">
        <v>416</v>
      </c>
      <c r="E80" s="16"/>
      <c r="F80" s="1"/>
      <c r="G80" s="1"/>
      <c r="H80" s="1"/>
      <c r="I80" s="1"/>
      <c r="J80" s="1"/>
      <c r="K80" s="1"/>
      <c r="L80" s="47"/>
    </row>
    <row r="81" spans="4:13" x14ac:dyDescent="0.3">
      <c r="D81" s="13" t="s">
        <v>161</v>
      </c>
      <c r="E81" s="16" t="s">
        <v>46</v>
      </c>
      <c r="F81" s="1"/>
      <c r="G81" s="1"/>
      <c r="H81" s="70">
        <f>Calculations!H348</f>
        <v>6.6841210800000006</v>
      </c>
      <c r="I81" s="70">
        <f>Calculations!I348</f>
        <v>8.0070442089299991</v>
      </c>
      <c r="J81" s="70">
        <f>Calculations!J348</f>
        <v>9.5969085834977523</v>
      </c>
      <c r="K81" s="70">
        <f>Calculations!K348</f>
        <v>11.509051777781579</v>
      </c>
      <c r="L81" s="19">
        <f>Calculations!L348</f>
        <v>13.810703227973146</v>
      </c>
    </row>
    <row r="82" spans="4:13" x14ac:dyDescent="0.3">
      <c r="D82" s="13" t="s">
        <v>163</v>
      </c>
      <c r="E82" s="16" t="s">
        <v>46</v>
      </c>
      <c r="F82" s="1"/>
      <c r="G82" s="1"/>
      <c r="H82" s="70">
        <f>Calculations!H351</f>
        <v>5.3959230000000007</v>
      </c>
      <c r="I82" s="70">
        <f>Calculations!I351</f>
        <v>6.5239033801499993</v>
      </c>
      <c r="J82" s="70">
        <f>Calculations!J351</f>
        <v>7.8968494716842246</v>
      </c>
      <c r="K82" s="70">
        <f>Calculations!K351</f>
        <v>9.5704610460384405</v>
      </c>
      <c r="L82" s="19">
        <f>Calculations!L351</f>
        <v>11.613762132459955</v>
      </c>
    </row>
    <row r="83" spans="4:13" x14ac:dyDescent="0.3">
      <c r="D83" s="13" t="s">
        <v>417</v>
      </c>
      <c r="E83" s="16" t="s">
        <v>46</v>
      </c>
      <c r="F83" s="1"/>
      <c r="G83" s="1"/>
      <c r="H83" s="70">
        <f ca="1">H128</f>
        <v>30.148510620819675</v>
      </c>
      <c r="I83" s="70">
        <f t="shared" ref="I83:L83" ca="1" si="13">I128</f>
        <v>42.564246706777915</v>
      </c>
      <c r="J83" s="70">
        <f t="shared" ca="1" si="13"/>
        <v>58.892623018082148</v>
      </c>
      <c r="K83" s="70">
        <f t="shared" ca="1" si="13"/>
        <v>97.857917146176604</v>
      </c>
      <c r="L83" s="19">
        <f t="shared" ca="1" si="13"/>
        <v>156.36390267479811</v>
      </c>
    </row>
    <row r="84" spans="4:13" x14ac:dyDescent="0.3">
      <c r="D84" s="13"/>
      <c r="E84" s="16"/>
      <c r="F84" s="1"/>
      <c r="G84" s="1"/>
      <c r="H84" s="70"/>
      <c r="I84" s="70"/>
      <c r="J84" s="70"/>
      <c r="K84" s="70"/>
      <c r="L84" s="19"/>
    </row>
    <row r="85" spans="4:13" s="43" customFormat="1" x14ac:dyDescent="0.3">
      <c r="D85" s="117" t="s">
        <v>418</v>
      </c>
      <c r="E85" s="120" t="s">
        <v>46</v>
      </c>
      <c r="F85" s="121"/>
      <c r="G85" s="121"/>
      <c r="H85" s="126">
        <f ca="1">SUM(H81:H84)</f>
        <v>42.228554700819672</v>
      </c>
      <c r="I85" s="126">
        <f t="shared" ref="I85:L85" ca="1" si="14">SUM(I81:I84)</f>
        <v>57.095194295857915</v>
      </c>
      <c r="J85" s="126">
        <f t="shared" ca="1" si="14"/>
        <v>76.386381073264118</v>
      </c>
      <c r="K85" s="126">
        <f t="shared" ca="1" si="14"/>
        <v>118.93742996999663</v>
      </c>
      <c r="L85" s="127">
        <f t="shared" ca="1" si="14"/>
        <v>181.7883680352312</v>
      </c>
    </row>
    <row r="86" spans="4:13" x14ac:dyDescent="0.3">
      <c r="D86" s="13"/>
      <c r="E86" s="16"/>
      <c r="F86" s="1"/>
      <c r="G86" s="1"/>
      <c r="H86" s="1"/>
      <c r="I86" s="1"/>
      <c r="J86" s="1"/>
      <c r="K86" s="1"/>
      <c r="L86" s="47"/>
    </row>
    <row r="87" spans="4:13" x14ac:dyDescent="0.3">
      <c r="D87" s="13" t="s">
        <v>419</v>
      </c>
      <c r="E87" s="16"/>
      <c r="F87" s="1"/>
      <c r="G87" s="1"/>
      <c r="H87" s="1"/>
      <c r="I87" s="1"/>
      <c r="J87" s="1"/>
      <c r="K87" s="1"/>
      <c r="L87" s="47"/>
    </row>
    <row r="88" spans="4:13" x14ac:dyDescent="0.3">
      <c r="D88" s="13" t="s">
        <v>164</v>
      </c>
      <c r="E88" s="16" t="s">
        <v>46</v>
      </c>
      <c r="F88" s="1"/>
      <c r="G88" s="1"/>
      <c r="H88" s="70">
        <f>-Calculations!H358</f>
        <v>-4.1532479508196722</v>
      </c>
      <c r="I88" s="70">
        <f>-Calculations!I358</f>
        <v>-4.6423260314865553</v>
      </c>
      <c r="J88" s="70">
        <f>-Calculations!J358</f>
        <v>-5.2516439546543472</v>
      </c>
      <c r="K88" s="70">
        <f>-Calculations!K358</f>
        <v>-6.1510311123509176</v>
      </c>
      <c r="L88" s="19">
        <f>-Calculations!L358</f>
        <v>-7.0294014122594195</v>
      </c>
      <c r="M88" s="17"/>
    </row>
    <row r="89" spans="4:13" x14ac:dyDescent="0.3">
      <c r="D89" s="13" t="s">
        <v>168</v>
      </c>
      <c r="E89" s="16" t="s">
        <v>46</v>
      </c>
      <c r="F89" s="1"/>
      <c r="G89" s="1"/>
      <c r="H89" s="70">
        <f>-Calculations!H361</f>
        <v>-0.26979615000000007</v>
      </c>
      <c r="I89" s="70">
        <f>-Calculations!I361</f>
        <v>-0.32619516900750001</v>
      </c>
      <c r="J89" s="70">
        <f>-Calculations!J361</f>
        <v>-0.39484247358421126</v>
      </c>
      <c r="K89" s="70">
        <f>-Calculations!K361</f>
        <v>-0.47852305230192205</v>
      </c>
      <c r="L89" s="19">
        <f>-Calculations!L361</f>
        <v>-0.58068810662299775</v>
      </c>
      <c r="M89" s="17"/>
    </row>
    <row r="90" spans="4:13" x14ac:dyDescent="0.3">
      <c r="D90" s="13"/>
      <c r="E90" s="16"/>
      <c r="F90" s="1"/>
      <c r="G90" s="1"/>
      <c r="H90" s="70"/>
      <c r="I90" s="70"/>
      <c r="J90" s="70"/>
      <c r="K90" s="70"/>
      <c r="L90" s="19"/>
    </row>
    <row r="91" spans="4:13" s="43" customFormat="1" x14ac:dyDescent="0.3">
      <c r="D91" s="117" t="s">
        <v>420</v>
      </c>
      <c r="E91" s="120" t="s">
        <v>46</v>
      </c>
      <c r="F91" s="121"/>
      <c r="G91" s="121"/>
      <c r="H91" s="126">
        <f>SUM(H88:H90)</f>
        <v>-4.4230441008196726</v>
      </c>
      <c r="I91" s="126">
        <f t="shared" ref="I91:L91" si="15">SUM(I88:I90)</f>
        <v>-4.9685212004940551</v>
      </c>
      <c r="J91" s="126">
        <f t="shared" si="15"/>
        <v>-5.6464864282385587</v>
      </c>
      <c r="K91" s="126">
        <f t="shared" si="15"/>
        <v>-6.6295541646528395</v>
      </c>
      <c r="L91" s="127">
        <f t="shared" si="15"/>
        <v>-7.6100895188824174</v>
      </c>
    </row>
    <row r="92" spans="4:13" x14ac:dyDescent="0.3">
      <c r="D92" s="13"/>
      <c r="E92" s="16"/>
      <c r="F92" s="1"/>
      <c r="G92" s="1"/>
      <c r="H92" s="70"/>
      <c r="I92" s="70"/>
      <c r="J92" s="70"/>
      <c r="K92" s="70"/>
      <c r="L92" s="19"/>
    </row>
    <row r="93" spans="4:13" x14ac:dyDescent="0.3">
      <c r="D93" s="128" t="s">
        <v>421</v>
      </c>
      <c r="E93" s="129" t="s">
        <v>46</v>
      </c>
      <c r="F93" s="130"/>
      <c r="G93" s="130"/>
      <c r="H93" s="131">
        <f ca="1">SUM(H85,H91)</f>
        <v>37.805510599999998</v>
      </c>
      <c r="I93" s="131">
        <f t="shared" ref="I93:L93" ca="1" si="16">SUM(I85,I91)</f>
        <v>52.126673095363863</v>
      </c>
      <c r="J93" s="131">
        <f t="shared" ca="1" si="16"/>
        <v>70.739894645025558</v>
      </c>
      <c r="K93" s="131">
        <f t="shared" ca="1" si="16"/>
        <v>112.30787580534378</v>
      </c>
      <c r="L93" s="132">
        <f t="shared" ca="1" si="16"/>
        <v>174.1782785163488</v>
      </c>
    </row>
    <row r="94" spans="4:13" x14ac:dyDescent="0.3">
      <c r="D94" s="13"/>
      <c r="E94" s="1"/>
      <c r="F94" s="1"/>
      <c r="G94" s="1"/>
      <c r="H94" s="70"/>
      <c r="I94" s="70"/>
      <c r="J94" s="70"/>
      <c r="K94" s="70"/>
      <c r="L94" s="19"/>
    </row>
    <row r="95" spans="4:13" x14ac:dyDescent="0.3">
      <c r="D95" s="128" t="s">
        <v>422</v>
      </c>
      <c r="E95" s="129" t="s">
        <v>46</v>
      </c>
      <c r="F95" s="130"/>
      <c r="G95" s="130"/>
      <c r="H95" s="131">
        <f ca="1">SUM(H78,H93)</f>
        <v>66.647415361904763</v>
      </c>
      <c r="I95" s="131">
        <f t="shared" ref="I95:L95" ca="1" si="17">SUM(I78,I93)</f>
        <v>80.439777857268624</v>
      </c>
      <c r="J95" s="131">
        <f t="shared" ca="1" si="17"/>
        <v>99.39988093073984</v>
      </c>
      <c r="K95" s="131">
        <f t="shared" ca="1" si="17"/>
        <v>140.31365714439141</v>
      </c>
      <c r="L95" s="132">
        <f t="shared" ca="1" si="17"/>
        <v>202.81916951521546</v>
      </c>
    </row>
    <row r="96" spans="4:13" x14ac:dyDescent="0.3">
      <c r="E96" s="9"/>
    </row>
    <row r="97" spans="1:12" x14ac:dyDescent="0.3">
      <c r="E97" s="9"/>
    </row>
    <row r="99" spans="1:12" s="135" customFormat="1" x14ac:dyDescent="0.3">
      <c r="A99" s="135" t="s">
        <v>425</v>
      </c>
    </row>
    <row r="101" spans="1:12" x14ac:dyDescent="0.3">
      <c r="D101" s="133" t="s">
        <v>348</v>
      </c>
      <c r="E101" s="15" t="s">
        <v>46</v>
      </c>
      <c r="F101" s="45"/>
      <c r="G101" s="45"/>
      <c r="H101" s="88">
        <f t="shared" ref="H101:L101" si="18">H40</f>
        <v>28.630510600000001</v>
      </c>
      <c r="I101" s="88">
        <f t="shared" si="18"/>
        <v>38.279735536434032</v>
      </c>
      <c r="J101" s="88">
        <f t="shared" si="18"/>
        <v>50.01733427329502</v>
      </c>
      <c r="K101" s="88">
        <f t="shared" si="18"/>
        <v>62.776141259954684</v>
      </c>
      <c r="L101" s="89">
        <f t="shared" si="18"/>
        <v>80.716084024703321</v>
      </c>
    </row>
    <row r="102" spans="1:12" x14ac:dyDescent="0.3">
      <c r="D102" s="13" t="s">
        <v>426</v>
      </c>
      <c r="E102" s="16" t="s">
        <v>46</v>
      </c>
      <c r="F102" s="1" t="s">
        <v>350</v>
      </c>
      <c r="G102" s="1"/>
      <c r="H102" s="70">
        <f>SUMIF(Circ!$H$10:$AG$10,H$5,Circ!$H$24:$AG$24)</f>
        <v>0</v>
      </c>
      <c r="I102" s="70">
        <f>SUMIF(Circ!$H$10:$AG$10,I$5,Circ!$H$24:$AG$24)</f>
        <v>0</v>
      </c>
      <c r="J102" s="70">
        <f>SUMIF(Circ!$H$10:$AG$10,J$5,Circ!$H$24:$AG$24)</f>
        <v>0</v>
      </c>
      <c r="K102" s="70">
        <f>SUMIF(Circ!$H$10:$AG$10,K$5,Circ!$H$24:$AG$24)</f>
        <v>0</v>
      </c>
      <c r="L102" s="19">
        <f>SUMIF(Circ!$H$10:$AG$10,L$5,Circ!$H$24:$AG$24)</f>
        <v>0</v>
      </c>
    </row>
    <row r="103" spans="1:12" x14ac:dyDescent="0.3">
      <c r="D103" s="13" t="s">
        <v>427</v>
      </c>
      <c r="E103" s="16" t="s">
        <v>46</v>
      </c>
      <c r="F103" s="1"/>
      <c r="G103" s="1"/>
      <c r="H103" s="70">
        <f>-(SUM(H81:H82,H91)-SUM(G81:G82,G91))</f>
        <v>-7.6569999791803278</v>
      </c>
      <c r="I103" s="70">
        <f t="shared" ref="I103:L103" si="19">-(SUM(I81:I82,I91)-SUM(H81:H82,H91))</f>
        <v>-1.9054264094056164</v>
      </c>
      <c r="J103" s="70">
        <f t="shared" si="19"/>
        <v>-2.2848452383574749</v>
      </c>
      <c r="K103" s="70">
        <f t="shared" si="19"/>
        <v>-2.6026870322237592</v>
      </c>
      <c r="L103" s="19">
        <f t="shared" si="19"/>
        <v>-3.364417182383507</v>
      </c>
    </row>
    <row r="104" spans="1:12" x14ac:dyDescent="0.3">
      <c r="D104" s="13"/>
      <c r="E104" s="16"/>
      <c r="F104" s="1"/>
      <c r="G104" s="1"/>
      <c r="H104" s="70"/>
      <c r="I104" s="70"/>
      <c r="J104" s="70"/>
      <c r="K104" s="70"/>
      <c r="L104" s="19"/>
    </row>
    <row r="105" spans="1:12" x14ac:dyDescent="0.3">
      <c r="D105" s="13" t="s">
        <v>428</v>
      </c>
      <c r="E105" s="16" t="s">
        <v>46</v>
      </c>
      <c r="F105" s="1"/>
      <c r="G105" s="1"/>
      <c r="H105" s="70">
        <f>SUM(H101:H104)</f>
        <v>20.973510620819674</v>
      </c>
      <c r="I105" s="70">
        <f t="shared" ref="I105:L105" si="20">SUM(I101:I104)</f>
        <v>36.374309127028418</v>
      </c>
      <c r="J105" s="70">
        <f t="shared" si="20"/>
        <v>47.732489034937544</v>
      </c>
      <c r="K105" s="70">
        <f t="shared" si="20"/>
        <v>60.173454227730929</v>
      </c>
      <c r="L105" s="19">
        <f t="shared" si="20"/>
        <v>77.351666842319815</v>
      </c>
    </row>
    <row r="106" spans="1:12" x14ac:dyDescent="0.3">
      <c r="D106" s="13"/>
      <c r="E106" s="16"/>
      <c r="F106" s="1"/>
      <c r="G106" s="1"/>
      <c r="H106" s="70"/>
      <c r="I106" s="70"/>
      <c r="J106" s="70"/>
      <c r="K106" s="70"/>
      <c r="L106" s="19"/>
    </row>
    <row r="107" spans="1:12" x14ac:dyDescent="0.3">
      <c r="D107" s="13" t="s">
        <v>429</v>
      </c>
      <c r="E107" s="16" t="s">
        <v>46</v>
      </c>
      <c r="F107" s="1"/>
      <c r="G107" s="1"/>
      <c r="H107" s="70">
        <f>-Calculations!H194</f>
        <v>-29.8</v>
      </c>
      <c r="I107" s="70">
        <f ca="1">-Calculations!I194</f>
        <v>-0.49550000000000005</v>
      </c>
      <c r="J107" s="70">
        <f ca="1">-Calculations!J194</f>
        <v>-1.5857675000000002</v>
      </c>
      <c r="K107" s="70">
        <f ca="1">-Calculations!K194</f>
        <v>-0.46141048750000002</v>
      </c>
      <c r="L107" s="19">
        <f ca="1">-Calculations!L194</f>
        <v>-1.9723431376875</v>
      </c>
    </row>
    <row r="108" spans="1:12" x14ac:dyDescent="0.3">
      <c r="D108" s="13"/>
      <c r="E108" s="16"/>
      <c r="F108" s="1"/>
      <c r="G108" s="1"/>
      <c r="H108" s="70"/>
      <c r="I108" s="70"/>
      <c r="J108" s="70"/>
      <c r="K108" s="70"/>
      <c r="L108" s="19"/>
    </row>
    <row r="109" spans="1:12" x14ac:dyDescent="0.3">
      <c r="D109" s="13" t="s">
        <v>430</v>
      </c>
      <c r="E109" s="16" t="s">
        <v>46</v>
      </c>
      <c r="F109" s="1"/>
      <c r="G109" s="1"/>
      <c r="H109" s="70">
        <f>SUM(H107:H108)</f>
        <v>-29.8</v>
      </c>
      <c r="I109" s="70">
        <f t="shared" ref="I109:L109" ca="1" si="21">SUM(I107:I108)</f>
        <v>-0.49550000000000005</v>
      </c>
      <c r="J109" s="70">
        <f t="shared" ca="1" si="21"/>
        <v>-1.5857675000000002</v>
      </c>
      <c r="K109" s="70">
        <f t="shared" ca="1" si="21"/>
        <v>-0.46141048750000002</v>
      </c>
      <c r="L109" s="19">
        <f t="shared" ca="1" si="21"/>
        <v>-1.9723431376875</v>
      </c>
    </row>
    <row r="110" spans="1:12" x14ac:dyDescent="0.3">
      <c r="D110" s="13"/>
      <c r="E110" s="16"/>
      <c r="F110" s="1"/>
      <c r="G110" s="1"/>
      <c r="H110" s="70"/>
      <c r="I110" s="70"/>
      <c r="J110" s="70"/>
      <c r="K110" s="70"/>
      <c r="L110" s="19"/>
    </row>
    <row r="111" spans="1:12" x14ac:dyDescent="0.3">
      <c r="D111" s="13" t="s">
        <v>431</v>
      </c>
      <c r="E111" s="16" t="s">
        <v>46</v>
      </c>
      <c r="F111" s="1"/>
      <c r="G111" s="1"/>
      <c r="H111" s="70">
        <f>Calculations!H323</f>
        <v>20</v>
      </c>
      <c r="I111" s="70">
        <f>Calculations!I323</f>
        <v>0</v>
      </c>
      <c r="J111" s="70">
        <f>Calculations!J323</f>
        <v>0</v>
      </c>
      <c r="K111" s="70">
        <f>Calculations!K323</f>
        <v>0</v>
      </c>
      <c r="L111" s="19">
        <f>Calculations!L323</f>
        <v>0</v>
      </c>
    </row>
    <row r="112" spans="1:12" x14ac:dyDescent="0.3">
      <c r="D112" s="13" t="s">
        <v>432</v>
      </c>
      <c r="E112" s="16" t="s">
        <v>46</v>
      </c>
      <c r="F112" s="1"/>
      <c r="G112" s="1"/>
      <c r="H112" s="70">
        <f ca="1">Calculations!H329</f>
        <v>30</v>
      </c>
      <c r="I112" s="70">
        <f ca="1">Calculations!I329</f>
        <v>0</v>
      </c>
      <c r="J112" s="70">
        <f ca="1">Calculations!J329</f>
        <v>15.63053053209512</v>
      </c>
      <c r="K112" s="70">
        <f ca="1">Calculations!K329</f>
        <v>0</v>
      </c>
      <c r="L112" s="19">
        <f ca="1">Calculations!L329</f>
        <v>0</v>
      </c>
    </row>
    <row r="113" spans="4:12" x14ac:dyDescent="0.3">
      <c r="D113" s="13" t="s">
        <v>433</v>
      </c>
      <c r="E113" s="16" t="s">
        <v>46</v>
      </c>
      <c r="F113" s="1"/>
      <c r="G113" s="1"/>
      <c r="H113" s="70">
        <f ca="1">Calculations!H330</f>
        <v>0</v>
      </c>
      <c r="I113" s="70">
        <f ca="1">Calculations!I330</f>
        <v>-9.5666249536384864</v>
      </c>
      <c r="J113" s="70">
        <f ca="1">Calculations!J330</f>
        <v>-30.874057345205564</v>
      </c>
      <c r="K113" s="70">
        <f ca="1">Calculations!K330</f>
        <v>-5.1898482332510767</v>
      </c>
      <c r="L113" s="19">
        <f ca="1">Calculations!L330</f>
        <v>0</v>
      </c>
    </row>
    <row r="114" spans="4:12" x14ac:dyDescent="0.3">
      <c r="D114" s="13" t="s">
        <v>399</v>
      </c>
      <c r="E114" s="16" t="s">
        <v>46</v>
      </c>
      <c r="F114" s="1"/>
      <c r="G114" s="1"/>
      <c r="H114" s="70">
        <f ca="1">H46</f>
        <v>-11.025</v>
      </c>
      <c r="I114" s="70">
        <f t="shared" ref="I114:L114" ca="1" si="22">I46</f>
        <v>-12.6</v>
      </c>
      <c r="J114" s="70">
        <f t="shared" ca="1" si="22"/>
        <v>-12.15</v>
      </c>
      <c r="K114" s="70">
        <f t="shared" ca="1" si="22"/>
        <v>-12.15</v>
      </c>
      <c r="L114" s="19">
        <f t="shared" ca="1" si="22"/>
        <v>-12.6</v>
      </c>
    </row>
    <row r="115" spans="4:12" x14ac:dyDescent="0.3">
      <c r="D115" s="13"/>
      <c r="E115" s="16"/>
      <c r="F115" s="1"/>
      <c r="G115" s="1"/>
      <c r="H115" s="70"/>
      <c r="I115" s="70"/>
      <c r="J115" s="70"/>
      <c r="K115" s="70"/>
      <c r="L115" s="19"/>
    </row>
    <row r="116" spans="4:12" x14ac:dyDescent="0.3">
      <c r="D116" s="13" t="s">
        <v>434</v>
      </c>
      <c r="E116" s="16" t="s">
        <v>46</v>
      </c>
      <c r="F116" s="1"/>
      <c r="G116" s="1"/>
      <c r="H116" s="70">
        <f ca="1">SUM(H111:H115)</f>
        <v>38.975000000000001</v>
      </c>
      <c r="I116" s="70">
        <f t="shared" ref="I116:L116" ca="1" si="23">SUM(I111:I115)</f>
        <v>-22.166624953638486</v>
      </c>
      <c r="J116" s="70">
        <f t="shared" ca="1" si="23"/>
        <v>-27.393526813110444</v>
      </c>
      <c r="K116" s="70">
        <f t="shared" ca="1" si="23"/>
        <v>-17.339848233251075</v>
      </c>
      <c r="L116" s="19">
        <f t="shared" ca="1" si="23"/>
        <v>-12.6</v>
      </c>
    </row>
    <row r="117" spans="4:12" x14ac:dyDescent="0.3">
      <c r="D117" s="13"/>
      <c r="E117" s="16"/>
      <c r="F117" s="1"/>
      <c r="G117" s="1"/>
      <c r="H117" s="70"/>
      <c r="I117" s="70"/>
      <c r="J117" s="70"/>
      <c r="K117" s="70"/>
      <c r="L117" s="19"/>
    </row>
    <row r="118" spans="4:12" x14ac:dyDescent="0.3">
      <c r="D118" s="128" t="s">
        <v>435</v>
      </c>
      <c r="E118" s="129" t="s">
        <v>46</v>
      </c>
      <c r="F118" s="130"/>
      <c r="G118" s="130"/>
      <c r="H118" s="131">
        <f ca="1">SUM(H105,H109,H116)</f>
        <v>30.148510620819675</v>
      </c>
      <c r="I118" s="131">
        <f t="shared" ref="I118:L118" ca="1" si="24">SUM(I105,I109,I116)</f>
        <v>13.712184173389932</v>
      </c>
      <c r="J118" s="131">
        <f t="shared" ca="1" si="24"/>
        <v>18.753194721827096</v>
      </c>
      <c r="K118" s="131">
        <f t="shared" ca="1" si="24"/>
        <v>42.372195506979857</v>
      </c>
      <c r="L118" s="132">
        <f t="shared" ca="1" si="24"/>
        <v>62.779323704632311</v>
      </c>
    </row>
    <row r="119" spans="4:12" x14ac:dyDescent="0.3">
      <c r="D119" s="13" t="s">
        <v>436</v>
      </c>
      <c r="E119" s="16" t="s">
        <v>46</v>
      </c>
      <c r="F119" s="1"/>
      <c r="G119" s="1"/>
      <c r="H119" s="70">
        <f>G128</f>
        <v>0</v>
      </c>
      <c r="I119" s="70">
        <f t="shared" ref="I119:L119" ca="1" si="25">H128</f>
        <v>30.148510620819675</v>
      </c>
      <c r="J119" s="70">
        <f t="shared" ca="1" si="25"/>
        <v>42.564246706777915</v>
      </c>
      <c r="K119" s="70">
        <f t="shared" ca="1" si="25"/>
        <v>58.892623018082148</v>
      </c>
      <c r="L119" s="19">
        <f t="shared" ca="1" si="25"/>
        <v>97.857917146176604</v>
      </c>
    </row>
    <row r="120" spans="4:12" x14ac:dyDescent="0.3">
      <c r="D120" s="13"/>
      <c r="E120" s="16"/>
      <c r="F120" s="1"/>
      <c r="G120" s="1"/>
      <c r="H120" s="70"/>
      <c r="I120" s="70"/>
      <c r="J120" s="70"/>
      <c r="K120" s="70"/>
      <c r="L120" s="19"/>
    </row>
    <row r="121" spans="4:12" s="43" customFormat="1" x14ac:dyDescent="0.3">
      <c r="D121" s="128" t="s">
        <v>437</v>
      </c>
      <c r="E121" s="129" t="s">
        <v>46</v>
      </c>
      <c r="F121" s="130"/>
      <c r="G121" s="130"/>
      <c r="H121" s="131">
        <f ca="1">SUM(H118:H120)</f>
        <v>30.148510620819675</v>
      </c>
      <c r="I121" s="131">
        <f t="shared" ref="I121:L121" ca="1" si="26">SUM(I118:I120)</f>
        <v>43.860694794209607</v>
      </c>
      <c r="J121" s="131">
        <f t="shared" ca="1" si="26"/>
        <v>61.317441428605008</v>
      </c>
      <c r="K121" s="131">
        <f t="shared" ca="1" si="26"/>
        <v>101.264818525062</v>
      </c>
      <c r="L121" s="132">
        <f t="shared" ca="1" si="26"/>
        <v>160.63724085080892</v>
      </c>
    </row>
    <row r="122" spans="4:12" x14ac:dyDescent="0.3">
      <c r="D122" s="13"/>
      <c r="E122" s="16"/>
      <c r="F122" s="1"/>
      <c r="G122" s="1"/>
      <c r="H122" s="70"/>
      <c r="I122" s="70"/>
      <c r="J122" s="70"/>
      <c r="K122" s="70"/>
      <c r="L122" s="19"/>
    </row>
    <row r="123" spans="4:12" x14ac:dyDescent="0.3">
      <c r="D123" s="13" t="s">
        <v>438</v>
      </c>
      <c r="E123" s="16" t="s">
        <v>46</v>
      </c>
      <c r="F123" s="1"/>
      <c r="G123" s="1"/>
      <c r="H123" s="70">
        <f ca="1">Calculations!H371</f>
        <v>0</v>
      </c>
      <c r="I123" s="70">
        <f ca="1">Calculations!I371</f>
        <v>0</v>
      </c>
      <c r="J123" s="70">
        <f ca="1">Calculations!J371</f>
        <v>0</v>
      </c>
      <c r="K123" s="70">
        <f ca="1">Calculations!K371</f>
        <v>0</v>
      </c>
      <c r="L123" s="19">
        <f ca="1">Calculations!L371</f>
        <v>0</v>
      </c>
    </row>
    <row r="124" spans="4:12" x14ac:dyDescent="0.3">
      <c r="D124" s="13" t="s">
        <v>439</v>
      </c>
      <c r="E124" s="16" t="s">
        <v>46</v>
      </c>
      <c r="F124" s="1"/>
      <c r="G124" s="1"/>
      <c r="H124" s="70">
        <f ca="1">Calculations!H372</f>
        <v>0</v>
      </c>
      <c r="I124" s="70">
        <f ca="1">Calculations!I372</f>
        <v>0</v>
      </c>
      <c r="J124" s="70">
        <f ca="1">Calculations!J372</f>
        <v>0</v>
      </c>
      <c r="K124" s="70">
        <f ca="1">Calculations!K372</f>
        <v>0</v>
      </c>
      <c r="L124" s="19">
        <f ca="1">Calculations!L372</f>
        <v>0</v>
      </c>
    </row>
    <row r="125" spans="4:12" x14ac:dyDescent="0.3">
      <c r="D125" s="13" t="s">
        <v>386</v>
      </c>
      <c r="E125" s="16" t="s">
        <v>46</v>
      </c>
      <c r="F125" s="1"/>
      <c r="G125" s="1"/>
      <c r="H125" s="70">
        <f>SUMIF(Circ!$H$10:$AG$10,H$5,Circ!$H$25:$AG$25)</f>
        <v>0</v>
      </c>
      <c r="I125" s="70">
        <f>SUMIF(Circ!$H$10:$AG$10,I$5,Circ!$H$25:$AG$25)</f>
        <v>-1.2964480874316939</v>
      </c>
      <c r="J125" s="70">
        <f>SUMIF(Circ!$H$10:$AG$10,J$5,Circ!$H$25:$AG$25)</f>
        <v>-2.424818410522859</v>
      </c>
      <c r="K125" s="70">
        <f>SUMIF(Circ!$H$10:$AG$10,K$5,Circ!$H$25:$AG$25)</f>
        <v>-3.4069013788854003</v>
      </c>
      <c r="L125" s="19">
        <f>SUMIF(Circ!$H$10:$AG$10,L$5,Circ!$H$25:$AG$25)</f>
        <v>-4.2733381760108067</v>
      </c>
    </row>
    <row r="126" spans="4:12" x14ac:dyDescent="0.3">
      <c r="D126" s="13" t="s">
        <v>157</v>
      </c>
      <c r="E126" s="16" t="s">
        <v>46</v>
      </c>
      <c r="F126" s="1" t="s">
        <v>350</v>
      </c>
      <c r="G126" s="1"/>
      <c r="H126" s="70">
        <f>SUMIF(Circ!$H$10:$AG$10,H$5,Circ!$H$26:$AG$26)</f>
        <v>0</v>
      </c>
      <c r="I126" s="70">
        <f>SUMIF(Circ!$H$10:$AG$10,I$5,Circ!$H$26:$AG$26)</f>
        <v>0</v>
      </c>
      <c r="J126" s="70">
        <f>SUMIF(Circ!$H$10:$AG$10,J$5,Circ!$H$26:$AG$26)</f>
        <v>0</v>
      </c>
      <c r="K126" s="70">
        <f>SUMIF(Circ!$H$10:$AG$10,K$5,Circ!$H$26:$AG$26)</f>
        <v>0</v>
      </c>
      <c r="L126" s="19">
        <f>SUMIF(Circ!$H$10:$AG$10,L$5,Circ!$H$26:$AG$26)</f>
        <v>0</v>
      </c>
    </row>
    <row r="127" spans="4:12" x14ac:dyDescent="0.3">
      <c r="D127" s="13"/>
      <c r="E127" s="16"/>
      <c r="F127" s="1"/>
      <c r="G127" s="1"/>
      <c r="H127" s="70"/>
      <c r="I127" s="70"/>
      <c r="J127" s="70"/>
      <c r="K127" s="70"/>
      <c r="L127" s="19"/>
    </row>
    <row r="128" spans="4:12" s="43" customFormat="1" x14ac:dyDescent="0.3">
      <c r="D128" s="128" t="s">
        <v>440</v>
      </c>
      <c r="E128" s="129" t="s">
        <v>46</v>
      </c>
      <c r="F128" s="130"/>
      <c r="G128" s="130"/>
      <c r="H128" s="131">
        <f ca="1">SUM(H121:H127)</f>
        <v>30.148510620819675</v>
      </c>
      <c r="I128" s="131">
        <f t="shared" ref="I128:L128" ca="1" si="27">SUM(I121:I127)</f>
        <v>42.564246706777915</v>
      </c>
      <c r="J128" s="131">
        <f t="shared" ca="1" si="27"/>
        <v>58.892623018082148</v>
      </c>
      <c r="K128" s="131">
        <f t="shared" ca="1" si="27"/>
        <v>97.857917146176604</v>
      </c>
      <c r="L128" s="132">
        <f t="shared" ca="1" si="27"/>
        <v>156.36390267479811</v>
      </c>
    </row>
    <row r="130" spans="1:1" s="135" customFormat="1" x14ac:dyDescent="0.3">
      <c r="A130" s="135" t="s">
        <v>380</v>
      </c>
    </row>
  </sheetData>
  <mergeCells count="3">
    <mergeCell ref="A56:XFD56"/>
    <mergeCell ref="A99:XFD99"/>
    <mergeCell ref="A130:XFD1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0"/>
  <sheetViews>
    <sheetView showGridLines="0" zoomScale="85" zoomScaleNormal="85" workbookViewId="0">
      <pane xSplit="7" ySplit="6" topLeftCell="H298" activePane="bottomRight" state="frozen"/>
      <selection pane="topRight" activeCell="H1" sqref="H1"/>
      <selection pane="bottomLeft" activeCell="A7" sqref="A7"/>
      <selection pane="bottomRight" activeCell="N414" sqref="N414"/>
    </sheetView>
  </sheetViews>
  <sheetFormatPr defaultRowHeight="14.4" x14ac:dyDescent="0.3"/>
  <cols>
    <col min="1" max="1" width="3.88671875" customWidth="1"/>
    <col min="2" max="2" width="5.21875" customWidth="1"/>
    <col min="3" max="3" width="4.77734375" customWidth="1"/>
    <col min="4" max="4" width="49.88671875" bestFit="1" customWidth="1"/>
    <col min="5" max="5" width="11.33203125" customWidth="1"/>
    <col min="6" max="6" width="18.88671875" customWidth="1"/>
    <col min="7" max="7" width="17.77734375" customWidth="1"/>
    <col min="8" max="8" width="13.6640625" bestFit="1" customWidth="1"/>
    <col min="9" max="9" width="16.109375" bestFit="1" customWidth="1"/>
    <col min="10" max="10" width="17" bestFit="1" customWidth="1"/>
    <col min="11" max="12" width="13.6640625" bestFit="1" customWidth="1"/>
  </cols>
  <sheetData>
    <row r="1" spans="1:14" s="3" customFormat="1" ht="20.399999999999999" customHeight="1" x14ac:dyDescent="0.3">
      <c r="A1" s="7" t="str">
        <f ca="1">MID(CELL("filename",A1),FIND("[",CELL("filename",A1))+1,FIND("]",CELL("filename",A1))-FIND("[",CELL("filename",A1))-6)</f>
        <v>Valuation_project</v>
      </c>
    </row>
    <row r="2" spans="1:14" s="3" customFormat="1" ht="16.2" customHeight="1" x14ac:dyDescent="0.3">
      <c r="A2" s="7" t="str">
        <f ca="1">MID(CELL("filename",A2),FIND("]",CELL("filename",A2))+1,LEN(CELL("filename",A2)))</f>
        <v>Calculations</v>
      </c>
    </row>
    <row r="3" spans="1:14" s="3" customFormat="1" x14ac:dyDescent="0.3">
      <c r="G3" s="6" t="s">
        <v>0</v>
      </c>
      <c r="H3" s="8">
        <f>Timing!H3</f>
        <v>1</v>
      </c>
      <c r="I3" s="8">
        <f>Timing!I3</f>
        <v>2</v>
      </c>
      <c r="J3" s="8">
        <f>Timing!J3</f>
        <v>3</v>
      </c>
      <c r="K3" s="8">
        <f>Timing!K3</f>
        <v>4</v>
      </c>
      <c r="L3" s="8">
        <f>Timing!L3</f>
        <v>5</v>
      </c>
    </row>
    <row r="4" spans="1:14" s="3" customFormat="1" x14ac:dyDescent="0.3">
      <c r="G4" s="6" t="s">
        <v>1</v>
      </c>
      <c r="H4" s="24">
        <f>Timing!H4</f>
        <v>45017</v>
      </c>
      <c r="I4" s="24">
        <f>Timing!I4</f>
        <v>45383</v>
      </c>
      <c r="J4" s="24">
        <f>Timing!J4</f>
        <v>45748</v>
      </c>
      <c r="K4" s="24">
        <f>Timing!K4</f>
        <v>46113</v>
      </c>
      <c r="L4" s="24">
        <f>Timing!L4</f>
        <v>46478</v>
      </c>
    </row>
    <row r="5" spans="1:14" s="3" customFormat="1" x14ac:dyDescent="0.3">
      <c r="G5" s="6" t="s">
        <v>2</v>
      </c>
      <c r="H5" s="24">
        <f>Timing!H5</f>
        <v>45382</v>
      </c>
      <c r="I5" s="24">
        <f>Timing!I5</f>
        <v>45747</v>
      </c>
      <c r="J5" s="24">
        <f>Timing!J5</f>
        <v>46112</v>
      </c>
      <c r="K5" s="24">
        <f>Timing!K5</f>
        <v>46477</v>
      </c>
      <c r="L5" s="24">
        <f>Timing!L5</f>
        <v>46843</v>
      </c>
    </row>
    <row r="6" spans="1:14" s="3" customFormat="1" x14ac:dyDescent="0.3">
      <c r="E6" s="8" t="s">
        <v>10</v>
      </c>
      <c r="G6" s="6" t="s">
        <v>3</v>
      </c>
      <c r="H6" s="8" t="str">
        <f>Timing!H6</f>
        <v>Actual</v>
      </c>
      <c r="I6" s="8" t="str">
        <f>Timing!I6</f>
        <v>Projected</v>
      </c>
      <c r="J6" s="8" t="str">
        <f>Timing!J6</f>
        <v>Projected</v>
      </c>
      <c r="K6" s="8" t="str">
        <f>Timing!K6</f>
        <v>Projected</v>
      </c>
      <c r="L6" s="8" t="str">
        <f>Timing!L6</f>
        <v>Projected</v>
      </c>
    </row>
    <row r="8" spans="1:14" s="135" customFormat="1" x14ac:dyDescent="0.3">
      <c r="A8" s="135" t="s">
        <v>19</v>
      </c>
    </row>
    <row r="10" spans="1:14" x14ac:dyDescent="0.3">
      <c r="D10" s="1" t="s">
        <v>20</v>
      </c>
      <c r="E10" s="16" t="s">
        <v>21</v>
      </c>
      <c r="F10" s="10">
        <f>Inputs!F10</f>
        <v>45017</v>
      </c>
      <c r="H10" s="30">
        <f>IF(H4=F10,1,0)</f>
        <v>1</v>
      </c>
      <c r="I10" s="30">
        <f t="shared" ref="I10:L10" si="0">IF(I4=G10,1,0)</f>
        <v>0</v>
      </c>
      <c r="J10" s="30">
        <f t="shared" si="0"/>
        <v>0</v>
      </c>
      <c r="K10" s="30">
        <f t="shared" si="0"/>
        <v>0</v>
      </c>
      <c r="L10" s="30">
        <f t="shared" si="0"/>
        <v>0</v>
      </c>
    </row>
    <row r="11" spans="1:14" x14ac:dyDescent="0.3">
      <c r="D11" s="1" t="s">
        <v>22</v>
      </c>
      <c r="E11" s="16" t="s">
        <v>21</v>
      </c>
      <c r="F11" s="10"/>
      <c r="H11" s="9">
        <f>(SUM($G10:H10)=1)*1</f>
        <v>1</v>
      </c>
      <c r="I11" s="9">
        <f>(SUM($G10:I10)=1)*1</f>
        <v>1</v>
      </c>
      <c r="J11" s="9">
        <f>(SUM($G10:J10)=1)*1</f>
        <v>1</v>
      </c>
      <c r="K11" s="9">
        <f>(SUM($G10:K10)=1)*1</f>
        <v>1</v>
      </c>
      <c r="L11" s="9">
        <f>(SUM($G10:L10)=1)*1</f>
        <v>1</v>
      </c>
      <c r="M11" s="9"/>
      <c r="N11" s="9"/>
    </row>
    <row r="12" spans="1:14" x14ac:dyDescent="0.3">
      <c r="D12" s="1" t="s">
        <v>23</v>
      </c>
      <c r="E12" s="16" t="s">
        <v>14</v>
      </c>
      <c r="F12" s="11"/>
      <c r="H12" s="9">
        <f>SUM($G11:H11)*H11</f>
        <v>1</v>
      </c>
      <c r="I12" s="9">
        <f>SUM($G11:I11)*I11</f>
        <v>2</v>
      </c>
      <c r="J12" s="9">
        <f>SUM($G11:J11)*J11</f>
        <v>3</v>
      </c>
      <c r="K12" s="9">
        <f>SUM($G11:K11)*K11</f>
        <v>4</v>
      </c>
      <c r="L12" s="9">
        <f>SUM($G11:L11)*L11</f>
        <v>5</v>
      </c>
    </row>
    <row r="13" spans="1:14" x14ac:dyDescent="0.3">
      <c r="D13" s="1"/>
      <c r="E13" s="16"/>
    </row>
    <row r="14" spans="1:14" x14ac:dyDescent="0.3">
      <c r="D14" s="1" t="s">
        <v>24</v>
      </c>
      <c r="E14" s="16" t="s">
        <v>21</v>
      </c>
      <c r="H14" s="9">
        <f>IF((H6="Actual"),1,0)</f>
        <v>1</v>
      </c>
      <c r="I14" s="9">
        <f t="shared" ref="I14:L14" si="1">IF((I6="Actual"),1,0)</f>
        <v>0</v>
      </c>
      <c r="J14" s="9">
        <f t="shared" si="1"/>
        <v>0</v>
      </c>
      <c r="K14" s="9">
        <f t="shared" si="1"/>
        <v>0</v>
      </c>
      <c r="L14" s="9">
        <f t="shared" si="1"/>
        <v>0</v>
      </c>
    </row>
    <row r="15" spans="1:14" x14ac:dyDescent="0.3">
      <c r="D15" s="1" t="s">
        <v>25</v>
      </c>
      <c r="E15" s="16" t="s">
        <v>21</v>
      </c>
      <c r="H15" s="9">
        <f>IF(H6="Projected",1,0)</f>
        <v>0</v>
      </c>
      <c r="I15" s="9">
        <f t="shared" ref="I15:L15" si="2">IF(I6="Projected",1,0)</f>
        <v>1</v>
      </c>
      <c r="J15" s="9">
        <f t="shared" si="2"/>
        <v>1</v>
      </c>
      <c r="K15" s="9">
        <f t="shared" si="2"/>
        <v>1</v>
      </c>
      <c r="L15" s="9">
        <f t="shared" si="2"/>
        <v>1</v>
      </c>
    </row>
    <row r="16" spans="1:14" x14ac:dyDescent="0.3">
      <c r="D16" s="1"/>
      <c r="E16" s="16"/>
    </row>
    <row r="17" spans="1:12" x14ac:dyDescent="0.3">
      <c r="D17" s="1" t="s">
        <v>26</v>
      </c>
      <c r="E17" s="16" t="s">
        <v>27</v>
      </c>
      <c r="H17" s="32">
        <f>MIN(1,MAX((H5-H4+1)/366,0))</f>
        <v>1</v>
      </c>
      <c r="I17" s="32">
        <f t="shared" ref="I17:L17" si="3">MIN(1,MAX((I5-I4+1)/366,0))</f>
        <v>0.99726775956284153</v>
      </c>
      <c r="J17" s="32">
        <f t="shared" si="3"/>
        <v>0.99726775956284153</v>
      </c>
      <c r="K17" s="32">
        <f t="shared" si="3"/>
        <v>0.99726775956284153</v>
      </c>
      <c r="L17" s="32">
        <f t="shared" si="3"/>
        <v>1</v>
      </c>
    </row>
    <row r="18" spans="1:12" x14ac:dyDescent="0.3">
      <c r="D18" s="1" t="s">
        <v>28</v>
      </c>
      <c r="E18" s="16" t="s">
        <v>14</v>
      </c>
      <c r="H18" s="9">
        <f>H5-H4+1</f>
        <v>366</v>
      </c>
      <c r="I18" s="9">
        <f>I5-I4+1</f>
        <v>365</v>
      </c>
      <c r="J18" s="9">
        <f t="shared" ref="J18:L18" si="4">J5-J4+1</f>
        <v>365</v>
      </c>
      <c r="K18" s="9">
        <f t="shared" si="4"/>
        <v>365</v>
      </c>
      <c r="L18" s="9">
        <f t="shared" si="4"/>
        <v>366</v>
      </c>
    </row>
    <row r="19" spans="1:12" x14ac:dyDescent="0.3">
      <c r="D19" s="1"/>
      <c r="E19" s="16"/>
    </row>
    <row r="21" spans="1:12" s="33" customFormat="1" x14ac:dyDescent="0.3">
      <c r="A21" s="33" t="s">
        <v>29</v>
      </c>
    </row>
    <row r="23" spans="1:12" x14ac:dyDescent="0.3">
      <c r="D23" s="63" t="s">
        <v>31</v>
      </c>
      <c r="E23" s="45"/>
      <c r="F23" s="45"/>
      <c r="G23" s="45"/>
      <c r="H23" s="45"/>
      <c r="I23" s="45"/>
      <c r="J23" s="45"/>
      <c r="K23" s="45"/>
      <c r="L23" s="46"/>
    </row>
    <row r="24" spans="1:12" x14ac:dyDescent="0.3">
      <c r="D24" s="13" t="s">
        <v>32</v>
      </c>
      <c r="E24" s="1" t="s">
        <v>33</v>
      </c>
      <c r="F24" s="1"/>
      <c r="G24" s="1"/>
      <c r="H24" s="1">
        <f>Inputs!H18</f>
        <v>800</v>
      </c>
      <c r="I24" s="1">
        <f>Inputs!I18</f>
        <v>919.99999999999989</v>
      </c>
      <c r="J24" s="1">
        <f>Inputs!J18</f>
        <v>1057.9999999999998</v>
      </c>
      <c r="K24" s="1">
        <f>Inputs!K18</f>
        <v>1216.6999999999996</v>
      </c>
      <c r="L24" s="47">
        <f>Inputs!L18</f>
        <v>1399.2049999999995</v>
      </c>
    </row>
    <row r="25" spans="1:12" x14ac:dyDescent="0.3">
      <c r="D25" s="13" t="s">
        <v>35</v>
      </c>
      <c r="E25" s="1" t="s">
        <v>27</v>
      </c>
      <c r="F25" s="1"/>
      <c r="G25" s="1"/>
      <c r="H25" s="64">
        <f>Inputs!H20</f>
        <v>2.5000000000000001E-2</v>
      </c>
      <c r="I25" s="64">
        <f>Inputs!I20</f>
        <v>2.5000000000000001E-2</v>
      </c>
      <c r="J25" s="64">
        <f>Inputs!J20</f>
        <v>2.5000000000000001E-2</v>
      </c>
      <c r="K25" s="64">
        <f>Inputs!K20</f>
        <v>2.5000000000000001E-2</v>
      </c>
      <c r="L25" s="65">
        <f>Inputs!L20</f>
        <v>2.5000000000000001E-2</v>
      </c>
    </row>
    <row r="26" spans="1:12" x14ac:dyDescent="0.3">
      <c r="D26" s="13"/>
      <c r="E26" s="1"/>
      <c r="F26" s="1"/>
      <c r="G26" s="1"/>
      <c r="H26" s="1"/>
      <c r="I26" s="1"/>
      <c r="J26" s="1"/>
      <c r="K26" s="1"/>
      <c r="L26" s="47"/>
    </row>
    <row r="27" spans="1:12" x14ac:dyDescent="0.3">
      <c r="D27" s="14" t="s">
        <v>200</v>
      </c>
      <c r="E27" s="2" t="s">
        <v>33</v>
      </c>
      <c r="F27" s="2"/>
      <c r="G27" s="2"/>
      <c r="H27" s="66">
        <f>H24*(1-H25)*H18</f>
        <v>285480</v>
      </c>
      <c r="I27" s="66">
        <f t="shared" ref="I27:L27" si="5">I24*(1-I25)*I18</f>
        <v>327404.99999999994</v>
      </c>
      <c r="J27" s="66">
        <f t="shared" si="5"/>
        <v>376515.74999999988</v>
      </c>
      <c r="K27" s="66">
        <f t="shared" si="5"/>
        <v>432993.11249999987</v>
      </c>
      <c r="L27" s="67">
        <f t="shared" si="5"/>
        <v>499306.30424999981</v>
      </c>
    </row>
    <row r="29" spans="1:12" x14ac:dyDescent="0.3">
      <c r="D29" s="44" t="s">
        <v>201</v>
      </c>
    </row>
    <row r="31" spans="1:12" x14ac:dyDescent="0.3">
      <c r="D31" s="63" t="s">
        <v>202</v>
      </c>
      <c r="E31" s="45"/>
      <c r="F31" s="45"/>
      <c r="G31" s="45"/>
      <c r="H31" s="45"/>
      <c r="I31" s="45"/>
      <c r="J31" s="45"/>
      <c r="K31" s="45"/>
      <c r="L31" s="46"/>
    </row>
    <row r="32" spans="1:12" x14ac:dyDescent="0.3">
      <c r="D32" s="13" t="s">
        <v>94</v>
      </c>
      <c r="E32" s="1" t="s">
        <v>27</v>
      </c>
      <c r="F32" s="1"/>
      <c r="G32" s="1"/>
      <c r="H32" s="64">
        <f>Inputs!H23</f>
        <v>0.35</v>
      </c>
      <c r="I32" s="64">
        <f>Inputs!I23</f>
        <v>0.35</v>
      </c>
      <c r="J32" s="64">
        <f>Inputs!J23</f>
        <v>0.35</v>
      </c>
      <c r="K32" s="64">
        <f>Inputs!K23</f>
        <v>0.35</v>
      </c>
      <c r="L32" s="65">
        <f>Inputs!L23</f>
        <v>0.35</v>
      </c>
    </row>
    <row r="33" spans="4:12" x14ac:dyDescent="0.3">
      <c r="D33" s="13" t="s">
        <v>95</v>
      </c>
      <c r="E33" s="1" t="s">
        <v>27</v>
      </c>
      <c r="F33" s="1"/>
      <c r="G33" s="1"/>
      <c r="H33" s="64">
        <f>Inputs!H24</f>
        <v>0.17499999999999999</v>
      </c>
      <c r="I33" s="64">
        <f>Inputs!I24</f>
        <v>0.17499999999999999</v>
      </c>
      <c r="J33" s="64">
        <f>Inputs!J24</f>
        <v>0.17499999999999999</v>
      </c>
      <c r="K33" s="64">
        <f>Inputs!K24</f>
        <v>0.17499999999999999</v>
      </c>
      <c r="L33" s="65">
        <f>Inputs!L24</f>
        <v>0.17499999999999999</v>
      </c>
    </row>
    <row r="34" spans="4:12" x14ac:dyDescent="0.3">
      <c r="D34" s="13" t="s">
        <v>96</v>
      </c>
      <c r="E34" s="1" t="s">
        <v>27</v>
      </c>
      <c r="F34" s="1"/>
      <c r="G34" s="1"/>
      <c r="H34" s="64">
        <f>Inputs!H25</f>
        <v>7.4999999999999997E-2</v>
      </c>
      <c r="I34" s="64">
        <f>Inputs!I25</f>
        <v>7.4999999999999997E-2</v>
      </c>
      <c r="J34" s="64">
        <f>Inputs!J25</f>
        <v>7.4999999999999997E-2</v>
      </c>
      <c r="K34" s="64">
        <f>Inputs!K25</f>
        <v>7.4999999999999997E-2</v>
      </c>
      <c r="L34" s="65">
        <f>Inputs!L25</f>
        <v>7.4999999999999997E-2</v>
      </c>
    </row>
    <row r="35" spans="4:12" x14ac:dyDescent="0.3">
      <c r="D35" s="13" t="s">
        <v>97</v>
      </c>
      <c r="E35" s="1" t="s">
        <v>27</v>
      </c>
      <c r="F35" s="1"/>
      <c r="G35" s="1"/>
      <c r="H35" s="64">
        <f>Inputs!H26</f>
        <v>0.15</v>
      </c>
      <c r="I35" s="64">
        <f>Inputs!I26</f>
        <v>0.15</v>
      </c>
      <c r="J35" s="64">
        <f>Inputs!J26</f>
        <v>0.15</v>
      </c>
      <c r="K35" s="64">
        <f>Inputs!K26</f>
        <v>0.15</v>
      </c>
      <c r="L35" s="65">
        <f>Inputs!L26</f>
        <v>0.15</v>
      </c>
    </row>
    <row r="36" spans="4:12" x14ac:dyDescent="0.3">
      <c r="D36" s="13" t="s">
        <v>98</v>
      </c>
      <c r="E36" s="1" t="s">
        <v>27</v>
      </c>
      <c r="F36" s="1"/>
      <c r="G36" s="1"/>
      <c r="H36" s="64">
        <f>Inputs!H27</f>
        <v>0.15</v>
      </c>
      <c r="I36" s="64">
        <f>Inputs!I27</f>
        <v>0.15</v>
      </c>
      <c r="J36" s="64">
        <f>Inputs!J27</f>
        <v>0.15</v>
      </c>
      <c r="K36" s="64">
        <f>Inputs!K27</f>
        <v>0.15</v>
      </c>
      <c r="L36" s="65">
        <f>Inputs!L27</f>
        <v>0.15</v>
      </c>
    </row>
    <row r="37" spans="4:12" x14ac:dyDescent="0.3">
      <c r="D37" s="13" t="s">
        <v>99</v>
      </c>
      <c r="E37" s="1" t="s">
        <v>27</v>
      </c>
      <c r="F37" s="1"/>
      <c r="G37" s="1"/>
      <c r="H37" s="64">
        <f>Inputs!H28</f>
        <v>0.05</v>
      </c>
      <c r="I37" s="64">
        <f>Inputs!I28</f>
        <v>0.05</v>
      </c>
      <c r="J37" s="64">
        <f>Inputs!J28</f>
        <v>0.05</v>
      </c>
      <c r="K37" s="64">
        <f>Inputs!K28</f>
        <v>0.05</v>
      </c>
      <c r="L37" s="65">
        <f>Inputs!L28</f>
        <v>0.05</v>
      </c>
    </row>
    <row r="38" spans="4:12" x14ac:dyDescent="0.3">
      <c r="D38" s="14" t="s">
        <v>100</v>
      </c>
      <c r="E38" s="2" t="s">
        <v>27</v>
      </c>
      <c r="F38" s="2"/>
      <c r="G38" s="2"/>
      <c r="H38" s="68">
        <f>Inputs!H29</f>
        <v>0.05</v>
      </c>
      <c r="I38" s="68">
        <f>Inputs!I29</f>
        <v>0.05</v>
      </c>
      <c r="J38" s="68">
        <f>Inputs!J29</f>
        <v>0.05</v>
      </c>
      <c r="K38" s="68">
        <f>Inputs!K29</f>
        <v>0.05</v>
      </c>
      <c r="L38" s="69">
        <f>Inputs!L29</f>
        <v>0.05</v>
      </c>
    </row>
    <row r="41" spans="4:12" x14ac:dyDescent="0.3">
      <c r="D41" s="63" t="s">
        <v>203</v>
      </c>
      <c r="E41" s="45"/>
      <c r="F41" s="45"/>
      <c r="G41" s="45"/>
      <c r="H41" s="45"/>
      <c r="I41" s="45"/>
      <c r="J41" s="45"/>
      <c r="K41" s="45"/>
      <c r="L41" s="46"/>
    </row>
    <row r="42" spans="4:12" x14ac:dyDescent="0.3">
      <c r="D42" s="13" t="s">
        <v>94</v>
      </c>
      <c r="E42" s="1" t="s">
        <v>33</v>
      </c>
      <c r="F42" s="1"/>
      <c r="G42" s="1"/>
      <c r="H42" s="70">
        <f>H32*H$27</f>
        <v>99918</v>
      </c>
      <c r="I42" s="70">
        <f t="shared" ref="I42:L42" si="6">I32*I$27</f>
        <v>114591.74999999997</v>
      </c>
      <c r="J42" s="70">
        <f t="shared" si="6"/>
        <v>131780.51249999995</v>
      </c>
      <c r="K42" s="70">
        <f t="shared" si="6"/>
        <v>151547.58937499995</v>
      </c>
      <c r="L42" s="19">
        <f t="shared" si="6"/>
        <v>174757.20648749993</v>
      </c>
    </row>
    <row r="43" spans="4:12" x14ac:dyDescent="0.3">
      <c r="D43" s="13" t="s">
        <v>95</v>
      </c>
      <c r="E43" s="1" t="s">
        <v>33</v>
      </c>
      <c r="F43" s="1"/>
      <c r="G43" s="1"/>
      <c r="H43" s="70">
        <f t="shared" ref="H43:L43" si="7">H33*H$27</f>
        <v>49959</v>
      </c>
      <c r="I43" s="70">
        <f t="shared" si="7"/>
        <v>57295.874999999985</v>
      </c>
      <c r="J43" s="70">
        <f t="shared" si="7"/>
        <v>65890.256249999977</v>
      </c>
      <c r="K43" s="70">
        <f t="shared" si="7"/>
        <v>75773.794687499976</v>
      </c>
      <c r="L43" s="19">
        <f t="shared" si="7"/>
        <v>87378.603243749967</v>
      </c>
    </row>
    <row r="44" spans="4:12" x14ac:dyDescent="0.3">
      <c r="D44" s="13" t="s">
        <v>96</v>
      </c>
      <c r="E44" s="1" t="s">
        <v>33</v>
      </c>
      <c r="F44" s="1"/>
      <c r="G44" s="1"/>
      <c r="H44" s="70">
        <f t="shared" ref="H44:L44" si="8">H34*H$27</f>
        <v>21411</v>
      </c>
      <c r="I44" s="70">
        <f t="shared" si="8"/>
        <v>24555.374999999996</v>
      </c>
      <c r="J44" s="70">
        <f t="shared" si="8"/>
        <v>28238.681249999991</v>
      </c>
      <c r="K44" s="70">
        <f t="shared" si="8"/>
        <v>32474.483437499988</v>
      </c>
      <c r="L44" s="19">
        <f t="shared" si="8"/>
        <v>37447.972818749986</v>
      </c>
    </row>
    <row r="45" spans="4:12" x14ac:dyDescent="0.3">
      <c r="D45" s="13" t="s">
        <v>97</v>
      </c>
      <c r="E45" s="1" t="s">
        <v>33</v>
      </c>
      <c r="F45" s="1"/>
      <c r="G45" s="1"/>
      <c r="H45" s="70">
        <f t="shared" ref="H45:L45" si="9">H35*H$27</f>
        <v>42822</v>
      </c>
      <c r="I45" s="70">
        <f t="shared" si="9"/>
        <v>49110.749999999993</v>
      </c>
      <c r="J45" s="70">
        <f t="shared" si="9"/>
        <v>56477.362499999981</v>
      </c>
      <c r="K45" s="70">
        <f t="shared" si="9"/>
        <v>64948.966874999976</v>
      </c>
      <c r="L45" s="19">
        <f t="shared" si="9"/>
        <v>74895.945637499972</v>
      </c>
    </row>
    <row r="46" spans="4:12" x14ac:dyDescent="0.3">
      <c r="D46" s="13" t="s">
        <v>98</v>
      </c>
      <c r="E46" s="1" t="s">
        <v>33</v>
      </c>
      <c r="F46" s="1"/>
      <c r="G46" s="1"/>
      <c r="H46" s="70">
        <f t="shared" ref="H46:L46" si="10">H36*H$27</f>
        <v>42822</v>
      </c>
      <c r="I46" s="70">
        <f t="shared" si="10"/>
        <v>49110.749999999993</v>
      </c>
      <c r="J46" s="70">
        <f t="shared" si="10"/>
        <v>56477.362499999981</v>
      </c>
      <c r="K46" s="70">
        <f t="shared" si="10"/>
        <v>64948.966874999976</v>
      </c>
      <c r="L46" s="19">
        <f t="shared" si="10"/>
        <v>74895.945637499972</v>
      </c>
    </row>
    <row r="47" spans="4:12" x14ac:dyDescent="0.3">
      <c r="D47" s="13" t="s">
        <v>99</v>
      </c>
      <c r="E47" s="1" t="s">
        <v>33</v>
      </c>
      <c r="F47" s="1"/>
      <c r="G47" s="1"/>
      <c r="H47" s="70">
        <f t="shared" ref="H47:L47" si="11">H37*H$27</f>
        <v>14274</v>
      </c>
      <c r="I47" s="70">
        <f t="shared" si="11"/>
        <v>16370.249999999998</v>
      </c>
      <c r="J47" s="70">
        <f t="shared" si="11"/>
        <v>18825.787499999995</v>
      </c>
      <c r="K47" s="70">
        <f t="shared" si="11"/>
        <v>21649.655624999996</v>
      </c>
      <c r="L47" s="19">
        <f t="shared" si="11"/>
        <v>24965.315212499991</v>
      </c>
    </row>
    <row r="48" spans="4:12" x14ac:dyDescent="0.3">
      <c r="D48" s="14" t="s">
        <v>100</v>
      </c>
      <c r="E48" s="2" t="s">
        <v>33</v>
      </c>
      <c r="F48" s="2"/>
      <c r="G48" s="2"/>
      <c r="H48" s="66">
        <f t="shared" ref="H48:L48" si="12">H38*H$27</f>
        <v>14274</v>
      </c>
      <c r="I48" s="66">
        <f t="shared" si="12"/>
        <v>16370.249999999998</v>
      </c>
      <c r="J48" s="66">
        <f t="shared" si="12"/>
        <v>18825.787499999995</v>
      </c>
      <c r="K48" s="66">
        <f t="shared" si="12"/>
        <v>21649.655624999996</v>
      </c>
      <c r="L48" s="67">
        <f t="shared" si="12"/>
        <v>24965.315212499991</v>
      </c>
    </row>
    <row r="51" spans="4:12" x14ac:dyDescent="0.3">
      <c r="D51" s="63" t="s">
        <v>204</v>
      </c>
      <c r="E51" s="45"/>
      <c r="F51" s="45"/>
      <c r="G51" s="45"/>
      <c r="H51" s="45"/>
      <c r="I51" s="45"/>
      <c r="J51" s="45"/>
      <c r="K51" s="45"/>
      <c r="L51" s="46"/>
    </row>
    <row r="52" spans="4:12" x14ac:dyDescent="0.3">
      <c r="D52" s="13" t="s">
        <v>94</v>
      </c>
      <c r="E52" s="1" t="s">
        <v>39</v>
      </c>
      <c r="F52" s="1"/>
      <c r="G52" s="1"/>
      <c r="H52" s="70">
        <f>Inputs!H32</f>
        <v>60.480000000000004</v>
      </c>
      <c r="I52" s="70">
        <f>Inputs!I32</f>
        <v>67.737600000000015</v>
      </c>
      <c r="J52" s="70">
        <f>Inputs!J32</f>
        <v>75.86611200000003</v>
      </c>
      <c r="K52" s="70">
        <f>Inputs!K32</f>
        <v>84.970045440000035</v>
      </c>
      <c r="L52" s="19">
        <f>Inputs!L32</f>
        <v>95.166450892800043</v>
      </c>
    </row>
    <row r="53" spans="4:12" x14ac:dyDescent="0.3">
      <c r="D53" s="13" t="s">
        <v>95</v>
      </c>
      <c r="E53" s="1" t="s">
        <v>39</v>
      </c>
      <c r="F53" s="1"/>
      <c r="G53" s="1"/>
      <c r="H53" s="70">
        <f>Inputs!H33</f>
        <v>103.74000000000001</v>
      </c>
      <c r="I53" s="70">
        <f>Inputs!I33</f>
        <v>118.26360000000003</v>
      </c>
      <c r="J53" s="70">
        <f>Inputs!J33</f>
        <v>134.82050400000006</v>
      </c>
      <c r="K53" s="70">
        <f>Inputs!K33</f>
        <v>153.69537456000009</v>
      </c>
      <c r="L53" s="19">
        <f>Inputs!L33</f>
        <v>175.21272699840011</v>
      </c>
    </row>
    <row r="54" spans="4:12" x14ac:dyDescent="0.3">
      <c r="D54" s="13" t="s">
        <v>96</v>
      </c>
      <c r="E54" s="1" t="s">
        <v>39</v>
      </c>
      <c r="F54" s="1"/>
      <c r="G54" s="1"/>
      <c r="H54" s="70">
        <f>Inputs!H34</f>
        <v>197.6</v>
      </c>
      <c r="I54" s="70">
        <f>Inputs!I34</f>
        <v>205.50399999999999</v>
      </c>
      <c r="J54" s="70">
        <f>Inputs!J34</f>
        <v>213.72415999999998</v>
      </c>
      <c r="K54" s="70">
        <f>Inputs!K34</f>
        <v>222.2731264</v>
      </c>
      <c r="L54" s="19">
        <f>Inputs!L34</f>
        <v>231.16405145600001</v>
      </c>
    </row>
    <row r="55" spans="4:12" x14ac:dyDescent="0.3">
      <c r="D55" s="13" t="s">
        <v>97</v>
      </c>
      <c r="E55" s="1" t="s">
        <v>39</v>
      </c>
      <c r="F55" s="1"/>
      <c r="G55" s="1"/>
      <c r="H55" s="70">
        <f>Inputs!H35</f>
        <v>520</v>
      </c>
      <c r="I55" s="70">
        <f>Inputs!I35</f>
        <v>540.80000000000007</v>
      </c>
      <c r="J55" s="70">
        <f>Inputs!J35</f>
        <v>562.43200000000013</v>
      </c>
      <c r="K55" s="70">
        <f>Inputs!K35</f>
        <v>584.92928000000018</v>
      </c>
      <c r="L55" s="19">
        <f>Inputs!L35</f>
        <v>608.32645120000018</v>
      </c>
    </row>
    <row r="56" spans="4:12" x14ac:dyDescent="0.3">
      <c r="D56" s="13" t="s">
        <v>98</v>
      </c>
      <c r="E56" s="1" t="s">
        <v>39</v>
      </c>
      <c r="F56" s="1"/>
      <c r="G56" s="1"/>
      <c r="H56" s="70">
        <f>Inputs!H36</f>
        <v>406.85</v>
      </c>
      <c r="I56" s="70">
        <f>Inputs!I36</f>
        <v>419.05550000000005</v>
      </c>
      <c r="J56" s="70">
        <f>Inputs!J36</f>
        <v>431.62716500000005</v>
      </c>
      <c r="K56" s="70">
        <f>Inputs!K36</f>
        <v>444.57597995000003</v>
      </c>
      <c r="L56" s="19">
        <f>Inputs!L36</f>
        <v>457.91325934850005</v>
      </c>
    </row>
    <row r="57" spans="4:12" x14ac:dyDescent="0.3">
      <c r="D57" s="13" t="s">
        <v>99</v>
      </c>
      <c r="E57" s="1" t="s">
        <v>39</v>
      </c>
      <c r="F57" s="1"/>
      <c r="G57" s="1"/>
      <c r="H57" s="70">
        <f>Inputs!H37</f>
        <v>182</v>
      </c>
      <c r="I57" s="70">
        <f>Inputs!I37</f>
        <v>189.28</v>
      </c>
      <c r="J57" s="70">
        <f>Inputs!J37</f>
        <v>196.85120000000001</v>
      </c>
      <c r="K57" s="70">
        <f>Inputs!K37</f>
        <v>204.72524800000002</v>
      </c>
      <c r="L57" s="19">
        <f>Inputs!L37</f>
        <v>212.91425792000004</v>
      </c>
    </row>
    <row r="58" spans="4:12" x14ac:dyDescent="0.3">
      <c r="D58" s="14" t="s">
        <v>100</v>
      </c>
      <c r="E58" s="2" t="s">
        <v>39</v>
      </c>
      <c r="F58" s="2"/>
      <c r="G58" s="2"/>
      <c r="H58" s="66">
        <f>Inputs!H38</f>
        <v>566.5</v>
      </c>
      <c r="I58" s="66">
        <f>Inputs!I38</f>
        <v>583.495</v>
      </c>
      <c r="J58" s="66">
        <f>Inputs!J38</f>
        <v>600.99985000000004</v>
      </c>
      <c r="K58" s="66">
        <f>Inputs!K38</f>
        <v>619.02984550000008</v>
      </c>
      <c r="L58" s="67">
        <f>Inputs!L38</f>
        <v>637.60074086500015</v>
      </c>
    </row>
    <row r="61" spans="4:12" x14ac:dyDescent="0.3">
      <c r="D61" s="63" t="s">
        <v>29</v>
      </c>
      <c r="E61" s="45"/>
      <c r="F61" s="45"/>
      <c r="G61" s="45"/>
      <c r="H61" s="45"/>
      <c r="I61" s="45"/>
      <c r="J61" s="45"/>
      <c r="K61" s="45"/>
      <c r="L61" s="46"/>
    </row>
    <row r="62" spans="4:12" x14ac:dyDescent="0.3">
      <c r="D62" s="13" t="s">
        <v>94</v>
      </c>
      <c r="E62" s="1" t="s">
        <v>46</v>
      </c>
      <c r="F62" s="1"/>
      <c r="G62" s="1"/>
      <c r="H62" s="70">
        <f>(H52*H42)/10^6</f>
        <v>6.043040640000001</v>
      </c>
      <c r="I62" s="70">
        <f t="shared" ref="I62:L62" si="13">(I52*I42)/10^6</f>
        <v>7.762170124799999</v>
      </c>
      <c r="J62" s="70">
        <f t="shared" si="13"/>
        <v>9.9976751207424019</v>
      </c>
      <c r="K62" s="70">
        <f t="shared" si="13"/>
        <v>12.877005555516213</v>
      </c>
      <c r="L62" s="19">
        <f t="shared" si="13"/>
        <v>16.631023109355581</v>
      </c>
    </row>
    <row r="63" spans="4:12" x14ac:dyDescent="0.3">
      <c r="D63" s="13" t="s">
        <v>95</v>
      </c>
      <c r="E63" s="1" t="s">
        <v>46</v>
      </c>
      <c r="F63" s="1"/>
      <c r="G63" s="1"/>
      <c r="H63" s="70">
        <f t="shared" ref="H63:L63" si="14">(H53*H43)/10^6</f>
        <v>5.1827466600000003</v>
      </c>
      <c r="I63" s="70">
        <f t="shared" si="14"/>
        <v>6.7760164426499996</v>
      </c>
      <c r="J63" s="70">
        <f t="shared" si="14"/>
        <v>8.8833575563141505</v>
      </c>
      <c r="K63" s="70">
        <f t="shared" si="14"/>
        <v>11.646081756327854</v>
      </c>
      <c r="L63" s="19">
        <f t="shared" si="14"/>
        <v>15.309843355648681</v>
      </c>
    </row>
    <row r="64" spans="4:12" x14ac:dyDescent="0.3">
      <c r="D64" s="13" t="s">
        <v>96</v>
      </c>
      <c r="E64" s="1" t="s">
        <v>46</v>
      </c>
      <c r="F64" s="1"/>
      <c r="G64" s="1"/>
      <c r="H64" s="70">
        <f t="shared" ref="H64:L64" si="15">(H54*H44)/10^6</f>
        <v>4.2308135999999994</v>
      </c>
      <c r="I64" s="70">
        <f t="shared" si="15"/>
        <v>5.0462277839999992</v>
      </c>
      <c r="J64" s="70">
        <f t="shared" si="15"/>
        <v>6.0352884296639973</v>
      </c>
      <c r="K64" s="70">
        <f t="shared" si="15"/>
        <v>7.2182049618781416</v>
      </c>
      <c r="L64" s="19">
        <f t="shared" si="15"/>
        <v>8.6566251155964125</v>
      </c>
    </row>
    <row r="65" spans="1:12" x14ac:dyDescent="0.3">
      <c r="D65" s="13" t="s">
        <v>97</v>
      </c>
      <c r="E65" s="1" t="s">
        <v>46</v>
      </c>
      <c r="F65" s="1"/>
      <c r="G65" s="1"/>
      <c r="H65" s="70">
        <f t="shared" ref="H65:L65" si="16">(H55*H45)/10^6</f>
        <v>22.267440000000001</v>
      </c>
      <c r="I65" s="70">
        <f t="shared" si="16"/>
        <v>26.559093599999997</v>
      </c>
      <c r="J65" s="70">
        <f t="shared" si="16"/>
        <v>31.764675945599997</v>
      </c>
      <c r="K65" s="70">
        <f t="shared" si="16"/>
        <v>37.990552430937598</v>
      </c>
      <c r="L65" s="19">
        <f t="shared" si="16"/>
        <v>45.561184818928496</v>
      </c>
    </row>
    <row r="66" spans="1:12" x14ac:dyDescent="0.3">
      <c r="D66" s="13" t="s">
        <v>98</v>
      </c>
      <c r="E66" s="1" t="s">
        <v>46</v>
      </c>
      <c r="F66" s="1"/>
      <c r="G66" s="1"/>
      <c r="H66" s="70">
        <f t="shared" ref="H66:L66" si="17">(H56*H46)/10^6</f>
        <v>17.4221307</v>
      </c>
      <c r="I66" s="70">
        <f t="shared" si="17"/>
        <v>20.580129896624999</v>
      </c>
      <c r="J66" s="70">
        <f t="shared" si="17"/>
        <v>24.377163862552308</v>
      </c>
      <c r="K66" s="70">
        <f t="shared" si="17"/>
        <v>28.874750595193206</v>
      </c>
      <c r="L66" s="19">
        <f t="shared" si="17"/>
        <v>34.295846578855688</v>
      </c>
    </row>
    <row r="67" spans="1:12" x14ac:dyDescent="0.3">
      <c r="D67" s="13" t="s">
        <v>99</v>
      </c>
      <c r="E67" s="1" t="s">
        <v>46</v>
      </c>
      <c r="F67" s="1"/>
      <c r="G67" s="1"/>
      <c r="H67" s="70">
        <f t="shared" ref="H67:L67" si="18">(H57*H47)/10^6</f>
        <v>2.5978680000000001</v>
      </c>
      <c r="I67" s="70">
        <f t="shared" si="18"/>
        <v>3.0985609199999993</v>
      </c>
      <c r="J67" s="70">
        <f t="shared" si="18"/>
        <v>3.705878860319999</v>
      </c>
      <c r="K67" s="70">
        <f t="shared" si="18"/>
        <v>4.4322311169427193</v>
      </c>
      <c r="L67" s="19">
        <f t="shared" si="18"/>
        <v>5.315471562208324</v>
      </c>
    </row>
    <row r="68" spans="1:12" x14ac:dyDescent="0.3">
      <c r="D68" s="13" t="s">
        <v>100</v>
      </c>
      <c r="E68" s="1" t="s">
        <v>46</v>
      </c>
      <c r="F68" s="1"/>
      <c r="G68" s="1"/>
      <c r="H68" s="70">
        <f t="shared" ref="H68:L68" si="19">(H58*H48)/10^6</f>
        <v>8.0862210000000001</v>
      </c>
      <c r="I68" s="70">
        <f t="shared" si="19"/>
        <v>9.5519590237499994</v>
      </c>
      <c r="J68" s="70">
        <f t="shared" si="19"/>
        <v>11.314295463631872</v>
      </c>
      <c r="K68" s="70">
        <f t="shared" si="19"/>
        <v>13.401782976671955</v>
      </c>
      <c r="L68" s="19">
        <f t="shared" si="19"/>
        <v>15.917903475418253</v>
      </c>
    </row>
    <row r="69" spans="1:12" x14ac:dyDescent="0.3">
      <c r="D69" s="13"/>
      <c r="E69" s="1"/>
      <c r="F69" s="1"/>
      <c r="G69" s="1"/>
      <c r="H69" s="1"/>
      <c r="I69" s="1"/>
      <c r="J69" s="1"/>
      <c r="K69" s="1"/>
      <c r="L69" s="47"/>
    </row>
    <row r="70" spans="1:12" x14ac:dyDescent="0.3">
      <c r="D70" s="71" t="s">
        <v>205</v>
      </c>
      <c r="E70" s="72" t="s">
        <v>46</v>
      </c>
      <c r="F70" s="72"/>
      <c r="G70" s="72"/>
      <c r="H70" s="73">
        <f>SUM(H62:H68)</f>
        <v>65.830260600000003</v>
      </c>
      <c r="I70" s="73">
        <f t="shared" ref="I70:L70" si="20">SUM(I62:I68)</f>
        <v>79.374157791824985</v>
      </c>
      <c r="J70" s="73">
        <f t="shared" si="20"/>
        <v>96.078335238824735</v>
      </c>
      <c r="K70" s="73">
        <f t="shared" si="20"/>
        <v>116.44060939346768</v>
      </c>
      <c r="L70" s="74">
        <f t="shared" si="20"/>
        <v>141.68789801601145</v>
      </c>
    </row>
    <row r="73" spans="1:12" s="135" customFormat="1" x14ac:dyDescent="0.3">
      <c r="A73" s="135" t="s">
        <v>206</v>
      </c>
    </row>
    <row r="75" spans="1:12" x14ac:dyDescent="0.3">
      <c r="D75" s="63" t="s">
        <v>44</v>
      </c>
      <c r="E75" s="45"/>
      <c r="F75" s="45"/>
      <c r="G75" s="45"/>
      <c r="H75" s="45"/>
      <c r="I75" s="45"/>
      <c r="J75" s="45"/>
      <c r="K75" s="45"/>
      <c r="L75" s="46"/>
    </row>
    <row r="76" spans="1:12" x14ac:dyDescent="0.3">
      <c r="D76" s="13" t="s">
        <v>207</v>
      </c>
      <c r="E76" s="1"/>
      <c r="F76" s="1">
        <v>3</v>
      </c>
      <c r="G76" s="1"/>
      <c r="H76" s="1">
        <f>(MOD(H$12-1,$F76)=0)*1*H$15</f>
        <v>0</v>
      </c>
      <c r="I76" s="1">
        <f>(MOD(I$12-1,$F76)=0)*1*I$15</f>
        <v>0</v>
      </c>
      <c r="J76" s="1">
        <f t="shared" ref="J76:L76" si="21">(MOD(J$12-1,$F76)=0)*1*J$15</f>
        <v>0</v>
      </c>
      <c r="K76" s="1">
        <f t="shared" si="21"/>
        <v>1</v>
      </c>
      <c r="L76" s="47">
        <f t="shared" si="21"/>
        <v>0</v>
      </c>
    </row>
    <row r="77" spans="1:12" x14ac:dyDescent="0.3">
      <c r="D77" s="13"/>
      <c r="E77" s="1"/>
      <c r="F77" s="1"/>
      <c r="G77" s="1"/>
      <c r="H77" s="1"/>
      <c r="I77" s="1"/>
      <c r="J77" s="1"/>
      <c r="K77" s="1"/>
      <c r="L77" s="47"/>
    </row>
    <row r="78" spans="1:12" x14ac:dyDescent="0.3">
      <c r="D78" s="13" t="s">
        <v>208</v>
      </c>
      <c r="E78" s="1" t="s">
        <v>46</v>
      </c>
      <c r="F78" s="1"/>
      <c r="G78" s="1"/>
      <c r="H78" s="1">
        <f>Inputs!H55</f>
        <v>8.6</v>
      </c>
      <c r="I78" s="1"/>
      <c r="J78" s="1"/>
      <c r="K78" s="1"/>
      <c r="L78" s="47"/>
    </row>
    <row r="79" spans="1:12" x14ac:dyDescent="0.3">
      <c r="D79" s="13" t="s">
        <v>209</v>
      </c>
      <c r="E79" s="1" t="s">
        <v>46</v>
      </c>
      <c r="F79" s="57">
        <v>0.1</v>
      </c>
      <c r="G79" s="1"/>
      <c r="H79" s="1">
        <f>IF(G$17=0,0,((G78+G79)/G$17*H$17)*(1+$F79)*H76+((G79+G78)*(1-H76)))*H$15</f>
        <v>0</v>
      </c>
      <c r="I79" s="1">
        <f t="shared" ref="I79:L79" si="22">IF(H$17=0,0,((H78+H79)/H$17*I$17)*(1+$F79)*I76+((H79+H78)*(1-I76)))*I$15</f>
        <v>8.6</v>
      </c>
      <c r="J79" s="1">
        <f t="shared" si="22"/>
        <v>8.6</v>
      </c>
      <c r="K79" s="1">
        <f t="shared" si="22"/>
        <v>9.4600000000000009</v>
      </c>
      <c r="L79" s="47">
        <f t="shared" si="22"/>
        <v>9.4600000000000009</v>
      </c>
    </row>
    <row r="80" spans="1:12" x14ac:dyDescent="0.3">
      <c r="D80" s="13"/>
      <c r="E80" s="1"/>
      <c r="F80" s="1"/>
      <c r="G80" s="1"/>
      <c r="H80" s="1"/>
      <c r="I80" s="1"/>
      <c r="J80" s="1"/>
      <c r="K80" s="1"/>
      <c r="L80" s="47"/>
    </row>
    <row r="81" spans="4:12" x14ac:dyDescent="0.3">
      <c r="D81" s="76" t="s">
        <v>210</v>
      </c>
      <c r="E81" s="77" t="s">
        <v>46</v>
      </c>
      <c r="F81" s="77"/>
      <c r="G81" s="77"/>
      <c r="H81" s="77">
        <f>SUM(H78:H79)</f>
        <v>8.6</v>
      </c>
      <c r="I81" s="77">
        <f t="shared" ref="I81:L81" si="23">SUM(I78:I79)</f>
        <v>8.6</v>
      </c>
      <c r="J81" s="77">
        <f t="shared" si="23"/>
        <v>8.6</v>
      </c>
      <c r="K81" s="77">
        <f t="shared" si="23"/>
        <v>9.4600000000000009</v>
      </c>
      <c r="L81" s="80">
        <f t="shared" si="23"/>
        <v>9.4600000000000009</v>
      </c>
    </row>
    <row r="83" spans="4:12" x14ac:dyDescent="0.3">
      <c r="D83" s="63" t="s">
        <v>50</v>
      </c>
      <c r="E83" s="45"/>
      <c r="F83" s="45"/>
      <c r="G83" s="45"/>
      <c r="H83" s="45"/>
      <c r="I83" s="45"/>
      <c r="J83" s="45"/>
      <c r="K83" s="45"/>
      <c r="L83" s="46"/>
    </row>
    <row r="84" spans="4:12" x14ac:dyDescent="0.3">
      <c r="D84" s="13" t="s">
        <v>211</v>
      </c>
      <c r="E84" s="1"/>
      <c r="F84" s="1">
        <v>2</v>
      </c>
      <c r="G84" s="1"/>
      <c r="H84" s="1">
        <f t="shared" ref="H84:L84" si="24">(MOD(H$12-1,$F84)=0)*1*H$15</f>
        <v>0</v>
      </c>
      <c r="I84" s="1">
        <f t="shared" si="24"/>
        <v>0</v>
      </c>
      <c r="J84" s="1">
        <f t="shared" si="24"/>
        <v>1</v>
      </c>
      <c r="K84" s="1">
        <f t="shared" si="24"/>
        <v>0</v>
      </c>
      <c r="L84" s="47">
        <f t="shared" si="24"/>
        <v>1</v>
      </c>
    </row>
    <row r="85" spans="4:12" x14ac:dyDescent="0.3">
      <c r="D85" s="13"/>
      <c r="E85" s="1"/>
      <c r="F85" s="1"/>
      <c r="G85" s="1"/>
      <c r="H85" s="1"/>
      <c r="I85" s="1"/>
      <c r="J85" s="1"/>
      <c r="K85" s="1"/>
      <c r="L85" s="47"/>
    </row>
    <row r="86" spans="4:12" x14ac:dyDescent="0.3">
      <c r="D86" s="13" t="s">
        <v>212</v>
      </c>
      <c r="E86" s="1" t="s">
        <v>46</v>
      </c>
      <c r="F86" s="1"/>
      <c r="G86" s="1"/>
      <c r="H86" s="1">
        <f>Inputs!H60</f>
        <v>0.26</v>
      </c>
      <c r="I86" s="1"/>
      <c r="J86" s="1"/>
      <c r="K86" s="1"/>
      <c r="L86" s="47"/>
    </row>
    <row r="87" spans="4:12" x14ac:dyDescent="0.3">
      <c r="D87" s="13" t="s">
        <v>213</v>
      </c>
      <c r="E87" s="1" t="s">
        <v>46</v>
      </c>
      <c r="F87" s="57">
        <v>0.04</v>
      </c>
      <c r="G87" s="1"/>
      <c r="H87" s="70">
        <f>IF(G$17=0,0,((G86+G87)/G$17*H$17)*(1+$F87)*H84+((G87+G86)*(1-H84)))*H$15</f>
        <v>0</v>
      </c>
      <c r="I87" s="70">
        <f t="shared" ref="I87:L87" si="25">IF(H$17=0,0,((H86+H87)/H$17*I$17)*(1+$F87)*I84+((H87+H86)*(1-I84)))*I$15</f>
        <v>0.26</v>
      </c>
      <c r="J87" s="70">
        <f t="shared" si="25"/>
        <v>0.27040000000000003</v>
      </c>
      <c r="K87" s="70">
        <f t="shared" si="25"/>
        <v>0.27040000000000003</v>
      </c>
      <c r="L87" s="19">
        <f t="shared" si="25"/>
        <v>0.28198645479452061</v>
      </c>
    </row>
    <row r="88" spans="4:12" x14ac:dyDescent="0.3">
      <c r="D88" s="13"/>
      <c r="E88" s="1"/>
      <c r="F88" s="1"/>
      <c r="G88" s="1"/>
      <c r="H88" s="1"/>
      <c r="I88" s="1"/>
      <c r="J88" s="1"/>
      <c r="K88" s="1"/>
      <c r="L88" s="47"/>
    </row>
    <row r="89" spans="4:12" x14ac:dyDescent="0.3">
      <c r="D89" s="76" t="s">
        <v>214</v>
      </c>
      <c r="E89" s="77" t="s">
        <v>46</v>
      </c>
      <c r="F89" s="77"/>
      <c r="G89" s="77"/>
      <c r="H89" s="78">
        <f>SUM(H86:H88)</f>
        <v>0.26</v>
      </c>
      <c r="I89" s="78">
        <f t="shared" ref="I89:L89" si="26">SUM(I86:I88)</f>
        <v>0.26</v>
      </c>
      <c r="J89" s="78">
        <f t="shared" si="26"/>
        <v>0.27040000000000003</v>
      </c>
      <c r="K89" s="78">
        <f t="shared" si="26"/>
        <v>0.27040000000000003</v>
      </c>
      <c r="L89" s="79">
        <f t="shared" si="26"/>
        <v>0.28198645479452061</v>
      </c>
    </row>
    <row r="91" spans="4:12" x14ac:dyDescent="0.3">
      <c r="D91" s="63" t="s">
        <v>56</v>
      </c>
      <c r="E91" s="45"/>
      <c r="F91" s="45"/>
      <c r="G91" s="45"/>
      <c r="H91" s="45"/>
      <c r="I91" s="45"/>
      <c r="J91" s="45"/>
      <c r="K91" s="45"/>
      <c r="L91" s="46"/>
    </row>
    <row r="92" spans="4:12" x14ac:dyDescent="0.3">
      <c r="D92" s="13" t="s">
        <v>56</v>
      </c>
      <c r="E92" s="1" t="s">
        <v>46</v>
      </c>
      <c r="F92" s="1"/>
      <c r="G92" s="1"/>
      <c r="H92" s="70">
        <f>Inputs!H66</f>
        <v>0.4</v>
      </c>
      <c r="I92" s="70">
        <f>Inputs!I66</f>
        <v>0.42000000000000004</v>
      </c>
      <c r="J92" s="70">
        <f>Inputs!J66</f>
        <v>0.44100000000000006</v>
      </c>
      <c r="K92" s="70">
        <f>Inputs!K66</f>
        <v>0.46305000000000007</v>
      </c>
      <c r="L92" s="19">
        <f>Inputs!L66</f>
        <v>0.48620250000000009</v>
      </c>
    </row>
    <row r="93" spans="4:12" x14ac:dyDescent="0.3">
      <c r="D93" s="14"/>
      <c r="E93" s="2"/>
      <c r="F93" s="2"/>
      <c r="G93" s="2"/>
      <c r="H93" s="2"/>
      <c r="I93" s="2"/>
      <c r="J93" s="2"/>
      <c r="K93" s="2"/>
      <c r="L93" s="20"/>
    </row>
    <row r="95" spans="4:12" x14ac:dyDescent="0.3">
      <c r="D95" s="63" t="s">
        <v>58</v>
      </c>
      <c r="E95" s="45"/>
      <c r="F95" s="45"/>
      <c r="G95" s="45"/>
      <c r="H95" s="45"/>
      <c r="I95" s="45"/>
      <c r="J95" s="45"/>
      <c r="K95" s="45"/>
      <c r="L95" s="46"/>
    </row>
    <row r="96" spans="4:12" x14ac:dyDescent="0.3">
      <c r="D96" s="13" t="s">
        <v>58</v>
      </c>
      <c r="E96" s="1" t="s">
        <v>46</v>
      </c>
      <c r="F96" s="1"/>
      <c r="G96" s="1"/>
      <c r="H96" s="70">
        <f>Inputs!H70</f>
        <v>1</v>
      </c>
      <c r="I96" s="70">
        <f>Inputs!I70</f>
        <v>1.04</v>
      </c>
      <c r="J96" s="70">
        <f>Inputs!J70</f>
        <v>1.0816000000000001</v>
      </c>
      <c r="K96" s="70">
        <f>Inputs!K70</f>
        <v>1.1248640000000001</v>
      </c>
      <c r="L96" s="19">
        <f>Inputs!L70</f>
        <v>1.1698585600000002</v>
      </c>
    </row>
    <row r="97" spans="1:12" x14ac:dyDescent="0.3">
      <c r="D97" s="14"/>
      <c r="E97" s="2"/>
      <c r="F97" s="2"/>
      <c r="G97" s="2"/>
      <c r="H97" s="2"/>
      <c r="I97" s="2"/>
      <c r="J97" s="2"/>
      <c r="K97" s="2"/>
      <c r="L97" s="20"/>
    </row>
    <row r="99" spans="1:12" x14ac:dyDescent="0.3">
      <c r="D99" s="3" t="s">
        <v>215</v>
      </c>
      <c r="E99" s="75" t="s">
        <v>46</v>
      </c>
      <c r="F99" s="3"/>
      <c r="G99" s="3"/>
      <c r="H99" s="81">
        <f>SUM(H96,H92,H89,H81)</f>
        <v>10.26</v>
      </c>
      <c r="I99" s="81">
        <f t="shared" ref="I99:L99" si="27">SUM(I96,I92,I89,I81)</f>
        <v>10.32</v>
      </c>
      <c r="J99" s="81">
        <f t="shared" si="27"/>
        <v>10.393000000000001</v>
      </c>
      <c r="K99" s="81">
        <f t="shared" si="27"/>
        <v>11.318314000000001</v>
      </c>
      <c r="L99" s="81">
        <f t="shared" si="27"/>
        <v>11.398047514794522</v>
      </c>
    </row>
    <row r="102" spans="1:12" s="135" customFormat="1" x14ac:dyDescent="0.3">
      <c r="A102" s="135" t="s">
        <v>216</v>
      </c>
    </row>
    <row r="104" spans="1:12" x14ac:dyDescent="0.3">
      <c r="D104" s="12" t="s">
        <v>61</v>
      </c>
      <c r="E104" s="45"/>
      <c r="F104" s="45"/>
      <c r="G104" s="45"/>
      <c r="H104" s="45"/>
      <c r="I104" s="45"/>
      <c r="J104" s="45"/>
      <c r="K104" s="45"/>
      <c r="L104" s="46"/>
    </row>
    <row r="105" spans="1:12" x14ac:dyDescent="0.3">
      <c r="D105" s="13" t="s">
        <v>217</v>
      </c>
      <c r="E105" s="1" t="s">
        <v>14</v>
      </c>
      <c r="F105" s="1">
        <v>20</v>
      </c>
      <c r="G105" s="1"/>
      <c r="H105" s="1">
        <f>MAX(ROUNDUP((H$24-G$24)/$F105,0),0)*H$15</f>
        <v>0</v>
      </c>
      <c r="I105" s="1">
        <f t="shared" ref="I105:L105" si="28">MAX(ROUNDUP((I$24-H$24)/$F105,0),0)*I$15</f>
        <v>6</v>
      </c>
      <c r="J105" s="1">
        <f t="shared" si="28"/>
        <v>7</v>
      </c>
      <c r="K105" s="1">
        <f t="shared" si="28"/>
        <v>8</v>
      </c>
      <c r="L105" s="47">
        <f t="shared" si="28"/>
        <v>10</v>
      </c>
    </row>
    <row r="106" spans="1:12" x14ac:dyDescent="0.3">
      <c r="D106" s="13"/>
      <c r="E106" s="1"/>
      <c r="F106" s="1"/>
      <c r="G106" s="1"/>
      <c r="H106" s="1"/>
      <c r="I106" s="1"/>
      <c r="J106" s="1"/>
      <c r="K106" s="1"/>
      <c r="L106" s="47"/>
    </row>
    <row r="107" spans="1:12" x14ac:dyDescent="0.3">
      <c r="D107" s="13" t="s">
        <v>218</v>
      </c>
      <c r="E107" s="1" t="s">
        <v>14</v>
      </c>
      <c r="F107" s="1"/>
      <c r="G107" s="1"/>
      <c r="H107" s="1">
        <f>Inputs!H76*H$14</f>
        <v>35</v>
      </c>
      <c r="I107" s="1">
        <f>Inputs!I76*I$14</f>
        <v>0</v>
      </c>
      <c r="J107" s="1">
        <f>Inputs!J76*J$14</f>
        <v>0</v>
      </c>
      <c r="K107" s="1">
        <f>Inputs!K76*K$14</f>
        <v>0</v>
      </c>
      <c r="L107" s="47">
        <f>Inputs!L76*L$14</f>
        <v>0</v>
      </c>
    </row>
    <row r="108" spans="1:12" x14ac:dyDescent="0.3">
      <c r="D108" s="13" t="s">
        <v>219</v>
      </c>
      <c r="E108" s="1" t="s">
        <v>14</v>
      </c>
      <c r="F108" s="1"/>
      <c r="G108" s="1"/>
      <c r="H108" s="1">
        <f t="shared" ref="H108:I108" si="29">(SUM(G107:G108)+H105)*H$15</f>
        <v>0</v>
      </c>
      <c r="I108" s="1">
        <f t="shared" si="29"/>
        <v>41</v>
      </c>
      <c r="J108" s="1">
        <f t="shared" ref="J108" si="30">(SUM(I107:I108)+J105)*J$15</f>
        <v>48</v>
      </c>
      <c r="K108" s="1">
        <f t="shared" ref="K108" si="31">(SUM(J107:J108)+K105)*K$15</f>
        <v>56</v>
      </c>
      <c r="L108" s="47">
        <f t="shared" ref="L108" si="32">(SUM(K107:K108)+L105)*L$15</f>
        <v>66</v>
      </c>
    </row>
    <row r="109" spans="1:12" x14ac:dyDescent="0.3">
      <c r="D109" s="13"/>
      <c r="E109" s="1"/>
      <c r="F109" s="1"/>
      <c r="G109" s="1"/>
      <c r="H109" s="1"/>
      <c r="I109" s="1"/>
      <c r="J109" s="1"/>
      <c r="K109" s="1"/>
      <c r="L109" s="47"/>
    </row>
    <row r="110" spans="1:12" x14ac:dyDescent="0.3">
      <c r="D110" s="13" t="s">
        <v>220</v>
      </c>
      <c r="E110" s="1" t="s">
        <v>14</v>
      </c>
      <c r="F110" s="1"/>
      <c r="G110" s="1"/>
      <c r="H110" s="1">
        <f>SUM(H107:H108)</f>
        <v>35</v>
      </c>
      <c r="I110" s="1">
        <f>SUM(I107:I108)</f>
        <v>41</v>
      </c>
      <c r="J110" s="1">
        <f t="shared" ref="J110:L110" si="33">SUM(J107:J108)</f>
        <v>48</v>
      </c>
      <c r="K110" s="1">
        <f t="shared" si="33"/>
        <v>56</v>
      </c>
      <c r="L110" s="47">
        <f t="shared" si="33"/>
        <v>66</v>
      </c>
    </row>
    <row r="111" spans="1:12" x14ac:dyDescent="0.3">
      <c r="D111" s="13" t="s">
        <v>65</v>
      </c>
      <c r="E111" s="1" t="s">
        <v>221</v>
      </c>
      <c r="F111" s="1"/>
      <c r="G111" s="1"/>
      <c r="H111" s="1">
        <f>Inputs!H79</f>
        <v>20000</v>
      </c>
      <c r="I111" s="1">
        <f>Inputs!I79</f>
        <v>21000</v>
      </c>
      <c r="J111" s="1">
        <f>Inputs!J79</f>
        <v>22050</v>
      </c>
      <c r="K111" s="1">
        <f>Inputs!K79</f>
        <v>23152.5</v>
      </c>
      <c r="L111" s="47">
        <f>Inputs!L79</f>
        <v>24310.125</v>
      </c>
    </row>
    <row r="112" spans="1:12" x14ac:dyDescent="0.3">
      <c r="D112" s="13"/>
      <c r="E112" s="1"/>
      <c r="F112" s="1"/>
      <c r="G112" s="1"/>
      <c r="H112" s="1"/>
      <c r="I112" s="1"/>
      <c r="J112" s="1"/>
      <c r="K112" s="1"/>
      <c r="L112" s="47"/>
    </row>
    <row r="113" spans="4:12" x14ac:dyDescent="0.3">
      <c r="D113" s="76" t="s">
        <v>222</v>
      </c>
      <c r="E113" s="77" t="s">
        <v>46</v>
      </c>
      <c r="F113" s="77"/>
      <c r="G113" s="77"/>
      <c r="H113" s="78">
        <f>(H111*H110)*MonthsInYear*H$17/Million</f>
        <v>8.4</v>
      </c>
      <c r="I113" s="78">
        <f>(I111*I110)*MonthsInYear*I$17/Million</f>
        <v>10.303770491803279</v>
      </c>
      <c r="J113" s="78">
        <f>(J111*J110)*MonthsInYear*J$17/Million</f>
        <v>12.666098360655738</v>
      </c>
      <c r="K113" s="78">
        <f>(K111*K110)*MonthsInYear*K$17/Million</f>
        <v>15.515970491803278</v>
      </c>
      <c r="L113" s="79">
        <f>(L111*L110)*MonthsInYear*L$17/Million</f>
        <v>19.253619</v>
      </c>
    </row>
    <row r="115" spans="4:12" x14ac:dyDescent="0.3">
      <c r="D115" s="63" t="s">
        <v>68</v>
      </c>
      <c r="E115" s="45"/>
      <c r="F115" s="45"/>
      <c r="G115" s="45"/>
      <c r="H115" s="45"/>
      <c r="I115" s="45"/>
      <c r="J115" s="45"/>
      <c r="K115" s="45"/>
      <c r="L115" s="46"/>
    </row>
    <row r="116" spans="4:12" x14ac:dyDescent="0.3">
      <c r="D116" s="13" t="s">
        <v>223</v>
      </c>
      <c r="E116" s="1" t="s">
        <v>21</v>
      </c>
      <c r="F116" s="1">
        <v>100</v>
      </c>
      <c r="G116" s="1"/>
      <c r="H116" s="1">
        <f>(H$70&gt;$F116)*1</f>
        <v>0</v>
      </c>
      <c r="I116" s="1">
        <f t="shared" ref="I116:L116" si="34">(I$70&gt;$F116)*1</f>
        <v>0</v>
      </c>
      <c r="J116" s="1">
        <f t="shared" si="34"/>
        <v>0</v>
      </c>
      <c r="K116" s="1">
        <f t="shared" si="34"/>
        <v>1</v>
      </c>
      <c r="L116" s="47">
        <f t="shared" si="34"/>
        <v>1</v>
      </c>
    </row>
    <row r="117" spans="4:12" x14ac:dyDescent="0.3">
      <c r="D117" s="13" t="s">
        <v>224</v>
      </c>
      <c r="E117" s="1" t="s">
        <v>14</v>
      </c>
      <c r="F117" s="1">
        <v>50</v>
      </c>
      <c r="G117" s="1"/>
      <c r="H117" s="1">
        <f>MAX((ROUNDUP((H70-$F116)/$F117,0)-SUM($G117:G117)),0)*H116</f>
        <v>0</v>
      </c>
      <c r="I117" s="1">
        <f>MAX((ROUNDUP((I70-$F116)/$F117,0)-SUM($G117:H117)),0)*I116</f>
        <v>0</v>
      </c>
      <c r="J117" s="1">
        <f>MAX((ROUNDUP((J70-$F116)/$F117,0)-SUM($G117:I117)),0)*J116</f>
        <v>0</v>
      </c>
      <c r="K117" s="1">
        <f>MAX((ROUNDUP((K70-$F116)/$F117,0)-SUM($G117:J117)),0)*K116</f>
        <v>1</v>
      </c>
      <c r="L117" s="47">
        <f>MAX((ROUNDUP((L70-$F116)/$F117,0)-SUM($G117:K117)),0)*L116</f>
        <v>0</v>
      </c>
    </row>
    <row r="118" spans="4:12" x14ac:dyDescent="0.3">
      <c r="D118" s="13"/>
      <c r="E118" s="1"/>
      <c r="F118" s="1"/>
      <c r="G118" s="1"/>
      <c r="H118" s="1"/>
      <c r="I118" s="1"/>
      <c r="J118" s="1"/>
      <c r="K118" s="1"/>
      <c r="L118" s="47"/>
    </row>
    <row r="119" spans="4:12" x14ac:dyDescent="0.3">
      <c r="D119" s="13" t="s">
        <v>225</v>
      </c>
      <c r="E119" s="1" t="s">
        <v>14</v>
      </c>
      <c r="F119" s="1"/>
      <c r="G119" s="1"/>
      <c r="H119" s="1">
        <f>Inputs!H83*H$14</f>
        <v>7</v>
      </c>
      <c r="I119" s="1">
        <f>Inputs!I83*I$14</f>
        <v>0</v>
      </c>
      <c r="J119" s="1">
        <f>Inputs!J83*J$14</f>
        <v>0</v>
      </c>
      <c r="K119" s="1">
        <f>Inputs!K83*K$14</f>
        <v>0</v>
      </c>
      <c r="L119" s="47">
        <f>Inputs!L83*L$14</f>
        <v>0</v>
      </c>
    </row>
    <row r="120" spans="4:12" x14ac:dyDescent="0.3">
      <c r="D120" s="13" t="s">
        <v>226</v>
      </c>
      <c r="E120" s="1" t="s">
        <v>14</v>
      </c>
      <c r="F120" s="1"/>
      <c r="G120" s="1"/>
      <c r="H120" s="1">
        <f>(SUM(G119:G120)+H117)*H$15</f>
        <v>0</v>
      </c>
      <c r="I120" s="1">
        <f t="shared" ref="I120:L120" si="35">(SUM(H119:H120)+I117)*I$15</f>
        <v>7</v>
      </c>
      <c r="J120" s="1">
        <f t="shared" si="35"/>
        <v>7</v>
      </c>
      <c r="K120" s="1">
        <f t="shared" si="35"/>
        <v>8</v>
      </c>
      <c r="L120" s="47">
        <f t="shared" si="35"/>
        <v>8</v>
      </c>
    </row>
    <row r="121" spans="4:12" x14ac:dyDescent="0.3">
      <c r="D121" s="13"/>
      <c r="E121" s="1"/>
      <c r="F121" s="1"/>
      <c r="G121" s="1"/>
      <c r="H121" s="1"/>
      <c r="I121" s="1"/>
      <c r="J121" s="1"/>
      <c r="K121" s="1"/>
      <c r="L121" s="47"/>
    </row>
    <row r="122" spans="4:12" x14ac:dyDescent="0.3">
      <c r="D122" s="13" t="s">
        <v>227</v>
      </c>
      <c r="E122" s="1" t="s">
        <v>14</v>
      </c>
      <c r="F122" s="1"/>
      <c r="G122" s="1"/>
      <c r="H122" s="1">
        <f>SUM(H119:H121)</f>
        <v>7</v>
      </c>
      <c r="I122" s="1">
        <f t="shared" ref="I122:L122" si="36">SUM(I119:I121)</f>
        <v>7</v>
      </c>
      <c r="J122" s="1">
        <f t="shared" si="36"/>
        <v>7</v>
      </c>
      <c r="K122" s="1">
        <f t="shared" si="36"/>
        <v>8</v>
      </c>
      <c r="L122" s="47">
        <f t="shared" si="36"/>
        <v>8</v>
      </c>
    </row>
    <row r="123" spans="4:12" x14ac:dyDescent="0.3">
      <c r="D123" s="13"/>
      <c r="E123" s="1"/>
      <c r="F123" s="1"/>
      <c r="G123" s="1"/>
      <c r="H123" s="1"/>
      <c r="I123" s="1"/>
      <c r="J123" s="1"/>
      <c r="K123" s="1"/>
      <c r="L123" s="47"/>
    </row>
    <row r="124" spans="4:12" x14ac:dyDescent="0.3">
      <c r="D124" s="13" t="s">
        <v>72</v>
      </c>
      <c r="E124" s="1" t="s">
        <v>228</v>
      </c>
      <c r="F124" s="1"/>
      <c r="G124" s="1"/>
      <c r="H124" s="70">
        <f>Inputs!H84</f>
        <v>65625</v>
      </c>
      <c r="I124" s="70">
        <f>Inputs!I84</f>
        <v>68906.25</v>
      </c>
      <c r="J124" s="70">
        <f>Inputs!J84</f>
        <v>72351.5625</v>
      </c>
      <c r="K124" s="70">
        <f>Inputs!K84</f>
        <v>75969.140625</v>
      </c>
      <c r="L124" s="19">
        <f>Inputs!L84</f>
        <v>79767.59765625</v>
      </c>
    </row>
    <row r="125" spans="4:12" x14ac:dyDescent="0.3">
      <c r="D125" s="13"/>
      <c r="E125" s="1"/>
      <c r="F125" s="1"/>
      <c r="G125" s="1"/>
      <c r="H125" s="1"/>
      <c r="I125" s="1"/>
      <c r="J125" s="1"/>
      <c r="K125" s="1"/>
      <c r="L125" s="47"/>
    </row>
    <row r="126" spans="4:12" x14ac:dyDescent="0.3">
      <c r="D126" s="76" t="s">
        <v>229</v>
      </c>
      <c r="E126" s="77" t="s">
        <v>46</v>
      </c>
      <c r="F126" s="77"/>
      <c r="G126" s="77"/>
      <c r="H126" s="78">
        <f t="shared" ref="H126:L126" si="37">(H124*H122)*MonthsInYear*H$17/Million</f>
        <v>5.5125000000000002</v>
      </c>
      <c r="I126" s="78">
        <f t="shared" si="37"/>
        <v>5.7723104508196723</v>
      </c>
      <c r="J126" s="78">
        <f t="shared" si="37"/>
        <v>6.0609259733606562</v>
      </c>
      <c r="K126" s="78">
        <f t="shared" si="37"/>
        <v>7.2731111680327869</v>
      </c>
      <c r="L126" s="79">
        <f t="shared" si="37"/>
        <v>7.6576893750000004</v>
      </c>
    </row>
    <row r="128" spans="4:12" x14ac:dyDescent="0.3">
      <c r="D128" s="63" t="s">
        <v>73</v>
      </c>
      <c r="E128" s="45"/>
      <c r="F128" s="45"/>
      <c r="G128" s="45"/>
      <c r="H128" s="45"/>
      <c r="I128" s="45"/>
      <c r="J128" s="45"/>
      <c r="K128" s="45"/>
      <c r="L128" s="46"/>
    </row>
    <row r="129" spans="4:12" x14ac:dyDescent="0.3">
      <c r="D129" s="13" t="s">
        <v>230</v>
      </c>
      <c r="E129" s="1" t="s">
        <v>21</v>
      </c>
      <c r="F129" s="1">
        <v>25</v>
      </c>
      <c r="G129" s="1"/>
      <c r="H129" s="1">
        <f>MAX(ROUNDUP((H$24-G$24)/$F129,0),0)*H$15</f>
        <v>0</v>
      </c>
      <c r="I129" s="1">
        <f t="shared" ref="I129:L129" si="38">MAX(ROUNDUP((I$24-H$24)/$F129,0),0)*I$15</f>
        <v>5</v>
      </c>
      <c r="J129" s="1">
        <f t="shared" si="38"/>
        <v>6</v>
      </c>
      <c r="K129" s="1">
        <f t="shared" si="38"/>
        <v>7</v>
      </c>
      <c r="L129" s="47">
        <f t="shared" si="38"/>
        <v>8</v>
      </c>
    </row>
    <row r="130" spans="4:12" x14ac:dyDescent="0.3">
      <c r="D130" s="13" t="s">
        <v>231</v>
      </c>
      <c r="E130" s="1" t="s">
        <v>75</v>
      </c>
      <c r="F130" s="1">
        <v>500</v>
      </c>
      <c r="G130" s="1"/>
      <c r="H130" s="1">
        <f>H129*$F130</f>
        <v>0</v>
      </c>
      <c r="I130" s="1">
        <f t="shared" ref="I130:L130" si="39">I129*$F130</f>
        <v>2500</v>
      </c>
      <c r="J130" s="1">
        <f t="shared" si="39"/>
        <v>3000</v>
      </c>
      <c r="K130" s="1">
        <f t="shared" si="39"/>
        <v>3500</v>
      </c>
      <c r="L130" s="47">
        <f t="shared" si="39"/>
        <v>4000</v>
      </c>
    </row>
    <row r="131" spans="4:12" x14ac:dyDescent="0.3">
      <c r="D131" s="13"/>
      <c r="E131" s="1"/>
      <c r="F131" s="1"/>
      <c r="G131" s="1"/>
      <c r="H131" s="1"/>
      <c r="I131" s="1"/>
      <c r="J131" s="1"/>
      <c r="K131" s="1"/>
      <c r="L131" s="47"/>
    </row>
    <row r="132" spans="4:12" x14ac:dyDescent="0.3">
      <c r="D132" s="13" t="s">
        <v>232</v>
      </c>
      <c r="E132" s="1" t="s">
        <v>75</v>
      </c>
      <c r="F132" s="1"/>
      <c r="G132" s="1"/>
      <c r="H132" s="1">
        <f>Inputs!H91*H$14</f>
        <v>147500</v>
      </c>
      <c r="I132" s="1">
        <f>Inputs!I91*I$14</f>
        <v>0</v>
      </c>
      <c r="J132" s="1">
        <f>Inputs!J91*J$14</f>
        <v>0</v>
      </c>
      <c r="K132" s="1">
        <f>Inputs!K91*K$14</f>
        <v>0</v>
      </c>
      <c r="L132" s="47">
        <f>Inputs!L91*L$14</f>
        <v>0</v>
      </c>
    </row>
    <row r="133" spans="4:12" x14ac:dyDescent="0.3">
      <c r="D133" s="13" t="s">
        <v>233</v>
      </c>
      <c r="E133" s="1" t="s">
        <v>75</v>
      </c>
      <c r="F133" s="1"/>
      <c r="G133" s="1"/>
      <c r="H133" s="1">
        <f>(SUM(G132:G133)+H130)*H$15</f>
        <v>0</v>
      </c>
      <c r="I133" s="1">
        <f t="shared" ref="I133:L133" si="40">(SUM(H132:H133)+I130)*I$15</f>
        <v>150000</v>
      </c>
      <c r="J133" s="1">
        <f t="shared" si="40"/>
        <v>153000</v>
      </c>
      <c r="K133" s="1">
        <f t="shared" si="40"/>
        <v>156500</v>
      </c>
      <c r="L133" s="47">
        <f t="shared" si="40"/>
        <v>160500</v>
      </c>
    </row>
    <row r="134" spans="4:12" x14ac:dyDescent="0.3">
      <c r="D134" s="13"/>
      <c r="E134" s="1"/>
      <c r="F134" s="1"/>
      <c r="G134" s="1"/>
      <c r="H134" s="1"/>
      <c r="I134" s="1"/>
      <c r="J134" s="1"/>
      <c r="K134" s="1"/>
      <c r="L134" s="47"/>
    </row>
    <row r="135" spans="4:12" x14ac:dyDescent="0.3">
      <c r="D135" s="13" t="s">
        <v>234</v>
      </c>
      <c r="E135" s="1" t="s">
        <v>75</v>
      </c>
      <c r="F135" s="1"/>
      <c r="G135" s="1"/>
      <c r="H135" s="1">
        <f>SUM(H132:H134)</f>
        <v>147500</v>
      </c>
      <c r="I135" s="1">
        <f t="shared" ref="I135:L135" si="41">SUM(I132:I134)</f>
        <v>150000</v>
      </c>
      <c r="J135" s="1">
        <f t="shared" si="41"/>
        <v>153000</v>
      </c>
      <c r="K135" s="1">
        <f t="shared" si="41"/>
        <v>156500</v>
      </c>
      <c r="L135" s="47">
        <f t="shared" si="41"/>
        <v>160500</v>
      </c>
    </row>
    <row r="136" spans="4:12" x14ac:dyDescent="0.3">
      <c r="D136" s="13" t="s">
        <v>235</v>
      </c>
      <c r="E136" s="1" t="s">
        <v>236</v>
      </c>
      <c r="F136" s="1"/>
      <c r="G136" s="1"/>
      <c r="H136" s="1">
        <f>Inputs!H95</f>
        <v>15.1</v>
      </c>
      <c r="I136" s="1">
        <f>Inputs!I95</f>
        <v>15.704000000000001</v>
      </c>
      <c r="J136" s="1">
        <f>Inputs!J95</f>
        <v>16.332160000000002</v>
      </c>
      <c r="K136" s="1">
        <f>Inputs!K95</f>
        <v>16.985446400000001</v>
      </c>
      <c r="L136" s="47">
        <f>Inputs!L95</f>
        <v>17.664864256000001</v>
      </c>
    </row>
    <row r="137" spans="4:12" x14ac:dyDescent="0.3">
      <c r="D137" s="13"/>
      <c r="E137" s="1"/>
      <c r="F137" s="1"/>
      <c r="G137" s="1"/>
      <c r="H137" s="1"/>
      <c r="I137" s="1"/>
      <c r="J137" s="1"/>
      <c r="K137" s="1"/>
      <c r="L137" s="47"/>
    </row>
    <row r="138" spans="4:12" x14ac:dyDescent="0.3">
      <c r="D138" s="76" t="s">
        <v>237</v>
      </c>
      <c r="E138" s="77" t="s">
        <v>46</v>
      </c>
      <c r="F138" s="77"/>
      <c r="G138" s="77"/>
      <c r="H138" s="78">
        <f>(H135*H136)/Million</f>
        <v>2.2272500000000002</v>
      </c>
      <c r="I138" s="78">
        <f>(I135*I136)/Million</f>
        <v>2.3555999999999999</v>
      </c>
      <c r="J138" s="78">
        <f>(J135*J136)/Million</f>
        <v>2.4988204800000005</v>
      </c>
      <c r="K138" s="78">
        <f>(K135*K136)/Million</f>
        <v>2.6582223616</v>
      </c>
      <c r="L138" s="79">
        <f>(L135*L136)/Million</f>
        <v>2.8352107130880002</v>
      </c>
    </row>
    <row r="140" spans="4:12" x14ac:dyDescent="0.3">
      <c r="D140" s="63" t="s">
        <v>81</v>
      </c>
      <c r="E140" s="45"/>
      <c r="F140" s="45"/>
      <c r="G140" s="45"/>
      <c r="H140" s="45"/>
      <c r="I140" s="45"/>
      <c r="J140" s="45"/>
      <c r="K140" s="45"/>
      <c r="L140" s="46"/>
    </row>
    <row r="141" spans="4:12" x14ac:dyDescent="0.3">
      <c r="D141" s="13" t="s">
        <v>82</v>
      </c>
      <c r="E141" s="1"/>
      <c r="F141" s="1"/>
      <c r="G141" s="1"/>
      <c r="H141" s="1">
        <f>Inputs!H99</f>
        <v>3.3</v>
      </c>
      <c r="I141" s="1">
        <f>Inputs!I99</f>
        <v>0</v>
      </c>
      <c r="J141" s="1">
        <f>Inputs!J99</f>
        <v>0</v>
      </c>
      <c r="K141" s="1">
        <f>Inputs!K99</f>
        <v>0</v>
      </c>
      <c r="L141" s="47">
        <f>Inputs!L99</f>
        <v>0</v>
      </c>
    </row>
    <row r="142" spans="4:12" x14ac:dyDescent="0.3">
      <c r="D142" s="13" t="s">
        <v>238</v>
      </c>
      <c r="E142" s="1" t="s">
        <v>46</v>
      </c>
      <c r="F142" s="1"/>
      <c r="G142" s="1"/>
      <c r="H142" s="1">
        <f>H176</f>
        <v>0</v>
      </c>
      <c r="I142" s="1">
        <f t="shared" ref="I142:L142" si="42">I176</f>
        <v>1</v>
      </c>
      <c r="J142" s="1">
        <f t="shared" si="42"/>
        <v>1.1000000000000001</v>
      </c>
      <c r="K142" s="1">
        <f t="shared" si="42"/>
        <v>1.2100000000000002</v>
      </c>
      <c r="L142" s="47">
        <f t="shared" si="42"/>
        <v>1.3310000000000002</v>
      </c>
    </row>
    <row r="143" spans="4:12" x14ac:dyDescent="0.3">
      <c r="D143" s="13"/>
      <c r="E143" s="1"/>
      <c r="F143" s="1"/>
      <c r="G143" s="1"/>
      <c r="H143" s="1"/>
      <c r="I143" s="1"/>
      <c r="J143" s="1"/>
      <c r="K143" s="1"/>
      <c r="L143" s="47"/>
    </row>
    <row r="144" spans="4:12" x14ac:dyDescent="0.3">
      <c r="D144" s="76" t="s">
        <v>81</v>
      </c>
      <c r="E144" s="77" t="s">
        <v>46</v>
      </c>
      <c r="F144" s="82">
        <v>0.03</v>
      </c>
      <c r="G144" s="77"/>
      <c r="H144" s="77">
        <f>(H141*H$14)+(H142*$F144*H$15)</f>
        <v>3.3</v>
      </c>
      <c r="I144" s="77">
        <f t="shared" ref="I144:L144" si="43">(I141*I$14)+(I142*$F144*I$15)</f>
        <v>0.03</v>
      </c>
      <c r="J144" s="77">
        <f t="shared" si="43"/>
        <v>3.3000000000000002E-2</v>
      </c>
      <c r="K144" s="77">
        <f t="shared" si="43"/>
        <v>3.6300000000000006E-2</v>
      </c>
      <c r="L144" s="80">
        <f t="shared" si="43"/>
        <v>3.9930000000000007E-2</v>
      </c>
    </row>
    <row r="146" spans="3:12" x14ac:dyDescent="0.3">
      <c r="D146" s="63" t="s">
        <v>84</v>
      </c>
      <c r="E146" s="45"/>
      <c r="F146" s="45"/>
      <c r="G146" s="45"/>
      <c r="H146" s="45"/>
      <c r="I146" s="45"/>
      <c r="J146" s="45"/>
      <c r="K146" s="45"/>
      <c r="L146" s="46"/>
    </row>
    <row r="147" spans="3:12" x14ac:dyDescent="0.3">
      <c r="D147" s="13" t="s">
        <v>239</v>
      </c>
      <c r="E147" s="1" t="s">
        <v>46</v>
      </c>
      <c r="F147" s="1"/>
      <c r="G147" s="1"/>
      <c r="H147" s="1">
        <f>Inputs!H103*H$14</f>
        <v>1.4</v>
      </c>
      <c r="I147" s="1">
        <f>Inputs!I103*I$14</f>
        <v>0</v>
      </c>
      <c r="J147" s="1">
        <f>Inputs!J103*J$14</f>
        <v>0</v>
      </c>
      <c r="K147" s="1">
        <f>Inputs!K103*K$14</f>
        <v>0</v>
      </c>
      <c r="L147" s="47">
        <f>Inputs!L103*L$14</f>
        <v>0</v>
      </c>
    </row>
    <row r="148" spans="3:12" x14ac:dyDescent="0.3">
      <c r="D148" s="13" t="s">
        <v>240</v>
      </c>
      <c r="E148" s="1"/>
      <c r="F148" s="1"/>
      <c r="G148" s="1"/>
      <c r="H148" s="1"/>
      <c r="I148" s="1"/>
      <c r="J148" s="1"/>
      <c r="K148" s="1"/>
      <c r="L148" s="47"/>
    </row>
    <row r="149" spans="3:12" x14ac:dyDescent="0.3">
      <c r="D149" s="13" t="s">
        <v>94</v>
      </c>
      <c r="E149" s="1" t="s">
        <v>46</v>
      </c>
      <c r="F149" s="57">
        <v>0.03</v>
      </c>
      <c r="G149" s="1"/>
      <c r="H149" s="70">
        <f t="shared" ref="H149" si="44">H62*$F149*H$15</f>
        <v>0</v>
      </c>
      <c r="I149" s="70">
        <f t="shared" ref="I149:L149" si="45">I62*$F149*I$15</f>
        <v>0.23286510374399996</v>
      </c>
      <c r="J149" s="70">
        <f t="shared" si="45"/>
        <v>0.29993025362227205</v>
      </c>
      <c r="K149" s="70">
        <f t="shared" si="45"/>
        <v>0.3863101666654864</v>
      </c>
      <c r="L149" s="19">
        <f t="shared" si="45"/>
        <v>0.49893069328066741</v>
      </c>
    </row>
    <row r="150" spans="3:12" x14ac:dyDescent="0.3">
      <c r="D150" s="13" t="s">
        <v>95</v>
      </c>
      <c r="E150" s="1" t="s">
        <v>46</v>
      </c>
      <c r="F150" s="57">
        <v>0.06</v>
      </c>
      <c r="G150" s="1"/>
      <c r="H150" s="70">
        <f t="shared" ref="H150:L150" si="46">H63*$F150*H$15</f>
        <v>0</v>
      </c>
      <c r="I150" s="70">
        <f t="shared" si="46"/>
        <v>0.40656098655899997</v>
      </c>
      <c r="J150" s="70">
        <f t="shared" si="46"/>
        <v>0.53300145337884897</v>
      </c>
      <c r="K150" s="70">
        <f t="shared" si="46"/>
        <v>0.69876490537967118</v>
      </c>
      <c r="L150" s="19">
        <f t="shared" si="46"/>
        <v>0.91859060133892079</v>
      </c>
    </row>
    <row r="151" spans="3:12" x14ac:dyDescent="0.3">
      <c r="D151" s="13" t="s">
        <v>96</v>
      </c>
      <c r="E151" s="1" t="s">
        <v>46</v>
      </c>
      <c r="F151" s="57">
        <v>4.4999999999999998E-2</v>
      </c>
      <c r="G151" s="1"/>
      <c r="H151" s="70">
        <f t="shared" ref="H151:L151" si="47">H64*$F151*H$15</f>
        <v>0</v>
      </c>
      <c r="I151" s="70">
        <f t="shared" si="47"/>
        <v>0.22708025027999995</v>
      </c>
      <c r="J151" s="70">
        <f t="shared" si="47"/>
        <v>0.27158797933487988</v>
      </c>
      <c r="K151" s="70">
        <f t="shared" si="47"/>
        <v>0.32481922328451635</v>
      </c>
      <c r="L151" s="19">
        <f t="shared" si="47"/>
        <v>0.38954813020183854</v>
      </c>
    </row>
    <row r="152" spans="3:12" x14ac:dyDescent="0.3">
      <c r="D152" s="13" t="s">
        <v>97</v>
      </c>
      <c r="E152" s="1" t="s">
        <v>46</v>
      </c>
      <c r="F152" s="57">
        <v>0.06</v>
      </c>
      <c r="G152" s="1"/>
      <c r="H152" s="70">
        <f t="shared" ref="H152:L152" si="48">H65*$F152*H$15</f>
        <v>0</v>
      </c>
      <c r="I152" s="70">
        <f t="shared" si="48"/>
        <v>1.5935456159999997</v>
      </c>
      <c r="J152" s="70">
        <f t="shared" si="48"/>
        <v>1.9058805567359998</v>
      </c>
      <c r="K152" s="70">
        <f t="shared" si="48"/>
        <v>2.2794331458562556</v>
      </c>
      <c r="L152" s="19">
        <f t="shared" si="48"/>
        <v>2.7336710891357097</v>
      </c>
    </row>
    <row r="153" spans="3:12" x14ac:dyDescent="0.3">
      <c r="D153" s="13" t="s">
        <v>98</v>
      </c>
      <c r="E153" s="1" t="s">
        <v>46</v>
      </c>
      <c r="F153" s="57">
        <v>0.04</v>
      </c>
      <c r="G153" s="1"/>
      <c r="H153" s="70">
        <f t="shared" ref="H153:L153" si="49">H66*$F153*H$15</f>
        <v>0</v>
      </c>
      <c r="I153" s="70">
        <f t="shared" si="49"/>
        <v>0.82320519586499996</v>
      </c>
      <c r="J153" s="70">
        <f t="shared" si="49"/>
        <v>0.97508655450209236</v>
      </c>
      <c r="K153" s="70">
        <f t="shared" si="49"/>
        <v>1.1549900238077282</v>
      </c>
      <c r="L153" s="19">
        <f t="shared" si="49"/>
        <v>1.3718338631542275</v>
      </c>
    </row>
    <row r="154" spans="3:12" x14ac:dyDescent="0.3">
      <c r="D154" s="13" t="s">
        <v>99</v>
      </c>
      <c r="E154" s="1" t="s">
        <v>46</v>
      </c>
      <c r="F154" s="57">
        <v>7.4999999999999997E-2</v>
      </c>
      <c r="G154" s="1"/>
      <c r="H154" s="70">
        <f t="shared" ref="H154:L154" si="50">H67*$F154*H$15</f>
        <v>0</v>
      </c>
      <c r="I154" s="70">
        <f t="shared" si="50"/>
        <v>0.23239206899999992</v>
      </c>
      <c r="J154" s="70">
        <f t="shared" si="50"/>
        <v>0.27794091452399994</v>
      </c>
      <c r="K154" s="70">
        <f t="shared" si="50"/>
        <v>0.33241733377070393</v>
      </c>
      <c r="L154" s="19">
        <f t="shared" si="50"/>
        <v>0.39866036716562431</v>
      </c>
    </row>
    <row r="155" spans="3:12" x14ac:dyDescent="0.3">
      <c r="D155" s="13" t="s">
        <v>100</v>
      </c>
      <c r="E155" s="1" t="s">
        <v>46</v>
      </c>
      <c r="F155" s="57">
        <v>0.09</v>
      </c>
      <c r="G155" s="1"/>
      <c r="H155" s="70">
        <f t="shared" ref="H155:L155" si="51">H68*$F155*H$15</f>
        <v>0</v>
      </c>
      <c r="I155" s="70">
        <f t="shared" si="51"/>
        <v>0.85967631213749995</v>
      </c>
      <c r="J155" s="70">
        <f t="shared" si="51"/>
        <v>1.0182865917268684</v>
      </c>
      <c r="K155" s="70">
        <f t="shared" si="51"/>
        <v>1.2061604679004758</v>
      </c>
      <c r="L155" s="19">
        <f t="shared" si="51"/>
        <v>1.4326113127876428</v>
      </c>
    </row>
    <row r="156" spans="3:12" x14ac:dyDescent="0.3">
      <c r="D156" s="13"/>
      <c r="E156" s="1"/>
      <c r="F156" s="1"/>
      <c r="G156" s="1"/>
      <c r="H156" s="1"/>
      <c r="I156" s="1"/>
      <c r="J156" s="1"/>
      <c r="K156" s="1"/>
      <c r="L156" s="47"/>
    </row>
    <row r="157" spans="3:12" x14ac:dyDescent="0.3">
      <c r="D157" s="76" t="s">
        <v>241</v>
      </c>
      <c r="E157" s="77" t="s">
        <v>46</v>
      </c>
      <c r="F157" s="77"/>
      <c r="G157" s="77"/>
      <c r="H157" s="78">
        <f>SUM(H147:H156)</f>
        <v>1.4</v>
      </c>
      <c r="I157" s="78">
        <f t="shared" ref="I157:L157" si="52">SUM(I147:I156)</f>
        <v>4.3753255335854995</v>
      </c>
      <c r="J157" s="78">
        <f t="shared" si="52"/>
        <v>5.2817143038249608</v>
      </c>
      <c r="K157" s="78">
        <f t="shared" si="52"/>
        <v>6.3828952666648373</v>
      </c>
      <c r="L157" s="79">
        <f t="shared" si="52"/>
        <v>7.7438460570646308</v>
      </c>
    </row>
    <row r="159" spans="3:12" x14ac:dyDescent="0.3">
      <c r="C159" s="35">
        <f>Inputs!F117</f>
        <v>6.5000000000000002E-2</v>
      </c>
      <c r="D159" s="63" t="s">
        <v>242</v>
      </c>
      <c r="E159" s="45"/>
      <c r="F159" s="45"/>
      <c r="G159" s="45"/>
      <c r="H159" s="45"/>
      <c r="I159" s="45"/>
      <c r="J159" s="45"/>
      <c r="K159" s="45"/>
      <c r="L159" s="46"/>
    </row>
    <row r="160" spans="3:12" x14ac:dyDescent="0.3">
      <c r="D160" s="13" t="s">
        <v>243</v>
      </c>
      <c r="E160" s="1" t="s">
        <v>27</v>
      </c>
      <c r="F160" s="57">
        <v>0.1</v>
      </c>
      <c r="G160" s="1"/>
      <c r="H160" s="1">
        <f>IF(SUM($G15:H15)=1,$F160,MAX((G160-$F161),$C160))*H$15</f>
        <v>0</v>
      </c>
      <c r="I160" s="1">
        <f>IF(SUM($G15:I15)=1,$F160,MAX((H160-$F161),$C160))*I$15</f>
        <v>0.1</v>
      </c>
      <c r="J160" s="1">
        <f>IF(SUM($G15:J15)=1,$F160,MAX((I160-$F161),$C160))*J$15</f>
        <v>9.5000000000000001E-2</v>
      </c>
      <c r="K160" s="1">
        <f>IF(SUM($G15:K15)=1,$F160,MAX((J160-$F161),$C160))*K$15</f>
        <v>0.09</v>
      </c>
      <c r="L160" s="47">
        <f>IF(SUM($G15:L15)=1,$F160,MAX((K160-$F161),$C160))*L$15</f>
        <v>8.4999999999999992E-2</v>
      </c>
    </row>
    <row r="161" spans="1:12" x14ac:dyDescent="0.3">
      <c r="D161" s="13"/>
      <c r="E161" s="1"/>
      <c r="F161" s="83">
        <v>5.0000000000000001E-3</v>
      </c>
      <c r="G161" s="1"/>
      <c r="H161" s="1"/>
      <c r="I161" s="1"/>
      <c r="J161" s="1"/>
      <c r="K161" s="1"/>
      <c r="L161" s="47"/>
    </row>
    <row r="162" spans="1:12" x14ac:dyDescent="0.3">
      <c r="D162" s="13"/>
      <c r="E162" s="1"/>
      <c r="F162" s="1"/>
      <c r="G162" s="1"/>
      <c r="H162" s="1"/>
      <c r="I162" s="1"/>
      <c r="J162" s="1"/>
      <c r="K162" s="1"/>
      <c r="L162" s="47"/>
    </row>
    <row r="163" spans="1:12" x14ac:dyDescent="0.3">
      <c r="D163" s="13" t="s">
        <v>244</v>
      </c>
      <c r="E163" s="1" t="s">
        <v>46</v>
      </c>
      <c r="F163" s="1"/>
      <c r="G163" s="1"/>
      <c r="H163" s="1">
        <f>Inputs!H114*H$14</f>
        <v>6.1</v>
      </c>
      <c r="I163" s="1">
        <f>Inputs!I114*I$14</f>
        <v>0</v>
      </c>
      <c r="J163" s="1">
        <f>Inputs!J114*J$14</f>
        <v>0</v>
      </c>
      <c r="K163" s="1">
        <f>Inputs!K114*K$14</f>
        <v>0</v>
      </c>
      <c r="L163" s="47">
        <f>Inputs!L114*L$14</f>
        <v>0</v>
      </c>
    </row>
    <row r="164" spans="1:12" x14ac:dyDescent="0.3">
      <c r="D164" s="13" t="s">
        <v>245</v>
      </c>
      <c r="E164" s="1" t="s">
        <v>46</v>
      </c>
      <c r="F164" s="1"/>
      <c r="G164" s="1"/>
      <c r="H164" s="70">
        <f>(H70*H160)*H$15</f>
        <v>0</v>
      </c>
      <c r="I164" s="70">
        <f t="shared" ref="I164:L164" si="53">(I70*I160)*I$15</f>
        <v>7.9374157791824986</v>
      </c>
      <c r="J164" s="70">
        <f t="shared" si="53"/>
        <v>9.1274418476883508</v>
      </c>
      <c r="K164" s="70">
        <f t="shared" si="53"/>
        <v>10.479654845412091</v>
      </c>
      <c r="L164" s="19">
        <f t="shared" si="53"/>
        <v>12.043471331360971</v>
      </c>
    </row>
    <row r="165" spans="1:12" x14ac:dyDescent="0.3">
      <c r="D165" s="13"/>
      <c r="E165" s="1"/>
      <c r="F165" s="1"/>
      <c r="G165" s="1"/>
      <c r="H165" s="1"/>
      <c r="I165" s="1"/>
      <c r="J165" s="1"/>
      <c r="K165" s="1"/>
      <c r="L165" s="47"/>
    </row>
    <row r="166" spans="1:12" x14ac:dyDescent="0.3">
      <c r="D166" s="76" t="s">
        <v>246</v>
      </c>
      <c r="E166" s="77" t="s">
        <v>46</v>
      </c>
      <c r="F166" s="77"/>
      <c r="G166" s="77"/>
      <c r="H166" s="78">
        <f>SUM(H163:H165)</f>
        <v>6.1</v>
      </c>
      <c r="I166" s="78">
        <f t="shared" ref="I166:L166" si="54">SUM(I163:I165)</f>
        <v>7.9374157791824986</v>
      </c>
      <c r="J166" s="78">
        <f t="shared" si="54"/>
        <v>9.1274418476883508</v>
      </c>
      <c r="K166" s="78">
        <f t="shared" si="54"/>
        <v>10.479654845412091</v>
      </c>
      <c r="L166" s="79">
        <f t="shared" si="54"/>
        <v>12.043471331360971</v>
      </c>
    </row>
    <row r="168" spans="1:12" x14ac:dyDescent="0.3">
      <c r="D168" s="3" t="s">
        <v>247</v>
      </c>
      <c r="E168" s="3" t="s">
        <v>46</v>
      </c>
      <c r="F168" s="3"/>
      <c r="G168" s="3"/>
      <c r="H168" s="81">
        <f>SUM(H113,H126,H138,H144,H157,H166)</f>
        <v>26.939750000000004</v>
      </c>
      <c r="I168" s="81">
        <f t="shared" ref="I168:L168" si="55">SUM(I113,I126,I138,I144,I157,I166)</f>
        <v>30.774422255390949</v>
      </c>
      <c r="J168" s="81">
        <f t="shared" si="55"/>
        <v>35.668000965529707</v>
      </c>
      <c r="K168" s="81">
        <f t="shared" si="55"/>
        <v>42.346154133512997</v>
      </c>
      <c r="L168" s="81">
        <f t="shared" si="55"/>
        <v>49.573766476513597</v>
      </c>
    </row>
    <row r="170" spans="1:12" s="135" customFormat="1" x14ac:dyDescent="0.3">
      <c r="A170" s="135" t="s">
        <v>248</v>
      </c>
    </row>
    <row r="172" spans="1:12" x14ac:dyDescent="0.3">
      <c r="D172" s="44" t="s">
        <v>249</v>
      </c>
    </row>
    <row r="174" spans="1:12" x14ac:dyDescent="0.3">
      <c r="D174" s="63" t="s">
        <v>250</v>
      </c>
      <c r="E174" s="45"/>
      <c r="F174" s="45"/>
      <c r="G174" s="45"/>
      <c r="H174" s="45"/>
      <c r="I174" s="45"/>
      <c r="J174" s="45"/>
      <c r="K174" s="45"/>
      <c r="L174" s="46"/>
    </row>
    <row r="175" spans="1:12" x14ac:dyDescent="0.3">
      <c r="D175" s="13" t="s">
        <v>102</v>
      </c>
      <c r="E175" s="1" t="s">
        <v>46</v>
      </c>
      <c r="F175" s="1"/>
      <c r="G175" s="1"/>
      <c r="H175" s="1">
        <f>G197</f>
        <v>0</v>
      </c>
      <c r="I175" s="1">
        <f t="shared" ref="I175:L175" si="56">H197</f>
        <v>20</v>
      </c>
      <c r="J175" s="1">
        <f t="shared" si="56"/>
        <v>20</v>
      </c>
      <c r="K175" s="1">
        <f t="shared" si="56"/>
        <v>20</v>
      </c>
      <c r="L175" s="47">
        <f t="shared" si="56"/>
        <v>20</v>
      </c>
    </row>
    <row r="176" spans="1:12" x14ac:dyDescent="0.3">
      <c r="D176" s="13" t="s">
        <v>104</v>
      </c>
      <c r="E176" s="1" t="s">
        <v>46</v>
      </c>
      <c r="F176" s="1"/>
      <c r="G176" s="1"/>
      <c r="H176" s="1">
        <f t="shared" ref="H176:L176" si="57">G198</f>
        <v>0</v>
      </c>
      <c r="I176" s="1">
        <f t="shared" si="57"/>
        <v>1</v>
      </c>
      <c r="J176" s="1">
        <f t="shared" si="57"/>
        <v>1.1000000000000001</v>
      </c>
      <c r="K176" s="1">
        <f t="shared" si="57"/>
        <v>1.2100000000000002</v>
      </c>
      <c r="L176" s="47">
        <f t="shared" si="57"/>
        <v>1.3310000000000002</v>
      </c>
    </row>
    <row r="177" spans="4:12" x14ac:dyDescent="0.3">
      <c r="D177" s="13" t="s">
        <v>107</v>
      </c>
      <c r="E177" s="1" t="s">
        <v>46</v>
      </c>
      <c r="F177" s="1"/>
      <c r="G177" s="1"/>
      <c r="H177" s="1">
        <f t="shared" ref="H177:L177" si="58">G199</f>
        <v>0</v>
      </c>
      <c r="I177" s="1">
        <f t="shared" si="58"/>
        <v>3.5</v>
      </c>
      <c r="J177" s="1">
        <f t="shared" si="58"/>
        <v>3.5874999999999999</v>
      </c>
      <c r="K177" s="1">
        <f t="shared" si="58"/>
        <v>3.6771875000000001</v>
      </c>
      <c r="L177" s="47">
        <f t="shared" si="58"/>
        <v>3.7691171875</v>
      </c>
    </row>
    <row r="178" spans="4:12" x14ac:dyDescent="0.3">
      <c r="D178" s="13" t="s">
        <v>251</v>
      </c>
      <c r="E178" s="1" t="s">
        <v>46</v>
      </c>
      <c r="F178" s="1"/>
      <c r="G178" s="1"/>
      <c r="H178" s="1">
        <f t="shared" ref="H178:L178" si="59">G200</f>
        <v>0</v>
      </c>
      <c r="I178" s="1">
        <f t="shared" si="59"/>
        <v>2.5</v>
      </c>
      <c r="J178" s="1">
        <f t="shared" si="59"/>
        <v>2.7</v>
      </c>
      <c r="K178" s="1">
        <f t="shared" si="59"/>
        <v>2.9080000000000004</v>
      </c>
      <c r="L178" s="47">
        <f t="shared" si="59"/>
        <v>3.1243200000000004</v>
      </c>
    </row>
    <row r="179" spans="4:12" x14ac:dyDescent="0.3">
      <c r="D179" s="13" t="s">
        <v>252</v>
      </c>
      <c r="E179" s="1" t="s">
        <v>46</v>
      </c>
      <c r="F179" s="1"/>
      <c r="G179" s="1"/>
      <c r="H179" s="1">
        <f t="shared" ref="H179:L179" si="60">G201</f>
        <v>0</v>
      </c>
      <c r="I179" s="1">
        <f t="shared" si="60"/>
        <v>0.8</v>
      </c>
      <c r="J179" s="1">
        <f t="shared" si="60"/>
        <v>0.80800000000000005</v>
      </c>
      <c r="K179" s="1">
        <f t="shared" si="60"/>
        <v>0.81608000000000003</v>
      </c>
      <c r="L179" s="47">
        <f t="shared" si="60"/>
        <v>0.8242408</v>
      </c>
    </row>
    <row r="180" spans="4:12" x14ac:dyDescent="0.3">
      <c r="D180" s="13" t="s">
        <v>118</v>
      </c>
      <c r="E180" s="1" t="s">
        <v>46</v>
      </c>
      <c r="F180" s="1"/>
      <c r="G180" s="1"/>
      <c r="H180" s="1">
        <f t="shared" ref="H180:L180" si="61">G202</f>
        <v>0</v>
      </c>
      <c r="I180" s="1">
        <f t="shared" si="61"/>
        <v>1.5</v>
      </c>
      <c r="J180" s="1">
        <f t="shared" si="61"/>
        <v>1.5</v>
      </c>
      <c r="K180" s="1">
        <f t="shared" si="61"/>
        <v>2.6</v>
      </c>
      <c r="L180" s="47">
        <f t="shared" si="61"/>
        <v>2.6</v>
      </c>
    </row>
    <row r="181" spans="4:12" x14ac:dyDescent="0.3">
      <c r="D181" s="13" t="s">
        <v>121</v>
      </c>
      <c r="E181" s="1" t="s">
        <v>46</v>
      </c>
      <c r="F181" s="1"/>
      <c r="G181" s="1"/>
      <c r="H181" s="1">
        <f t="shared" ref="H181:L181" si="62">G203</f>
        <v>0</v>
      </c>
      <c r="I181" s="1">
        <f t="shared" si="62"/>
        <v>0.5</v>
      </c>
      <c r="J181" s="1">
        <f t="shared" ca="1" si="62"/>
        <v>0.6</v>
      </c>
      <c r="K181" s="1">
        <f t="shared" ca="1" si="62"/>
        <v>0.66999999999999993</v>
      </c>
      <c r="L181" s="47">
        <f t="shared" ca="1" si="62"/>
        <v>0.69399999999999995</v>
      </c>
    </row>
    <row r="182" spans="4:12" x14ac:dyDescent="0.3">
      <c r="D182" s="13"/>
      <c r="E182" s="1"/>
      <c r="F182" s="1"/>
      <c r="G182" s="1"/>
      <c r="H182" s="1"/>
      <c r="I182" s="1"/>
      <c r="J182" s="1"/>
      <c r="K182" s="1"/>
      <c r="L182" s="47"/>
    </row>
    <row r="183" spans="4:12" x14ac:dyDescent="0.3">
      <c r="D183" s="76" t="s">
        <v>253</v>
      </c>
      <c r="E183" s="77" t="s">
        <v>46</v>
      </c>
      <c r="F183" s="77"/>
      <c r="G183" s="77"/>
      <c r="H183" s="77">
        <f t="shared" ref="H183:L183" si="63">SUM(H175:H182)</f>
        <v>0</v>
      </c>
      <c r="I183" s="77">
        <f t="shared" si="63"/>
        <v>29.8</v>
      </c>
      <c r="J183" s="77">
        <f t="shared" ca="1" si="63"/>
        <v>30.295500000000001</v>
      </c>
      <c r="K183" s="77">
        <f t="shared" ca="1" si="63"/>
        <v>31.8812675</v>
      </c>
      <c r="L183" s="80">
        <f t="shared" ca="1" si="63"/>
        <v>32.342677987500004</v>
      </c>
    </row>
    <row r="185" spans="4:12" x14ac:dyDescent="0.3">
      <c r="D185" s="63" t="s">
        <v>254</v>
      </c>
      <c r="E185" s="45"/>
      <c r="F185" s="45"/>
      <c r="G185" s="45"/>
      <c r="H185" s="45"/>
      <c r="I185" s="45"/>
      <c r="J185" s="45"/>
      <c r="K185" s="45"/>
      <c r="L185" s="46"/>
    </row>
    <row r="186" spans="4:12" x14ac:dyDescent="0.3">
      <c r="D186" s="13" t="s">
        <v>102</v>
      </c>
      <c r="E186" s="1" t="s">
        <v>46</v>
      </c>
      <c r="F186" s="1"/>
      <c r="G186" s="1"/>
      <c r="H186" s="1">
        <f>Inputs!H123</f>
        <v>20</v>
      </c>
      <c r="I186" s="1">
        <f>Inputs!I123</f>
        <v>0</v>
      </c>
      <c r="J186" s="1">
        <f>Inputs!J123</f>
        <v>0</v>
      </c>
      <c r="K186" s="1">
        <f>Inputs!K123</f>
        <v>0</v>
      </c>
      <c r="L186" s="47">
        <f>Inputs!L123</f>
        <v>0</v>
      </c>
    </row>
    <row r="187" spans="4:12" x14ac:dyDescent="0.3">
      <c r="D187" s="13" t="s">
        <v>104</v>
      </c>
      <c r="E187" s="1" t="s">
        <v>46</v>
      </c>
      <c r="F187" s="1"/>
      <c r="G187" s="1"/>
      <c r="H187" s="1">
        <f>Inputs!H128</f>
        <v>1</v>
      </c>
      <c r="I187" s="70">
        <f>Inputs!I128</f>
        <v>0.1</v>
      </c>
      <c r="J187" s="1">
        <f>Inputs!J128</f>
        <v>0.11000000000000001</v>
      </c>
      <c r="K187" s="70">
        <f>Inputs!K128</f>
        <v>0.12100000000000002</v>
      </c>
      <c r="L187" s="19">
        <f>Inputs!L128</f>
        <v>0.13310000000000002</v>
      </c>
    </row>
    <row r="188" spans="4:12" x14ac:dyDescent="0.3">
      <c r="D188" s="13" t="s">
        <v>107</v>
      </c>
      <c r="E188" s="1" t="s">
        <v>46</v>
      </c>
      <c r="F188" s="84">
        <v>2.5000000000000001E-2</v>
      </c>
      <c r="G188" s="1"/>
      <c r="H188" s="1">
        <f>Inputs!H131*H$14+IF(NOT(ISBLANK(H131)),Inputs!H131,($F188*H177))*H$15</f>
        <v>3.5</v>
      </c>
      <c r="I188" s="1">
        <f>Inputs!I131*I$14+IF(NOT(ISBLANK(I131)),Inputs!I131,($F188*I177))*I$15</f>
        <v>8.7500000000000008E-2</v>
      </c>
      <c r="J188" s="1">
        <f>Inputs!J131*J$14+IF(NOT(ISBLANK(J131)),Inputs!J131,($F188*J177))*J$15</f>
        <v>8.9687500000000003E-2</v>
      </c>
      <c r="K188" s="1">
        <f>Inputs!K131*K$14+IF(NOT(ISBLANK(K131)),Inputs!K131,($F188*K177))*K$15</f>
        <v>9.192968750000001E-2</v>
      </c>
      <c r="L188" s="47">
        <f>Inputs!L131*L$14+IF(NOT(ISBLANK(L131)),Inputs!L131,($F188*L177))*L$15</f>
        <v>9.4227929687500003E-2</v>
      </c>
    </row>
    <row r="189" spans="4:12" x14ac:dyDescent="0.3">
      <c r="D189" s="13" t="s">
        <v>251</v>
      </c>
      <c r="E189" s="1" t="s">
        <v>46</v>
      </c>
      <c r="F189" s="1"/>
      <c r="G189" s="1"/>
      <c r="H189" s="70">
        <f>Inputs!H137</f>
        <v>2.5</v>
      </c>
      <c r="I189" s="70">
        <f>Inputs!I137</f>
        <v>0.2</v>
      </c>
      <c r="J189" s="70">
        <f>Inputs!J137</f>
        <v>0.20800000000000002</v>
      </c>
      <c r="K189" s="70">
        <f>Inputs!K137</f>
        <v>0.21632000000000004</v>
      </c>
      <c r="L189" s="19">
        <f>Inputs!L137</f>
        <v>0.22497280000000006</v>
      </c>
    </row>
    <row r="190" spans="4:12" x14ac:dyDescent="0.3">
      <c r="D190" s="13" t="s">
        <v>252</v>
      </c>
      <c r="E190" s="1" t="s">
        <v>46</v>
      </c>
      <c r="F190" s="57">
        <v>0.01</v>
      </c>
      <c r="G190" s="1"/>
      <c r="H190" s="70">
        <f>Inputs!H140*H$14+($F190*H179*H$15)</f>
        <v>0.8</v>
      </c>
      <c r="I190" s="70">
        <f>Inputs!I140*I$14+($F190*I179*I$15)</f>
        <v>8.0000000000000002E-3</v>
      </c>
      <c r="J190" s="70">
        <f>Inputs!J140*J$14+($F190*J179*J$15)</f>
        <v>8.0800000000000004E-3</v>
      </c>
      <c r="K190" s="70">
        <f>Inputs!K140*K$14+($F190*K179*K$15)</f>
        <v>8.160800000000001E-3</v>
      </c>
      <c r="L190" s="19">
        <f>Inputs!L140*L$14+($F190*L179*L$15)</f>
        <v>8.2424079999999997E-3</v>
      </c>
    </row>
    <row r="191" spans="4:12" x14ac:dyDescent="0.3">
      <c r="D191" s="13" t="s">
        <v>118</v>
      </c>
      <c r="E191" s="1" t="s">
        <v>46</v>
      </c>
      <c r="F191" s="1"/>
      <c r="G191" s="1"/>
      <c r="H191" s="70">
        <f>SUM(Inputs!H144:H145)</f>
        <v>1.5</v>
      </c>
      <c r="I191" s="70">
        <f>SUM(Inputs!I144:I145)</f>
        <v>0</v>
      </c>
      <c r="J191" s="70">
        <f>SUM(Inputs!J144:J145)</f>
        <v>1.1000000000000001</v>
      </c>
      <c r="K191" s="70">
        <f>SUM(Inputs!K144:K145)</f>
        <v>0</v>
      </c>
      <c r="L191" s="19">
        <f>SUM(Inputs!L144:L145)</f>
        <v>1.5</v>
      </c>
    </row>
    <row r="192" spans="4:12" x14ac:dyDescent="0.3">
      <c r="D192" s="13" t="s">
        <v>121</v>
      </c>
      <c r="E192" s="1" t="s">
        <v>46</v>
      </c>
      <c r="F192" s="57">
        <v>0.3</v>
      </c>
      <c r="G192" s="1"/>
      <c r="H192" s="1">
        <f>Inputs!H148*H$14+$F192*H$251*H$15</f>
        <v>0.5</v>
      </c>
      <c r="I192" s="1">
        <f ca="1">Inputs!I148*I$14+$F192*I$251*I$15</f>
        <v>0.1</v>
      </c>
      <c r="J192" s="1">
        <f ca="1">Inputs!J148*J$14+$F192*J$251*J$15</f>
        <v>6.9999999999999993E-2</v>
      </c>
      <c r="K192" s="1">
        <f ca="1">Inputs!K148*K$14+$F192*K$251*K$15</f>
        <v>2.3999999999999987E-2</v>
      </c>
      <c r="L192" s="47">
        <f ca="1">Inputs!L148*L$14+$F192*L$251*L$15</f>
        <v>1.18E-2</v>
      </c>
    </row>
    <row r="193" spans="4:12" x14ac:dyDescent="0.3">
      <c r="D193" s="13"/>
      <c r="E193" s="1"/>
      <c r="F193" s="1"/>
      <c r="G193" s="1"/>
      <c r="H193" s="1"/>
      <c r="I193" s="1"/>
      <c r="J193" s="1"/>
      <c r="K193" s="1"/>
      <c r="L193" s="47"/>
    </row>
    <row r="194" spans="4:12" x14ac:dyDescent="0.3">
      <c r="D194" s="76" t="s">
        <v>253</v>
      </c>
      <c r="E194" s="77" t="s">
        <v>46</v>
      </c>
      <c r="F194" s="77"/>
      <c r="G194" s="77"/>
      <c r="H194" s="78">
        <f t="shared" ref="H194:L194" si="64">SUM(H186:H193)</f>
        <v>29.8</v>
      </c>
      <c r="I194" s="78">
        <f t="shared" ca="1" si="64"/>
        <v>0.49550000000000005</v>
      </c>
      <c r="J194" s="78">
        <f t="shared" ca="1" si="64"/>
        <v>1.5857675000000002</v>
      </c>
      <c r="K194" s="78">
        <f t="shared" ca="1" si="64"/>
        <v>0.46141048750000002</v>
      </c>
      <c r="L194" s="79">
        <f t="shared" ca="1" si="64"/>
        <v>1.9723431376875</v>
      </c>
    </row>
    <row r="196" spans="4:12" x14ac:dyDescent="0.3">
      <c r="D196" s="63" t="s">
        <v>255</v>
      </c>
      <c r="E196" s="45"/>
      <c r="F196" s="45"/>
      <c r="G196" s="45"/>
      <c r="H196" s="45"/>
      <c r="I196" s="45"/>
      <c r="J196" s="45"/>
      <c r="K196" s="45"/>
      <c r="L196" s="46"/>
    </row>
    <row r="197" spans="4:12" x14ac:dyDescent="0.3">
      <c r="D197" s="13" t="s">
        <v>102</v>
      </c>
      <c r="E197" s="1" t="s">
        <v>46</v>
      </c>
      <c r="F197" s="1"/>
      <c r="G197" s="1"/>
      <c r="H197" s="70">
        <f>SUM(H175,H186)</f>
        <v>20</v>
      </c>
      <c r="I197" s="70">
        <f t="shared" ref="I197:L197" si="65">SUM(I175,I186)</f>
        <v>20</v>
      </c>
      <c r="J197" s="70">
        <f t="shared" si="65"/>
        <v>20</v>
      </c>
      <c r="K197" s="70">
        <f t="shared" si="65"/>
        <v>20</v>
      </c>
      <c r="L197" s="19">
        <f t="shared" si="65"/>
        <v>20</v>
      </c>
    </row>
    <row r="198" spans="4:12" x14ac:dyDescent="0.3">
      <c r="D198" s="13" t="s">
        <v>104</v>
      </c>
      <c r="E198" s="1" t="s">
        <v>46</v>
      </c>
      <c r="F198" s="1"/>
      <c r="G198" s="1"/>
      <c r="H198" s="70">
        <f t="shared" ref="H198:L202" si="66">SUM(H176,H187)</f>
        <v>1</v>
      </c>
      <c r="I198" s="70">
        <f t="shared" si="66"/>
        <v>1.1000000000000001</v>
      </c>
      <c r="J198" s="70">
        <f t="shared" si="66"/>
        <v>1.2100000000000002</v>
      </c>
      <c r="K198" s="70">
        <f t="shared" si="66"/>
        <v>1.3310000000000002</v>
      </c>
      <c r="L198" s="19">
        <f t="shared" si="66"/>
        <v>1.4641000000000002</v>
      </c>
    </row>
    <row r="199" spans="4:12" x14ac:dyDescent="0.3">
      <c r="D199" s="13" t="s">
        <v>107</v>
      </c>
      <c r="E199" s="1" t="s">
        <v>46</v>
      </c>
      <c r="F199" s="1"/>
      <c r="G199" s="1"/>
      <c r="H199" s="70">
        <f t="shared" si="66"/>
        <v>3.5</v>
      </c>
      <c r="I199" s="70">
        <f t="shared" si="66"/>
        <v>3.5874999999999999</v>
      </c>
      <c r="J199" s="70">
        <f t="shared" si="66"/>
        <v>3.6771875000000001</v>
      </c>
      <c r="K199" s="70">
        <f t="shared" si="66"/>
        <v>3.7691171875</v>
      </c>
      <c r="L199" s="19">
        <f t="shared" si="66"/>
        <v>3.8633451171875</v>
      </c>
    </row>
    <row r="200" spans="4:12" x14ac:dyDescent="0.3">
      <c r="D200" s="13" t="s">
        <v>251</v>
      </c>
      <c r="E200" s="1" t="s">
        <v>46</v>
      </c>
      <c r="F200" s="1"/>
      <c r="G200" s="1"/>
      <c r="H200" s="70">
        <f t="shared" si="66"/>
        <v>2.5</v>
      </c>
      <c r="I200" s="70">
        <f t="shared" si="66"/>
        <v>2.7</v>
      </c>
      <c r="J200" s="70">
        <f t="shared" si="66"/>
        <v>2.9080000000000004</v>
      </c>
      <c r="K200" s="70">
        <f t="shared" si="66"/>
        <v>3.1243200000000004</v>
      </c>
      <c r="L200" s="19">
        <f t="shared" si="66"/>
        <v>3.3492928000000006</v>
      </c>
    </row>
    <row r="201" spans="4:12" x14ac:dyDescent="0.3">
      <c r="D201" s="13" t="s">
        <v>252</v>
      </c>
      <c r="E201" s="1" t="s">
        <v>46</v>
      </c>
      <c r="F201" s="1"/>
      <c r="G201" s="1"/>
      <c r="H201" s="70">
        <f t="shared" si="66"/>
        <v>0.8</v>
      </c>
      <c r="I201" s="70">
        <f t="shared" si="66"/>
        <v>0.80800000000000005</v>
      </c>
      <c r="J201" s="70">
        <f t="shared" si="66"/>
        <v>0.81608000000000003</v>
      </c>
      <c r="K201" s="70">
        <f t="shared" si="66"/>
        <v>0.8242408</v>
      </c>
      <c r="L201" s="19">
        <f t="shared" si="66"/>
        <v>0.83248320799999997</v>
      </c>
    </row>
    <row r="202" spans="4:12" x14ac:dyDescent="0.3">
      <c r="D202" s="13" t="s">
        <v>118</v>
      </c>
      <c r="E202" s="1" t="s">
        <v>46</v>
      </c>
      <c r="F202" s="1"/>
      <c r="G202" s="1"/>
      <c r="H202" s="70">
        <f t="shared" si="66"/>
        <v>1.5</v>
      </c>
      <c r="I202" s="70">
        <f t="shared" si="66"/>
        <v>1.5</v>
      </c>
      <c r="J202" s="70">
        <f t="shared" si="66"/>
        <v>2.6</v>
      </c>
      <c r="K202" s="70">
        <f t="shared" si="66"/>
        <v>2.6</v>
      </c>
      <c r="L202" s="19">
        <f t="shared" si="66"/>
        <v>4.0999999999999996</v>
      </c>
    </row>
    <row r="203" spans="4:12" x14ac:dyDescent="0.3">
      <c r="D203" s="13" t="s">
        <v>121</v>
      </c>
      <c r="E203" s="1" t="s">
        <v>46</v>
      </c>
      <c r="F203" s="1"/>
      <c r="G203" s="1"/>
      <c r="H203" s="70">
        <f>SUM(H181,H192)</f>
        <v>0.5</v>
      </c>
      <c r="I203" s="70">
        <f t="shared" ref="I203:L203" ca="1" si="67">SUM(I181,I192)</f>
        <v>0.6</v>
      </c>
      <c r="J203" s="70">
        <f t="shared" ca="1" si="67"/>
        <v>0.66999999999999993</v>
      </c>
      <c r="K203" s="70">
        <f t="shared" ca="1" si="67"/>
        <v>0.69399999999999995</v>
      </c>
      <c r="L203" s="19">
        <f t="shared" ca="1" si="67"/>
        <v>0.70579999999999998</v>
      </c>
    </row>
    <row r="204" spans="4:12" x14ac:dyDescent="0.3">
      <c r="D204" s="13"/>
      <c r="E204" s="1"/>
      <c r="F204" s="1"/>
      <c r="G204" s="1"/>
      <c r="H204" s="70"/>
      <c r="I204" s="70"/>
      <c r="J204" s="70"/>
      <c r="K204" s="70"/>
      <c r="L204" s="19"/>
    </row>
    <row r="205" spans="4:12" x14ac:dyDescent="0.3">
      <c r="D205" s="76" t="s">
        <v>253</v>
      </c>
      <c r="E205" s="77" t="s">
        <v>46</v>
      </c>
      <c r="F205" s="77"/>
      <c r="G205" s="77"/>
      <c r="H205" s="78">
        <f t="shared" ref="H205:L205" si="68">SUM(H197:H204)</f>
        <v>29.8</v>
      </c>
      <c r="I205" s="78">
        <f t="shared" ca="1" si="68"/>
        <v>30.295500000000001</v>
      </c>
      <c r="J205" s="78">
        <f t="shared" ca="1" si="68"/>
        <v>31.8812675</v>
      </c>
      <c r="K205" s="78">
        <f t="shared" ca="1" si="68"/>
        <v>32.342677987500004</v>
      </c>
      <c r="L205" s="79">
        <f t="shared" ca="1" si="68"/>
        <v>34.315021125187499</v>
      </c>
    </row>
    <row r="207" spans="4:12" x14ac:dyDescent="0.3">
      <c r="D207" s="44" t="s">
        <v>257</v>
      </c>
    </row>
    <row r="209" spans="4:12" x14ac:dyDescent="0.3">
      <c r="D209" s="63" t="s">
        <v>256</v>
      </c>
      <c r="E209" s="45"/>
      <c r="F209" s="45"/>
      <c r="G209" s="45"/>
      <c r="H209" s="45"/>
      <c r="I209" s="45"/>
      <c r="J209" s="45"/>
      <c r="K209" s="45"/>
      <c r="L209" s="46"/>
    </row>
    <row r="210" spans="4:12" x14ac:dyDescent="0.3">
      <c r="D210" s="13" t="s">
        <v>102</v>
      </c>
      <c r="E210" s="1" t="s">
        <v>46</v>
      </c>
      <c r="F210" s="1"/>
      <c r="G210" s="1"/>
      <c r="H210" s="70">
        <f>G232</f>
        <v>0</v>
      </c>
      <c r="I210" s="70">
        <f t="shared" ref="I210:L210" si="69">H232</f>
        <v>0</v>
      </c>
      <c r="J210" s="70">
        <f t="shared" si="69"/>
        <v>0</v>
      </c>
      <c r="K210" s="70">
        <f t="shared" si="69"/>
        <v>0</v>
      </c>
      <c r="L210" s="19">
        <f t="shared" si="69"/>
        <v>0</v>
      </c>
    </row>
    <row r="211" spans="4:12" x14ac:dyDescent="0.3">
      <c r="D211" s="13" t="s">
        <v>104</v>
      </c>
      <c r="E211" s="1" t="s">
        <v>46</v>
      </c>
      <c r="F211" s="1"/>
      <c r="G211" s="1"/>
      <c r="H211" s="70">
        <f t="shared" ref="H211:L216" si="70">G233</f>
        <v>0</v>
      </c>
      <c r="I211" s="70">
        <f t="shared" si="70"/>
        <v>0</v>
      </c>
      <c r="J211" s="70">
        <f t="shared" si="70"/>
        <v>0</v>
      </c>
      <c r="K211" s="70">
        <f t="shared" si="70"/>
        <v>0</v>
      </c>
      <c r="L211" s="19">
        <f t="shared" si="70"/>
        <v>0</v>
      </c>
    </row>
    <row r="212" spans="4:12" x14ac:dyDescent="0.3">
      <c r="D212" s="13" t="s">
        <v>107</v>
      </c>
      <c r="E212" s="1" t="s">
        <v>46</v>
      </c>
      <c r="F212" s="1"/>
      <c r="G212" s="1"/>
      <c r="H212" s="70">
        <f t="shared" si="70"/>
        <v>0</v>
      </c>
      <c r="I212" s="70">
        <f t="shared" ca="1" si="70"/>
        <v>-0.14000000000000001</v>
      </c>
      <c r="J212" s="70">
        <f t="shared" ca="1" si="70"/>
        <v>-0.28349999999999997</v>
      </c>
      <c r="K212" s="70">
        <f t="shared" ca="1" si="70"/>
        <v>-0.43058750000000001</v>
      </c>
      <c r="L212" s="19">
        <f t="shared" ca="1" si="70"/>
        <v>-0.58135218750000006</v>
      </c>
    </row>
    <row r="213" spans="4:12" x14ac:dyDescent="0.3">
      <c r="D213" s="13" t="s">
        <v>251</v>
      </c>
      <c r="E213" s="1" t="s">
        <v>46</v>
      </c>
      <c r="F213" s="1"/>
      <c r="G213" s="1"/>
      <c r="H213" s="70">
        <f t="shared" si="70"/>
        <v>0</v>
      </c>
      <c r="I213" s="70">
        <f t="shared" ca="1" si="70"/>
        <v>-0.35714285714285715</v>
      </c>
      <c r="J213" s="70">
        <f t="shared" ca="1" si="70"/>
        <v>-0.74285714285714288</v>
      </c>
      <c r="K213" s="70">
        <f t="shared" ca="1" si="70"/>
        <v>-1.1582857142857144</v>
      </c>
      <c r="L213" s="19">
        <f t="shared" ca="1" si="70"/>
        <v>-1.604617142857143</v>
      </c>
    </row>
    <row r="214" spans="4:12" x14ac:dyDescent="0.3">
      <c r="D214" s="13" t="s">
        <v>252</v>
      </c>
      <c r="E214" s="1" t="s">
        <v>46</v>
      </c>
      <c r="F214" s="1"/>
      <c r="G214" s="1"/>
      <c r="H214" s="70">
        <f t="shared" si="70"/>
        <v>0</v>
      </c>
      <c r="I214" s="70">
        <f t="shared" ca="1" si="70"/>
        <v>-0.08</v>
      </c>
      <c r="J214" s="70">
        <f t="shared" ca="1" si="70"/>
        <v>-0.1608</v>
      </c>
      <c r="K214" s="70">
        <f t="shared" ca="1" si="70"/>
        <v>-0.24240800000000001</v>
      </c>
      <c r="L214" s="19">
        <f t="shared" ca="1" si="70"/>
        <v>-0.32483208000000002</v>
      </c>
    </row>
    <row r="215" spans="4:12" x14ac:dyDescent="0.3">
      <c r="D215" s="13" t="s">
        <v>118</v>
      </c>
      <c r="E215" s="1" t="s">
        <v>46</v>
      </c>
      <c r="F215" s="1"/>
      <c r="G215" s="1"/>
      <c r="H215" s="70">
        <f t="shared" si="70"/>
        <v>0</v>
      </c>
      <c r="I215" s="70">
        <f t="shared" ca="1" si="70"/>
        <v>-0.21428571428571427</v>
      </c>
      <c r="J215" s="70">
        <f t="shared" ca="1" si="70"/>
        <v>-0.42857142857142855</v>
      </c>
      <c r="K215" s="70">
        <f t="shared" ca="1" si="70"/>
        <v>-0.8</v>
      </c>
      <c r="L215" s="19">
        <f t="shared" ca="1" si="70"/>
        <v>-1.1714285714285715</v>
      </c>
    </row>
    <row r="216" spans="4:12" x14ac:dyDescent="0.3">
      <c r="D216" s="13" t="s">
        <v>121</v>
      </c>
      <c r="E216" s="1" t="s">
        <v>46</v>
      </c>
      <c r="F216" s="1"/>
      <c r="G216" s="1"/>
      <c r="H216" s="70">
        <f t="shared" si="70"/>
        <v>0</v>
      </c>
      <c r="I216" s="70">
        <f t="shared" ca="1" si="70"/>
        <v>-0.16666666666666666</v>
      </c>
      <c r="J216" s="70">
        <f t="shared" ca="1" si="70"/>
        <v>-0.36666666666666664</v>
      </c>
      <c r="K216" s="70">
        <f t="shared" ca="1" si="70"/>
        <v>-0.59</v>
      </c>
      <c r="L216" s="19">
        <f t="shared" ca="1" si="70"/>
        <v>-0.65466666666666662</v>
      </c>
    </row>
    <row r="217" spans="4:12" x14ac:dyDescent="0.3">
      <c r="D217" s="13"/>
      <c r="E217" s="1"/>
      <c r="F217" s="1"/>
      <c r="G217" s="1"/>
      <c r="H217" s="70"/>
      <c r="I217" s="70"/>
      <c r="J217" s="70"/>
      <c r="K217" s="70"/>
      <c r="L217" s="19"/>
    </row>
    <row r="218" spans="4:12" x14ac:dyDescent="0.3">
      <c r="D218" s="76" t="s">
        <v>253</v>
      </c>
      <c r="E218" s="77" t="s">
        <v>46</v>
      </c>
      <c r="F218" s="77"/>
      <c r="G218" s="77"/>
      <c r="H218" s="78">
        <f t="shared" ref="H218:L218" si="71">SUM(H210:H217)</f>
        <v>0</v>
      </c>
      <c r="I218" s="78">
        <f t="shared" ca="1" si="71"/>
        <v>-0.95809523809523811</v>
      </c>
      <c r="J218" s="78">
        <f t="shared" ca="1" si="71"/>
        <v>-1.9823952380952383</v>
      </c>
      <c r="K218" s="78">
        <f t="shared" ca="1" si="71"/>
        <v>-3.2212812142857143</v>
      </c>
      <c r="L218" s="79">
        <f t="shared" ca="1" si="71"/>
        <v>-4.336896648452381</v>
      </c>
    </row>
    <row r="220" spans="4:12" x14ac:dyDescent="0.3">
      <c r="D220" s="63" t="s">
        <v>258</v>
      </c>
      <c r="E220" s="45"/>
      <c r="F220" s="45"/>
      <c r="G220" s="45"/>
      <c r="H220" s="45"/>
      <c r="I220" s="45"/>
      <c r="J220" s="45"/>
      <c r="K220" s="45"/>
      <c r="L220" s="46"/>
    </row>
    <row r="221" spans="4:12" x14ac:dyDescent="0.3">
      <c r="D221" s="13" t="s">
        <v>102</v>
      </c>
      <c r="E221" s="1" t="s">
        <v>46</v>
      </c>
      <c r="F221" s="1"/>
      <c r="G221" s="1"/>
      <c r="H221" s="70">
        <v>0</v>
      </c>
      <c r="I221" s="70">
        <v>0</v>
      </c>
      <c r="J221" s="70">
        <v>0</v>
      </c>
      <c r="K221" s="70">
        <v>0</v>
      </c>
      <c r="L221" s="19">
        <v>0</v>
      </c>
    </row>
    <row r="222" spans="4:12" x14ac:dyDescent="0.3">
      <c r="D222" s="13" t="s">
        <v>104</v>
      </c>
      <c r="E222" s="1" t="s">
        <v>46</v>
      </c>
      <c r="F222" s="1"/>
      <c r="G222" s="1"/>
      <c r="H222" s="70">
        <v>0</v>
      </c>
      <c r="I222" s="70">
        <v>0</v>
      </c>
      <c r="J222" s="70">
        <v>0</v>
      </c>
      <c r="K222" s="70">
        <v>0</v>
      </c>
      <c r="L222" s="19">
        <v>0</v>
      </c>
    </row>
    <row r="223" spans="4:12" x14ac:dyDescent="0.3">
      <c r="D223" s="13" t="s">
        <v>107</v>
      </c>
      <c r="E223" s="1" t="s">
        <v>46</v>
      </c>
      <c r="F223" s="1">
        <v>1</v>
      </c>
      <c r="G223" s="1"/>
      <c r="H223" s="70">
        <f ca="1">-(H272*$F223)-(H281*(1-$F223))</f>
        <v>-0.14000000000000001</v>
      </c>
      <c r="I223" s="70">
        <f t="shared" ref="I223:L223" ca="1" si="72">-(I272*$F223)-(I281*(1-$F223))</f>
        <v>-0.14349999999999999</v>
      </c>
      <c r="J223" s="70">
        <f t="shared" ca="1" si="72"/>
        <v>-0.14708750000000001</v>
      </c>
      <c r="K223" s="70">
        <f t="shared" ca="1" si="72"/>
        <v>-0.15076468749999999</v>
      </c>
      <c r="L223" s="19">
        <f t="shared" ca="1" si="72"/>
        <v>-0.1545338046875</v>
      </c>
    </row>
    <row r="224" spans="4:12" x14ac:dyDescent="0.3">
      <c r="D224" s="13" t="s">
        <v>251</v>
      </c>
      <c r="E224" s="1" t="s">
        <v>46</v>
      </c>
      <c r="F224" s="1">
        <v>1</v>
      </c>
      <c r="G224" s="1"/>
      <c r="H224" s="70">
        <f t="shared" ref="H224:L227" ca="1" si="73">-(H273*$F224)-(H282*(1-$F224))</f>
        <v>-0.35714285714285715</v>
      </c>
      <c r="I224" s="70">
        <f t="shared" ca="1" si="73"/>
        <v>-0.38571428571428573</v>
      </c>
      <c r="J224" s="70">
        <f t="shared" ca="1" si="73"/>
        <v>-0.41542857142857148</v>
      </c>
      <c r="K224" s="70">
        <f t="shared" ca="1" si="73"/>
        <v>-0.44633142857142866</v>
      </c>
      <c r="L224" s="19">
        <f t="shared" ca="1" si="73"/>
        <v>-0.47847040000000007</v>
      </c>
    </row>
    <row r="225" spans="4:12" x14ac:dyDescent="0.3">
      <c r="D225" s="13" t="s">
        <v>252</v>
      </c>
      <c r="E225" s="1" t="s">
        <v>46</v>
      </c>
      <c r="F225" s="1">
        <v>1</v>
      </c>
      <c r="G225" s="1"/>
      <c r="H225" s="70">
        <f t="shared" ca="1" si="73"/>
        <v>-0.08</v>
      </c>
      <c r="I225" s="70">
        <f t="shared" ca="1" si="73"/>
        <v>-8.0800000000000011E-2</v>
      </c>
      <c r="J225" s="70">
        <f t="shared" ca="1" si="73"/>
        <v>-8.1608E-2</v>
      </c>
      <c r="K225" s="70">
        <f t="shared" ca="1" si="73"/>
        <v>-8.2424079999999997E-2</v>
      </c>
      <c r="L225" s="19">
        <f t="shared" ca="1" si="73"/>
        <v>-8.3248320799999997E-2</v>
      </c>
    </row>
    <row r="226" spans="4:12" x14ac:dyDescent="0.3">
      <c r="D226" s="13" t="s">
        <v>118</v>
      </c>
      <c r="E226" s="1" t="s">
        <v>46</v>
      </c>
      <c r="F226" s="1">
        <v>1</v>
      </c>
      <c r="G226" s="1"/>
      <c r="H226" s="70">
        <f t="shared" ca="1" si="73"/>
        <v>-0.21428571428571427</v>
      </c>
      <c r="I226" s="70">
        <f t="shared" ca="1" si="73"/>
        <v>-0.21428571428571427</v>
      </c>
      <c r="J226" s="70">
        <f t="shared" ca="1" si="73"/>
        <v>-0.37142857142857144</v>
      </c>
      <c r="K226" s="70">
        <f t="shared" ca="1" si="73"/>
        <v>-0.37142857142857144</v>
      </c>
      <c r="L226" s="19">
        <f t="shared" ca="1" si="73"/>
        <v>-0.58571428571428563</v>
      </c>
    </row>
    <row r="227" spans="4:12" x14ac:dyDescent="0.3">
      <c r="D227" s="13" t="s">
        <v>121</v>
      </c>
      <c r="E227" s="1" t="s">
        <v>46</v>
      </c>
      <c r="F227" s="1">
        <v>1</v>
      </c>
      <c r="G227" s="1"/>
      <c r="H227" s="70">
        <f t="shared" ca="1" si="73"/>
        <v>-0.16666666666666666</v>
      </c>
      <c r="I227" s="70">
        <f t="shared" ca="1" si="73"/>
        <v>-0.19999999999999998</v>
      </c>
      <c r="J227" s="70">
        <f t="shared" ca="1" si="73"/>
        <v>-0.2233333333333333</v>
      </c>
      <c r="K227" s="70">
        <f t="shared" ca="1" si="73"/>
        <v>-6.4666666666666664E-2</v>
      </c>
      <c r="L227" s="19">
        <f t="shared" ca="1" si="73"/>
        <v>-3.5266666666666661E-2</v>
      </c>
    </row>
    <row r="228" spans="4:12" x14ac:dyDescent="0.3">
      <c r="D228" s="13"/>
      <c r="E228" s="1"/>
      <c r="F228" s="1"/>
      <c r="G228" s="1"/>
      <c r="H228" s="70"/>
      <c r="I228" s="70"/>
      <c r="J228" s="70"/>
      <c r="K228" s="70"/>
      <c r="L228" s="19"/>
    </row>
    <row r="229" spans="4:12" x14ac:dyDescent="0.3">
      <c r="D229" s="76" t="s">
        <v>253</v>
      </c>
      <c r="E229" s="77" t="s">
        <v>46</v>
      </c>
      <c r="F229" s="77"/>
      <c r="G229" s="77"/>
      <c r="H229" s="78">
        <f t="shared" ref="H229:L229" ca="1" si="74">SUM(H221:H228)</f>
        <v>-0.95809523809523811</v>
      </c>
      <c r="I229" s="78">
        <f t="shared" ca="1" si="74"/>
        <v>-1.0243</v>
      </c>
      <c r="J229" s="78">
        <f t="shared" ca="1" si="74"/>
        <v>-1.2388859761904765</v>
      </c>
      <c r="K229" s="78">
        <f t="shared" ca="1" si="74"/>
        <v>-1.1156154341666666</v>
      </c>
      <c r="L229" s="79">
        <f t="shared" ca="1" si="74"/>
        <v>-1.3372334778684523</v>
      </c>
    </row>
    <row r="231" spans="4:12" x14ac:dyDescent="0.3">
      <c r="D231" s="63" t="s">
        <v>259</v>
      </c>
      <c r="E231" s="45"/>
      <c r="F231" s="45"/>
      <c r="G231" s="45"/>
      <c r="H231" s="45"/>
      <c r="I231" s="45"/>
      <c r="J231" s="45"/>
      <c r="K231" s="45"/>
      <c r="L231" s="46"/>
    </row>
    <row r="232" spans="4:12" x14ac:dyDescent="0.3">
      <c r="D232" s="13" t="s">
        <v>102</v>
      </c>
      <c r="E232" s="1" t="s">
        <v>46</v>
      </c>
      <c r="F232" s="1"/>
      <c r="G232" s="1"/>
      <c r="H232" s="70">
        <f>SUM(H210,H221)</f>
        <v>0</v>
      </c>
      <c r="I232" s="70">
        <f t="shared" ref="I232:L232" si="75">SUM(I210,I221)</f>
        <v>0</v>
      </c>
      <c r="J232" s="70">
        <f t="shared" si="75"/>
        <v>0</v>
      </c>
      <c r="K232" s="70">
        <f t="shared" si="75"/>
        <v>0</v>
      </c>
      <c r="L232" s="19">
        <f t="shared" si="75"/>
        <v>0</v>
      </c>
    </row>
    <row r="233" spans="4:12" x14ac:dyDescent="0.3">
      <c r="D233" s="13" t="s">
        <v>104</v>
      </c>
      <c r="E233" s="1" t="s">
        <v>46</v>
      </c>
      <c r="F233" s="1"/>
      <c r="G233" s="1"/>
      <c r="H233" s="70">
        <f t="shared" ref="H233:L233" si="76">SUM(H211,H222)</f>
        <v>0</v>
      </c>
      <c r="I233" s="70">
        <f t="shared" si="76"/>
        <v>0</v>
      </c>
      <c r="J233" s="70">
        <f t="shared" si="76"/>
        <v>0</v>
      </c>
      <c r="K233" s="70">
        <f t="shared" si="76"/>
        <v>0</v>
      </c>
      <c r="L233" s="19">
        <f t="shared" si="76"/>
        <v>0</v>
      </c>
    </row>
    <row r="234" spans="4:12" x14ac:dyDescent="0.3">
      <c r="D234" s="13" t="s">
        <v>107</v>
      </c>
      <c r="E234" s="1" t="s">
        <v>46</v>
      </c>
      <c r="F234" s="1"/>
      <c r="G234" s="1"/>
      <c r="H234" s="70">
        <f t="shared" ref="H234:L234" ca="1" si="77">SUM(H212,H223)</f>
        <v>-0.14000000000000001</v>
      </c>
      <c r="I234" s="70">
        <f t="shared" ca="1" si="77"/>
        <v>-0.28349999999999997</v>
      </c>
      <c r="J234" s="70">
        <f t="shared" ca="1" si="77"/>
        <v>-0.43058750000000001</v>
      </c>
      <c r="K234" s="70">
        <f t="shared" ca="1" si="77"/>
        <v>-0.58135218750000006</v>
      </c>
      <c r="L234" s="19">
        <f t="shared" ca="1" si="77"/>
        <v>-0.73588599218750006</v>
      </c>
    </row>
    <row r="235" spans="4:12" x14ac:dyDescent="0.3">
      <c r="D235" s="13" t="s">
        <v>251</v>
      </c>
      <c r="E235" s="1" t="s">
        <v>46</v>
      </c>
      <c r="F235" s="1"/>
      <c r="G235" s="1"/>
      <c r="H235" s="70">
        <f t="shared" ref="H235:L235" ca="1" si="78">SUM(H213,H224)</f>
        <v>-0.35714285714285715</v>
      </c>
      <c r="I235" s="70">
        <f t="shared" ca="1" si="78"/>
        <v>-0.74285714285714288</v>
      </c>
      <c r="J235" s="70">
        <f t="shared" ca="1" si="78"/>
        <v>-1.1582857142857144</v>
      </c>
      <c r="K235" s="70">
        <f t="shared" ca="1" si="78"/>
        <v>-1.604617142857143</v>
      </c>
      <c r="L235" s="19">
        <f t="shared" ca="1" si="78"/>
        <v>-2.0830875428571431</v>
      </c>
    </row>
    <row r="236" spans="4:12" x14ac:dyDescent="0.3">
      <c r="D236" s="13" t="s">
        <v>252</v>
      </c>
      <c r="E236" s="1" t="s">
        <v>46</v>
      </c>
      <c r="F236" s="1"/>
      <c r="G236" s="1"/>
      <c r="H236" s="70">
        <f t="shared" ref="H236:L236" ca="1" si="79">SUM(H214,H225)</f>
        <v>-0.08</v>
      </c>
      <c r="I236" s="70">
        <f t="shared" ca="1" si="79"/>
        <v>-0.1608</v>
      </c>
      <c r="J236" s="70">
        <f t="shared" ca="1" si="79"/>
        <v>-0.24240800000000001</v>
      </c>
      <c r="K236" s="70">
        <f t="shared" ca="1" si="79"/>
        <v>-0.32483208000000002</v>
      </c>
      <c r="L236" s="19">
        <f t="shared" ca="1" si="79"/>
        <v>-0.40808040080000002</v>
      </c>
    </row>
    <row r="237" spans="4:12" x14ac:dyDescent="0.3">
      <c r="D237" s="13" t="s">
        <v>118</v>
      </c>
      <c r="E237" s="1" t="s">
        <v>46</v>
      </c>
      <c r="F237" s="1"/>
      <c r="G237" s="1"/>
      <c r="H237" s="70">
        <f t="shared" ref="H237:L238" ca="1" si="80">SUM(H215,H226)</f>
        <v>-0.21428571428571427</v>
      </c>
      <c r="I237" s="70">
        <f t="shared" ca="1" si="80"/>
        <v>-0.42857142857142855</v>
      </c>
      <c r="J237" s="70">
        <f t="shared" ca="1" si="80"/>
        <v>-0.8</v>
      </c>
      <c r="K237" s="70">
        <f t="shared" ca="1" si="80"/>
        <v>-1.1714285714285715</v>
      </c>
      <c r="L237" s="19">
        <f t="shared" ca="1" si="80"/>
        <v>-1.7571428571428571</v>
      </c>
    </row>
    <row r="238" spans="4:12" x14ac:dyDescent="0.3">
      <c r="D238" s="13" t="s">
        <v>121</v>
      </c>
      <c r="E238" s="1" t="s">
        <v>46</v>
      </c>
      <c r="F238" s="1"/>
      <c r="G238" s="1"/>
      <c r="H238" s="70">
        <f ca="1">SUM(H216,H227)</f>
        <v>-0.16666666666666666</v>
      </c>
      <c r="I238" s="70">
        <f t="shared" ca="1" si="80"/>
        <v>-0.36666666666666664</v>
      </c>
      <c r="J238" s="70">
        <f t="shared" ca="1" si="80"/>
        <v>-0.59</v>
      </c>
      <c r="K238" s="70">
        <f t="shared" ca="1" si="80"/>
        <v>-0.65466666666666662</v>
      </c>
      <c r="L238" s="19">
        <f t="shared" ca="1" si="80"/>
        <v>-0.68993333333333329</v>
      </c>
    </row>
    <row r="239" spans="4:12" x14ac:dyDescent="0.3">
      <c r="D239" s="13"/>
      <c r="E239" s="1"/>
      <c r="F239" s="1"/>
      <c r="G239" s="1"/>
      <c r="H239" s="70"/>
      <c r="I239" s="70"/>
      <c r="J239" s="70"/>
      <c r="K239" s="70"/>
      <c r="L239" s="19"/>
    </row>
    <row r="240" spans="4:12" x14ac:dyDescent="0.3">
      <c r="D240" s="76" t="s">
        <v>253</v>
      </c>
      <c r="E240" s="77" t="s">
        <v>46</v>
      </c>
      <c r="F240" s="77"/>
      <c r="G240" s="77"/>
      <c r="H240" s="78">
        <f ca="1">SUM(H232:H238)</f>
        <v>-0.95809523809523811</v>
      </c>
      <c r="I240" s="78">
        <f t="shared" ref="I240:L240" ca="1" si="81">SUM(I232:I238)</f>
        <v>-1.9823952380952383</v>
      </c>
      <c r="J240" s="78">
        <f t="shared" ca="1" si="81"/>
        <v>-3.2212812142857143</v>
      </c>
      <c r="K240" s="78">
        <f t="shared" ca="1" si="81"/>
        <v>-4.336896648452381</v>
      </c>
      <c r="L240" s="79">
        <f t="shared" ca="1" si="81"/>
        <v>-5.6741301263208337</v>
      </c>
    </row>
    <row r="242" spans="4:12" x14ac:dyDescent="0.3">
      <c r="D242" s="44" t="s">
        <v>260</v>
      </c>
    </row>
    <row r="244" spans="4:12" x14ac:dyDescent="0.3">
      <c r="D244" s="63" t="s">
        <v>261</v>
      </c>
      <c r="E244" s="45"/>
      <c r="F244" s="45"/>
      <c r="G244" s="45"/>
      <c r="H244" s="45"/>
      <c r="I244" s="45"/>
      <c r="J244" s="45"/>
      <c r="K244" s="45"/>
      <c r="L244" s="46"/>
    </row>
    <row r="245" spans="4:12" x14ac:dyDescent="0.3">
      <c r="D245" s="13" t="s">
        <v>102</v>
      </c>
      <c r="E245" s="1" t="s">
        <v>46</v>
      </c>
      <c r="F245" s="1"/>
      <c r="G245" s="1"/>
      <c r="H245" s="70">
        <f t="shared" ref="H245:L245" si="82">SUM(H175,H210)</f>
        <v>0</v>
      </c>
      <c r="I245" s="70">
        <f t="shared" si="82"/>
        <v>20</v>
      </c>
      <c r="J245" s="70">
        <f t="shared" si="82"/>
        <v>20</v>
      </c>
      <c r="K245" s="70">
        <f t="shared" si="82"/>
        <v>20</v>
      </c>
      <c r="L245" s="19">
        <f t="shared" si="82"/>
        <v>20</v>
      </c>
    </row>
    <row r="246" spans="4:12" x14ac:dyDescent="0.3">
      <c r="D246" s="13" t="s">
        <v>104</v>
      </c>
      <c r="E246" s="1" t="s">
        <v>46</v>
      </c>
      <c r="F246" s="1"/>
      <c r="G246" s="1"/>
      <c r="H246" s="70">
        <f t="shared" ref="H246:L246" si="83">SUM(H176,H211)</f>
        <v>0</v>
      </c>
      <c r="I246" s="70">
        <f t="shared" si="83"/>
        <v>1</v>
      </c>
      <c r="J246" s="70">
        <f t="shared" si="83"/>
        <v>1.1000000000000001</v>
      </c>
      <c r="K246" s="70">
        <f t="shared" si="83"/>
        <v>1.2100000000000002</v>
      </c>
      <c r="L246" s="19">
        <f t="shared" si="83"/>
        <v>1.3310000000000002</v>
      </c>
    </row>
    <row r="247" spans="4:12" x14ac:dyDescent="0.3">
      <c r="D247" s="13" t="s">
        <v>107</v>
      </c>
      <c r="E247" s="1" t="s">
        <v>46</v>
      </c>
      <c r="F247" s="1"/>
      <c r="G247" s="1"/>
      <c r="H247" s="70">
        <f t="shared" ref="H247:L247" si="84">SUM(H177,H212)</f>
        <v>0</v>
      </c>
      <c r="I247" s="70">
        <f t="shared" ca="1" si="84"/>
        <v>3.36</v>
      </c>
      <c r="J247" s="70">
        <f t="shared" ca="1" si="84"/>
        <v>3.3039999999999998</v>
      </c>
      <c r="K247" s="70">
        <f t="shared" ca="1" si="84"/>
        <v>3.2465999999999999</v>
      </c>
      <c r="L247" s="19">
        <f t="shared" ca="1" si="84"/>
        <v>3.1877649999999997</v>
      </c>
    </row>
    <row r="248" spans="4:12" x14ac:dyDescent="0.3">
      <c r="D248" s="13" t="s">
        <v>251</v>
      </c>
      <c r="E248" s="1" t="s">
        <v>46</v>
      </c>
      <c r="F248" s="1"/>
      <c r="G248" s="1"/>
      <c r="H248" s="70">
        <f t="shared" ref="H248:L248" si="85">SUM(H178,H213)</f>
        <v>0</v>
      </c>
      <c r="I248" s="70">
        <f t="shared" ca="1" si="85"/>
        <v>2.1428571428571428</v>
      </c>
      <c r="J248" s="70">
        <f t="shared" ca="1" si="85"/>
        <v>1.9571428571428573</v>
      </c>
      <c r="K248" s="70">
        <f t="shared" ca="1" si="85"/>
        <v>1.749714285714286</v>
      </c>
      <c r="L248" s="19">
        <f t="shared" ca="1" si="85"/>
        <v>1.5197028571428575</v>
      </c>
    </row>
    <row r="249" spans="4:12" x14ac:dyDescent="0.3">
      <c r="D249" s="13" t="s">
        <v>252</v>
      </c>
      <c r="E249" s="1" t="s">
        <v>46</v>
      </c>
      <c r="F249" s="1"/>
      <c r="G249" s="1"/>
      <c r="H249" s="70">
        <f t="shared" ref="H249:L249" si="86">SUM(H179,H214)</f>
        <v>0</v>
      </c>
      <c r="I249" s="70">
        <f t="shared" ca="1" si="86"/>
        <v>0.72000000000000008</v>
      </c>
      <c r="J249" s="70">
        <f t="shared" ca="1" si="86"/>
        <v>0.6472</v>
      </c>
      <c r="K249" s="70">
        <f t="shared" ca="1" si="86"/>
        <v>0.57367199999999996</v>
      </c>
      <c r="L249" s="19">
        <f t="shared" ca="1" si="86"/>
        <v>0.49940871999999997</v>
      </c>
    </row>
    <row r="250" spans="4:12" x14ac:dyDescent="0.3">
      <c r="D250" s="13" t="s">
        <v>118</v>
      </c>
      <c r="E250" s="1" t="s">
        <v>46</v>
      </c>
      <c r="F250" s="1"/>
      <c r="G250" s="1"/>
      <c r="H250" s="70">
        <f t="shared" ref="H250:L250" si="87">SUM(H180,H215)</f>
        <v>0</v>
      </c>
      <c r="I250" s="70">
        <f t="shared" ca="1" si="87"/>
        <v>1.2857142857142858</v>
      </c>
      <c r="J250" s="70">
        <f t="shared" ca="1" si="87"/>
        <v>1.0714285714285714</v>
      </c>
      <c r="K250" s="70">
        <f t="shared" ca="1" si="87"/>
        <v>1.8</v>
      </c>
      <c r="L250" s="19">
        <f t="shared" ca="1" si="87"/>
        <v>1.4285714285714286</v>
      </c>
    </row>
    <row r="251" spans="4:12" x14ac:dyDescent="0.3">
      <c r="D251" s="13" t="s">
        <v>121</v>
      </c>
      <c r="E251" s="1" t="s">
        <v>46</v>
      </c>
      <c r="F251" s="1"/>
      <c r="G251" s="1"/>
      <c r="H251" s="70">
        <f t="shared" ref="H251:L251" si="88">SUM(H181,H216)</f>
        <v>0</v>
      </c>
      <c r="I251" s="70">
        <f t="shared" ca="1" si="88"/>
        <v>0.33333333333333337</v>
      </c>
      <c r="J251" s="70">
        <f t="shared" ca="1" si="88"/>
        <v>0.23333333333333334</v>
      </c>
      <c r="K251" s="70">
        <f t="shared" ca="1" si="88"/>
        <v>7.999999999999996E-2</v>
      </c>
      <c r="L251" s="19">
        <f t="shared" ca="1" si="88"/>
        <v>3.9333333333333331E-2</v>
      </c>
    </row>
    <row r="252" spans="4:12" x14ac:dyDescent="0.3">
      <c r="D252" s="13"/>
      <c r="E252" s="1"/>
      <c r="F252" s="1"/>
      <c r="G252" s="1"/>
      <c r="H252" s="1"/>
      <c r="I252" s="1"/>
      <c r="J252" s="1"/>
      <c r="K252" s="1"/>
      <c r="L252" s="47"/>
    </row>
    <row r="253" spans="4:12" x14ac:dyDescent="0.3">
      <c r="D253" s="76" t="s">
        <v>253</v>
      </c>
      <c r="E253" s="77" t="s">
        <v>46</v>
      </c>
      <c r="F253" s="77"/>
      <c r="G253" s="77"/>
      <c r="H253" s="78">
        <f>SUM(H245:H251)</f>
        <v>0</v>
      </c>
      <c r="I253" s="78">
        <f t="shared" ref="I253:L253" ca="1" si="89">SUM(I245:I251)</f>
        <v>28.841904761904757</v>
      </c>
      <c r="J253" s="78">
        <f t="shared" ca="1" si="89"/>
        <v>28.313104761904768</v>
      </c>
      <c r="K253" s="78">
        <f t="shared" ca="1" si="89"/>
        <v>28.659986285714286</v>
      </c>
      <c r="L253" s="79">
        <f t="shared" ca="1" si="89"/>
        <v>28.005781339047616</v>
      </c>
    </row>
    <row r="255" spans="4:12" x14ac:dyDescent="0.3">
      <c r="D255" s="63" t="s">
        <v>262</v>
      </c>
      <c r="E255" s="45"/>
      <c r="F255" s="45"/>
      <c r="G255" s="45"/>
      <c r="H255" s="45"/>
      <c r="I255" s="45"/>
      <c r="J255" s="45"/>
      <c r="K255" s="45"/>
      <c r="L255" s="46"/>
    </row>
    <row r="256" spans="4:12" x14ac:dyDescent="0.3">
      <c r="D256" s="13" t="s">
        <v>102</v>
      </c>
      <c r="E256" s="1" t="s">
        <v>46</v>
      </c>
      <c r="F256" s="1"/>
      <c r="G256" s="1"/>
      <c r="H256" s="70">
        <f t="shared" ref="H256:L256" si="90">SUM(H197,H232)</f>
        <v>20</v>
      </c>
      <c r="I256" s="70">
        <f t="shared" si="90"/>
        <v>20</v>
      </c>
      <c r="J256" s="70">
        <f t="shared" si="90"/>
        <v>20</v>
      </c>
      <c r="K256" s="70">
        <f t="shared" si="90"/>
        <v>20</v>
      </c>
      <c r="L256" s="19">
        <f t="shared" si="90"/>
        <v>20</v>
      </c>
    </row>
    <row r="257" spans="1:12" x14ac:dyDescent="0.3">
      <c r="D257" s="13" t="s">
        <v>104</v>
      </c>
      <c r="E257" s="1" t="s">
        <v>46</v>
      </c>
      <c r="F257" s="1"/>
      <c r="G257" s="1"/>
      <c r="H257" s="70">
        <f t="shared" ref="H257:L257" si="91">SUM(H198,H233)</f>
        <v>1</v>
      </c>
      <c r="I257" s="70">
        <f t="shared" si="91"/>
        <v>1.1000000000000001</v>
      </c>
      <c r="J257" s="70">
        <f t="shared" si="91"/>
        <v>1.2100000000000002</v>
      </c>
      <c r="K257" s="70">
        <f t="shared" si="91"/>
        <v>1.3310000000000002</v>
      </c>
      <c r="L257" s="19">
        <f t="shared" si="91"/>
        <v>1.4641000000000002</v>
      </c>
    </row>
    <row r="258" spans="1:12" x14ac:dyDescent="0.3">
      <c r="D258" s="13" t="s">
        <v>107</v>
      </c>
      <c r="E258" s="1" t="s">
        <v>46</v>
      </c>
      <c r="F258" s="1"/>
      <c r="G258" s="1"/>
      <c r="H258" s="70">
        <f t="shared" ref="H258:L258" ca="1" si="92">SUM(H199,H234)</f>
        <v>3.36</v>
      </c>
      <c r="I258" s="70">
        <f t="shared" ca="1" si="92"/>
        <v>3.3039999999999998</v>
      </c>
      <c r="J258" s="70">
        <f t="shared" ca="1" si="92"/>
        <v>3.2465999999999999</v>
      </c>
      <c r="K258" s="70">
        <f t="shared" ca="1" si="92"/>
        <v>3.1877649999999997</v>
      </c>
      <c r="L258" s="19">
        <f t="shared" ca="1" si="92"/>
        <v>3.1274591249999997</v>
      </c>
    </row>
    <row r="259" spans="1:12" x14ac:dyDescent="0.3">
      <c r="D259" s="13" t="s">
        <v>251</v>
      </c>
      <c r="E259" s="1" t="s">
        <v>46</v>
      </c>
      <c r="F259" s="1"/>
      <c r="G259" s="1"/>
      <c r="H259" s="70">
        <f t="shared" ref="H259:L259" ca="1" si="93">SUM(H200,H235)</f>
        <v>2.1428571428571428</v>
      </c>
      <c r="I259" s="70">
        <f t="shared" ca="1" si="93"/>
        <v>1.9571428571428573</v>
      </c>
      <c r="J259" s="70">
        <f t="shared" ca="1" si="93"/>
        <v>1.749714285714286</v>
      </c>
      <c r="K259" s="70">
        <f t="shared" ca="1" si="93"/>
        <v>1.5197028571428575</v>
      </c>
      <c r="L259" s="19">
        <f t="shared" ca="1" si="93"/>
        <v>1.2662052571428575</v>
      </c>
    </row>
    <row r="260" spans="1:12" x14ac:dyDescent="0.3">
      <c r="D260" s="13" t="s">
        <v>252</v>
      </c>
      <c r="E260" s="1" t="s">
        <v>46</v>
      </c>
      <c r="F260" s="1"/>
      <c r="G260" s="1"/>
      <c r="H260" s="70">
        <f t="shared" ref="H260:L260" ca="1" si="94">SUM(H201,H236)</f>
        <v>0.72000000000000008</v>
      </c>
      <c r="I260" s="70">
        <f t="shared" ca="1" si="94"/>
        <v>0.6472</v>
      </c>
      <c r="J260" s="70">
        <f t="shared" ca="1" si="94"/>
        <v>0.57367199999999996</v>
      </c>
      <c r="K260" s="70">
        <f t="shared" ca="1" si="94"/>
        <v>0.49940871999999997</v>
      </c>
      <c r="L260" s="19">
        <f t="shared" ca="1" si="94"/>
        <v>0.42440280719999995</v>
      </c>
    </row>
    <row r="261" spans="1:12" x14ac:dyDescent="0.3">
      <c r="D261" s="13" t="s">
        <v>118</v>
      </c>
      <c r="E261" s="1" t="s">
        <v>46</v>
      </c>
      <c r="F261" s="1"/>
      <c r="G261" s="1"/>
      <c r="H261" s="70">
        <f t="shared" ref="H261:L261" ca="1" si="95">SUM(H202,H237)</f>
        <v>1.2857142857142858</v>
      </c>
      <c r="I261" s="70">
        <f t="shared" ca="1" si="95"/>
        <v>1.0714285714285714</v>
      </c>
      <c r="J261" s="70">
        <f t="shared" ca="1" si="95"/>
        <v>1.8</v>
      </c>
      <c r="K261" s="70">
        <f t="shared" ca="1" si="95"/>
        <v>1.4285714285714286</v>
      </c>
      <c r="L261" s="19">
        <f t="shared" ca="1" si="95"/>
        <v>2.3428571428571425</v>
      </c>
    </row>
    <row r="262" spans="1:12" x14ac:dyDescent="0.3">
      <c r="D262" s="13" t="s">
        <v>121</v>
      </c>
      <c r="E262" s="1" t="s">
        <v>46</v>
      </c>
      <c r="F262" s="1"/>
      <c r="G262" s="1"/>
      <c r="H262" s="70">
        <f t="shared" ref="H262:L262" ca="1" si="96">SUM(H203,H238)</f>
        <v>0.33333333333333337</v>
      </c>
      <c r="I262" s="70">
        <f t="shared" ca="1" si="96"/>
        <v>0.23333333333333334</v>
      </c>
      <c r="J262" s="70">
        <f t="shared" ca="1" si="96"/>
        <v>7.999999999999996E-2</v>
      </c>
      <c r="K262" s="70">
        <f t="shared" ca="1" si="96"/>
        <v>3.9333333333333331E-2</v>
      </c>
      <c r="L262" s="19">
        <f t="shared" ca="1" si="96"/>
        <v>1.5866666666666696E-2</v>
      </c>
    </row>
    <row r="263" spans="1:12" x14ac:dyDescent="0.3">
      <c r="D263" s="13"/>
      <c r="E263" s="1"/>
      <c r="F263" s="1"/>
      <c r="G263" s="1"/>
      <c r="H263" s="1"/>
      <c r="I263" s="1"/>
      <c r="J263" s="1"/>
      <c r="K263" s="1"/>
      <c r="L263" s="47"/>
    </row>
    <row r="264" spans="1:12" x14ac:dyDescent="0.3">
      <c r="D264" s="76" t="s">
        <v>253</v>
      </c>
      <c r="E264" s="77" t="s">
        <v>46</v>
      </c>
      <c r="F264" s="77"/>
      <c r="G264" s="77"/>
      <c r="H264" s="78">
        <f ca="1">SUM(H256:H262)</f>
        <v>28.841904761904757</v>
      </c>
      <c r="I264" s="78">
        <f t="shared" ref="I264:L264" ca="1" si="97">SUM(I256:I262)</f>
        <v>28.313104761904768</v>
      </c>
      <c r="J264" s="78">
        <f t="shared" ca="1" si="97"/>
        <v>28.659986285714286</v>
      </c>
      <c r="K264" s="78">
        <f t="shared" ca="1" si="97"/>
        <v>28.005781339047616</v>
      </c>
      <c r="L264" s="79">
        <f t="shared" ca="1" si="97"/>
        <v>28.64089099886667</v>
      </c>
    </row>
    <row r="267" spans="1:12" s="135" customFormat="1" x14ac:dyDescent="0.3">
      <c r="A267" s="135" t="s">
        <v>263</v>
      </c>
    </row>
    <row r="269" spans="1:12" x14ac:dyDescent="0.3">
      <c r="D269" s="44" t="s">
        <v>127</v>
      </c>
    </row>
    <row r="271" spans="1:12" x14ac:dyDescent="0.3">
      <c r="D271" s="63" t="s">
        <v>264</v>
      </c>
      <c r="E271" s="45"/>
      <c r="F271" s="45"/>
      <c r="G271" s="45"/>
      <c r="H271" s="45"/>
      <c r="I271" s="45"/>
      <c r="J271" s="45"/>
      <c r="K271" s="45"/>
      <c r="L271" s="46"/>
    </row>
    <row r="272" spans="1:12" x14ac:dyDescent="0.3">
      <c r="C272" s="35">
        <f>Inputs!F156</f>
        <v>0</v>
      </c>
      <c r="D272" s="13" t="s">
        <v>107</v>
      </c>
      <c r="E272" s="1" t="s">
        <v>46</v>
      </c>
      <c r="F272" s="1">
        <f>IF(Inputs!E156=0,0,ROUND((1-Inputs!F156)/Inputs!E156,0))</f>
        <v>25</v>
      </c>
      <c r="G272" s="1"/>
      <c r="H272" s="70">
        <f ca="1">IF($F272=0,0,SUM(OFFSET(H188,0,0,1,-MIN(H$3,$F272)))*(1-$C272)/$F272)</f>
        <v>0.14000000000000001</v>
      </c>
      <c r="I272" s="70">
        <f t="shared" ref="I272:L272" ca="1" si="98">IF($F272=0,0,SUM(OFFSET(I188,0,0,1,-MIN(I$3,$F272)))*(1-$C272)/$F272)</f>
        <v>0.14349999999999999</v>
      </c>
      <c r="J272" s="70">
        <f t="shared" ca="1" si="98"/>
        <v>0.14708750000000001</v>
      </c>
      <c r="K272" s="70">
        <f t="shared" ca="1" si="98"/>
        <v>0.15076468749999999</v>
      </c>
      <c r="L272" s="19">
        <f t="shared" ca="1" si="98"/>
        <v>0.1545338046875</v>
      </c>
    </row>
    <row r="273" spans="3:12" x14ac:dyDescent="0.3">
      <c r="C273" s="35">
        <f>Inputs!F157</f>
        <v>0</v>
      </c>
      <c r="D273" s="13" t="s">
        <v>251</v>
      </c>
      <c r="E273" s="1" t="s">
        <v>46</v>
      </c>
      <c r="F273" s="1">
        <f>IF(Inputs!E157=0,0,ROUND((1-Inputs!F157)/Inputs!E157,0))</f>
        <v>7</v>
      </c>
      <c r="G273" s="1"/>
      <c r="H273" s="70">
        <f t="shared" ref="H273:L273" ca="1" si="99">IF($F273=0,0,SUM(OFFSET(H189,0,0,1,-MIN(H$3,$F273)))*(1-$C273)/$F273)</f>
        <v>0.35714285714285715</v>
      </c>
      <c r="I273" s="70">
        <f t="shared" ca="1" si="99"/>
        <v>0.38571428571428573</v>
      </c>
      <c r="J273" s="70">
        <f t="shared" ca="1" si="99"/>
        <v>0.41542857142857148</v>
      </c>
      <c r="K273" s="70">
        <f t="shared" ca="1" si="99"/>
        <v>0.44633142857142866</v>
      </c>
      <c r="L273" s="19">
        <f t="shared" ca="1" si="99"/>
        <v>0.47847040000000007</v>
      </c>
    </row>
    <row r="274" spans="3:12" x14ac:dyDescent="0.3">
      <c r="C274" s="35">
        <f>Inputs!F158</f>
        <v>0</v>
      </c>
      <c r="D274" s="13" t="s">
        <v>252</v>
      </c>
      <c r="E274" s="1" t="s">
        <v>46</v>
      </c>
      <c r="F274" s="1">
        <f>IF(Inputs!E158=0,0,ROUND((1-Inputs!F158)/Inputs!E158,0))</f>
        <v>10</v>
      </c>
      <c r="G274" s="1"/>
      <c r="H274" s="70">
        <f t="shared" ref="H274:L274" ca="1" si="100">IF($F274=0,0,SUM(OFFSET(H190,0,0,1,-MIN(H$3,$F274)))*(1-$C274)/$F274)</f>
        <v>0.08</v>
      </c>
      <c r="I274" s="70">
        <f t="shared" ca="1" si="100"/>
        <v>8.0800000000000011E-2</v>
      </c>
      <c r="J274" s="70">
        <f t="shared" ca="1" si="100"/>
        <v>8.1608E-2</v>
      </c>
      <c r="K274" s="70">
        <f t="shared" ca="1" si="100"/>
        <v>8.2424079999999997E-2</v>
      </c>
      <c r="L274" s="19">
        <f t="shared" ca="1" si="100"/>
        <v>8.3248320799999997E-2</v>
      </c>
    </row>
    <row r="275" spans="3:12" x14ac:dyDescent="0.3">
      <c r="C275" s="35">
        <f>Inputs!F159</f>
        <v>0</v>
      </c>
      <c r="D275" s="13" t="s">
        <v>118</v>
      </c>
      <c r="E275" s="1" t="s">
        <v>46</v>
      </c>
      <c r="F275" s="1">
        <f>IF(Inputs!E159=0,0,ROUND((1-Inputs!F159)/Inputs!E159,0))</f>
        <v>7</v>
      </c>
      <c r="G275" s="1"/>
      <c r="H275" s="70">
        <f t="shared" ref="H275:L275" ca="1" si="101">IF($F275=0,0,SUM(OFFSET(H191,0,0,1,-MIN(H$3,$F275)))*(1-$C275)/$F275)</f>
        <v>0.21428571428571427</v>
      </c>
      <c r="I275" s="70">
        <f t="shared" ca="1" si="101"/>
        <v>0.21428571428571427</v>
      </c>
      <c r="J275" s="70">
        <f t="shared" ca="1" si="101"/>
        <v>0.37142857142857144</v>
      </c>
      <c r="K275" s="70">
        <f t="shared" ca="1" si="101"/>
        <v>0.37142857142857144</v>
      </c>
      <c r="L275" s="19">
        <f t="shared" ca="1" si="101"/>
        <v>0.58571428571428563</v>
      </c>
    </row>
    <row r="276" spans="3:12" x14ac:dyDescent="0.3">
      <c r="C276" s="35">
        <f>Inputs!F160</f>
        <v>0</v>
      </c>
      <c r="D276" s="13" t="s">
        <v>121</v>
      </c>
      <c r="E276" s="1" t="s">
        <v>46</v>
      </c>
      <c r="F276" s="1">
        <f>IF(Inputs!E160=0,0,ROUND((1-Inputs!F160)/Inputs!E160,0))</f>
        <v>3</v>
      </c>
      <c r="G276" s="1"/>
      <c r="H276" s="70">
        <f t="shared" ref="H276:L276" ca="1" si="102">IF($F276=0,0,SUM(OFFSET(H192,0,0,1,-MIN(H$3,$F276)))*(1-$C276)/$F276)</f>
        <v>0.16666666666666666</v>
      </c>
      <c r="I276" s="70">
        <f t="shared" ca="1" si="102"/>
        <v>0.19999999999999998</v>
      </c>
      <c r="J276" s="70">
        <f t="shared" ca="1" si="102"/>
        <v>0.2233333333333333</v>
      </c>
      <c r="K276" s="70">
        <f t="shared" ca="1" si="102"/>
        <v>6.4666666666666664E-2</v>
      </c>
      <c r="L276" s="19">
        <f t="shared" ca="1" si="102"/>
        <v>3.5266666666666661E-2</v>
      </c>
    </row>
    <row r="277" spans="3:12" x14ac:dyDescent="0.3">
      <c r="D277" s="13"/>
      <c r="E277" s="1"/>
      <c r="F277" s="1"/>
      <c r="G277" s="1"/>
      <c r="H277" s="1"/>
      <c r="I277" s="1"/>
      <c r="J277" s="1"/>
      <c r="K277" s="1"/>
      <c r="L277" s="47"/>
    </row>
    <row r="278" spans="3:12" x14ac:dyDescent="0.3">
      <c r="D278" s="76" t="s">
        <v>253</v>
      </c>
      <c r="E278" s="77" t="s">
        <v>46</v>
      </c>
      <c r="F278" s="77"/>
      <c r="G278" s="77"/>
      <c r="H278" s="78">
        <f t="shared" ref="H278:L278" ca="1" si="103">SUM(H272:H277)</f>
        <v>0.95809523809523811</v>
      </c>
      <c r="I278" s="78">
        <f t="shared" ca="1" si="103"/>
        <v>1.0243</v>
      </c>
      <c r="J278" s="78">
        <f t="shared" ca="1" si="103"/>
        <v>1.2388859761904765</v>
      </c>
      <c r="K278" s="78">
        <f t="shared" ca="1" si="103"/>
        <v>1.1156154341666666</v>
      </c>
      <c r="L278" s="79">
        <f t="shared" ca="1" si="103"/>
        <v>1.3372334778684523</v>
      </c>
    </row>
    <row r="280" spans="3:12" x14ac:dyDescent="0.3">
      <c r="D280" s="63" t="s">
        <v>265</v>
      </c>
      <c r="E280" s="45"/>
      <c r="F280" s="45"/>
      <c r="G280" s="45"/>
      <c r="H280" s="45"/>
      <c r="I280" s="45"/>
      <c r="J280" s="45"/>
      <c r="K280" s="45"/>
      <c r="L280" s="46"/>
    </row>
    <row r="281" spans="3:12" x14ac:dyDescent="0.3">
      <c r="D281" s="13" t="s">
        <v>107</v>
      </c>
      <c r="E281" s="1" t="s">
        <v>46</v>
      </c>
      <c r="F281" s="85">
        <f>Inputs!G156</f>
        <v>0.04</v>
      </c>
      <c r="G281" s="1"/>
      <c r="H281" s="70">
        <f>SUM(H247+H188)*$F281</f>
        <v>0.14000000000000001</v>
      </c>
      <c r="I281" s="70">
        <f t="shared" ref="I281:L281" ca="1" si="104">SUM(I247+I188)*$F281</f>
        <v>0.13789999999999999</v>
      </c>
      <c r="J281" s="70">
        <f t="shared" ca="1" si="104"/>
        <v>0.13574749999999999</v>
      </c>
      <c r="K281" s="70">
        <f t="shared" ca="1" si="104"/>
        <v>0.13354118749999999</v>
      </c>
      <c r="L281" s="19">
        <f t="shared" ca="1" si="104"/>
        <v>0.13127971718749998</v>
      </c>
    </row>
    <row r="282" spans="3:12" x14ac:dyDescent="0.3">
      <c r="D282" s="13" t="s">
        <v>251</v>
      </c>
      <c r="E282" s="1" t="s">
        <v>46</v>
      </c>
      <c r="F282" s="85">
        <f>Inputs!G157</f>
        <v>0.15</v>
      </c>
      <c r="G282" s="1"/>
      <c r="H282" s="70">
        <f t="shared" ref="H282:L282" si="105">SUM(H248+H189)*$F282</f>
        <v>0.375</v>
      </c>
      <c r="I282" s="70">
        <f t="shared" ca="1" si="105"/>
        <v>0.35142857142857142</v>
      </c>
      <c r="J282" s="70">
        <f t="shared" ca="1" si="105"/>
        <v>0.3247714285714286</v>
      </c>
      <c r="K282" s="70">
        <f t="shared" ca="1" si="105"/>
        <v>0.29490514285714292</v>
      </c>
      <c r="L282" s="19">
        <f t="shared" ca="1" si="105"/>
        <v>0.26170134857142863</v>
      </c>
    </row>
    <row r="283" spans="3:12" x14ac:dyDescent="0.3">
      <c r="D283" s="13" t="s">
        <v>252</v>
      </c>
      <c r="E283" s="1" t="s">
        <v>46</v>
      </c>
      <c r="F283" s="85">
        <f>Inputs!G158</f>
        <v>0.1</v>
      </c>
      <c r="G283" s="1"/>
      <c r="H283" s="70">
        <f t="shared" ref="H283:L283" si="106">SUM(H249+H190)*$F283</f>
        <v>8.0000000000000016E-2</v>
      </c>
      <c r="I283" s="70">
        <f t="shared" ca="1" si="106"/>
        <v>7.2800000000000017E-2</v>
      </c>
      <c r="J283" s="70">
        <f t="shared" ca="1" si="106"/>
        <v>6.5528000000000003E-2</v>
      </c>
      <c r="K283" s="70">
        <f t="shared" ca="1" si="106"/>
        <v>5.8183279999999997E-2</v>
      </c>
      <c r="L283" s="19">
        <f t="shared" ca="1" si="106"/>
        <v>5.0765112800000005E-2</v>
      </c>
    </row>
    <row r="284" spans="3:12" x14ac:dyDescent="0.3">
      <c r="D284" s="13" t="s">
        <v>118</v>
      </c>
      <c r="E284" s="1" t="s">
        <v>46</v>
      </c>
      <c r="F284" s="85">
        <f>Inputs!G159</f>
        <v>0.15</v>
      </c>
      <c r="G284" s="1"/>
      <c r="H284" s="70">
        <f t="shared" ref="H284:L284" si="107">SUM(H250+H191)*$F284</f>
        <v>0.22499999999999998</v>
      </c>
      <c r="I284" s="70">
        <f t="shared" ca="1" si="107"/>
        <v>0.19285714285714287</v>
      </c>
      <c r="J284" s="70">
        <f t="shared" ca="1" si="107"/>
        <v>0.32571428571428573</v>
      </c>
      <c r="K284" s="70">
        <f t="shared" ca="1" si="107"/>
        <v>0.27</v>
      </c>
      <c r="L284" s="19">
        <f t="shared" ca="1" si="107"/>
        <v>0.43928571428571433</v>
      </c>
    </row>
    <row r="285" spans="3:12" x14ac:dyDescent="0.3">
      <c r="D285" s="13" t="s">
        <v>121</v>
      </c>
      <c r="E285" s="1" t="s">
        <v>46</v>
      </c>
      <c r="F285" s="85">
        <f>Inputs!G160</f>
        <v>0.3</v>
      </c>
      <c r="G285" s="1"/>
      <c r="H285" s="70">
        <f t="shared" ref="H285:L285" si="108">SUM(H251+H192)*$F285</f>
        <v>0.15</v>
      </c>
      <c r="I285" s="70">
        <f t="shared" ca="1" si="108"/>
        <v>0.13</v>
      </c>
      <c r="J285" s="70">
        <f t="shared" ca="1" si="108"/>
        <v>9.0999999999999998E-2</v>
      </c>
      <c r="K285" s="70">
        <f t="shared" ca="1" si="108"/>
        <v>3.1199999999999985E-2</v>
      </c>
      <c r="L285" s="19">
        <f t="shared" ca="1" si="108"/>
        <v>1.5339999999999998E-2</v>
      </c>
    </row>
    <row r="286" spans="3:12" x14ac:dyDescent="0.3">
      <c r="D286" s="13"/>
      <c r="E286" s="1"/>
      <c r="F286" s="1"/>
      <c r="G286" s="1"/>
      <c r="H286" s="1"/>
      <c r="I286" s="1"/>
      <c r="J286" s="1"/>
      <c r="K286" s="1"/>
      <c r="L286" s="47"/>
    </row>
    <row r="287" spans="3:12" x14ac:dyDescent="0.3">
      <c r="D287" s="76" t="s">
        <v>253</v>
      </c>
      <c r="E287" s="77" t="s">
        <v>46</v>
      </c>
      <c r="F287" s="77"/>
      <c r="G287" s="77"/>
      <c r="H287" s="78">
        <f>SUM(H281:H285)</f>
        <v>0.97</v>
      </c>
      <c r="I287" s="78">
        <f t="shared" ref="I287:L287" ca="1" si="109">SUM(I281:I285)</f>
        <v>0.88498571428571426</v>
      </c>
      <c r="J287" s="78">
        <f t="shared" ca="1" si="109"/>
        <v>0.94276121428571436</v>
      </c>
      <c r="K287" s="78">
        <f t="shared" ca="1" si="109"/>
        <v>0.78782961035714294</v>
      </c>
      <c r="L287" s="79">
        <f t="shared" ca="1" si="109"/>
        <v>0.89837189284464303</v>
      </c>
    </row>
    <row r="289" spans="4:12" x14ac:dyDescent="0.3">
      <c r="D289" s="44" t="s">
        <v>266</v>
      </c>
    </row>
    <row r="291" spans="4:12" x14ac:dyDescent="0.3">
      <c r="D291" s="63" t="s">
        <v>267</v>
      </c>
      <c r="E291" s="45"/>
      <c r="F291" s="45"/>
      <c r="G291" s="45"/>
      <c r="H291" s="45"/>
      <c r="I291" s="45"/>
      <c r="J291" s="45"/>
      <c r="K291" s="45"/>
      <c r="L291" s="46"/>
    </row>
    <row r="292" spans="4:12" x14ac:dyDescent="0.3">
      <c r="D292" s="13" t="s">
        <v>107</v>
      </c>
      <c r="E292" s="1" t="s">
        <v>46</v>
      </c>
      <c r="F292" s="1"/>
      <c r="G292" s="1"/>
      <c r="H292" s="70">
        <f>G310+H188</f>
        <v>3.5</v>
      </c>
      <c r="I292" s="70">
        <f t="shared" ref="I292:L292" si="110">H310+I188</f>
        <v>3.4125000000000001</v>
      </c>
      <c r="J292" s="70">
        <f t="shared" si="110"/>
        <v>3.3315625000000004</v>
      </c>
      <c r="K292" s="70">
        <f t="shared" si="110"/>
        <v>3.2569140625000004</v>
      </c>
      <c r="L292" s="19">
        <f t="shared" si="110"/>
        <v>3.1882962890625004</v>
      </c>
    </row>
    <row r="293" spans="4:12" x14ac:dyDescent="0.3">
      <c r="D293" s="13" t="s">
        <v>251</v>
      </c>
      <c r="E293" s="1" t="s">
        <v>46</v>
      </c>
      <c r="F293" s="1"/>
      <c r="G293" s="1"/>
      <c r="H293" s="70">
        <f t="shared" ref="H293:L293" si="111">G311+H189</f>
        <v>2.5</v>
      </c>
      <c r="I293" s="70">
        <f t="shared" si="111"/>
        <v>2.3250000000000002</v>
      </c>
      <c r="J293" s="70">
        <f t="shared" si="111"/>
        <v>2.1842500000000005</v>
      </c>
      <c r="K293" s="70">
        <f t="shared" si="111"/>
        <v>2.0729325000000003</v>
      </c>
      <c r="L293" s="19">
        <f t="shared" si="111"/>
        <v>1.9869654250000002</v>
      </c>
    </row>
    <row r="294" spans="4:12" x14ac:dyDescent="0.3">
      <c r="D294" s="13" t="s">
        <v>252</v>
      </c>
      <c r="E294" s="1" t="s">
        <v>46</v>
      </c>
      <c r="F294" s="1"/>
      <c r="G294" s="1"/>
      <c r="H294" s="70">
        <f t="shared" ref="H294:L294" si="112">G312+H190</f>
        <v>0.8</v>
      </c>
      <c r="I294" s="70">
        <f t="shared" si="112"/>
        <v>0.72799999999999998</v>
      </c>
      <c r="J294" s="70">
        <f t="shared" si="112"/>
        <v>0.66327999999999998</v>
      </c>
      <c r="K294" s="70">
        <f t="shared" si="112"/>
        <v>0.6051127999999999</v>
      </c>
      <c r="L294" s="19">
        <f t="shared" si="112"/>
        <v>0.55284392799999993</v>
      </c>
    </row>
    <row r="295" spans="4:12" x14ac:dyDescent="0.3">
      <c r="D295" s="13" t="s">
        <v>118</v>
      </c>
      <c r="E295" s="1" t="s">
        <v>46</v>
      </c>
      <c r="F295" s="1"/>
      <c r="G295" s="1"/>
      <c r="H295" s="70">
        <f t="shared" ref="H295:L295" si="113">G313+H191</f>
        <v>1.5</v>
      </c>
      <c r="I295" s="70">
        <f t="shared" si="113"/>
        <v>0.89999999999999991</v>
      </c>
      <c r="J295" s="70">
        <f t="shared" si="113"/>
        <v>1.6400000000000001</v>
      </c>
      <c r="K295" s="70">
        <f t="shared" si="113"/>
        <v>0.98399999999999999</v>
      </c>
      <c r="L295" s="19">
        <f t="shared" si="113"/>
        <v>2.0903999999999998</v>
      </c>
    </row>
    <row r="296" spans="4:12" x14ac:dyDescent="0.3">
      <c r="D296" s="13" t="s">
        <v>121</v>
      </c>
      <c r="E296" s="1" t="s">
        <v>46</v>
      </c>
      <c r="F296" s="1"/>
      <c r="G296" s="1"/>
      <c r="H296" s="70">
        <f t="shared" ref="H296:L296" si="114">G314+H192</f>
        <v>0.5</v>
      </c>
      <c r="I296" s="70">
        <f t="shared" ca="1" si="114"/>
        <v>0.30000000000000004</v>
      </c>
      <c r="J296" s="70">
        <f t="shared" ca="1" si="114"/>
        <v>0.19</v>
      </c>
      <c r="K296" s="70">
        <f t="shared" ca="1" si="114"/>
        <v>0.1</v>
      </c>
      <c r="L296" s="19">
        <f t="shared" ca="1" si="114"/>
        <v>5.1800000000000006E-2</v>
      </c>
    </row>
    <row r="297" spans="4:12" x14ac:dyDescent="0.3">
      <c r="D297" s="13"/>
      <c r="E297" s="1"/>
      <c r="F297" s="1"/>
      <c r="G297" s="1"/>
      <c r="H297" s="1"/>
      <c r="I297" s="1"/>
      <c r="J297" s="1"/>
      <c r="K297" s="1"/>
      <c r="L297" s="47"/>
    </row>
    <row r="298" spans="4:12" x14ac:dyDescent="0.3">
      <c r="D298" s="76" t="s">
        <v>253</v>
      </c>
      <c r="E298" s="77" t="s">
        <v>46</v>
      </c>
      <c r="F298" s="77"/>
      <c r="G298" s="77"/>
      <c r="H298" s="78">
        <f>SUM(H292:H296)</f>
        <v>8.8000000000000007</v>
      </c>
      <c r="I298" s="78">
        <f t="shared" ref="I298:L298" ca="1" si="115">SUM(I292:I296)</f>
        <v>7.6655000000000006</v>
      </c>
      <c r="J298" s="78">
        <f t="shared" ca="1" si="115"/>
        <v>8.0090925000000013</v>
      </c>
      <c r="K298" s="78">
        <f t="shared" ca="1" si="115"/>
        <v>7.0189593624999995</v>
      </c>
      <c r="L298" s="79">
        <f t="shared" ca="1" si="115"/>
        <v>7.8703056420625002</v>
      </c>
    </row>
    <row r="300" spans="4:12" x14ac:dyDescent="0.3">
      <c r="D300" s="63" t="s">
        <v>268</v>
      </c>
      <c r="E300" s="45"/>
      <c r="F300" s="45"/>
      <c r="G300" s="45"/>
      <c r="H300" s="45"/>
      <c r="I300" s="45"/>
      <c r="J300" s="45"/>
      <c r="K300" s="45"/>
      <c r="L300" s="46"/>
    </row>
    <row r="301" spans="4:12" x14ac:dyDescent="0.3">
      <c r="D301" s="13" t="s">
        <v>107</v>
      </c>
      <c r="E301" s="1" t="s">
        <v>46</v>
      </c>
      <c r="F301" s="85">
        <f>Inputs!I156</f>
        <v>0.05</v>
      </c>
      <c r="G301" s="1"/>
      <c r="H301" s="70">
        <f>-H292*$F301</f>
        <v>-0.17500000000000002</v>
      </c>
      <c r="I301" s="70">
        <f t="shared" ref="I301:L301" si="116">-I292*$F301</f>
        <v>-0.17062500000000003</v>
      </c>
      <c r="J301" s="70">
        <f t="shared" si="116"/>
        <v>-0.16657812500000002</v>
      </c>
      <c r="K301" s="70">
        <f t="shared" si="116"/>
        <v>-0.16284570312500002</v>
      </c>
      <c r="L301" s="19">
        <f t="shared" si="116"/>
        <v>-0.15941481445312503</v>
      </c>
    </row>
    <row r="302" spans="4:12" x14ac:dyDescent="0.3">
      <c r="D302" s="13" t="s">
        <v>251</v>
      </c>
      <c r="E302" s="1" t="s">
        <v>46</v>
      </c>
      <c r="F302" s="85">
        <f>Inputs!I157</f>
        <v>0.15</v>
      </c>
      <c r="G302" s="1"/>
      <c r="H302" s="70">
        <f t="shared" ref="H302:L302" si="117">-H293*$F302</f>
        <v>-0.375</v>
      </c>
      <c r="I302" s="70">
        <f t="shared" si="117"/>
        <v>-0.34875</v>
      </c>
      <c r="J302" s="70">
        <f t="shared" si="117"/>
        <v>-0.32763750000000008</v>
      </c>
      <c r="K302" s="70">
        <f t="shared" si="117"/>
        <v>-0.31093987500000003</v>
      </c>
      <c r="L302" s="19">
        <f t="shared" si="117"/>
        <v>-0.29804481375000003</v>
      </c>
    </row>
    <row r="303" spans="4:12" x14ac:dyDescent="0.3">
      <c r="D303" s="13" t="s">
        <v>252</v>
      </c>
      <c r="E303" s="1" t="s">
        <v>46</v>
      </c>
      <c r="F303" s="85">
        <f>Inputs!I158</f>
        <v>0.1</v>
      </c>
      <c r="G303" s="1"/>
      <c r="H303" s="70">
        <f t="shared" ref="H303:L303" si="118">-H294*$F303</f>
        <v>-8.0000000000000016E-2</v>
      </c>
      <c r="I303" s="70">
        <f t="shared" si="118"/>
        <v>-7.2800000000000004E-2</v>
      </c>
      <c r="J303" s="70">
        <f t="shared" si="118"/>
        <v>-6.6327999999999998E-2</v>
      </c>
      <c r="K303" s="70">
        <f t="shared" si="118"/>
        <v>-6.0511279999999994E-2</v>
      </c>
      <c r="L303" s="19">
        <f t="shared" si="118"/>
        <v>-5.5284392799999998E-2</v>
      </c>
    </row>
    <row r="304" spans="4:12" x14ac:dyDescent="0.3">
      <c r="D304" s="13" t="s">
        <v>118</v>
      </c>
      <c r="E304" s="1" t="s">
        <v>46</v>
      </c>
      <c r="F304" s="85">
        <f>Inputs!I159</f>
        <v>0.4</v>
      </c>
      <c r="G304" s="1"/>
      <c r="H304" s="70">
        <f t="shared" ref="H304:L304" si="119">-H295*$F304</f>
        <v>-0.60000000000000009</v>
      </c>
      <c r="I304" s="70">
        <f t="shared" si="119"/>
        <v>-0.36</v>
      </c>
      <c r="J304" s="70">
        <f t="shared" si="119"/>
        <v>-0.65600000000000014</v>
      </c>
      <c r="K304" s="70">
        <f t="shared" si="119"/>
        <v>-0.39360000000000001</v>
      </c>
      <c r="L304" s="19">
        <f t="shared" si="119"/>
        <v>-0.83616000000000001</v>
      </c>
    </row>
    <row r="305" spans="1:12" x14ac:dyDescent="0.3">
      <c r="D305" s="13" t="s">
        <v>121</v>
      </c>
      <c r="E305" s="1" t="s">
        <v>46</v>
      </c>
      <c r="F305" s="85">
        <f>Inputs!I160</f>
        <v>0.6</v>
      </c>
      <c r="G305" s="1"/>
      <c r="H305" s="70">
        <f t="shared" ref="H305:L305" si="120">-H296*$F305</f>
        <v>-0.3</v>
      </c>
      <c r="I305" s="70">
        <f t="shared" ca="1" si="120"/>
        <v>-0.18000000000000002</v>
      </c>
      <c r="J305" s="70">
        <f t="shared" ca="1" si="120"/>
        <v>-0.11399999999999999</v>
      </c>
      <c r="K305" s="70">
        <f t="shared" ca="1" si="120"/>
        <v>-0.06</v>
      </c>
      <c r="L305" s="19">
        <f t="shared" ca="1" si="120"/>
        <v>-3.1080000000000003E-2</v>
      </c>
    </row>
    <row r="306" spans="1:12" x14ac:dyDescent="0.3">
      <c r="D306" s="13"/>
      <c r="E306" s="1"/>
      <c r="F306" s="1"/>
      <c r="G306" s="1"/>
      <c r="H306" s="70"/>
      <c r="I306" s="70"/>
      <c r="J306" s="70"/>
      <c r="K306" s="70"/>
      <c r="L306" s="19"/>
    </row>
    <row r="307" spans="1:12" x14ac:dyDescent="0.3">
      <c r="D307" s="76" t="s">
        <v>253</v>
      </c>
      <c r="E307" s="77" t="s">
        <v>46</v>
      </c>
      <c r="F307" s="77"/>
      <c r="G307" s="77"/>
      <c r="H307" s="78">
        <f>SUM(H301:H305)</f>
        <v>-1.5300000000000002</v>
      </c>
      <c r="I307" s="78">
        <f t="shared" ref="I307:L307" ca="1" si="121">SUM(I301:I305)</f>
        <v>-1.1321749999999999</v>
      </c>
      <c r="J307" s="78">
        <f t="shared" ca="1" si="121"/>
        <v>-1.3305436250000002</v>
      </c>
      <c r="K307" s="78">
        <f t="shared" ca="1" si="121"/>
        <v>-0.98789685812500005</v>
      </c>
      <c r="L307" s="79">
        <f t="shared" ca="1" si="121"/>
        <v>-1.3799840210031251</v>
      </c>
    </row>
    <row r="309" spans="1:12" x14ac:dyDescent="0.3">
      <c r="D309" s="63" t="s">
        <v>269</v>
      </c>
      <c r="E309" s="45"/>
      <c r="F309" s="45"/>
      <c r="G309" s="45"/>
      <c r="H309" s="45"/>
      <c r="I309" s="45"/>
      <c r="J309" s="45"/>
      <c r="K309" s="45"/>
      <c r="L309" s="46"/>
    </row>
    <row r="310" spans="1:12" x14ac:dyDescent="0.3">
      <c r="D310" s="13" t="s">
        <v>107</v>
      </c>
      <c r="E310" s="1" t="s">
        <v>46</v>
      </c>
      <c r="F310" s="1"/>
      <c r="G310" s="1"/>
      <c r="H310" s="70">
        <f>SUM(H292,H301)</f>
        <v>3.3250000000000002</v>
      </c>
      <c r="I310" s="70">
        <f t="shared" ref="I310:L310" si="122">SUM(I292,I301)</f>
        <v>3.2418750000000003</v>
      </c>
      <c r="J310" s="70">
        <f t="shared" si="122"/>
        <v>3.1649843750000004</v>
      </c>
      <c r="K310" s="70">
        <f t="shared" si="122"/>
        <v>3.0940683593750005</v>
      </c>
      <c r="L310" s="19">
        <f t="shared" si="122"/>
        <v>3.0288814746093755</v>
      </c>
    </row>
    <row r="311" spans="1:12" x14ac:dyDescent="0.3">
      <c r="D311" s="13" t="s">
        <v>251</v>
      </c>
      <c r="E311" s="1" t="s">
        <v>46</v>
      </c>
      <c r="F311" s="1"/>
      <c r="G311" s="1"/>
      <c r="H311" s="70">
        <f t="shared" ref="H311:L311" si="123">SUM(H293,H302)</f>
        <v>2.125</v>
      </c>
      <c r="I311" s="70">
        <f t="shared" si="123"/>
        <v>1.9762500000000003</v>
      </c>
      <c r="J311" s="70">
        <f t="shared" si="123"/>
        <v>1.8566125000000004</v>
      </c>
      <c r="K311" s="70">
        <f t="shared" si="123"/>
        <v>1.7619926250000002</v>
      </c>
      <c r="L311" s="19">
        <f t="shared" si="123"/>
        <v>1.6889206112500001</v>
      </c>
    </row>
    <row r="312" spans="1:12" x14ac:dyDescent="0.3">
      <c r="D312" s="13" t="s">
        <v>252</v>
      </c>
      <c r="E312" s="1" t="s">
        <v>46</v>
      </c>
      <c r="F312" s="1"/>
      <c r="G312" s="1"/>
      <c r="H312" s="70">
        <f t="shared" ref="H312:L312" si="124">SUM(H294,H303)</f>
        <v>0.72</v>
      </c>
      <c r="I312" s="70">
        <f t="shared" si="124"/>
        <v>0.6552</v>
      </c>
      <c r="J312" s="70">
        <f t="shared" si="124"/>
        <v>0.59695199999999993</v>
      </c>
      <c r="K312" s="70">
        <f t="shared" si="124"/>
        <v>0.54460151999999995</v>
      </c>
      <c r="L312" s="19">
        <f t="shared" si="124"/>
        <v>0.49755953519999996</v>
      </c>
    </row>
    <row r="313" spans="1:12" x14ac:dyDescent="0.3">
      <c r="D313" s="13" t="s">
        <v>118</v>
      </c>
      <c r="E313" s="1" t="s">
        <v>46</v>
      </c>
      <c r="F313" s="1"/>
      <c r="G313" s="1"/>
      <c r="H313" s="70">
        <f t="shared" ref="H313:L313" si="125">SUM(H295,H304)</f>
        <v>0.89999999999999991</v>
      </c>
      <c r="I313" s="70">
        <f t="shared" si="125"/>
        <v>0.53999999999999992</v>
      </c>
      <c r="J313" s="70">
        <f t="shared" si="125"/>
        <v>0.98399999999999999</v>
      </c>
      <c r="K313" s="70">
        <f t="shared" si="125"/>
        <v>0.59040000000000004</v>
      </c>
      <c r="L313" s="19">
        <f t="shared" si="125"/>
        <v>1.2542399999999998</v>
      </c>
    </row>
    <row r="314" spans="1:12" x14ac:dyDescent="0.3">
      <c r="D314" s="13" t="s">
        <v>121</v>
      </c>
      <c r="E314" s="1" t="s">
        <v>46</v>
      </c>
      <c r="F314" s="1"/>
      <c r="G314" s="1"/>
      <c r="H314" s="70">
        <f t="shared" ref="H314:L314" si="126">SUM(H296,H305)</f>
        <v>0.2</v>
      </c>
      <c r="I314" s="70">
        <f t="shared" ca="1" si="126"/>
        <v>0.12000000000000002</v>
      </c>
      <c r="J314" s="70">
        <f t="shared" ca="1" si="126"/>
        <v>7.6000000000000012E-2</v>
      </c>
      <c r="K314" s="70">
        <f t="shared" ca="1" si="126"/>
        <v>4.0000000000000008E-2</v>
      </c>
      <c r="L314" s="19">
        <f t="shared" ca="1" si="126"/>
        <v>2.0720000000000002E-2</v>
      </c>
    </row>
    <row r="315" spans="1:12" x14ac:dyDescent="0.3">
      <c r="D315" s="13"/>
      <c r="E315" s="1"/>
      <c r="F315" s="1"/>
      <c r="G315" s="1"/>
      <c r="H315" s="70"/>
      <c r="I315" s="70"/>
      <c r="J315" s="70"/>
      <c r="K315" s="70"/>
      <c r="L315" s="19"/>
    </row>
    <row r="316" spans="1:12" x14ac:dyDescent="0.3">
      <c r="D316" s="76" t="s">
        <v>253</v>
      </c>
      <c r="E316" s="77" t="s">
        <v>46</v>
      </c>
      <c r="F316" s="77"/>
      <c r="G316" s="77"/>
      <c r="H316" s="78">
        <f t="shared" ref="H316:L316" si="127">SUM(H310:H315)</f>
        <v>7.2700000000000005</v>
      </c>
      <c r="I316" s="78">
        <f t="shared" ca="1" si="127"/>
        <v>6.5333250000000005</v>
      </c>
      <c r="J316" s="78">
        <f t="shared" ca="1" si="127"/>
        <v>6.6785488750000006</v>
      </c>
      <c r="K316" s="78">
        <f t="shared" ca="1" si="127"/>
        <v>6.0310625043749999</v>
      </c>
      <c r="L316" s="79">
        <f t="shared" ca="1" si="127"/>
        <v>6.4903216210593753</v>
      </c>
    </row>
    <row r="319" spans="1:12" s="135" customFormat="1" x14ac:dyDescent="0.3">
      <c r="A319" s="135" t="s">
        <v>270</v>
      </c>
    </row>
    <row r="321" spans="4:12" x14ac:dyDescent="0.3">
      <c r="D321" s="63" t="s">
        <v>271</v>
      </c>
      <c r="E321" s="45"/>
      <c r="F321" s="45"/>
      <c r="G321" s="45"/>
      <c r="H321" s="45"/>
      <c r="I321" s="45"/>
      <c r="J321" s="45"/>
      <c r="K321" s="45"/>
      <c r="L321" s="46"/>
    </row>
    <row r="322" spans="4:12" x14ac:dyDescent="0.3">
      <c r="D322" s="13" t="s">
        <v>272</v>
      </c>
      <c r="E322" s="1" t="s">
        <v>46</v>
      </c>
      <c r="F322" s="1"/>
      <c r="G322" s="1"/>
      <c r="H322" s="1">
        <f>G325</f>
        <v>0</v>
      </c>
      <c r="I322" s="1">
        <f t="shared" ref="I322:L322" si="128">H325</f>
        <v>20</v>
      </c>
      <c r="J322" s="1">
        <f t="shared" si="128"/>
        <v>20</v>
      </c>
      <c r="K322" s="1">
        <f t="shared" si="128"/>
        <v>20</v>
      </c>
      <c r="L322" s="47">
        <f t="shared" si="128"/>
        <v>20</v>
      </c>
    </row>
    <row r="323" spans="4:12" x14ac:dyDescent="0.3">
      <c r="D323" s="13" t="s">
        <v>273</v>
      </c>
      <c r="E323" s="1" t="s">
        <v>46</v>
      </c>
      <c r="F323" s="86">
        <f>Inputs!F166</f>
        <v>45017</v>
      </c>
      <c r="G323" s="1">
        <f>Inputs!F168</f>
        <v>20</v>
      </c>
      <c r="H323" s="1">
        <f>($F323&gt;=H$4)*($F323&lt;=H$5)*$G323</f>
        <v>20</v>
      </c>
      <c r="I323" s="1">
        <f t="shared" ref="I323:L323" si="129">($F323&gt;=I$4)*($F323&lt;=I$5)*$G323</f>
        <v>0</v>
      </c>
      <c r="J323" s="1">
        <f t="shared" si="129"/>
        <v>0</v>
      </c>
      <c r="K323" s="1">
        <f t="shared" si="129"/>
        <v>0</v>
      </c>
      <c r="L323" s="47">
        <f t="shared" si="129"/>
        <v>0</v>
      </c>
    </row>
    <row r="324" spans="4:12" x14ac:dyDescent="0.3">
      <c r="D324" s="13"/>
      <c r="E324" s="1"/>
      <c r="F324" s="1"/>
      <c r="G324" s="1"/>
      <c r="H324" s="1"/>
      <c r="I324" s="1"/>
      <c r="J324" s="1"/>
      <c r="K324" s="1"/>
      <c r="L324" s="47"/>
    </row>
    <row r="325" spans="4:12" x14ac:dyDescent="0.3">
      <c r="D325" s="76" t="s">
        <v>274</v>
      </c>
      <c r="E325" s="77" t="s">
        <v>46</v>
      </c>
      <c r="F325" s="77"/>
      <c r="G325" s="77"/>
      <c r="H325" s="77">
        <f>SUM(H322:H324)</f>
        <v>20</v>
      </c>
      <c r="I325" s="77">
        <f t="shared" ref="I325:L325" si="130">SUM(I322:I324)</f>
        <v>20</v>
      </c>
      <c r="J325" s="77">
        <f t="shared" si="130"/>
        <v>20</v>
      </c>
      <c r="K325" s="77">
        <f t="shared" si="130"/>
        <v>20</v>
      </c>
      <c r="L325" s="80">
        <f t="shared" si="130"/>
        <v>20</v>
      </c>
    </row>
    <row r="327" spans="4:12" x14ac:dyDescent="0.3">
      <c r="D327" s="63" t="s">
        <v>275</v>
      </c>
      <c r="E327" s="45"/>
      <c r="F327" s="45"/>
      <c r="G327" s="45"/>
      <c r="H327" s="45"/>
      <c r="I327" s="45"/>
      <c r="J327" s="45"/>
      <c r="K327" s="45"/>
      <c r="L327" s="46"/>
    </row>
    <row r="328" spans="4:12" x14ac:dyDescent="0.3">
      <c r="D328" s="13" t="s">
        <v>272</v>
      </c>
      <c r="E328" s="1" t="s">
        <v>46</v>
      </c>
      <c r="F328" s="1"/>
      <c r="G328" s="1"/>
      <c r="H328" s="70">
        <f>G332</f>
        <v>0</v>
      </c>
      <c r="I328" s="70">
        <f t="shared" ref="I328:L328" ca="1" si="131">H332</f>
        <v>30</v>
      </c>
      <c r="J328" s="70">
        <f t="shared" ca="1" si="131"/>
        <v>20.433375046361512</v>
      </c>
      <c r="K328" s="70">
        <f t="shared" ca="1" si="131"/>
        <v>5.1898482332510696</v>
      </c>
      <c r="L328" s="19">
        <f t="shared" ca="1" si="131"/>
        <v>-7.1054273576010019E-15</v>
      </c>
    </row>
    <row r="329" spans="4:12" x14ac:dyDescent="0.3">
      <c r="D329" s="13" t="s">
        <v>273</v>
      </c>
      <c r="E329" s="1" t="s">
        <v>46</v>
      </c>
      <c r="F329" s="1"/>
      <c r="G329" s="1"/>
      <c r="H329" s="70">
        <f ca="1">SUMIF(DebtQ!$H$17:$AG$17,H$5,DebtQ!$H$64:$AG$64)+SUMIF(DebtQ!$H$17:$AG$17,H$5,DebtQ!$H$65:$AG$65)</f>
        <v>30</v>
      </c>
      <c r="I329" s="70">
        <f ca="1">SUMIF(DebtQ!$H$17:$AG$17,I$5,DebtQ!$H$64:$AG$64)+SUMIF(DebtQ!$H$17:$AG$17,I$5,DebtQ!$H$65:$AG$65)</f>
        <v>0</v>
      </c>
      <c r="J329" s="70">
        <f ca="1">SUMIF(DebtQ!$H$17:$AG$17,J$5,DebtQ!$H$64:$AG$64)+SUMIF(DebtQ!$H$17:$AG$17,J$5,DebtQ!$H$65:$AG$65)</f>
        <v>15.63053053209512</v>
      </c>
      <c r="K329" s="70">
        <f ca="1">SUMIF(DebtQ!$H$17:$AG$17,K$5,DebtQ!$H$64:$AG$64)+SUMIF(DebtQ!$H$17:$AG$17,K$5,DebtQ!$H$65:$AG$65)</f>
        <v>0</v>
      </c>
      <c r="L329" s="19">
        <f ca="1">SUMIF(DebtQ!$H$17:$AG$17,L$5,DebtQ!$H$64:$AG$64)+SUMIF(DebtQ!$H$17:$AG$17,L$5,DebtQ!$H$65:$AG$65)</f>
        <v>0</v>
      </c>
    </row>
    <row r="330" spans="4:12" x14ac:dyDescent="0.3">
      <c r="D330" s="13" t="s">
        <v>276</v>
      </c>
      <c r="E330" s="1" t="s">
        <v>46</v>
      </c>
      <c r="F330" s="1"/>
      <c r="G330" s="1"/>
      <c r="H330" s="70">
        <f ca="1">SUMIF(DebtQ!$H$17:$AG$17,H$5,DebtQ!$H$66:$AG$66)+SUMIF(DebtQ!$H$17:$AG$17,H$5,DebtQ!$H$67:$AG$67)</f>
        <v>0</v>
      </c>
      <c r="I330" s="70">
        <f ca="1">SUMIF(DebtQ!$H$17:$AG$17,I$5,DebtQ!$H$66:$AG$66)+SUMIF(DebtQ!$H$17:$AG$17,I$5,DebtQ!$H$67:$AG$67)</f>
        <v>-9.5666249536384864</v>
      </c>
      <c r="J330" s="70">
        <f ca="1">SUMIF(DebtQ!$H$17:$AG$17,J$5,DebtQ!$H$66:$AG$66)+SUMIF(DebtQ!$H$17:$AG$17,J$5,DebtQ!$H$67:$AG$67)</f>
        <v>-30.874057345205564</v>
      </c>
      <c r="K330" s="70">
        <f ca="1">SUMIF(DebtQ!$H$17:$AG$17,K$5,DebtQ!$H$66:$AG$66)+SUMIF(DebtQ!$H$17:$AG$17,K$5,DebtQ!$H$67:$AG$67)</f>
        <v>-5.1898482332510767</v>
      </c>
      <c r="L330" s="19">
        <f ca="1">SUMIF(DebtQ!$H$17:$AG$17,L$5,DebtQ!$H$66:$AG$66)+SUMIF(DebtQ!$H$17:$AG$17,L$5,DebtQ!$H$67:$AG$67)</f>
        <v>0</v>
      </c>
    </row>
    <row r="331" spans="4:12" x14ac:dyDescent="0.3">
      <c r="D331" s="13"/>
      <c r="E331" s="1"/>
      <c r="F331" s="1"/>
      <c r="G331" s="1"/>
      <c r="H331" s="70"/>
      <c r="I331" s="70"/>
      <c r="J331" s="70"/>
      <c r="K331" s="70"/>
      <c r="L331" s="19"/>
    </row>
    <row r="332" spans="4:12" x14ac:dyDescent="0.3">
      <c r="D332" s="76" t="s">
        <v>274</v>
      </c>
      <c r="E332" s="77" t="s">
        <v>46</v>
      </c>
      <c r="F332" s="77"/>
      <c r="G332" s="77">
        <f>DebtQ!G69</f>
        <v>0</v>
      </c>
      <c r="H332" s="78">
        <f ca="1">SUM(H328:H331)</f>
        <v>30</v>
      </c>
      <c r="I332" s="78">
        <f t="shared" ref="I332:L332" ca="1" si="132">SUM(I328:I331)</f>
        <v>20.433375046361512</v>
      </c>
      <c r="J332" s="78">
        <f t="shared" ca="1" si="132"/>
        <v>5.1898482332510696</v>
      </c>
      <c r="K332" s="78">
        <f t="shared" ca="1" si="132"/>
        <v>-7.1054273576010019E-15</v>
      </c>
      <c r="L332" s="79">
        <f t="shared" ca="1" si="132"/>
        <v>-7.1054273576010019E-15</v>
      </c>
    </row>
    <row r="334" spans="4:12" x14ac:dyDescent="0.3">
      <c r="D334" s="3" t="s">
        <v>277</v>
      </c>
      <c r="E334" s="3" t="s">
        <v>46</v>
      </c>
      <c r="F334" s="3"/>
      <c r="G334" s="3"/>
      <c r="H334" s="81">
        <f ca="1">SUMIF(DebtQ!$H$17:$AG$17,H$5,DebtQ!$H$93:$AG$93)</f>
        <v>-11.025</v>
      </c>
      <c r="I334" s="3">
        <f ca="1">SUMIF(DebtQ!$H$17:$AG$17,I$5,DebtQ!$H$93:$AG$93)</f>
        <v>-12.6</v>
      </c>
      <c r="J334" s="3">
        <f ca="1">SUMIF(DebtQ!$H$17:$AG$17,J$5,DebtQ!$H$93:$AG$93)</f>
        <v>-12.15</v>
      </c>
      <c r="K334" s="3">
        <f ca="1">SUMIF(DebtQ!$H$17:$AG$17,K$5,DebtQ!$H$93:$AG$93)</f>
        <v>-12.15</v>
      </c>
      <c r="L334" s="3">
        <f ca="1">SUMIF(DebtQ!$H$17:$AG$17,L$5,DebtQ!$H$93:$AG$93)</f>
        <v>-12.6</v>
      </c>
    </row>
    <row r="337" spans="1:12" s="135" customFormat="1" x14ac:dyDescent="0.3">
      <c r="A337" s="135" t="s">
        <v>278</v>
      </c>
    </row>
    <row r="339" spans="1:12" x14ac:dyDescent="0.3">
      <c r="D339" s="63" t="s">
        <v>161</v>
      </c>
      <c r="E339" s="45"/>
      <c r="F339" s="45"/>
      <c r="G339" s="45"/>
      <c r="H339" s="45"/>
      <c r="I339" s="45"/>
      <c r="J339" s="45"/>
      <c r="K339" s="45"/>
      <c r="L339" s="46"/>
    </row>
    <row r="340" spans="1:12" x14ac:dyDescent="0.3">
      <c r="D340" s="13" t="s">
        <v>94</v>
      </c>
      <c r="E340" s="1" t="s">
        <v>279</v>
      </c>
      <c r="F340" s="1">
        <v>10</v>
      </c>
      <c r="G340" s="1"/>
      <c r="H340" s="70">
        <f t="shared" ref="H340:L346" si="133">H62*$F340/H$18</f>
        <v>0.16511040000000002</v>
      </c>
      <c r="I340" s="70">
        <f t="shared" si="133"/>
        <v>0.21266219519999999</v>
      </c>
      <c r="J340" s="70">
        <f t="shared" si="133"/>
        <v>0.27390890741760004</v>
      </c>
      <c r="K340" s="70">
        <f t="shared" si="133"/>
        <v>0.35279467275386883</v>
      </c>
      <c r="L340" s="19">
        <f t="shared" si="133"/>
        <v>0.45439953850698311</v>
      </c>
    </row>
    <row r="341" spans="1:12" x14ac:dyDescent="0.3">
      <c r="D341" s="13" t="s">
        <v>95</v>
      </c>
      <c r="E341" s="1" t="s">
        <v>279</v>
      </c>
      <c r="F341" s="1">
        <v>18</v>
      </c>
      <c r="G341" s="1"/>
      <c r="H341" s="70">
        <f t="shared" si="133"/>
        <v>0.25488917999999999</v>
      </c>
      <c r="I341" s="70">
        <f t="shared" si="133"/>
        <v>0.33415971497999997</v>
      </c>
      <c r="J341" s="70">
        <f t="shared" si="133"/>
        <v>0.43808338633878002</v>
      </c>
      <c r="K341" s="70">
        <f t="shared" si="133"/>
        <v>0.57432731949014082</v>
      </c>
      <c r="L341" s="19">
        <f t="shared" si="133"/>
        <v>0.75294311585157458</v>
      </c>
    </row>
    <row r="342" spans="1:12" x14ac:dyDescent="0.3">
      <c r="D342" s="13" t="s">
        <v>96</v>
      </c>
      <c r="E342" s="1" t="s">
        <v>279</v>
      </c>
      <c r="F342" s="1">
        <v>30</v>
      </c>
      <c r="G342" s="1"/>
      <c r="H342" s="70">
        <f t="shared" si="133"/>
        <v>0.34678799999999999</v>
      </c>
      <c r="I342" s="70">
        <f t="shared" si="133"/>
        <v>0.41475844799999995</v>
      </c>
      <c r="J342" s="70">
        <f t="shared" si="133"/>
        <v>0.49605110380799977</v>
      </c>
      <c r="K342" s="70">
        <f t="shared" si="133"/>
        <v>0.59327712015436784</v>
      </c>
      <c r="L342" s="19">
        <f t="shared" si="133"/>
        <v>0.7095594357046241</v>
      </c>
    </row>
    <row r="343" spans="1:12" x14ac:dyDescent="0.3">
      <c r="D343" s="13" t="s">
        <v>97</v>
      </c>
      <c r="E343" s="1" t="s">
        <v>279</v>
      </c>
      <c r="F343" s="1">
        <v>45</v>
      </c>
      <c r="G343" s="1"/>
      <c r="H343" s="70">
        <f t="shared" si="133"/>
        <v>2.7378</v>
      </c>
      <c r="I343" s="70">
        <f t="shared" si="133"/>
        <v>3.2744087999999993</v>
      </c>
      <c r="J343" s="70">
        <f t="shared" si="133"/>
        <v>3.9161929247999998</v>
      </c>
      <c r="K343" s="70">
        <f t="shared" si="133"/>
        <v>4.6837667380607995</v>
      </c>
      <c r="L343" s="19">
        <f t="shared" si="133"/>
        <v>5.6017850187207161</v>
      </c>
    </row>
    <row r="344" spans="1:12" x14ac:dyDescent="0.3">
      <c r="D344" s="13" t="s">
        <v>98</v>
      </c>
      <c r="E344" s="1" t="s">
        <v>279</v>
      </c>
      <c r="F344" s="1">
        <v>30</v>
      </c>
      <c r="G344" s="1"/>
      <c r="H344" s="70">
        <f t="shared" si="133"/>
        <v>1.4280434999999998</v>
      </c>
      <c r="I344" s="70">
        <f t="shared" si="133"/>
        <v>1.6915175257499999</v>
      </c>
      <c r="J344" s="70">
        <f t="shared" si="133"/>
        <v>2.0036025092508747</v>
      </c>
      <c r="K344" s="70">
        <f t="shared" si="133"/>
        <v>2.3732671722076608</v>
      </c>
      <c r="L344" s="19">
        <f t="shared" si="133"/>
        <v>2.8111349654799742</v>
      </c>
    </row>
    <row r="345" spans="1:12" x14ac:dyDescent="0.3">
      <c r="D345" s="13" t="s">
        <v>99</v>
      </c>
      <c r="E345" s="1" t="s">
        <v>279</v>
      </c>
      <c r="F345" s="1">
        <v>60</v>
      </c>
      <c r="G345" s="1"/>
      <c r="H345" s="70">
        <f t="shared" si="133"/>
        <v>0.42588000000000004</v>
      </c>
      <c r="I345" s="70">
        <f t="shared" si="133"/>
        <v>0.50935247999999989</v>
      </c>
      <c r="J345" s="70">
        <f t="shared" si="133"/>
        <v>0.60918556607999985</v>
      </c>
      <c r="K345" s="70">
        <f t="shared" si="133"/>
        <v>0.72858593703167995</v>
      </c>
      <c r="L345" s="19">
        <f t="shared" si="133"/>
        <v>0.87138878068988912</v>
      </c>
    </row>
    <row r="346" spans="1:12" x14ac:dyDescent="0.3">
      <c r="D346" s="13" t="s">
        <v>100</v>
      </c>
      <c r="E346" s="1" t="s">
        <v>279</v>
      </c>
      <c r="F346" s="1">
        <v>60</v>
      </c>
      <c r="G346" s="1"/>
      <c r="H346" s="70">
        <f t="shared" si="133"/>
        <v>1.3256100000000002</v>
      </c>
      <c r="I346" s="70">
        <f t="shared" si="133"/>
        <v>1.5701850450000001</v>
      </c>
      <c r="J346" s="70">
        <f t="shared" si="133"/>
        <v>1.8598841858024995</v>
      </c>
      <c r="K346" s="70">
        <f t="shared" si="133"/>
        <v>2.2030328180830607</v>
      </c>
      <c r="L346" s="19">
        <f t="shared" si="133"/>
        <v>2.6094923730193855</v>
      </c>
    </row>
    <row r="347" spans="1:12" x14ac:dyDescent="0.3">
      <c r="D347" s="13"/>
      <c r="E347" s="1"/>
      <c r="F347" s="1"/>
      <c r="G347" s="1"/>
      <c r="H347" s="1"/>
      <c r="I347" s="1"/>
      <c r="J347" s="1"/>
      <c r="K347" s="1"/>
      <c r="L347" s="47"/>
    </row>
    <row r="348" spans="1:12" x14ac:dyDescent="0.3">
      <c r="D348" s="76" t="s">
        <v>280</v>
      </c>
      <c r="E348" s="77" t="s">
        <v>46</v>
      </c>
      <c r="F348" s="77"/>
      <c r="G348" s="77"/>
      <c r="H348" s="78">
        <f>SUM(H340:H346)</f>
        <v>6.6841210800000006</v>
      </c>
      <c r="I348" s="78">
        <f t="shared" ref="I348:L348" si="134">SUM(I340:I346)</f>
        <v>8.0070442089299991</v>
      </c>
      <c r="J348" s="78">
        <f t="shared" si="134"/>
        <v>9.5969085834977523</v>
      </c>
      <c r="K348" s="78">
        <f t="shared" si="134"/>
        <v>11.509051777781579</v>
      </c>
      <c r="L348" s="79">
        <f t="shared" si="134"/>
        <v>13.810703227973146</v>
      </c>
    </row>
    <row r="350" spans="1:12" x14ac:dyDescent="0.3">
      <c r="D350" s="63" t="s">
        <v>163</v>
      </c>
      <c r="E350" s="45"/>
      <c r="F350" s="45"/>
      <c r="G350" s="45"/>
      <c r="H350" s="45"/>
      <c r="I350" s="45"/>
      <c r="J350" s="45"/>
      <c r="K350" s="45"/>
      <c r="L350" s="46"/>
    </row>
    <row r="351" spans="1:12" x14ac:dyDescent="0.3">
      <c r="D351" s="13" t="s">
        <v>163</v>
      </c>
      <c r="E351" s="1" t="s">
        <v>46</v>
      </c>
      <c r="F351" s="1">
        <f>Inputs!F203</f>
        <v>30</v>
      </c>
      <c r="G351" s="1"/>
      <c r="H351" s="70">
        <f t="shared" ref="H351:L351" si="135">H70*$F351/H$18</f>
        <v>5.3959230000000007</v>
      </c>
      <c r="I351" s="70">
        <f t="shared" si="135"/>
        <v>6.5239033801499993</v>
      </c>
      <c r="J351" s="70">
        <f t="shared" si="135"/>
        <v>7.8968494716842246</v>
      </c>
      <c r="K351" s="70">
        <f t="shared" si="135"/>
        <v>9.5704610460384405</v>
      </c>
      <c r="L351" s="19">
        <f t="shared" si="135"/>
        <v>11.613762132459955</v>
      </c>
    </row>
    <row r="352" spans="1:12" x14ac:dyDescent="0.3">
      <c r="D352" s="14"/>
      <c r="E352" s="2"/>
      <c r="F352" s="2"/>
      <c r="G352" s="2"/>
      <c r="H352" s="2"/>
      <c r="I352" s="2"/>
      <c r="J352" s="2"/>
      <c r="K352" s="2"/>
      <c r="L352" s="20"/>
    </row>
    <row r="354" spans="1:12" x14ac:dyDescent="0.3">
      <c r="D354" s="63" t="s">
        <v>164</v>
      </c>
      <c r="E354" s="45"/>
      <c r="F354" s="45"/>
      <c r="G354" s="45"/>
      <c r="H354" s="45"/>
      <c r="I354" s="45"/>
      <c r="J354" s="45"/>
      <c r="K354" s="45"/>
      <c r="L354" s="46"/>
    </row>
    <row r="355" spans="1:12" x14ac:dyDescent="0.3">
      <c r="D355" s="13" t="s">
        <v>281</v>
      </c>
      <c r="E355" s="1" t="s">
        <v>46</v>
      </c>
      <c r="F355" s="1">
        <f>Inputs!F206</f>
        <v>30</v>
      </c>
      <c r="G355" s="1"/>
      <c r="H355" s="70">
        <f t="shared" ref="H355:L355" si="136">H99*$F355/H$18</f>
        <v>0.84098360655737703</v>
      </c>
      <c r="I355" s="70">
        <f t="shared" si="136"/>
        <v>0.84821917808219183</v>
      </c>
      <c r="J355" s="70">
        <f t="shared" si="136"/>
        <v>0.85421917808219183</v>
      </c>
      <c r="K355" s="70">
        <f t="shared" si="136"/>
        <v>0.93027238356164399</v>
      </c>
      <c r="L355" s="19">
        <f t="shared" si="136"/>
        <v>0.93426618973725595</v>
      </c>
    </row>
    <row r="356" spans="1:12" x14ac:dyDescent="0.3">
      <c r="D356" s="13" t="s">
        <v>282</v>
      </c>
      <c r="E356" s="1" t="s">
        <v>46</v>
      </c>
      <c r="F356" s="1">
        <f>Inputs!F207</f>
        <v>45</v>
      </c>
      <c r="G356" s="1"/>
      <c r="H356" s="70">
        <f t="shared" ref="H356:L356" si="137">H168*$F356/H$18</f>
        <v>3.3122643442622954</v>
      </c>
      <c r="I356" s="70">
        <f t="shared" si="137"/>
        <v>3.7941068534043634</v>
      </c>
      <c r="J356" s="70">
        <f t="shared" si="137"/>
        <v>4.397424776572155</v>
      </c>
      <c r="K356" s="70">
        <f t="shared" si="137"/>
        <v>5.2207587287892734</v>
      </c>
      <c r="L356" s="19">
        <f t="shared" si="137"/>
        <v>6.0951352225221633</v>
      </c>
    </row>
    <row r="357" spans="1:12" x14ac:dyDescent="0.3">
      <c r="D357" s="13"/>
      <c r="E357" s="1"/>
      <c r="F357" s="1"/>
      <c r="G357" s="1"/>
      <c r="H357" s="1"/>
      <c r="I357" s="1"/>
      <c r="J357" s="1"/>
      <c r="K357" s="1"/>
      <c r="L357" s="47"/>
    </row>
    <row r="358" spans="1:12" x14ac:dyDescent="0.3">
      <c r="D358" s="76" t="s">
        <v>283</v>
      </c>
      <c r="E358" s="77" t="s">
        <v>46</v>
      </c>
      <c r="F358" s="77"/>
      <c r="G358" s="77"/>
      <c r="H358" s="78">
        <f>SUM(H355:H357)</f>
        <v>4.1532479508196722</v>
      </c>
      <c r="I358" s="78">
        <f t="shared" ref="I358:L358" si="138">SUM(I355:I357)</f>
        <v>4.6423260314865553</v>
      </c>
      <c r="J358" s="78">
        <f t="shared" si="138"/>
        <v>5.2516439546543472</v>
      </c>
      <c r="K358" s="78">
        <f t="shared" si="138"/>
        <v>6.1510311123509176</v>
      </c>
      <c r="L358" s="79">
        <f t="shared" si="138"/>
        <v>7.0294014122594195</v>
      </c>
    </row>
    <row r="360" spans="1:12" x14ac:dyDescent="0.3">
      <c r="D360" s="63" t="s">
        <v>168</v>
      </c>
      <c r="E360" s="45"/>
      <c r="F360" s="45"/>
      <c r="G360" s="45"/>
      <c r="H360" s="45"/>
      <c r="I360" s="45"/>
      <c r="J360" s="45"/>
      <c r="K360" s="45"/>
      <c r="L360" s="46"/>
    </row>
    <row r="361" spans="1:12" x14ac:dyDescent="0.3">
      <c r="D361" s="13" t="s">
        <v>168</v>
      </c>
      <c r="E361" s="1" t="s">
        <v>46</v>
      </c>
      <c r="F361" s="85">
        <f>Inputs!F209</f>
        <v>0.05</v>
      </c>
      <c r="G361" s="1"/>
      <c r="H361" s="70">
        <f>H351*$F361</f>
        <v>0.26979615000000007</v>
      </c>
      <c r="I361" s="70">
        <f t="shared" ref="I361:L361" si="139">I351*$F361</f>
        <v>0.32619516900750001</v>
      </c>
      <c r="J361" s="70">
        <f t="shared" si="139"/>
        <v>0.39484247358421126</v>
      </c>
      <c r="K361" s="70">
        <f t="shared" si="139"/>
        <v>0.47852305230192205</v>
      </c>
      <c r="L361" s="19">
        <f t="shared" si="139"/>
        <v>0.58068810662299775</v>
      </c>
    </row>
    <row r="362" spans="1:12" x14ac:dyDescent="0.3">
      <c r="D362" s="14"/>
      <c r="E362" s="2"/>
      <c r="F362" s="2"/>
      <c r="G362" s="2"/>
      <c r="H362" s="2"/>
      <c r="I362" s="2"/>
      <c r="J362" s="2"/>
      <c r="K362" s="2"/>
      <c r="L362" s="20"/>
    </row>
    <row r="365" spans="1:12" s="135" customFormat="1" x14ac:dyDescent="0.3">
      <c r="A365" s="135" t="s">
        <v>284</v>
      </c>
    </row>
    <row r="367" spans="1:12" x14ac:dyDescent="0.3">
      <c r="D367" s="12" t="s">
        <v>285</v>
      </c>
      <c r="E367" s="45" t="s">
        <v>46</v>
      </c>
      <c r="F367" s="45"/>
      <c r="G367" s="45"/>
      <c r="H367" s="88">
        <f ca="1">FS!H121</f>
        <v>30.148510620819675</v>
      </c>
      <c r="I367" s="88">
        <f ca="1">FS!I121</f>
        <v>43.860694794209607</v>
      </c>
      <c r="J367" s="88">
        <f ca="1">FS!J121</f>
        <v>61.317441428605008</v>
      </c>
      <c r="K367" s="88">
        <f ca="1">FS!K121</f>
        <v>101.264818525062</v>
      </c>
      <c r="L367" s="89">
        <f ca="1">FS!L121</f>
        <v>160.63724085080892</v>
      </c>
    </row>
    <row r="368" spans="1:12" x14ac:dyDescent="0.3">
      <c r="D368" s="14"/>
      <c r="E368" s="2"/>
      <c r="F368" s="2"/>
      <c r="G368" s="2"/>
      <c r="H368" s="66"/>
      <c r="I368" s="66"/>
      <c r="J368" s="66"/>
      <c r="K368" s="66"/>
      <c r="L368" s="67"/>
    </row>
    <row r="369" spans="1:12" x14ac:dyDescent="0.3">
      <c r="H369" s="17"/>
      <c r="I369" s="17"/>
      <c r="J369" s="17"/>
      <c r="K369" s="17"/>
      <c r="L369" s="17"/>
    </row>
    <row r="370" spans="1:12" x14ac:dyDescent="0.3">
      <c r="D370" s="63" t="s">
        <v>272</v>
      </c>
      <c r="E370" s="45" t="s">
        <v>46</v>
      </c>
      <c r="F370" s="45"/>
      <c r="G370" s="45"/>
      <c r="H370" s="88">
        <f>G374</f>
        <v>0</v>
      </c>
      <c r="I370" s="88">
        <f t="shared" ref="I370:L370" ca="1" si="140">H374</f>
        <v>0</v>
      </c>
      <c r="J370" s="88">
        <f t="shared" ca="1" si="140"/>
        <v>0</v>
      </c>
      <c r="K370" s="88">
        <f t="shared" ca="1" si="140"/>
        <v>0</v>
      </c>
      <c r="L370" s="89">
        <f t="shared" ca="1" si="140"/>
        <v>0</v>
      </c>
    </row>
    <row r="371" spans="1:12" x14ac:dyDescent="0.3">
      <c r="D371" s="13" t="s">
        <v>273</v>
      </c>
      <c r="E371" s="1" t="s">
        <v>46</v>
      </c>
      <c r="F371" s="87">
        <f>Inputs!F187</f>
        <v>10</v>
      </c>
      <c r="G371" s="1"/>
      <c r="H371" s="70">
        <f ca="1">IF((H367-H376)&lt;$F371,$F371-H$367-H376,0)</f>
        <v>0</v>
      </c>
      <c r="I371" s="70">
        <f t="shared" ref="I371:L371" ca="1" si="141">IF((I367-I376)&lt;$F371,$F371-I$367-I376,0)</f>
        <v>0</v>
      </c>
      <c r="J371" s="70">
        <f t="shared" ca="1" si="141"/>
        <v>0</v>
      </c>
      <c r="K371" s="70">
        <f t="shared" ca="1" si="141"/>
        <v>0</v>
      </c>
      <c r="L371" s="19">
        <f t="shared" ca="1" si="141"/>
        <v>0</v>
      </c>
    </row>
    <row r="372" spans="1:12" x14ac:dyDescent="0.3">
      <c r="D372" s="13" t="s">
        <v>276</v>
      </c>
      <c r="E372" s="1"/>
      <c r="F372" s="1"/>
      <c r="G372" s="1"/>
      <c r="H372" s="70">
        <f ca="1">IF((H367-H376)&gt;$F371,-MAX(MIN((H367-H376),SUM(H370:H371)),0),0)</f>
        <v>0</v>
      </c>
      <c r="I372" s="70">
        <f t="shared" ref="I372:L372" ca="1" si="142">IF((I367-I376)&gt;$F371,-MAX(MIN((I367-I376),SUM(I370:I371)),0),0)</f>
        <v>0</v>
      </c>
      <c r="J372" s="70">
        <f t="shared" ca="1" si="142"/>
        <v>0</v>
      </c>
      <c r="K372" s="70">
        <f t="shared" ca="1" si="142"/>
        <v>0</v>
      </c>
      <c r="L372" s="19">
        <f t="shared" ca="1" si="142"/>
        <v>0</v>
      </c>
    </row>
    <row r="373" spans="1:12" x14ac:dyDescent="0.3">
      <c r="D373" s="13"/>
      <c r="E373" s="1"/>
      <c r="F373" s="1"/>
      <c r="G373" s="1"/>
      <c r="H373" s="70"/>
      <c r="I373" s="70"/>
      <c r="J373" s="70"/>
      <c r="K373" s="70"/>
      <c r="L373" s="19"/>
    </row>
    <row r="374" spans="1:12" x14ac:dyDescent="0.3">
      <c r="D374" s="92" t="s">
        <v>274</v>
      </c>
      <c r="E374" s="75" t="s">
        <v>46</v>
      </c>
      <c r="F374" s="75"/>
      <c r="G374" s="75"/>
      <c r="H374" s="93">
        <f ca="1">SUM(H370:H373)</f>
        <v>0</v>
      </c>
      <c r="I374" s="93">
        <f t="shared" ref="I374:L374" ca="1" si="143">SUM(I370:I373)</f>
        <v>0</v>
      </c>
      <c r="J374" s="93">
        <f t="shared" ca="1" si="143"/>
        <v>0</v>
      </c>
      <c r="K374" s="93">
        <f t="shared" ca="1" si="143"/>
        <v>0</v>
      </c>
      <c r="L374" s="94">
        <f t="shared" ca="1" si="143"/>
        <v>0</v>
      </c>
    </row>
    <row r="375" spans="1:12" x14ac:dyDescent="0.3">
      <c r="D375" s="13"/>
      <c r="E375" s="1"/>
      <c r="F375" s="1"/>
      <c r="G375" s="1"/>
      <c r="H375" s="70"/>
      <c r="I375" s="70"/>
      <c r="J375" s="70"/>
      <c r="K375" s="70"/>
      <c r="L375" s="19"/>
    </row>
    <row r="376" spans="1:12" x14ac:dyDescent="0.3">
      <c r="C376" s="35">
        <v>0</v>
      </c>
      <c r="D376" s="76" t="s">
        <v>277</v>
      </c>
      <c r="E376" s="77" t="s">
        <v>46</v>
      </c>
      <c r="F376" s="95">
        <f>Inputs!F189+$C$376</f>
        <v>0.13</v>
      </c>
      <c r="G376" s="77"/>
      <c r="H376" s="78">
        <f>H370*$F376*H17</f>
        <v>0</v>
      </c>
      <c r="I376" s="78">
        <f t="shared" ref="I376:L376" ca="1" si="144">I370*$F376*I17</f>
        <v>0</v>
      </c>
      <c r="J376" s="78">
        <f t="shared" ca="1" si="144"/>
        <v>0</v>
      </c>
      <c r="K376" s="78">
        <f t="shared" ca="1" si="144"/>
        <v>0</v>
      </c>
      <c r="L376" s="79">
        <f t="shared" ca="1" si="144"/>
        <v>0</v>
      </c>
    </row>
    <row r="377" spans="1:12" x14ac:dyDescent="0.3">
      <c r="H377" s="17"/>
      <c r="I377" s="17"/>
      <c r="J377" s="17"/>
      <c r="K377" s="17"/>
      <c r="L377" s="17"/>
    </row>
    <row r="378" spans="1:12" x14ac:dyDescent="0.3">
      <c r="D378" s="3" t="s">
        <v>157</v>
      </c>
      <c r="E378" s="3" t="s">
        <v>46</v>
      </c>
      <c r="F378" s="90">
        <f>Inputs!F188+$C$376</f>
        <v>0.08</v>
      </c>
      <c r="G378" s="3"/>
      <c r="H378" s="81">
        <f ca="1">IF((H367+H372-H376)&gt;$F371,(H367+H372-H376-$F371)*$F378,0)*H17</f>
        <v>1.6118808496655741</v>
      </c>
      <c r="I378" s="81">
        <f t="shared" ref="I378:L378" ca="1" si="145">IF((I367+I372-I376)&gt;$F371,(I367+I372-I376-$F371)*$F378,0)*I17</f>
        <v>2.701454338773007</v>
      </c>
      <c r="J378" s="81">
        <f t="shared" ca="1" si="145"/>
        <v>4.0941783872001807</v>
      </c>
      <c r="K378" s="81">
        <f t="shared" ca="1" si="145"/>
        <v>7.2812368877918319</v>
      </c>
      <c r="L378" s="81">
        <f t="shared" ca="1" si="145"/>
        <v>12.050979268064713</v>
      </c>
    </row>
    <row r="381" spans="1:12" s="135" customFormat="1" x14ac:dyDescent="0.3">
      <c r="A381" s="135" t="s">
        <v>286</v>
      </c>
    </row>
    <row r="383" spans="1:12" x14ac:dyDescent="0.3">
      <c r="D383" s="63" t="s">
        <v>287</v>
      </c>
      <c r="E383" s="45"/>
      <c r="F383" s="45"/>
      <c r="G383" s="45"/>
      <c r="H383" s="45"/>
      <c r="I383" s="45"/>
      <c r="J383" s="45"/>
      <c r="K383" s="46"/>
    </row>
    <row r="384" spans="1:12" x14ac:dyDescent="0.3">
      <c r="D384" s="13" t="s">
        <v>288</v>
      </c>
      <c r="E384" s="16" t="s">
        <v>46</v>
      </c>
      <c r="F384" s="16" t="s">
        <v>289</v>
      </c>
      <c r="G384" s="16" t="s">
        <v>290</v>
      </c>
      <c r="H384" s="1" t="s">
        <v>293</v>
      </c>
      <c r="I384" s="1" t="s">
        <v>294</v>
      </c>
      <c r="J384" s="1" t="s">
        <v>295</v>
      </c>
      <c r="K384" s="47" t="s">
        <v>290</v>
      </c>
    </row>
    <row r="385" spans="4:12" x14ac:dyDescent="0.3">
      <c r="D385" s="13" t="s">
        <v>291</v>
      </c>
      <c r="E385" s="16">
        <f>Inputs!E218</f>
        <v>10</v>
      </c>
      <c r="F385" s="96">
        <f>Inputs!$F$214</f>
        <v>0.3</v>
      </c>
      <c r="G385" s="96">
        <f>Inputs!$F$215</f>
        <v>0.185</v>
      </c>
      <c r="H385" s="57">
        <f>Inputs!F218</f>
        <v>0</v>
      </c>
      <c r="I385" s="85">
        <f>Inputs!$F$222</f>
        <v>0.03</v>
      </c>
      <c r="J385" s="84">
        <f>F385*(1+H385)*(1+I385)</f>
        <v>0.309</v>
      </c>
      <c r="K385" s="97">
        <f>G385*(1+H385)*(1+I385)</f>
        <v>0.19055</v>
      </c>
    </row>
    <row r="386" spans="4:12" x14ac:dyDescent="0.3">
      <c r="D386" s="13" t="s">
        <v>291</v>
      </c>
      <c r="E386" s="16">
        <f>Inputs!E219</f>
        <v>100</v>
      </c>
      <c r="F386" s="96">
        <f>Inputs!$F$214</f>
        <v>0.3</v>
      </c>
      <c r="G386" s="96">
        <f>Inputs!$F$215</f>
        <v>0.185</v>
      </c>
      <c r="H386" s="57">
        <f>Inputs!F219</f>
        <v>7.0000000000000007E-2</v>
      </c>
      <c r="I386" s="85">
        <f>Inputs!$F$222</f>
        <v>0.03</v>
      </c>
      <c r="J386" s="84">
        <f t="shared" ref="J386:J387" si="146">F386*(1+H386)*(1+I386)</f>
        <v>0.33063000000000003</v>
      </c>
      <c r="K386" s="97">
        <f t="shared" ref="K386:K387" si="147">G386*(1+H386)*(1+I386)</f>
        <v>0.20388850000000003</v>
      </c>
    </row>
    <row r="387" spans="4:12" x14ac:dyDescent="0.3">
      <c r="D387" s="14" t="s">
        <v>292</v>
      </c>
      <c r="E387" s="29">
        <f>Inputs!E220</f>
        <v>100</v>
      </c>
      <c r="F387" s="98">
        <f>Inputs!$F$214</f>
        <v>0.3</v>
      </c>
      <c r="G387" s="98">
        <f>Inputs!$F$215</f>
        <v>0.185</v>
      </c>
      <c r="H387" s="58">
        <f>Inputs!F220</f>
        <v>0.12</v>
      </c>
      <c r="I387" s="91">
        <f>Inputs!$F$222</f>
        <v>0.03</v>
      </c>
      <c r="J387" s="99">
        <f t="shared" si="146"/>
        <v>0.34608000000000005</v>
      </c>
      <c r="K387" s="100">
        <f t="shared" si="147"/>
        <v>0.21341600000000002</v>
      </c>
    </row>
    <row r="388" spans="4:12" x14ac:dyDescent="0.3">
      <c r="D388" s="1"/>
      <c r="E388" s="16"/>
      <c r="F388" s="96"/>
      <c r="G388" s="96"/>
      <c r="H388" s="57"/>
      <c r="I388" s="85"/>
      <c r="J388" s="84"/>
      <c r="K388" s="84"/>
    </row>
    <row r="390" spans="4:12" x14ac:dyDescent="0.3">
      <c r="D390" s="12" t="s">
        <v>296</v>
      </c>
      <c r="E390" s="45"/>
      <c r="F390" s="45"/>
      <c r="G390" s="45"/>
      <c r="H390" s="45"/>
      <c r="I390" s="45"/>
      <c r="J390" s="45"/>
      <c r="K390" s="45"/>
      <c r="L390" s="46"/>
    </row>
    <row r="391" spans="4:12" x14ac:dyDescent="0.3">
      <c r="D391" s="13" t="s">
        <v>297</v>
      </c>
      <c r="E391" s="1" t="s">
        <v>46</v>
      </c>
      <c r="F391" s="1"/>
      <c r="G391" s="1"/>
      <c r="H391" s="70">
        <f ca="1">FS!H50</f>
        <v>16.647415361904763</v>
      </c>
      <c r="I391" s="70">
        <f ca="1">FS!I50</f>
        <v>23.358987449002338</v>
      </c>
      <c r="J391" s="70">
        <f ca="1">FS!J50</f>
        <v>34.203629886581687</v>
      </c>
      <c r="K391" s="70">
        <f ca="1">FS!K50</f>
        <v>46.103624446902622</v>
      </c>
      <c r="L391" s="19">
        <f ca="1">FS!L50</f>
        <v>62.505512370824064</v>
      </c>
    </row>
    <row r="392" spans="4:12" x14ac:dyDescent="0.3">
      <c r="D392" s="13" t="s">
        <v>298</v>
      </c>
      <c r="E392" s="1" t="s">
        <v>46</v>
      </c>
      <c r="F392" s="1"/>
      <c r="G392" s="1"/>
      <c r="H392" s="70">
        <f ca="1">-FS!H42</f>
        <v>0.95809523809523811</v>
      </c>
      <c r="I392" s="70">
        <f ca="1">-FS!I42</f>
        <v>1.0243</v>
      </c>
      <c r="J392" s="70">
        <f ca="1">-FS!J42</f>
        <v>1.2388859761904765</v>
      </c>
      <c r="K392" s="70">
        <f ca="1">-FS!K42</f>
        <v>1.1156154341666666</v>
      </c>
      <c r="L392" s="19">
        <f ca="1">-FS!L42</f>
        <v>1.3372334778684523</v>
      </c>
    </row>
    <row r="393" spans="4:12" x14ac:dyDescent="0.3">
      <c r="D393" s="13" t="s">
        <v>299</v>
      </c>
      <c r="E393" s="1" t="s">
        <v>46</v>
      </c>
      <c r="F393" s="1"/>
      <c r="G393" s="1"/>
      <c r="H393" s="70">
        <f>H307</f>
        <v>-1.5300000000000002</v>
      </c>
      <c r="I393" s="70">
        <f t="shared" ref="I393:L393" ca="1" si="148">I307</f>
        <v>-1.1321749999999999</v>
      </c>
      <c r="J393" s="70">
        <f t="shared" ca="1" si="148"/>
        <v>-1.3305436250000002</v>
      </c>
      <c r="K393" s="70">
        <f t="shared" ca="1" si="148"/>
        <v>-0.98789685812500005</v>
      </c>
      <c r="L393" s="19">
        <f t="shared" ca="1" si="148"/>
        <v>-1.3799840210031251</v>
      </c>
    </row>
    <row r="394" spans="4:12" x14ac:dyDescent="0.3">
      <c r="D394" s="13"/>
      <c r="E394" s="1"/>
      <c r="F394" s="1"/>
      <c r="G394" s="1"/>
      <c r="H394" s="70"/>
      <c r="I394" s="70"/>
      <c r="J394" s="70"/>
      <c r="K394" s="70"/>
      <c r="L394" s="19"/>
    </row>
    <row r="395" spans="4:12" x14ac:dyDescent="0.3">
      <c r="D395" s="13" t="s">
        <v>300</v>
      </c>
      <c r="E395" s="1" t="s">
        <v>46</v>
      </c>
      <c r="F395" s="1"/>
      <c r="G395" s="1"/>
      <c r="H395" s="70">
        <f ca="1">SUM(H391:H394)</f>
        <v>16.075510600000001</v>
      </c>
      <c r="I395" s="70">
        <f t="shared" ref="I395:L395" ca="1" si="149">SUM(I391:I394)</f>
        <v>23.251112449002338</v>
      </c>
      <c r="J395" s="70">
        <f t="shared" ca="1" si="149"/>
        <v>34.111972237772164</v>
      </c>
      <c r="K395" s="70">
        <f t="shared" ca="1" si="149"/>
        <v>46.231343022944287</v>
      </c>
      <c r="L395" s="19">
        <f t="shared" ca="1" si="149"/>
        <v>62.462761827689391</v>
      </c>
    </row>
    <row r="396" spans="4:12" x14ac:dyDescent="0.3">
      <c r="D396" s="13"/>
      <c r="E396" s="1"/>
      <c r="F396" s="1"/>
      <c r="G396" s="1"/>
      <c r="H396" s="70"/>
      <c r="I396" s="70"/>
      <c r="J396" s="70"/>
      <c r="K396" s="70"/>
      <c r="L396" s="19"/>
    </row>
    <row r="397" spans="4:12" x14ac:dyDescent="0.3">
      <c r="D397" s="13" t="s">
        <v>301</v>
      </c>
      <c r="E397" s="1" t="s">
        <v>46</v>
      </c>
      <c r="F397" s="1"/>
      <c r="G397" s="1"/>
      <c r="H397" s="70">
        <f ca="1">-MIN(H395-H393,0)</f>
        <v>0</v>
      </c>
      <c r="I397" s="70">
        <f t="shared" ref="I397:L397" ca="1" si="150">-MIN(I395-I393,0)</f>
        <v>0</v>
      </c>
      <c r="J397" s="70">
        <f t="shared" ca="1" si="150"/>
        <v>0</v>
      </c>
      <c r="K397" s="70">
        <f t="shared" ca="1" si="150"/>
        <v>0</v>
      </c>
      <c r="L397" s="19">
        <f t="shared" ca="1" si="150"/>
        <v>0</v>
      </c>
    </row>
    <row r="398" spans="4:12" x14ac:dyDescent="0.3">
      <c r="D398" s="13"/>
      <c r="E398" s="1"/>
      <c r="F398" s="1"/>
      <c r="G398" s="1"/>
      <c r="H398" s="70"/>
      <c r="I398" s="70"/>
      <c r="J398" s="70"/>
      <c r="K398" s="70"/>
      <c r="L398" s="19"/>
    </row>
    <row r="399" spans="4:12" x14ac:dyDescent="0.3">
      <c r="D399" s="13" t="s">
        <v>302</v>
      </c>
      <c r="E399" s="1" t="s">
        <v>46</v>
      </c>
      <c r="F399" s="1"/>
      <c r="G399" s="1"/>
      <c r="H399" s="70">
        <f ca="1">SUM(H395:H398)</f>
        <v>16.075510600000001</v>
      </c>
      <c r="I399" s="70">
        <f t="shared" ref="I399:L399" ca="1" si="151">SUM(I395:I398)</f>
        <v>23.251112449002338</v>
      </c>
      <c r="J399" s="70">
        <f t="shared" ca="1" si="151"/>
        <v>34.111972237772164</v>
      </c>
      <c r="K399" s="70">
        <f t="shared" ca="1" si="151"/>
        <v>46.231343022944287</v>
      </c>
      <c r="L399" s="19">
        <f t="shared" ca="1" si="151"/>
        <v>62.462761827689391</v>
      </c>
    </row>
    <row r="400" spans="4:12" x14ac:dyDescent="0.3">
      <c r="D400" s="13"/>
      <c r="E400" s="1"/>
      <c r="F400" s="1"/>
      <c r="G400" s="1"/>
      <c r="H400" s="70"/>
      <c r="I400" s="70"/>
      <c r="J400" s="70"/>
      <c r="K400" s="70"/>
      <c r="L400" s="19"/>
    </row>
    <row r="401" spans="4:12" x14ac:dyDescent="0.3">
      <c r="D401" s="13" t="s">
        <v>303</v>
      </c>
      <c r="E401" s="1" t="s">
        <v>46</v>
      </c>
      <c r="F401" s="1"/>
      <c r="G401" s="1"/>
      <c r="H401" s="70">
        <f>G406</f>
        <v>0</v>
      </c>
      <c r="I401" s="70">
        <f t="shared" ref="I401:L401" ca="1" si="152">H406</f>
        <v>0</v>
      </c>
      <c r="J401" s="70">
        <f t="shared" ca="1" si="152"/>
        <v>0</v>
      </c>
      <c r="K401" s="70">
        <f t="shared" ca="1" si="152"/>
        <v>0</v>
      </c>
      <c r="L401" s="19">
        <f t="shared" ca="1" si="152"/>
        <v>0</v>
      </c>
    </row>
    <row r="402" spans="4:12" x14ac:dyDescent="0.3">
      <c r="D402" s="13" t="s">
        <v>304</v>
      </c>
      <c r="E402" s="1" t="s">
        <v>46</v>
      </c>
      <c r="F402" s="1"/>
      <c r="G402" s="1"/>
      <c r="H402" s="70">
        <f t="shared" ref="H402:L402" ca="1" si="153">H397</f>
        <v>0</v>
      </c>
      <c r="I402" s="70">
        <f t="shared" ca="1" si="153"/>
        <v>0</v>
      </c>
      <c r="J402" s="70">
        <f t="shared" ca="1" si="153"/>
        <v>0</v>
      </c>
      <c r="K402" s="70">
        <f t="shared" ca="1" si="153"/>
        <v>0</v>
      </c>
      <c r="L402" s="19">
        <f t="shared" ca="1" si="153"/>
        <v>0</v>
      </c>
    </row>
    <row r="403" spans="4:12" x14ac:dyDescent="0.3">
      <c r="D403" s="13" t="s">
        <v>305</v>
      </c>
      <c r="E403" s="1" t="s">
        <v>46</v>
      </c>
      <c r="F403" s="1"/>
      <c r="G403" s="1"/>
      <c r="H403" s="70">
        <f ca="1">-IF(H399&lt;0,0,MIN(H401+H402,H399))</f>
        <v>0</v>
      </c>
      <c r="I403" s="70">
        <f t="shared" ref="I403:L403" ca="1" si="154">-IF(I399&lt;0,0,MIN(I401+I402,I399))</f>
        <v>0</v>
      </c>
      <c r="J403" s="70">
        <f t="shared" ca="1" si="154"/>
        <v>0</v>
      </c>
      <c r="K403" s="70">
        <f t="shared" ca="1" si="154"/>
        <v>0</v>
      </c>
      <c r="L403" s="19">
        <f t="shared" ca="1" si="154"/>
        <v>0</v>
      </c>
    </row>
    <row r="404" spans="4:12" x14ac:dyDescent="0.3">
      <c r="D404" s="13" t="s">
        <v>306</v>
      </c>
      <c r="E404" s="1" t="s">
        <v>46</v>
      </c>
      <c r="F404" s="1">
        <f>Inputs!F224</f>
        <v>8</v>
      </c>
      <c r="G404" s="1"/>
      <c r="H404" s="70">
        <f ca="1">-IF(H$3&lt;=$F404,0,MAX(SUM(OFFSET(H402,0,-H$3,1,1):OFFSET(H402,0,-$F404,1,1))+SUM(H403:OFFSET(H403,0,0,1,-H$3))+SUM($G404:G404),0))</f>
        <v>0</v>
      </c>
      <c r="I404" s="70">
        <f ca="1">-IF(I$3&lt;=$F404,0,MAX(SUM(OFFSET(I402,0,-I$3,1,1):OFFSET(I402,0,-$F404,1,1))+SUM(I403:OFFSET(I403,0,0,1,-I$3))+SUM($G404:H404),0))</f>
        <v>0</v>
      </c>
      <c r="J404" s="70">
        <f ca="1">-IF(J$3&lt;=$F404,0,MAX(SUM(OFFSET(J402,0,-J$3,1,1):OFFSET(J402,0,-$F404,1,1))+SUM(J403:OFFSET(J403,0,0,1,-J$3))+SUM($G404:I404),0))</f>
        <v>0</v>
      </c>
      <c r="K404" s="70">
        <f ca="1">-IF(K$3&lt;=$F404,0,MAX(SUM(OFFSET(K402,0,-K$3,1,1):OFFSET(K402,0,-$F404,1,1))+SUM(K403:OFFSET(K403,0,0,1,-K$3))+SUM($G404:J404),0))</f>
        <v>0</v>
      </c>
      <c r="L404" s="19">
        <f ca="1">-IF(L$3&lt;=$F404,0,MAX(SUM(OFFSET(L402,0,-L$3,1,1):OFFSET(L402,0,-$F404,1,1))+SUM(L403:OFFSET(L403,0,0,1,-L$3))+SUM($G404:K404),0))</f>
        <v>0</v>
      </c>
    </row>
    <row r="405" spans="4:12" x14ac:dyDescent="0.3">
      <c r="D405" s="13"/>
      <c r="E405" s="1"/>
      <c r="F405" s="1"/>
      <c r="G405" s="1"/>
      <c r="H405" s="70"/>
      <c r="I405" s="70"/>
      <c r="J405" s="70"/>
      <c r="K405" s="70"/>
      <c r="L405" s="19"/>
    </row>
    <row r="406" spans="4:12" x14ac:dyDescent="0.3">
      <c r="D406" s="13" t="s">
        <v>307</v>
      </c>
      <c r="E406" s="1" t="s">
        <v>46</v>
      </c>
      <c r="F406" s="1"/>
      <c r="G406" s="1"/>
      <c r="H406" s="145">
        <f ca="1">SUM(H401:H405)</f>
        <v>0</v>
      </c>
      <c r="I406" s="88">
        <f t="shared" ref="I406:L406" ca="1" si="155">SUM(I401:I405)</f>
        <v>0</v>
      </c>
      <c r="J406" s="88">
        <f t="shared" ca="1" si="155"/>
        <v>0</v>
      </c>
      <c r="K406" s="88">
        <f t="shared" ca="1" si="155"/>
        <v>0</v>
      </c>
      <c r="L406" s="89">
        <f t="shared" ca="1" si="155"/>
        <v>0</v>
      </c>
    </row>
    <row r="407" spans="4:12" x14ac:dyDescent="0.3">
      <c r="D407" s="13"/>
      <c r="E407" s="1"/>
      <c r="F407" s="1"/>
      <c r="G407" s="1"/>
      <c r="H407" s="146"/>
      <c r="I407" s="66"/>
      <c r="J407" s="66"/>
      <c r="K407" s="66"/>
      <c r="L407" s="67"/>
    </row>
    <row r="408" spans="4:12" x14ac:dyDescent="0.3">
      <c r="D408" s="13" t="s">
        <v>308</v>
      </c>
      <c r="E408" s="1" t="s">
        <v>46</v>
      </c>
      <c r="F408" s="1"/>
      <c r="G408" s="1"/>
      <c r="H408" s="145">
        <f ca="1">H399+H403</f>
        <v>16.075510600000001</v>
      </c>
      <c r="I408" s="88">
        <f t="shared" ref="I408:L408" ca="1" si="156">I399+I403</f>
        <v>23.251112449002338</v>
      </c>
      <c r="J408" s="88">
        <f t="shared" ca="1" si="156"/>
        <v>34.111972237772164</v>
      </c>
      <c r="K408" s="88">
        <f t="shared" ca="1" si="156"/>
        <v>46.231343022944287</v>
      </c>
      <c r="L408" s="89">
        <f t="shared" ca="1" si="156"/>
        <v>62.462761827689391</v>
      </c>
    </row>
    <row r="409" spans="4:12" x14ac:dyDescent="0.3">
      <c r="D409" s="13" t="s">
        <v>309</v>
      </c>
      <c r="E409" s="1" t="s">
        <v>46</v>
      </c>
      <c r="F409" s="1"/>
      <c r="G409" s="1"/>
      <c r="H409" s="113">
        <f>MIN(G411,0)</f>
        <v>0</v>
      </c>
      <c r="I409" s="70">
        <f t="shared" ref="I409:L409" ca="1" si="157">MIN(H411,0)</f>
        <v>0</v>
      </c>
      <c r="J409" s="70">
        <f t="shared" ca="1" si="157"/>
        <v>0</v>
      </c>
      <c r="K409" s="70">
        <f t="shared" ca="1" si="157"/>
        <v>0</v>
      </c>
      <c r="L409" s="19">
        <f t="shared" ca="1" si="157"/>
        <v>0</v>
      </c>
    </row>
    <row r="410" spans="4:12" x14ac:dyDescent="0.3">
      <c r="D410" s="13"/>
      <c r="E410" s="1"/>
      <c r="F410" s="1"/>
      <c r="G410" s="1"/>
      <c r="H410" s="146"/>
      <c r="I410" s="66"/>
      <c r="J410" s="66"/>
      <c r="K410" s="66"/>
      <c r="L410" s="67"/>
    </row>
    <row r="411" spans="4:12" x14ac:dyDescent="0.3">
      <c r="D411" s="13" t="s">
        <v>310</v>
      </c>
      <c r="E411" s="1" t="s">
        <v>46</v>
      </c>
      <c r="F411" s="1"/>
      <c r="G411" s="1"/>
      <c r="H411" s="70">
        <f ca="1">SUM(H408:H410)</f>
        <v>16.075510600000001</v>
      </c>
      <c r="I411" s="70">
        <f t="shared" ref="I411:L411" ca="1" si="158">SUM(I408:I410)</f>
        <v>23.251112449002338</v>
      </c>
      <c r="J411" s="70">
        <f t="shared" ca="1" si="158"/>
        <v>34.111972237772164</v>
      </c>
      <c r="K411" s="70">
        <f t="shared" ca="1" si="158"/>
        <v>46.231343022944287</v>
      </c>
      <c r="L411" s="19">
        <f t="shared" ca="1" si="158"/>
        <v>62.462761827689391</v>
      </c>
    </row>
    <row r="412" spans="4:12" x14ac:dyDescent="0.3">
      <c r="D412" s="13"/>
      <c r="E412" s="1"/>
      <c r="F412" s="1"/>
      <c r="G412" s="1"/>
      <c r="H412" s="70"/>
      <c r="I412" s="70"/>
      <c r="J412" s="70"/>
      <c r="K412" s="70"/>
      <c r="L412" s="19"/>
    </row>
    <row r="413" spans="4:12" x14ac:dyDescent="0.3">
      <c r="D413" s="13" t="s">
        <v>311</v>
      </c>
      <c r="E413" s="1" t="s">
        <v>172</v>
      </c>
      <c r="F413" s="1"/>
      <c r="G413" s="1"/>
      <c r="H413" s="61">
        <f ca="1">IF(H411&lt;$E$385,$J$385,IF(H411&lt;$E$386,$J$386,$J$387))</f>
        <v>0.33063000000000003</v>
      </c>
      <c r="I413" s="61">
        <f t="shared" ref="I413:L413" ca="1" si="159">IF(I411&lt;$E$385,$J$385,IF(I411&lt;$E$386,$J$386,$J$387))</f>
        <v>0.33063000000000003</v>
      </c>
      <c r="J413" s="61">
        <f t="shared" ca="1" si="159"/>
        <v>0.33063000000000003</v>
      </c>
      <c r="K413" s="61">
        <f t="shared" ca="1" si="159"/>
        <v>0.33063000000000003</v>
      </c>
      <c r="L413" s="147">
        <f t="shared" ca="1" si="159"/>
        <v>0.33063000000000003</v>
      </c>
    </row>
    <row r="414" spans="4:12" x14ac:dyDescent="0.3">
      <c r="D414" s="13"/>
      <c r="E414" s="1"/>
      <c r="F414" s="1"/>
      <c r="G414" s="1"/>
      <c r="H414" s="70"/>
      <c r="I414" s="70"/>
      <c r="J414" s="70"/>
      <c r="K414" s="70"/>
      <c r="L414" s="19"/>
    </row>
    <row r="415" spans="4:12" x14ac:dyDescent="0.3">
      <c r="D415" s="102" t="s">
        <v>312</v>
      </c>
      <c r="E415" s="103" t="s">
        <v>46</v>
      </c>
      <c r="F415" s="103"/>
      <c r="G415" s="103"/>
      <c r="H415" s="148">
        <f ca="1">MAX(H411,0)*H413</f>
        <v>5.3150460696780009</v>
      </c>
      <c r="I415" s="148">
        <f t="shared" ref="I415:L415" ca="1" si="160">MAX(I411,0)*I413</f>
        <v>7.6875153090136443</v>
      </c>
      <c r="J415" s="148">
        <f t="shared" ca="1" si="160"/>
        <v>11.278441380974613</v>
      </c>
      <c r="K415" s="148">
        <f t="shared" ca="1" si="160"/>
        <v>15.28546894367607</v>
      </c>
      <c r="L415" s="149">
        <f t="shared" ca="1" si="160"/>
        <v>20.652062943088946</v>
      </c>
    </row>
    <row r="416" spans="4:12" x14ac:dyDescent="0.3">
      <c r="D416" s="13"/>
      <c r="E416" s="1"/>
      <c r="F416" s="1"/>
      <c r="G416" s="1"/>
      <c r="H416" s="1"/>
      <c r="I416" s="1"/>
      <c r="J416" s="1"/>
      <c r="K416" s="1"/>
      <c r="L416" s="47"/>
    </row>
    <row r="417" spans="4:12" x14ac:dyDescent="0.3">
      <c r="D417" s="63" t="s">
        <v>313</v>
      </c>
      <c r="E417" s="45"/>
      <c r="F417" s="45"/>
      <c r="G417" s="45"/>
      <c r="H417" s="45"/>
      <c r="I417" s="45"/>
      <c r="J417" s="45"/>
      <c r="K417" s="45"/>
      <c r="L417" s="46"/>
    </row>
    <row r="418" spans="4:12" x14ac:dyDescent="0.3">
      <c r="D418" s="13" t="s">
        <v>314</v>
      </c>
      <c r="E418" s="1" t="s">
        <v>46</v>
      </c>
      <c r="F418" s="1"/>
      <c r="G418" s="1"/>
      <c r="H418" s="70">
        <f t="shared" ref="H418:L418" ca="1" si="161">H391+H392</f>
        <v>17.605510600000002</v>
      </c>
      <c r="I418" s="70">
        <f t="shared" ca="1" si="161"/>
        <v>24.383287449002339</v>
      </c>
      <c r="J418" s="70">
        <f t="shared" ca="1" si="161"/>
        <v>35.442515862772161</v>
      </c>
      <c r="K418" s="70">
        <f t="shared" ca="1" si="161"/>
        <v>47.219239881069285</v>
      </c>
      <c r="L418" s="19">
        <f t="shared" ca="1" si="161"/>
        <v>63.842745848692516</v>
      </c>
    </row>
    <row r="419" spans="4:12" x14ac:dyDescent="0.3">
      <c r="D419" s="13" t="s">
        <v>315</v>
      </c>
      <c r="E419" s="1" t="s">
        <v>46</v>
      </c>
      <c r="F419" s="1"/>
      <c r="G419" s="1"/>
      <c r="H419" s="70">
        <f t="shared" ref="H419:L419" ca="1" si="162">-H392</f>
        <v>-0.95809523809523811</v>
      </c>
      <c r="I419" s="70">
        <f t="shared" ca="1" si="162"/>
        <v>-1.0243</v>
      </c>
      <c r="J419" s="70">
        <f t="shared" ca="1" si="162"/>
        <v>-1.2388859761904765</v>
      </c>
      <c r="K419" s="70">
        <f t="shared" ca="1" si="162"/>
        <v>-1.1156154341666666</v>
      </c>
      <c r="L419" s="19">
        <f t="shared" ca="1" si="162"/>
        <v>-1.3372334778684523</v>
      </c>
    </row>
    <row r="420" spans="4:12" x14ac:dyDescent="0.3">
      <c r="D420" s="13"/>
      <c r="E420" s="1"/>
      <c r="F420" s="1"/>
      <c r="G420" s="1"/>
      <c r="H420" s="70"/>
      <c r="I420" s="70"/>
      <c r="J420" s="70"/>
      <c r="K420" s="70"/>
      <c r="L420" s="19"/>
    </row>
    <row r="421" spans="4:12" x14ac:dyDescent="0.3">
      <c r="D421" s="13" t="s">
        <v>316</v>
      </c>
      <c r="E421" s="1" t="s">
        <v>46</v>
      </c>
      <c r="F421" s="1"/>
      <c r="G421" s="1"/>
      <c r="H421" s="70">
        <f ca="1">SUM(H418:H420)</f>
        <v>16.647415361904763</v>
      </c>
      <c r="I421" s="70">
        <f t="shared" ref="I421:L421" ca="1" si="163">SUM(I418:I420)</f>
        <v>23.358987449002338</v>
      </c>
      <c r="J421" s="70">
        <f t="shared" ca="1" si="163"/>
        <v>34.203629886581687</v>
      </c>
      <c r="K421" s="70">
        <f t="shared" ca="1" si="163"/>
        <v>46.103624446902622</v>
      </c>
      <c r="L421" s="19">
        <f t="shared" ca="1" si="163"/>
        <v>62.505512370824064</v>
      </c>
    </row>
    <row r="422" spans="4:12" x14ac:dyDescent="0.3">
      <c r="D422" s="13"/>
      <c r="E422" s="1"/>
      <c r="F422" s="1"/>
      <c r="G422" s="1"/>
      <c r="H422" s="70"/>
      <c r="I422" s="70"/>
      <c r="J422" s="70"/>
      <c r="K422" s="70"/>
      <c r="L422" s="19"/>
    </row>
    <row r="423" spans="4:12" x14ac:dyDescent="0.3">
      <c r="D423" s="13" t="s">
        <v>317</v>
      </c>
      <c r="E423" s="1" t="s">
        <v>46</v>
      </c>
      <c r="F423" s="1"/>
      <c r="G423" s="1"/>
      <c r="H423" s="70">
        <f ca="1">G423-IF(H418&lt;0,H418,MAX(H421,0))</f>
        <v>-16.647415361904763</v>
      </c>
      <c r="I423" s="70">
        <f t="shared" ref="I423:L423" ca="1" si="164">H423-IF(I418&lt;0,I418,MAX(I421,0))</f>
        <v>-40.006402810907105</v>
      </c>
      <c r="J423" s="70">
        <f t="shared" ca="1" si="164"/>
        <v>-74.210032697488799</v>
      </c>
      <c r="K423" s="70">
        <f t="shared" ca="1" si="164"/>
        <v>-120.31365714439141</v>
      </c>
      <c r="L423" s="19">
        <f t="shared" ca="1" si="164"/>
        <v>-182.81916951521549</v>
      </c>
    </row>
    <row r="424" spans="4:12" x14ac:dyDescent="0.3">
      <c r="D424" s="13" t="s">
        <v>318</v>
      </c>
      <c r="E424" s="1" t="s">
        <v>46</v>
      </c>
      <c r="F424" s="1"/>
      <c r="G424" s="1"/>
      <c r="H424" s="70">
        <f ca="1">G424-IF(H419&lt;0,MAX(H419,H421),0)</f>
        <v>-16.647415361904763</v>
      </c>
      <c r="I424" s="70">
        <f t="shared" ref="I424:L424" ca="1" si="165">H424-IF(I419&lt;0,MAX(I419,I421),0)</f>
        <v>-40.006402810907105</v>
      </c>
      <c r="J424" s="70">
        <f t="shared" ca="1" si="165"/>
        <v>-74.210032697488799</v>
      </c>
      <c r="K424" s="70">
        <f t="shared" ca="1" si="165"/>
        <v>-120.31365714439141</v>
      </c>
      <c r="L424" s="19">
        <f t="shared" ca="1" si="165"/>
        <v>-182.81916951521549</v>
      </c>
    </row>
    <row r="425" spans="4:12" x14ac:dyDescent="0.3">
      <c r="D425" s="13" t="s">
        <v>319</v>
      </c>
      <c r="E425" s="1" t="s">
        <v>46</v>
      </c>
      <c r="F425" s="1"/>
      <c r="G425" s="1"/>
      <c r="H425" s="70">
        <f>IF(G423&gt;0,MIN(G423,G424),0)</f>
        <v>0</v>
      </c>
      <c r="I425" s="70">
        <f t="shared" ref="I425:L425" ca="1" si="166">IF(H423&gt;0,MIN(H423,H424),0)</f>
        <v>0</v>
      </c>
      <c r="J425" s="70">
        <f t="shared" ca="1" si="166"/>
        <v>0</v>
      </c>
      <c r="K425" s="70">
        <f t="shared" ca="1" si="166"/>
        <v>0</v>
      </c>
      <c r="L425" s="19">
        <f t="shared" ca="1" si="166"/>
        <v>0</v>
      </c>
    </row>
    <row r="426" spans="4:12" x14ac:dyDescent="0.3">
      <c r="D426" s="13" t="s">
        <v>320</v>
      </c>
      <c r="E426" s="1" t="s">
        <v>46</v>
      </c>
      <c r="F426" s="1"/>
      <c r="G426" s="1"/>
      <c r="H426" s="70">
        <f ca="1">-IF(H421&gt;0,MIN(H421,H425),0)</f>
        <v>0</v>
      </c>
      <c r="I426" s="70">
        <f t="shared" ref="I426:L426" ca="1" si="167">-IF(I421&gt;0,MIN(I421,I425),0)</f>
        <v>0</v>
      </c>
      <c r="J426" s="70">
        <f t="shared" ca="1" si="167"/>
        <v>0</v>
      </c>
      <c r="K426" s="70">
        <f t="shared" ca="1" si="167"/>
        <v>0</v>
      </c>
      <c r="L426" s="19">
        <f t="shared" ca="1" si="167"/>
        <v>0</v>
      </c>
    </row>
    <row r="427" spans="4:12" x14ac:dyDescent="0.3">
      <c r="D427" s="13"/>
      <c r="E427" s="1"/>
      <c r="F427" s="1"/>
      <c r="G427" s="1"/>
      <c r="H427" s="70"/>
      <c r="I427" s="70"/>
      <c r="J427" s="70"/>
      <c r="K427" s="70"/>
      <c r="L427" s="19"/>
    </row>
    <row r="428" spans="4:12" x14ac:dyDescent="0.3">
      <c r="D428" s="13" t="s">
        <v>321</v>
      </c>
      <c r="E428" s="1" t="s">
        <v>46</v>
      </c>
      <c r="F428" s="1"/>
      <c r="G428" s="1"/>
      <c r="H428" s="145">
        <f ca="1">SUM(H421,H426)</f>
        <v>16.647415361904763</v>
      </c>
      <c r="I428" s="88">
        <f t="shared" ref="I428:L428" ca="1" si="168">SUM(I421,I426)</f>
        <v>23.358987449002338</v>
      </c>
      <c r="J428" s="88">
        <f t="shared" ca="1" si="168"/>
        <v>34.203629886581687</v>
      </c>
      <c r="K428" s="88">
        <f t="shared" ca="1" si="168"/>
        <v>46.103624446902622</v>
      </c>
      <c r="L428" s="89">
        <f t="shared" ca="1" si="168"/>
        <v>62.505512370824064</v>
      </c>
    </row>
    <row r="429" spans="4:12" x14ac:dyDescent="0.3">
      <c r="D429" s="13"/>
      <c r="E429" s="1"/>
      <c r="F429" s="1"/>
      <c r="G429" s="1"/>
      <c r="H429" s="113"/>
      <c r="I429" s="70"/>
      <c r="J429" s="70"/>
      <c r="K429" s="70"/>
      <c r="L429" s="19"/>
    </row>
    <row r="430" spans="4:12" x14ac:dyDescent="0.3">
      <c r="D430" s="13" t="s">
        <v>322</v>
      </c>
      <c r="E430" s="1" t="s">
        <v>27</v>
      </c>
      <c r="F430" s="1"/>
      <c r="G430" s="1"/>
      <c r="H430" s="150">
        <f ca="1">IF(H428&lt;$E$385,$K$385,IF(H428&lt;$E$386,$K$386,$K$387))</f>
        <v>0.20388850000000003</v>
      </c>
      <c r="I430" s="61">
        <f t="shared" ref="I430:L430" ca="1" si="169">IF(I428&lt;$E$385,$K$385,IF(I428&lt;$E$386,$K$386,$K$387))</f>
        <v>0.20388850000000003</v>
      </c>
      <c r="J430" s="61">
        <f t="shared" ca="1" si="169"/>
        <v>0.20388850000000003</v>
      </c>
      <c r="K430" s="61">
        <f t="shared" ca="1" si="169"/>
        <v>0.20388850000000003</v>
      </c>
      <c r="L430" s="147">
        <f t="shared" ca="1" si="169"/>
        <v>0.20388850000000003</v>
      </c>
    </row>
    <row r="431" spans="4:12" x14ac:dyDescent="0.3">
      <c r="D431" s="13"/>
      <c r="E431" s="1"/>
      <c r="F431" s="1"/>
      <c r="G431" s="1"/>
      <c r="H431" s="146"/>
      <c r="I431" s="66"/>
      <c r="J431" s="66"/>
      <c r="K431" s="66"/>
      <c r="L431" s="67"/>
    </row>
    <row r="432" spans="4:12" x14ac:dyDescent="0.3">
      <c r="D432" s="71" t="s">
        <v>323</v>
      </c>
      <c r="E432" s="72" t="s">
        <v>46</v>
      </c>
      <c r="F432" s="72"/>
      <c r="G432" s="101"/>
      <c r="H432" s="115">
        <f ca="1">MAX(H428,0)*H430</f>
        <v>3.3942165470157195</v>
      </c>
      <c r="I432" s="73">
        <f t="shared" ref="I432:L432" ca="1" si="170">MAX(I428,0)*I430</f>
        <v>4.7626289124959138</v>
      </c>
      <c r="J432" s="73">
        <f t="shared" ca="1" si="170"/>
        <v>6.9737267921303117</v>
      </c>
      <c r="K432" s="73">
        <f t="shared" ca="1" si="170"/>
        <v>9.3999988330423072</v>
      </c>
      <c r="L432" s="74">
        <f t="shared" ca="1" si="170"/>
        <v>12.744155159018764</v>
      </c>
    </row>
    <row r="433" spans="4:12" x14ac:dyDescent="0.3">
      <c r="D433" s="13"/>
      <c r="E433" s="1"/>
      <c r="F433" s="1"/>
      <c r="G433" s="1"/>
      <c r="H433" s="70"/>
      <c r="I433" s="70"/>
      <c r="J433" s="70"/>
      <c r="K433" s="70"/>
      <c r="L433" s="19"/>
    </row>
    <row r="434" spans="4:12" x14ac:dyDescent="0.3">
      <c r="D434" s="71" t="s">
        <v>324</v>
      </c>
      <c r="E434" s="72" t="s">
        <v>46</v>
      </c>
      <c r="F434" s="72"/>
      <c r="G434" s="101"/>
      <c r="H434" s="115">
        <f t="shared" ref="H434:L434" ca="1" si="171">MAX(H415,H432)</f>
        <v>5.3150460696780009</v>
      </c>
      <c r="I434" s="73">
        <f t="shared" ca="1" si="171"/>
        <v>7.6875153090136443</v>
      </c>
      <c r="J434" s="73">
        <f t="shared" ca="1" si="171"/>
        <v>11.278441380974613</v>
      </c>
      <c r="K434" s="73">
        <f t="shared" ca="1" si="171"/>
        <v>15.28546894367607</v>
      </c>
      <c r="L434" s="74">
        <f t="shared" ca="1" si="171"/>
        <v>20.652062943088946</v>
      </c>
    </row>
    <row r="435" spans="4:12" x14ac:dyDescent="0.3">
      <c r="H435" s="17"/>
      <c r="I435" s="17"/>
      <c r="J435" s="17"/>
      <c r="K435" s="17"/>
      <c r="L435" s="17"/>
    </row>
    <row r="436" spans="4:12" x14ac:dyDescent="0.3">
      <c r="D436" s="12" t="s">
        <v>325</v>
      </c>
      <c r="E436" s="45"/>
      <c r="F436" s="45"/>
      <c r="G436" s="45"/>
      <c r="H436" s="88"/>
      <c r="I436" s="88"/>
      <c r="J436" s="88"/>
      <c r="K436" s="88"/>
      <c r="L436" s="89"/>
    </row>
    <row r="437" spans="4:12" x14ac:dyDescent="0.3">
      <c r="D437" s="13" t="s">
        <v>326</v>
      </c>
      <c r="E437" s="1" t="s">
        <v>46</v>
      </c>
      <c r="F437" s="1"/>
      <c r="G437" s="1"/>
      <c r="H437" s="70">
        <f t="shared" ref="H437:L437" ca="1" si="172">MAX(H434-H415,0)</f>
        <v>0</v>
      </c>
      <c r="I437" s="70">
        <f t="shared" ca="1" si="172"/>
        <v>0</v>
      </c>
      <c r="J437" s="70">
        <f t="shared" ca="1" si="172"/>
        <v>0</v>
      </c>
      <c r="K437" s="70">
        <f t="shared" ca="1" si="172"/>
        <v>0</v>
      </c>
      <c r="L437" s="19">
        <f t="shared" ca="1" si="172"/>
        <v>0</v>
      </c>
    </row>
    <row r="438" spans="4:12" x14ac:dyDescent="0.3">
      <c r="D438" s="13" t="s">
        <v>327</v>
      </c>
      <c r="E438" s="1" t="s">
        <v>46</v>
      </c>
      <c r="F438" s="1"/>
      <c r="G438" s="1"/>
      <c r="H438" s="70">
        <f t="shared" ref="H438:L438" ca="1" si="173">MAX(H434-H432,0)</f>
        <v>1.9208295226622814</v>
      </c>
      <c r="I438" s="70">
        <f t="shared" ca="1" si="173"/>
        <v>2.9248863965177305</v>
      </c>
      <c r="J438" s="70">
        <f t="shared" ca="1" si="173"/>
        <v>4.304714588844301</v>
      </c>
      <c r="K438" s="70">
        <f t="shared" ca="1" si="173"/>
        <v>5.8854701106337632</v>
      </c>
      <c r="L438" s="19">
        <f t="shared" ca="1" si="173"/>
        <v>7.9079077840701828</v>
      </c>
    </row>
    <row r="439" spans="4:12" x14ac:dyDescent="0.3">
      <c r="D439" s="13"/>
      <c r="E439" s="1"/>
      <c r="F439" s="1"/>
      <c r="G439" s="1"/>
      <c r="H439" s="70"/>
      <c r="I439" s="70"/>
      <c r="J439" s="70"/>
      <c r="K439" s="70"/>
      <c r="L439" s="19"/>
    </row>
    <row r="440" spans="4:12" x14ac:dyDescent="0.3">
      <c r="D440" s="13" t="s">
        <v>328</v>
      </c>
      <c r="E440" s="1" t="s">
        <v>46</v>
      </c>
      <c r="F440" s="1"/>
      <c r="G440" s="1"/>
      <c r="H440" s="70">
        <f>G445</f>
        <v>0</v>
      </c>
      <c r="I440" s="70">
        <f t="shared" ref="I440:L440" ca="1" si="174">H445</f>
        <v>0</v>
      </c>
      <c r="J440" s="70">
        <f t="shared" ca="1" si="174"/>
        <v>0</v>
      </c>
      <c r="K440" s="70">
        <f t="shared" ca="1" si="174"/>
        <v>0</v>
      </c>
      <c r="L440" s="19">
        <f t="shared" ca="1" si="174"/>
        <v>0</v>
      </c>
    </row>
    <row r="441" spans="4:12" x14ac:dyDescent="0.3">
      <c r="D441" s="13" t="s">
        <v>304</v>
      </c>
      <c r="E441" s="1" t="s">
        <v>46</v>
      </c>
      <c r="F441" s="1"/>
      <c r="G441" s="1"/>
      <c r="H441" s="70">
        <f ca="1">H437</f>
        <v>0</v>
      </c>
      <c r="I441" s="70">
        <f t="shared" ref="I441:L441" ca="1" si="175">I437</f>
        <v>0</v>
      </c>
      <c r="J441" s="70">
        <f t="shared" ca="1" si="175"/>
        <v>0</v>
      </c>
      <c r="K441" s="70">
        <f t="shared" ca="1" si="175"/>
        <v>0</v>
      </c>
      <c r="L441" s="19">
        <f t="shared" ca="1" si="175"/>
        <v>0</v>
      </c>
    </row>
    <row r="442" spans="4:12" x14ac:dyDescent="0.3">
      <c r="D442" s="13" t="s">
        <v>305</v>
      </c>
      <c r="E442" s="1" t="s">
        <v>46</v>
      </c>
      <c r="F442" s="1"/>
      <c r="G442" s="1"/>
      <c r="H442" s="70">
        <f ca="1">-MIN(H438,SUM(H440:H441))</f>
        <v>0</v>
      </c>
      <c r="I442" s="70">
        <f t="shared" ref="I442:L442" ca="1" si="176">-MIN(I438,SUM(I440:I441))</f>
        <v>0</v>
      </c>
      <c r="J442" s="70">
        <f t="shared" ca="1" si="176"/>
        <v>0</v>
      </c>
      <c r="K442" s="70">
        <f t="shared" ca="1" si="176"/>
        <v>0</v>
      </c>
      <c r="L442" s="19">
        <f t="shared" ca="1" si="176"/>
        <v>0</v>
      </c>
    </row>
    <row r="443" spans="4:12" x14ac:dyDescent="0.3">
      <c r="D443" s="13" t="s">
        <v>306</v>
      </c>
      <c r="E443" s="1" t="s">
        <v>46</v>
      </c>
      <c r="F443" s="1">
        <f>Inputs!F225</f>
        <v>10</v>
      </c>
      <c r="G443" s="1"/>
      <c r="H443" s="70">
        <f ca="1">-IF(H$3&lt;=$F443,0,MAX(SUM(OFFSET(H441,0,-H$3,1,1):OFFSET(H441,0,-$F443,1,1))+SUM(H442:OFFSET(H442,0,0,1,-H$3))+SUM($G443:G443),0))</f>
        <v>0</v>
      </c>
      <c r="I443" s="70">
        <f ca="1">-IF(I$3&lt;=$F443,0,MAX(SUM(OFFSET(I441,0,-I$3,1,1):OFFSET(I441,0,-$F443,1,1))+SUM(I442:OFFSET(I442,0,0,1,-I$3))+SUM($G443:H443),0))</f>
        <v>0</v>
      </c>
      <c r="J443" s="70">
        <f ca="1">-IF(J$3&lt;=$F443,0,MAX(SUM(OFFSET(J441,0,-J$3,1,1):OFFSET(J441,0,-$F443,1,1))+SUM(J442:OFFSET(J442,0,0,1,-J$3))+SUM($G443:I443),0))</f>
        <v>0</v>
      </c>
      <c r="K443" s="70">
        <f ca="1">-IF(K$3&lt;=$F443,0,MAX(SUM(OFFSET(K441,0,-K$3,1,1):OFFSET(K441,0,-$F443,1,1))+SUM(K442:OFFSET(K442,0,0,1,-K$3))+SUM($G443:J443),0))</f>
        <v>0</v>
      </c>
      <c r="L443" s="19">
        <f ca="1">-IF(L$3&lt;=$F443,0,MAX(SUM(OFFSET(L441,0,-L$3,1,1):OFFSET(L441,0,-$F443,1,1))+SUM(L442:OFFSET(L442,0,0,1,-L$3))+SUM($G443:K443),0))</f>
        <v>0</v>
      </c>
    </row>
    <row r="444" spans="4:12" x14ac:dyDescent="0.3">
      <c r="D444" s="13"/>
      <c r="E444" s="1"/>
      <c r="F444" s="1"/>
      <c r="G444" s="1"/>
      <c r="H444" s="70"/>
      <c r="I444" s="70"/>
      <c r="J444" s="70"/>
      <c r="K444" s="70"/>
      <c r="L444" s="19"/>
    </row>
    <row r="445" spans="4:12" x14ac:dyDescent="0.3">
      <c r="D445" s="13" t="s">
        <v>329</v>
      </c>
      <c r="E445" s="1" t="s">
        <v>46</v>
      </c>
      <c r="F445" s="1"/>
      <c r="G445" s="1"/>
      <c r="H445" s="145">
        <f ca="1">SUM(H440:H444)</f>
        <v>0</v>
      </c>
      <c r="I445" s="88">
        <f t="shared" ref="I445:L445" ca="1" si="177">SUM(I440:I444)</f>
        <v>0</v>
      </c>
      <c r="J445" s="88">
        <f t="shared" ca="1" si="177"/>
        <v>0</v>
      </c>
      <c r="K445" s="88">
        <f t="shared" ca="1" si="177"/>
        <v>0</v>
      </c>
      <c r="L445" s="89">
        <f t="shared" ca="1" si="177"/>
        <v>0</v>
      </c>
    </row>
    <row r="446" spans="4:12" x14ac:dyDescent="0.3">
      <c r="D446" s="13"/>
      <c r="E446" s="1"/>
      <c r="F446" s="1"/>
      <c r="G446" s="1"/>
      <c r="H446" s="113"/>
      <c r="I446" s="70"/>
      <c r="J446" s="70"/>
      <c r="K446" s="70"/>
      <c r="L446" s="19"/>
    </row>
    <row r="447" spans="4:12" x14ac:dyDescent="0.3">
      <c r="D447" s="102" t="s">
        <v>330</v>
      </c>
      <c r="E447" s="103" t="s">
        <v>46</v>
      </c>
      <c r="F447" s="103"/>
      <c r="G447" s="103"/>
      <c r="H447" s="151">
        <f t="shared" ref="H447:L447" ca="1" si="178">MAX(H434+H442,0)</f>
        <v>5.3150460696780009</v>
      </c>
      <c r="I447" s="148">
        <f t="shared" ca="1" si="178"/>
        <v>7.6875153090136443</v>
      </c>
      <c r="J447" s="148">
        <f t="shared" ca="1" si="178"/>
        <v>11.278441380974613</v>
      </c>
      <c r="K447" s="148">
        <f t="shared" ca="1" si="178"/>
        <v>15.28546894367607</v>
      </c>
      <c r="L447" s="149">
        <f t="shared" ca="1" si="178"/>
        <v>20.652062943088946</v>
      </c>
    </row>
    <row r="449" spans="1:12" s="135" customFormat="1" x14ac:dyDescent="0.3">
      <c r="A449" s="135" t="s">
        <v>331</v>
      </c>
    </row>
    <row r="451" spans="1:12" x14ac:dyDescent="0.3">
      <c r="D451" s="12" t="s">
        <v>332</v>
      </c>
      <c r="E451" s="45" t="s">
        <v>46</v>
      </c>
      <c r="F451" s="45"/>
      <c r="G451" s="45"/>
      <c r="H451" s="88">
        <f ca="1">FS!H44</f>
        <v>27.672415361904761</v>
      </c>
      <c r="I451" s="88">
        <f ca="1">FS!I44</f>
        <v>37.255435536434035</v>
      </c>
      <c r="J451" s="88">
        <f ca="1">FS!J44</f>
        <v>48.778448297104546</v>
      </c>
      <c r="K451" s="88">
        <f ca="1">FS!K44</f>
        <v>61.660525825788021</v>
      </c>
      <c r="L451" s="89">
        <f ca="1">FS!L44</f>
        <v>79.378850546834869</v>
      </c>
    </row>
    <row r="452" spans="1:12" x14ac:dyDescent="0.3">
      <c r="D452" s="13" t="s">
        <v>298</v>
      </c>
      <c r="E452" s="1" t="s">
        <v>46</v>
      </c>
      <c r="F452" s="1"/>
      <c r="G452" s="1"/>
      <c r="H452" s="70">
        <f t="shared" ref="H452:L453" ca="1" si="179">H392</f>
        <v>0.95809523809523811</v>
      </c>
      <c r="I452" s="70">
        <f t="shared" ca="1" si="179"/>
        <v>1.0243</v>
      </c>
      <c r="J452" s="70">
        <f t="shared" ca="1" si="179"/>
        <v>1.2388859761904765</v>
      </c>
      <c r="K452" s="70">
        <f t="shared" ca="1" si="179"/>
        <v>1.1156154341666666</v>
      </c>
      <c r="L452" s="19">
        <f t="shared" ca="1" si="179"/>
        <v>1.3372334778684523</v>
      </c>
    </row>
    <row r="453" spans="1:12" x14ac:dyDescent="0.3">
      <c r="D453" s="13" t="s">
        <v>299</v>
      </c>
      <c r="E453" s="1" t="s">
        <v>46</v>
      </c>
      <c r="F453" s="1"/>
      <c r="G453" s="1"/>
      <c r="H453" s="70">
        <f t="shared" si="179"/>
        <v>-1.5300000000000002</v>
      </c>
      <c r="I453" s="70">
        <f t="shared" ca="1" si="179"/>
        <v>-1.1321749999999999</v>
      </c>
      <c r="J453" s="70">
        <f t="shared" ca="1" si="179"/>
        <v>-1.3305436250000002</v>
      </c>
      <c r="K453" s="70">
        <f t="shared" ca="1" si="179"/>
        <v>-0.98789685812500005</v>
      </c>
      <c r="L453" s="19">
        <f t="shared" ca="1" si="179"/>
        <v>-1.3799840210031251</v>
      </c>
    </row>
    <row r="454" spans="1:12" x14ac:dyDescent="0.3">
      <c r="D454" s="13"/>
      <c r="E454" s="1"/>
      <c r="F454" s="1"/>
      <c r="G454" s="1"/>
      <c r="H454" s="70"/>
      <c r="I454" s="70"/>
      <c r="J454" s="70"/>
      <c r="K454" s="70"/>
      <c r="L454" s="19"/>
    </row>
    <row r="455" spans="1:12" x14ac:dyDescent="0.3">
      <c r="D455" s="13" t="s">
        <v>300</v>
      </c>
      <c r="E455" s="1" t="s">
        <v>46</v>
      </c>
      <c r="F455" s="1"/>
      <c r="G455" s="1"/>
      <c r="H455" s="70">
        <f ca="1">SUM(H451:H454)</f>
        <v>27.1005106</v>
      </c>
      <c r="I455" s="70">
        <f t="shared" ref="I455:L455" ca="1" si="180">SUM(I451:I454)</f>
        <v>37.147560536434035</v>
      </c>
      <c r="J455" s="70">
        <f t="shared" ca="1" si="180"/>
        <v>48.686790648295023</v>
      </c>
      <c r="K455" s="70">
        <f t="shared" ca="1" si="180"/>
        <v>61.788244401829687</v>
      </c>
      <c r="L455" s="19">
        <f t="shared" ca="1" si="180"/>
        <v>79.336100003700196</v>
      </c>
    </row>
    <row r="456" spans="1:12" x14ac:dyDescent="0.3">
      <c r="D456" s="13"/>
      <c r="E456" s="1"/>
      <c r="F456" s="1"/>
      <c r="G456" s="1"/>
      <c r="H456" s="70"/>
      <c r="I456" s="70"/>
      <c r="J456" s="70"/>
      <c r="K456" s="70"/>
      <c r="L456" s="19"/>
    </row>
    <row r="457" spans="1:12" x14ac:dyDescent="0.3">
      <c r="D457" s="13" t="s">
        <v>301</v>
      </c>
      <c r="E457" s="1" t="s">
        <v>46</v>
      </c>
      <c r="F457" s="1"/>
      <c r="G457" s="1"/>
      <c r="H457" s="70">
        <f ca="1">-MIN(H455-H453,0)</f>
        <v>0</v>
      </c>
      <c r="I457" s="70">
        <f t="shared" ref="I457:L457" ca="1" si="181">-MIN(I455-I453,0)</f>
        <v>0</v>
      </c>
      <c r="J457" s="70">
        <f t="shared" ca="1" si="181"/>
        <v>0</v>
      </c>
      <c r="K457" s="70">
        <f t="shared" ca="1" si="181"/>
        <v>0</v>
      </c>
      <c r="L457" s="19">
        <f t="shared" ca="1" si="181"/>
        <v>0</v>
      </c>
    </row>
    <row r="458" spans="1:12" x14ac:dyDescent="0.3">
      <c r="D458" s="13"/>
      <c r="E458" s="1"/>
      <c r="F458" s="1"/>
      <c r="G458" s="1"/>
      <c r="H458" s="70"/>
      <c r="I458" s="70"/>
      <c r="J458" s="70"/>
      <c r="K458" s="70"/>
      <c r="L458" s="19"/>
    </row>
    <row r="459" spans="1:12" x14ac:dyDescent="0.3">
      <c r="D459" s="13" t="s">
        <v>302</v>
      </c>
      <c r="E459" s="1" t="s">
        <v>46</v>
      </c>
      <c r="F459" s="1"/>
      <c r="G459" s="1"/>
      <c r="H459" s="70">
        <f ca="1">SUM(H455:H458)</f>
        <v>27.1005106</v>
      </c>
      <c r="I459" s="70">
        <f t="shared" ref="I459:L459" ca="1" si="182">SUM(I455:I458)</f>
        <v>37.147560536434035</v>
      </c>
      <c r="J459" s="70">
        <f t="shared" ca="1" si="182"/>
        <v>48.686790648295023</v>
      </c>
      <c r="K459" s="70">
        <f t="shared" ca="1" si="182"/>
        <v>61.788244401829687</v>
      </c>
      <c r="L459" s="19">
        <f t="shared" ca="1" si="182"/>
        <v>79.336100003700196</v>
      </c>
    </row>
    <row r="460" spans="1:12" x14ac:dyDescent="0.3">
      <c r="D460" s="13"/>
      <c r="E460" s="1"/>
      <c r="F460" s="1"/>
      <c r="G460" s="1"/>
      <c r="H460" s="70"/>
      <c r="I460" s="70"/>
      <c r="J460" s="70"/>
      <c r="K460" s="70"/>
      <c r="L460" s="19"/>
    </row>
    <row r="461" spans="1:12" x14ac:dyDescent="0.3">
      <c r="D461" s="13" t="s">
        <v>303</v>
      </c>
      <c r="E461" s="1" t="s">
        <v>46</v>
      </c>
      <c r="F461" s="1"/>
      <c r="G461" s="1"/>
      <c r="H461" s="70">
        <f>G466</f>
        <v>0</v>
      </c>
      <c r="I461" s="70">
        <f t="shared" ref="I461:L461" ca="1" si="183">H466</f>
        <v>0</v>
      </c>
      <c r="J461" s="70">
        <f t="shared" ca="1" si="183"/>
        <v>0</v>
      </c>
      <c r="K461" s="70">
        <f t="shared" ca="1" si="183"/>
        <v>0</v>
      </c>
      <c r="L461" s="19">
        <f t="shared" ca="1" si="183"/>
        <v>0</v>
      </c>
    </row>
    <row r="462" spans="1:12" x14ac:dyDescent="0.3">
      <c r="D462" s="13" t="s">
        <v>304</v>
      </c>
      <c r="E462" s="1" t="s">
        <v>46</v>
      </c>
      <c r="F462" s="1"/>
      <c r="G462" s="1"/>
      <c r="H462" s="70">
        <f ca="1">H457</f>
        <v>0</v>
      </c>
      <c r="I462" s="70">
        <f t="shared" ref="I462:L462" ca="1" si="184">I457</f>
        <v>0</v>
      </c>
      <c r="J462" s="70">
        <f t="shared" ca="1" si="184"/>
        <v>0</v>
      </c>
      <c r="K462" s="70">
        <f t="shared" ca="1" si="184"/>
        <v>0</v>
      </c>
      <c r="L462" s="19">
        <f t="shared" ca="1" si="184"/>
        <v>0</v>
      </c>
    </row>
    <row r="463" spans="1:12" x14ac:dyDescent="0.3">
      <c r="D463" s="13" t="s">
        <v>305</v>
      </c>
      <c r="E463" s="1" t="s">
        <v>46</v>
      </c>
      <c r="F463" s="1"/>
      <c r="G463" s="1"/>
      <c r="H463" s="70">
        <f ca="1">-IF(H459&lt;0,0,MIN(H461+H462,H459))</f>
        <v>0</v>
      </c>
      <c r="I463" s="70">
        <f t="shared" ref="I463:L463" ca="1" si="185">-IF(I459&lt;0,0,MIN(I461+I462,I459))</f>
        <v>0</v>
      </c>
      <c r="J463" s="70">
        <f t="shared" ca="1" si="185"/>
        <v>0</v>
      </c>
      <c r="K463" s="70">
        <f t="shared" ca="1" si="185"/>
        <v>0</v>
      </c>
      <c r="L463" s="19">
        <f t="shared" ca="1" si="185"/>
        <v>0</v>
      </c>
    </row>
    <row r="464" spans="1:12" x14ac:dyDescent="0.3">
      <c r="D464" s="13" t="s">
        <v>306</v>
      </c>
      <c r="E464" s="1" t="s">
        <v>46</v>
      </c>
      <c r="F464" s="1">
        <f>Inputs!F224</f>
        <v>8</v>
      </c>
      <c r="G464" s="1"/>
      <c r="H464" s="70">
        <f ca="1">-IF(H$3&lt;=$F464,0,MAX(SUM(OFFSET(H462,0,-H$3,1,1):OFFSET(H462,0,-$F464,1,1))+SUM(H463:OFFSET(H463,0,0,1,-H$3))+SUM($G464:G464),0))</f>
        <v>0</v>
      </c>
      <c r="I464" s="70">
        <f ca="1">-IF(I$3&lt;=$F464,0,MAX(SUM(OFFSET(I462,0,-I$3,1,1):OFFSET(I462,0,-$F464,1,1))+SUM(I463:OFFSET(I463,0,0,1,-I$3))+SUM($G464:H464),0))</f>
        <v>0</v>
      </c>
      <c r="J464" s="70">
        <f ca="1">-IF(J$3&lt;=$F464,0,MAX(SUM(OFFSET(J462,0,-J$3,1,1):OFFSET(J462,0,-$F464,1,1))+SUM(J463:OFFSET(J463,0,0,1,-J$3))+SUM($G464:I464),0))</f>
        <v>0</v>
      </c>
      <c r="K464" s="70">
        <f ca="1">-IF(K$3&lt;=$F464,0,MAX(SUM(OFFSET(K462,0,-K$3,1,1):OFFSET(K462,0,-$F464,1,1))+SUM(K463:OFFSET(K463,0,0,1,-K$3))+SUM($G464:J464),0))</f>
        <v>0</v>
      </c>
      <c r="L464" s="19">
        <f ca="1">-IF(L$3&lt;=$F464,0,MAX(SUM(OFFSET(L462,0,-L$3,1,1):OFFSET(L462,0,-$F464,1,1))+SUM(L463:OFFSET(L463,0,0,1,-L$3))+SUM($G464:K464),0))</f>
        <v>0</v>
      </c>
    </row>
    <row r="465" spans="4:12" x14ac:dyDescent="0.3">
      <c r="D465" s="13"/>
      <c r="E465" s="1"/>
      <c r="F465" s="1"/>
      <c r="G465" s="1"/>
      <c r="H465" s="70"/>
      <c r="I465" s="70"/>
      <c r="J465" s="70"/>
      <c r="K465" s="70"/>
      <c r="L465" s="19"/>
    </row>
    <row r="466" spans="4:12" x14ac:dyDescent="0.3">
      <c r="D466" s="13" t="s">
        <v>307</v>
      </c>
      <c r="E466" s="1" t="s">
        <v>46</v>
      </c>
      <c r="F466" s="1"/>
      <c r="G466" s="1"/>
      <c r="H466" s="145">
        <f ca="1">SUM(H461:H465)</f>
        <v>0</v>
      </c>
      <c r="I466" s="88">
        <f t="shared" ref="I466:L466" ca="1" si="186">SUM(I461:I465)</f>
        <v>0</v>
      </c>
      <c r="J466" s="88">
        <f t="shared" ca="1" si="186"/>
        <v>0</v>
      </c>
      <c r="K466" s="88">
        <f t="shared" ca="1" si="186"/>
        <v>0</v>
      </c>
      <c r="L466" s="89">
        <f t="shared" ca="1" si="186"/>
        <v>0</v>
      </c>
    </row>
    <row r="467" spans="4:12" x14ac:dyDescent="0.3">
      <c r="D467" s="13"/>
      <c r="E467" s="1"/>
      <c r="F467" s="1"/>
      <c r="G467" s="1"/>
      <c r="H467" s="146"/>
      <c r="I467" s="66"/>
      <c r="J467" s="66"/>
      <c r="K467" s="66"/>
      <c r="L467" s="67"/>
    </row>
    <row r="468" spans="4:12" x14ac:dyDescent="0.3">
      <c r="D468" s="13" t="s">
        <v>308</v>
      </c>
      <c r="E468" s="1" t="s">
        <v>46</v>
      </c>
      <c r="F468" s="1"/>
      <c r="G468" s="1"/>
      <c r="H468" s="145">
        <f ca="1">H459+H463</f>
        <v>27.1005106</v>
      </c>
      <c r="I468" s="88">
        <f t="shared" ref="I468:L468" ca="1" si="187">I459+I463</f>
        <v>37.147560536434035</v>
      </c>
      <c r="J468" s="88">
        <f t="shared" ca="1" si="187"/>
        <v>48.686790648295023</v>
      </c>
      <c r="K468" s="88">
        <f t="shared" ca="1" si="187"/>
        <v>61.788244401829687</v>
      </c>
      <c r="L468" s="89">
        <f t="shared" ca="1" si="187"/>
        <v>79.336100003700196</v>
      </c>
    </row>
    <row r="469" spans="4:12" x14ac:dyDescent="0.3">
      <c r="D469" s="13" t="s">
        <v>309</v>
      </c>
      <c r="E469" s="1" t="s">
        <v>46</v>
      </c>
      <c r="F469" s="1"/>
      <c r="G469" s="1"/>
      <c r="H469" s="113">
        <f>MIN(G471,0)</f>
        <v>0</v>
      </c>
      <c r="I469" s="70">
        <f t="shared" ref="I469:L469" ca="1" si="188">MIN(H471,0)</f>
        <v>0</v>
      </c>
      <c r="J469" s="70">
        <f t="shared" ca="1" si="188"/>
        <v>0</v>
      </c>
      <c r="K469" s="70">
        <f t="shared" ca="1" si="188"/>
        <v>0</v>
      </c>
      <c r="L469" s="19">
        <f t="shared" ca="1" si="188"/>
        <v>0</v>
      </c>
    </row>
    <row r="470" spans="4:12" x14ac:dyDescent="0.3">
      <c r="D470" s="13"/>
      <c r="E470" s="1"/>
      <c r="F470" s="1"/>
      <c r="G470" s="1"/>
      <c r="H470" s="146"/>
      <c r="I470" s="66"/>
      <c r="J470" s="66"/>
      <c r="K470" s="66"/>
      <c r="L470" s="67"/>
    </row>
    <row r="471" spans="4:12" x14ac:dyDescent="0.3">
      <c r="D471" s="13" t="s">
        <v>310</v>
      </c>
      <c r="E471" s="1" t="s">
        <v>46</v>
      </c>
      <c r="F471" s="1"/>
      <c r="G471" s="1"/>
      <c r="H471" s="70">
        <f ca="1">SUM(H468:H470)</f>
        <v>27.1005106</v>
      </c>
      <c r="I471" s="70">
        <f t="shared" ref="I471:L471" ca="1" si="189">SUM(I468:I470)</f>
        <v>37.147560536434035</v>
      </c>
      <c r="J471" s="70">
        <f t="shared" ca="1" si="189"/>
        <v>48.686790648295023</v>
      </c>
      <c r="K471" s="70">
        <f t="shared" ca="1" si="189"/>
        <v>61.788244401829687</v>
      </c>
      <c r="L471" s="19">
        <f t="shared" ca="1" si="189"/>
        <v>79.336100003700196</v>
      </c>
    </row>
    <row r="472" spans="4:12" x14ac:dyDescent="0.3">
      <c r="D472" s="13"/>
      <c r="E472" s="1"/>
      <c r="F472" s="1"/>
      <c r="G472" s="1"/>
      <c r="H472" s="70"/>
      <c r="I472" s="70"/>
      <c r="J472" s="70"/>
      <c r="K472" s="70"/>
      <c r="L472" s="19"/>
    </row>
    <row r="473" spans="4:12" x14ac:dyDescent="0.3">
      <c r="D473" s="13" t="s">
        <v>311</v>
      </c>
      <c r="E473" s="1" t="s">
        <v>172</v>
      </c>
      <c r="F473" s="1"/>
      <c r="G473" s="1"/>
      <c r="H473" s="61">
        <f ca="1">IF(H471&lt;$E$385,$J$385,IF(H471&lt;$E$386,$J$386,$J$387))</f>
        <v>0.33063000000000003</v>
      </c>
      <c r="I473" s="61">
        <f t="shared" ref="I473:L473" ca="1" si="190">IF(I471&lt;$E$385,$J$385,IF(I471&lt;$E$386,$J$386,$J$387))</f>
        <v>0.33063000000000003</v>
      </c>
      <c r="J473" s="61">
        <f t="shared" ca="1" si="190"/>
        <v>0.33063000000000003</v>
      </c>
      <c r="K473" s="61">
        <f t="shared" ca="1" si="190"/>
        <v>0.33063000000000003</v>
      </c>
      <c r="L473" s="147">
        <f t="shared" ca="1" si="190"/>
        <v>0.33063000000000003</v>
      </c>
    </row>
    <row r="474" spans="4:12" x14ac:dyDescent="0.3">
      <c r="D474" s="13"/>
      <c r="E474" s="1"/>
      <c r="F474" s="1"/>
      <c r="G474" s="1"/>
      <c r="H474" s="70"/>
      <c r="I474" s="70"/>
      <c r="J474" s="70"/>
      <c r="K474" s="70"/>
      <c r="L474" s="19"/>
    </row>
    <row r="475" spans="4:12" x14ac:dyDescent="0.3">
      <c r="D475" s="102" t="s">
        <v>312</v>
      </c>
      <c r="E475" s="103" t="s">
        <v>46</v>
      </c>
      <c r="F475" s="103"/>
      <c r="G475" s="103"/>
      <c r="H475" s="148">
        <f ca="1">MAX(H471,0)*H473</f>
        <v>8.960241819678</v>
      </c>
      <c r="I475" s="148">
        <f t="shared" ref="I475:L475" ca="1" si="191">MAX(I471,0)*I473</f>
        <v>12.282097940161187</v>
      </c>
      <c r="J475" s="148">
        <f t="shared" ca="1" si="191"/>
        <v>16.097313592045786</v>
      </c>
      <c r="K475" s="148">
        <f t="shared" ca="1" si="191"/>
        <v>20.42904724657695</v>
      </c>
      <c r="L475" s="149">
        <f t="shared" ca="1" si="191"/>
        <v>26.230894744223399</v>
      </c>
    </row>
    <row r="476" spans="4:12" x14ac:dyDescent="0.3">
      <c r="H476" s="17"/>
      <c r="I476" s="17"/>
      <c r="J476" s="17"/>
      <c r="K476" s="17"/>
      <c r="L476" s="17"/>
    </row>
    <row r="477" spans="4:12" x14ac:dyDescent="0.3">
      <c r="D477" s="63" t="s">
        <v>313</v>
      </c>
      <c r="E477" s="45"/>
      <c r="F477" s="45"/>
      <c r="G477" s="45"/>
      <c r="H477" s="88"/>
      <c r="I477" s="88"/>
      <c r="J477" s="88"/>
      <c r="K477" s="88"/>
      <c r="L477" s="89"/>
    </row>
    <row r="478" spans="4:12" x14ac:dyDescent="0.3">
      <c r="D478" s="13" t="s">
        <v>314</v>
      </c>
      <c r="E478" s="1" t="s">
        <v>46</v>
      </c>
      <c r="F478" s="1"/>
      <c r="G478" s="1"/>
      <c r="H478" s="70">
        <f t="shared" ref="H478:L478" ca="1" si="192">H451+H452</f>
        <v>28.630510600000001</v>
      </c>
      <c r="I478" s="70">
        <f t="shared" ca="1" si="192"/>
        <v>38.279735536434032</v>
      </c>
      <c r="J478" s="70">
        <f t="shared" ca="1" si="192"/>
        <v>50.01733427329502</v>
      </c>
      <c r="K478" s="70">
        <f t="shared" ca="1" si="192"/>
        <v>62.776141259954684</v>
      </c>
      <c r="L478" s="19">
        <f t="shared" ca="1" si="192"/>
        <v>80.716084024703321</v>
      </c>
    </row>
    <row r="479" spans="4:12" x14ac:dyDescent="0.3">
      <c r="D479" s="13" t="s">
        <v>315</v>
      </c>
      <c r="E479" s="1" t="s">
        <v>46</v>
      </c>
      <c r="F479" s="1"/>
      <c r="G479" s="1"/>
      <c r="H479" s="70">
        <f t="shared" ref="H479:L479" ca="1" si="193">-H452</f>
        <v>-0.95809523809523811</v>
      </c>
      <c r="I479" s="70">
        <f t="shared" ca="1" si="193"/>
        <v>-1.0243</v>
      </c>
      <c r="J479" s="70">
        <f t="shared" ca="1" si="193"/>
        <v>-1.2388859761904765</v>
      </c>
      <c r="K479" s="70">
        <f t="shared" ca="1" si="193"/>
        <v>-1.1156154341666666</v>
      </c>
      <c r="L479" s="19">
        <f t="shared" ca="1" si="193"/>
        <v>-1.3372334778684523</v>
      </c>
    </row>
    <row r="480" spans="4:12" x14ac:dyDescent="0.3">
      <c r="D480" s="13"/>
      <c r="E480" s="1"/>
      <c r="F480" s="1"/>
      <c r="G480" s="1"/>
      <c r="H480" s="70"/>
      <c r="I480" s="70"/>
      <c r="J480" s="70"/>
      <c r="K480" s="70"/>
      <c r="L480" s="19"/>
    </row>
    <row r="481" spans="4:12" x14ac:dyDescent="0.3">
      <c r="D481" s="13" t="s">
        <v>316</v>
      </c>
      <c r="E481" s="1" t="s">
        <v>46</v>
      </c>
      <c r="F481" s="1"/>
      <c r="G481" s="1"/>
      <c r="H481" s="70">
        <f ca="1">SUM(H478:H480)</f>
        <v>27.672415361904761</v>
      </c>
      <c r="I481" s="70">
        <f t="shared" ref="I481:L481" ca="1" si="194">SUM(I478:I480)</f>
        <v>37.255435536434035</v>
      </c>
      <c r="J481" s="70">
        <f t="shared" ca="1" si="194"/>
        <v>48.778448297104546</v>
      </c>
      <c r="K481" s="70">
        <f t="shared" ca="1" si="194"/>
        <v>61.660525825788021</v>
      </c>
      <c r="L481" s="19">
        <f t="shared" ca="1" si="194"/>
        <v>79.378850546834869</v>
      </c>
    </row>
    <row r="482" spans="4:12" x14ac:dyDescent="0.3">
      <c r="D482" s="13"/>
      <c r="E482" s="1"/>
      <c r="F482" s="1"/>
      <c r="G482" s="1"/>
      <c r="H482" s="70"/>
      <c r="I482" s="70"/>
      <c r="J482" s="70"/>
      <c r="K482" s="70"/>
      <c r="L482" s="19"/>
    </row>
    <row r="483" spans="4:12" x14ac:dyDescent="0.3">
      <c r="D483" s="13" t="s">
        <v>317</v>
      </c>
      <c r="E483" s="1" t="s">
        <v>46</v>
      </c>
      <c r="F483" s="1"/>
      <c r="G483" s="1"/>
      <c r="H483" s="70">
        <f ca="1">G483-IF(H478&lt;0,H478,MAX(H481,0))</f>
        <v>-27.672415361904761</v>
      </c>
      <c r="I483" s="70">
        <f t="shared" ref="I483:L483" ca="1" si="195">H483-IF(I478&lt;0,I478,MAX(I481,0))</f>
        <v>-64.927850898338789</v>
      </c>
      <c r="J483" s="70">
        <f t="shared" ca="1" si="195"/>
        <v>-113.70629919544334</v>
      </c>
      <c r="K483" s="70">
        <f t="shared" ca="1" si="195"/>
        <v>-175.36682502123136</v>
      </c>
      <c r="L483" s="19">
        <f t="shared" ca="1" si="195"/>
        <v>-254.74567556806625</v>
      </c>
    </row>
    <row r="484" spans="4:12" x14ac:dyDescent="0.3">
      <c r="D484" s="13" t="s">
        <v>318</v>
      </c>
      <c r="E484" s="1" t="s">
        <v>46</v>
      </c>
      <c r="F484" s="1"/>
      <c r="G484" s="1"/>
      <c r="H484" s="70">
        <f ca="1">G484-IF(H479&lt;0,MAX(H479,H481),0)</f>
        <v>-27.672415361904761</v>
      </c>
      <c r="I484" s="70">
        <f t="shared" ref="I484:L484" ca="1" si="196">H484-IF(I479&lt;0,MAX(I479,I481),0)</f>
        <v>-64.927850898338789</v>
      </c>
      <c r="J484" s="70">
        <f t="shared" ca="1" si="196"/>
        <v>-113.70629919544334</v>
      </c>
      <c r="K484" s="70">
        <f t="shared" ca="1" si="196"/>
        <v>-175.36682502123136</v>
      </c>
      <c r="L484" s="19">
        <f t="shared" ca="1" si="196"/>
        <v>-254.74567556806625</v>
      </c>
    </row>
    <row r="485" spans="4:12" x14ac:dyDescent="0.3">
      <c r="D485" s="13" t="s">
        <v>319</v>
      </c>
      <c r="E485" s="1" t="s">
        <v>46</v>
      </c>
      <c r="F485" s="1"/>
      <c r="G485" s="1"/>
      <c r="H485" s="70">
        <f>IF(G483&gt;0,MIN(G483,G484),0)</f>
        <v>0</v>
      </c>
      <c r="I485" s="70">
        <f t="shared" ref="I485:L485" ca="1" si="197">IF(H483&gt;0,MIN(H483,H484),0)</f>
        <v>0</v>
      </c>
      <c r="J485" s="70">
        <f t="shared" ca="1" si="197"/>
        <v>0</v>
      </c>
      <c r="K485" s="70">
        <f t="shared" ca="1" si="197"/>
        <v>0</v>
      </c>
      <c r="L485" s="19">
        <f t="shared" ca="1" si="197"/>
        <v>0</v>
      </c>
    </row>
    <row r="486" spans="4:12" x14ac:dyDescent="0.3">
      <c r="D486" s="13" t="s">
        <v>320</v>
      </c>
      <c r="E486" s="1" t="s">
        <v>46</v>
      </c>
      <c r="F486" s="1"/>
      <c r="G486" s="1"/>
      <c r="H486" s="70">
        <f ca="1">-IF(H481&gt;0,MIN(H481,H485),0)</f>
        <v>0</v>
      </c>
      <c r="I486" s="70">
        <f t="shared" ref="I486:L486" ca="1" si="198">-IF(I481&gt;0,MIN(I481,I485),0)</f>
        <v>0</v>
      </c>
      <c r="J486" s="70">
        <f t="shared" ca="1" si="198"/>
        <v>0</v>
      </c>
      <c r="K486" s="70">
        <f t="shared" ca="1" si="198"/>
        <v>0</v>
      </c>
      <c r="L486" s="19">
        <f t="shared" ca="1" si="198"/>
        <v>0</v>
      </c>
    </row>
    <row r="487" spans="4:12" x14ac:dyDescent="0.3">
      <c r="D487" s="13"/>
      <c r="E487" s="1"/>
      <c r="F487" s="1"/>
      <c r="G487" s="1"/>
      <c r="H487" s="70"/>
      <c r="I487" s="70"/>
      <c r="J487" s="70"/>
      <c r="K487" s="70"/>
      <c r="L487" s="19"/>
    </row>
    <row r="488" spans="4:12" x14ac:dyDescent="0.3">
      <c r="D488" s="13" t="s">
        <v>321</v>
      </c>
      <c r="E488" s="1" t="s">
        <v>46</v>
      </c>
      <c r="F488" s="1"/>
      <c r="G488" s="1"/>
      <c r="H488" s="145">
        <f ca="1">SUM(H481,H486)</f>
        <v>27.672415361904761</v>
      </c>
      <c r="I488" s="88">
        <f t="shared" ref="I488:L488" ca="1" si="199">SUM(I481,I486)</f>
        <v>37.255435536434035</v>
      </c>
      <c r="J488" s="88">
        <f t="shared" ca="1" si="199"/>
        <v>48.778448297104546</v>
      </c>
      <c r="K488" s="88">
        <f t="shared" ca="1" si="199"/>
        <v>61.660525825788021</v>
      </c>
      <c r="L488" s="89">
        <f t="shared" ca="1" si="199"/>
        <v>79.378850546834869</v>
      </c>
    </row>
    <row r="489" spans="4:12" x14ac:dyDescent="0.3">
      <c r="D489" s="13"/>
      <c r="E489" s="1"/>
      <c r="F489" s="1"/>
      <c r="G489" s="1"/>
      <c r="H489" s="113"/>
      <c r="I489" s="70"/>
      <c r="J489" s="70"/>
      <c r="K489" s="70"/>
      <c r="L489" s="19"/>
    </row>
    <row r="490" spans="4:12" x14ac:dyDescent="0.3">
      <c r="D490" s="13" t="s">
        <v>322</v>
      </c>
      <c r="E490" s="1" t="s">
        <v>27</v>
      </c>
      <c r="F490" s="1"/>
      <c r="G490" s="1"/>
      <c r="H490" s="150">
        <f ca="1">IF(H488&lt;$E$385,$K$385,IF(H488&lt;$E$386,$K$386,$K$387))</f>
        <v>0.20388850000000003</v>
      </c>
      <c r="I490" s="61">
        <f t="shared" ref="I490:L490" ca="1" si="200">IF(I488&lt;$E$385,$K$385,IF(I488&lt;$E$386,$K$386,$K$387))</f>
        <v>0.20388850000000003</v>
      </c>
      <c r="J490" s="61">
        <f t="shared" ca="1" si="200"/>
        <v>0.20388850000000003</v>
      </c>
      <c r="K490" s="61">
        <f t="shared" ca="1" si="200"/>
        <v>0.20388850000000003</v>
      </c>
      <c r="L490" s="147">
        <f t="shared" ca="1" si="200"/>
        <v>0.20388850000000003</v>
      </c>
    </row>
    <row r="491" spans="4:12" x14ac:dyDescent="0.3">
      <c r="D491" s="13"/>
      <c r="E491" s="1"/>
      <c r="F491" s="1"/>
      <c r="G491" s="1"/>
      <c r="H491" s="146"/>
      <c r="I491" s="66"/>
      <c r="J491" s="66"/>
      <c r="K491" s="66"/>
      <c r="L491" s="67"/>
    </row>
    <row r="492" spans="4:12" x14ac:dyDescent="0.3">
      <c r="D492" s="71" t="s">
        <v>323</v>
      </c>
      <c r="E492" s="72" t="s">
        <v>46</v>
      </c>
      <c r="F492" s="72"/>
      <c r="G492" s="72"/>
      <c r="H492" s="73">
        <f ca="1">MAX(H488,0)*H490</f>
        <v>5.6420872595157201</v>
      </c>
      <c r="I492" s="73">
        <f t="shared" ref="I492:L492" ca="1" si="201">MAX(I488,0)*I490</f>
        <v>7.5959548683702316</v>
      </c>
      <c r="J492" s="73">
        <f t="shared" ca="1" si="201"/>
        <v>9.9453646556242017</v>
      </c>
      <c r="K492" s="73">
        <f t="shared" ca="1" si="201"/>
        <v>12.571872119831182</v>
      </c>
      <c r="L492" s="74">
        <f t="shared" ca="1" si="201"/>
        <v>16.184434769718344</v>
      </c>
    </row>
    <row r="493" spans="4:12" x14ac:dyDescent="0.3">
      <c r="D493" s="13"/>
      <c r="E493" s="1"/>
      <c r="F493" s="1"/>
      <c r="G493" s="1"/>
      <c r="H493" s="70"/>
      <c r="I493" s="70"/>
      <c r="J493" s="70"/>
      <c r="K493" s="70"/>
      <c r="L493" s="19"/>
    </row>
    <row r="494" spans="4:12" x14ac:dyDescent="0.3">
      <c r="D494" s="71" t="s">
        <v>324</v>
      </c>
      <c r="E494" s="72" t="s">
        <v>46</v>
      </c>
      <c r="F494" s="72"/>
      <c r="G494" s="72"/>
      <c r="H494" s="73">
        <f t="shared" ref="H494:L494" ca="1" si="202">MAX(H475,H492)</f>
        <v>8.960241819678</v>
      </c>
      <c r="I494" s="73">
        <f t="shared" ca="1" si="202"/>
        <v>12.282097940161187</v>
      </c>
      <c r="J494" s="73">
        <f t="shared" ca="1" si="202"/>
        <v>16.097313592045786</v>
      </c>
      <c r="K494" s="73">
        <f t="shared" ca="1" si="202"/>
        <v>20.42904724657695</v>
      </c>
      <c r="L494" s="74">
        <f t="shared" ca="1" si="202"/>
        <v>26.230894744223399</v>
      </c>
    </row>
    <row r="495" spans="4:12" x14ac:dyDescent="0.3">
      <c r="H495" s="17"/>
      <c r="I495" s="17"/>
      <c r="J495" s="17"/>
      <c r="K495" s="17"/>
      <c r="L495" s="17"/>
    </row>
    <row r="496" spans="4:12" x14ac:dyDescent="0.3">
      <c r="D496" s="12" t="s">
        <v>325</v>
      </c>
      <c r="E496" s="45"/>
      <c r="F496" s="45"/>
      <c r="G496" s="45"/>
      <c r="H496" s="88"/>
      <c r="I496" s="88"/>
      <c r="J496" s="88"/>
      <c r="K496" s="88"/>
      <c r="L496" s="89"/>
    </row>
    <row r="497" spans="1:12" x14ac:dyDescent="0.3">
      <c r="D497" s="13" t="s">
        <v>326</v>
      </c>
      <c r="E497" s="1" t="s">
        <v>46</v>
      </c>
      <c r="F497" s="1"/>
      <c r="G497" s="1"/>
      <c r="H497" s="70">
        <f t="shared" ref="H497:L497" ca="1" si="203">MAX(H494-H475,0)</f>
        <v>0</v>
      </c>
      <c r="I497" s="70">
        <f t="shared" ca="1" si="203"/>
        <v>0</v>
      </c>
      <c r="J497" s="70">
        <f t="shared" ca="1" si="203"/>
        <v>0</v>
      </c>
      <c r="K497" s="70">
        <f t="shared" ca="1" si="203"/>
        <v>0</v>
      </c>
      <c r="L497" s="19">
        <f t="shared" ca="1" si="203"/>
        <v>0</v>
      </c>
    </row>
    <row r="498" spans="1:12" x14ac:dyDescent="0.3">
      <c r="D498" s="13" t="s">
        <v>327</v>
      </c>
      <c r="E498" s="1" t="s">
        <v>46</v>
      </c>
      <c r="F498" s="1"/>
      <c r="G498" s="1"/>
      <c r="H498" s="70">
        <f t="shared" ref="H498:L498" ca="1" si="204">MAX(H494-H492,0)</f>
        <v>3.3181545601622799</v>
      </c>
      <c r="I498" s="70">
        <f t="shared" ca="1" si="204"/>
        <v>4.6861430717909549</v>
      </c>
      <c r="J498" s="70">
        <f t="shared" ca="1" si="204"/>
        <v>6.1519489364215847</v>
      </c>
      <c r="K498" s="70">
        <f t="shared" ca="1" si="204"/>
        <v>7.8571751267457675</v>
      </c>
      <c r="L498" s="19">
        <f t="shared" ca="1" si="204"/>
        <v>10.046459974505055</v>
      </c>
    </row>
    <row r="499" spans="1:12" x14ac:dyDescent="0.3">
      <c r="D499" s="13"/>
      <c r="E499" s="1"/>
      <c r="F499" s="1"/>
      <c r="G499" s="1"/>
      <c r="H499" s="70"/>
      <c r="I499" s="70"/>
      <c r="J499" s="70"/>
      <c r="K499" s="70"/>
      <c r="L499" s="19"/>
    </row>
    <row r="500" spans="1:12" x14ac:dyDescent="0.3">
      <c r="D500" s="13" t="s">
        <v>328</v>
      </c>
      <c r="E500" s="1" t="s">
        <v>46</v>
      </c>
      <c r="F500" s="1"/>
      <c r="G500" s="1"/>
      <c r="H500" s="70">
        <f>G505</f>
        <v>0</v>
      </c>
      <c r="I500" s="70">
        <f t="shared" ref="I500:L500" ca="1" si="205">H505</f>
        <v>0</v>
      </c>
      <c r="J500" s="70">
        <f t="shared" ca="1" si="205"/>
        <v>0</v>
      </c>
      <c r="K500" s="70">
        <f t="shared" ca="1" si="205"/>
        <v>0</v>
      </c>
      <c r="L500" s="19">
        <f t="shared" ca="1" si="205"/>
        <v>0</v>
      </c>
    </row>
    <row r="501" spans="1:12" x14ac:dyDescent="0.3">
      <c r="D501" s="13" t="s">
        <v>304</v>
      </c>
      <c r="E501" s="1" t="s">
        <v>46</v>
      </c>
      <c r="F501" s="1"/>
      <c r="G501" s="1"/>
      <c r="H501" s="70">
        <f ca="1">H497</f>
        <v>0</v>
      </c>
      <c r="I501" s="70">
        <f t="shared" ref="I501:L501" ca="1" si="206">I497</f>
        <v>0</v>
      </c>
      <c r="J501" s="70">
        <f t="shared" ca="1" si="206"/>
        <v>0</v>
      </c>
      <c r="K501" s="70">
        <f t="shared" ca="1" si="206"/>
        <v>0</v>
      </c>
      <c r="L501" s="19">
        <f t="shared" ca="1" si="206"/>
        <v>0</v>
      </c>
    </row>
    <row r="502" spans="1:12" x14ac:dyDescent="0.3">
      <c r="D502" s="13" t="s">
        <v>305</v>
      </c>
      <c r="E502" s="1" t="s">
        <v>46</v>
      </c>
      <c r="F502" s="1"/>
      <c r="G502" s="1"/>
      <c r="H502" s="70">
        <f ca="1">-MIN(H498,SUM(H500:H501))</f>
        <v>0</v>
      </c>
      <c r="I502" s="70">
        <f t="shared" ref="I502:L502" ca="1" si="207">-MIN(I498,SUM(I500:I501))</f>
        <v>0</v>
      </c>
      <c r="J502" s="70">
        <f t="shared" ca="1" si="207"/>
        <v>0</v>
      </c>
      <c r="K502" s="70">
        <f t="shared" ca="1" si="207"/>
        <v>0</v>
      </c>
      <c r="L502" s="19">
        <f t="shared" ca="1" si="207"/>
        <v>0</v>
      </c>
    </row>
    <row r="503" spans="1:12" x14ac:dyDescent="0.3">
      <c r="D503" s="13" t="s">
        <v>306</v>
      </c>
      <c r="E503" s="1" t="s">
        <v>46</v>
      </c>
      <c r="F503" s="1">
        <f>Inputs!F225</f>
        <v>10</v>
      </c>
      <c r="G503" s="1"/>
      <c r="H503" s="70">
        <f ca="1">-IF(H$3&lt;=$F503,0,MAX(SUM(OFFSET(H501,0,-H$3,1,1):OFFSET(H501,0,-$F503,1,1))+SUM(H502:OFFSET(H502,0,0,1,-H$3))+SUM($G503:G503),0))</f>
        <v>0</v>
      </c>
      <c r="I503" s="70">
        <f ca="1">-IF(I$3&lt;=$F503,0,MAX(SUM(OFFSET(I501,0,-I$3,1,1):OFFSET(I501,0,-$F503,1,1))+SUM(I502:OFFSET(I502,0,0,1,-I$3))+SUM($G503:H503),0))</f>
        <v>0</v>
      </c>
      <c r="J503" s="70">
        <f ca="1">-IF(J$3&lt;=$F503,0,MAX(SUM(OFFSET(J501,0,-J$3,1,1):OFFSET(J501,0,-$F503,1,1))+SUM(J502:OFFSET(J502,0,0,1,-J$3))+SUM($G503:I503),0))</f>
        <v>0</v>
      </c>
      <c r="K503" s="70">
        <f ca="1">-IF(K$3&lt;=$F503,0,MAX(SUM(OFFSET(K501,0,-K$3,1,1):OFFSET(K501,0,-$F503,1,1))+SUM(K502:OFFSET(K502,0,0,1,-K$3))+SUM($G503:J503),0))</f>
        <v>0</v>
      </c>
      <c r="L503" s="19">
        <f ca="1">-IF(L$3&lt;=$F503,0,MAX(SUM(OFFSET(L501,0,-L$3,1,1):OFFSET(L501,0,-$F503,1,1))+SUM(L502:OFFSET(L502,0,0,1,-L$3))+SUM($G503:K503),0))</f>
        <v>0</v>
      </c>
    </row>
    <row r="504" spans="1:12" x14ac:dyDescent="0.3">
      <c r="D504" s="13"/>
      <c r="E504" s="1"/>
      <c r="F504" s="1"/>
      <c r="G504" s="1"/>
      <c r="H504" s="70"/>
      <c r="I504" s="70"/>
      <c r="J504" s="70"/>
      <c r="K504" s="70"/>
      <c r="L504" s="19"/>
    </row>
    <row r="505" spans="1:12" x14ac:dyDescent="0.3">
      <c r="D505" s="13" t="s">
        <v>329</v>
      </c>
      <c r="E505" s="1" t="s">
        <v>46</v>
      </c>
      <c r="F505" s="1"/>
      <c r="G505" s="1"/>
      <c r="H505" s="70">
        <f ca="1">SUM(H500:H504)</f>
        <v>0</v>
      </c>
      <c r="I505" s="70">
        <f t="shared" ref="I505:L505" ca="1" si="208">SUM(I500:I504)</f>
        <v>0</v>
      </c>
      <c r="J505" s="70">
        <f t="shared" ca="1" si="208"/>
        <v>0</v>
      </c>
      <c r="K505" s="70">
        <f t="shared" ca="1" si="208"/>
        <v>0</v>
      </c>
      <c r="L505" s="19">
        <f t="shared" ca="1" si="208"/>
        <v>0</v>
      </c>
    </row>
    <row r="506" spans="1:12" x14ac:dyDescent="0.3">
      <c r="D506" s="13"/>
      <c r="E506" s="1"/>
      <c r="F506" s="1"/>
      <c r="G506" s="1"/>
      <c r="H506" s="70"/>
      <c r="I506" s="70"/>
      <c r="J506" s="70"/>
      <c r="K506" s="70"/>
      <c r="L506" s="19"/>
    </row>
    <row r="507" spans="1:12" x14ac:dyDescent="0.3">
      <c r="D507" s="102" t="s">
        <v>333</v>
      </c>
      <c r="E507" s="103" t="s">
        <v>46</v>
      </c>
      <c r="F507" s="103"/>
      <c r="G507" s="103"/>
      <c r="H507" s="148">
        <f t="shared" ref="H507:L507" ca="1" si="209">MAX(H494+H502,0)</f>
        <v>8.960241819678</v>
      </c>
      <c r="I507" s="148">
        <f t="shared" ca="1" si="209"/>
        <v>12.282097940161187</v>
      </c>
      <c r="J507" s="148">
        <f t="shared" ca="1" si="209"/>
        <v>16.097313592045786</v>
      </c>
      <c r="K507" s="148">
        <f t="shared" ca="1" si="209"/>
        <v>20.42904724657695</v>
      </c>
      <c r="L507" s="149">
        <f t="shared" ca="1" si="209"/>
        <v>26.230894744223399</v>
      </c>
    </row>
    <row r="510" spans="1:12" s="135" customFormat="1" x14ac:dyDescent="0.3">
      <c r="A510" s="135" t="s">
        <v>334</v>
      </c>
    </row>
  </sheetData>
  <mergeCells count="11">
    <mergeCell ref="A319:XFD319"/>
    <mergeCell ref="A8:XFD8"/>
    <mergeCell ref="A73:XFD73"/>
    <mergeCell ref="A102:XFD102"/>
    <mergeCell ref="A170:XFD170"/>
    <mergeCell ref="A267:XFD267"/>
    <mergeCell ref="A337:XFD337"/>
    <mergeCell ref="A365:XFD365"/>
    <mergeCell ref="A381:XFD381"/>
    <mergeCell ref="A449:XFD449"/>
    <mergeCell ref="A510:XFD5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5"/>
  <sheetViews>
    <sheetView showGridLines="0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A96" sqref="A96"/>
    </sheetView>
  </sheetViews>
  <sheetFormatPr defaultRowHeight="14.4" x14ac:dyDescent="0.3"/>
  <cols>
    <col min="1" max="1" width="3.88671875" customWidth="1"/>
    <col min="2" max="2" width="5.21875" customWidth="1"/>
    <col min="3" max="3" width="4.77734375" customWidth="1"/>
    <col min="4" max="4" width="47" bestFit="1" customWidth="1"/>
    <col min="5" max="5" width="11.33203125" customWidth="1"/>
    <col min="6" max="6" width="18.88671875" customWidth="1"/>
    <col min="7" max="7" width="17.77734375" customWidth="1"/>
    <col min="8" max="8" width="14.21875" bestFit="1" customWidth="1"/>
    <col min="9" max="10" width="16.77734375" bestFit="1" customWidth="1"/>
    <col min="11" max="11" width="16.33203125" bestFit="1" customWidth="1"/>
    <col min="12" max="12" width="13.21875" bestFit="1" customWidth="1"/>
    <col min="13" max="14" width="16.77734375" bestFit="1" customWidth="1"/>
    <col min="15" max="15" width="16.33203125" bestFit="1" customWidth="1"/>
    <col min="16" max="16" width="13.21875" bestFit="1" customWidth="1"/>
    <col min="17" max="18" width="16.77734375" bestFit="1" customWidth="1"/>
    <col min="19" max="19" width="16.33203125" bestFit="1" customWidth="1"/>
    <col min="20" max="20" width="13.21875" bestFit="1" customWidth="1"/>
    <col min="21" max="22" width="16.77734375" bestFit="1" customWidth="1"/>
    <col min="23" max="23" width="16.33203125" bestFit="1" customWidth="1"/>
    <col min="24" max="24" width="13.21875" bestFit="1" customWidth="1"/>
    <col min="25" max="26" width="16.77734375" bestFit="1" customWidth="1"/>
    <col min="27" max="27" width="16.33203125" bestFit="1" customWidth="1"/>
  </cols>
  <sheetData>
    <row r="1" spans="1:39" s="3" customFormat="1" ht="20.399999999999999" customHeight="1" x14ac:dyDescent="0.3">
      <c r="A1" s="7" t="str">
        <f ca="1">MID(CELL("filename",A1),FIND("[",CELL("filename",A1))+1,FIND("]",CELL("filename",A1))-FIND("[",CELL("filename",A1))-6)</f>
        <v>Valuation_project</v>
      </c>
    </row>
    <row r="2" spans="1:39" s="3" customFormat="1" ht="16.2" customHeight="1" x14ac:dyDescent="0.3">
      <c r="A2" s="7" t="str">
        <f ca="1">MID(CELL("filename",A2),FIND("]",CELL("filename",A2))+1,LEN(CELL("filename",A2)))</f>
        <v>DebtQ</v>
      </c>
    </row>
    <row r="3" spans="1:39" s="3" customFormat="1" x14ac:dyDescent="0.3">
      <c r="G3" s="6" t="s">
        <v>0</v>
      </c>
      <c r="H3" s="8">
        <f>Timing!H28</f>
        <v>1</v>
      </c>
      <c r="I3" s="8">
        <f>Timing!I28</f>
        <v>2</v>
      </c>
      <c r="J3" s="8">
        <f>Timing!J28</f>
        <v>3</v>
      </c>
      <c r="K3" s="8">
        <f>Timing!K28</f>
        <v>4</v>
      </c>
      <c r="L3" s="8">
        <f>Timing!L28</f>
        <v>5</v>
      </c>
      <c r="M3" s="8">
        <f>Timing!M28</f>
        <v>6</v>
      </c>
      <c r="N3" s="8">
        <f>Timing!N28</f>
        <v>7</v>
      </c>
      <c r="O3" s="8">
        <f>Timing!O28</f>
        <v>8</v>
      </c>
      <c r="P3" s="8">
        <f>Timing!P28</f>
        <v>9</v>
      </c>
      <c r="Q3" s="8">
        <f>Timing!Q28</f>
        <v>10</v>
      </c>
      <c r="R3" s="8">
        <f>Timing!R28</f>
        <v>11</v>
      </c>
      <c r="S3" s="8">
        <f>Timing!S28</f>
        <v>12</v>
      </c>
      <c r="T3" s="8">
        <f>Timing!T28</f>
        <v>13</v>
      </c>
      <c r="U3" s="8">
        <f>Timing!U28</f>
        <v>14</v>
      </c>
      <c r="V3" s="8">
        <f>Timing!V28</f>
        <v>15</v>
      </c>
      <c r="W3" s="8">
        <f>Timing!W28</f>
        <v>16</v>
      </c>
      <c r="X3" s="8">
        <f>Timing!X28</f>
        <v>17</v>
      </c>
      <c r="Y3" s="8">
        <f>Timing!Y28</f>
        <v>18</v>
      </c>
      <c r="Z3" s="8">
        <f>Timing!Z28</f>
        <v>19</v>
      </c>
      <c r="AA3" s="8">
        <f>Timing!AA28</f>
        <v>20</v>
      </c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s="3" customFormat="1" x14ac:dyDescent="0.3">
      <c r="G4" s="6" t="s">
        <v>1</v>
      </c>
      <c r="H4" s="24">
        <f>Timing!H29</f>
        <v>45017</v>
      </c>
      <c r="I4" s="24">
        <f>Timing!I29</f>
        <v>45107</v>
      </c>
      <c r="J4" s="24">
        <f>Timing!J29</f>
        <v>45199</v>
      </c>
      <c r="K4" s="24">
        <f>Timing!K29</f>
        <v>45291</v>
      </c>
      <c r="L4" s="24">
        <f>Timing!L29</f>
        <v>45382</v>
      </c>
      <c r="M4" s="24">
        <f>Timing!M29</f>
        <v>45473</v>
      </c>
      <c r="N4" s="24">
        <f>Timing!N29</f>
        <v>45565</v>
      </c>
      <c r="O4" s="24">
        <f>Timing!O29</f>
        <v>45657</v>
      </c>
      <c r="P4" s="24">
        <f>Timing!P29</f>
        <v>45747</v>
      </c>
      <c r="Q4" s="24">
        <f>Timing!Q29</f>
        <v>45838</v>
      </c>
      <c r="R4" s="24">
        <f>Timing!R29</f>
        <v>45930</v>
      </c>
      <c r="S4" s="24">
        <f>Timing!S29</f>
        <v>46022</v>
      </c>
      <c r="T4" s="24">
        <f>Timing!T29</f>
        <v>46112</v>
      </c>
      <c r="U4" s="24">
        <f>Timing!U29</f>
        <v>46203</v>
      </c>
      <c r="V4" s="24">
        <f>Timing!V29</f>
        <v>46295</v>
      </c>
      <c r="W4" s="24">
        <f>Timing!W29</f>
        <v>46387</v>
      </c>
      <c r="X4" s="24">
        <f>Timing!X29</f>
        <v>46477</v>
      </c>
      <c r="Y4" s="24">
        <f>Timing!Y29</f>
        <v>46568</v>
      </c>
      <c r="Z4" s="24">
        <f>Timing!Z29</f>
        <v>46660</v>
      </c>
      <c r="AA4" s="24">
        <f>Timing!AA29</f>
        <v>46752</v>
      </c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</row>
    <row r="5" spans="1:39" s="3" customFormat="1" x14ac:dyDescent="0.3">
      <c r="G5" s="6" t="s">
        <v>2</v>
      </c>
      <c r="H5" s="24">
        <f>Timing!H30</f>
        <v>45107</v>
      </c>
      <c r="I5" s="24">
        <f>Timing!I30</f>
        <v>45199</v>
      </c>
      <c r="J5" s="24">
        <f>Timing!J30</f>
        <v>45291</v>
      </c>
      <c r="K5" s="24">
        <f>Timing!K30</f>
        <v>45382</v>
      </c>
      <c r="L5" s="24">
        <f>Timing!L30</f>
        <v>45473</v>
      </c>
      <c r="M5" s="24">
        <f>Timing!M30</f>
        <v>45565</v>
      </c>
      <c r="N5" s="24">
        <f>Timing!N30</f>
        <v>45657</v>
      </c>
      <c r="O5" s="24">
        <f>Timing!O30</f>
        <v>45747</v>
      </c>
      <c r="P5" s="24">
        <f>Timing!P30</f>
        <v>45838</v>
      </c>
      <c r="Q5" s="24">
        <f>Timing!Q30</f>
        <v>45930</v>
      </c>
      <c r="R5" s="24">
        <f>Timing!R30</f>
        <v>46022</v>
      </c>
      <c r="S5" s="24">
        <f>Timing!S30</f>
        <v>46112</v>
      </c>
      <c r="T5" s="24">
        <f>Timing!T30</f>
        <v>46203</v>
      </c>
      <c r="U5" s="24">
        <f>Timing!U30</f>
        <v>46295</v>
      </c>
      <c r="V5" s="24">
        <f>Timing!V30</f>
        <v>46387</v>
      </c>
      <c r="W5" s="24">
        <f>Timing!W30</f>
        <v>46477</v>
      </c>
      <c r="X5" s="24">
        <f>Timing!X30</f>
        <v>46568</v>
      </c>
      <c r="Y5" s="24">
        <f>Timing!Y30</f>
        <v>46660</v>
      </c>
      <c r="Z5" s="24">
        <f>Timing!Z30</f>
        <v>46752</v>
      </c>
      <c r="AA5" s="24">
        <f>Timing!AA30</f>
        <v>46843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</row>
    <row r="6" spans="1:39" s="3" customFormat="1" x14ac:dyDescent="0.3">
      <c r="E6" s="8" t="s">
        <v>10</v>
      </c>
      <c r="G6" s="6" t="s">
        <v>3</v>
      </c>
      <c r="H6" s="8" t="str">
        <f>Timing!H31</f>
        <v>Actual</v>
      </c>
      <c r="I6" s="8" t="str">
        <f>Timing!I31</f>
        <v>Actual</v>
      </c>
      <c r="J6" s="8" t="str">
        <f>Timing!J31</f>
        <v>Actual</v>
      </c>
      <c r="K6" s="8" t="str">
        <f>Timing!K31</f>
        <v>Actual</v>
      </c>
      <c r="L6" s="8" t="str">
        <f>Timing!L31</f>
        <v>Projected</v>
      </c>
      <c r="M6" s="8" t="str">
        <f>Timing!M31</f>
        <v>Projected</v>
      </c>
      <c r="N6" s="8" t="str">
        <f>Timing!N31</f>
        <v>Projected</v>
      </c>
      <c r="O6" s="8" t="str">
        <f>Timing!O31</f>
        <v>Projected</v>
      </c>
      <c r="P6" s="8" t="str">
        <f>Timing!P31</f>
        <v>Projected</v>
      </c>
      <c r="Q6" s="8" t="str">
        <f>Timing!Q31</f>
        <v>Projected</v>
      </c>
      <c r="R6" s="8" t="str">
        <f>Timing!R31</f>
        <v>Projected</v>
      </c>
      <c r="S6" s="8" t="str">
        <f>Timing!S31</f>
        <v>Projected</v>
      </c>
      <c r="T6" s="8" t="str">
        <f>Timing!T31</f>
        <v>Projected</v>
      </c>
      <c r="U6" s="8" t="str">
        <f>Timing!U31</f>
        <v>Projected</v>
      </c>
      <c r="V6" s="8" t="str">
        <f>Timing!V31</f>
        <v>Projected</v>
      </c>
      <c r="W6" s="8" t="str">
        <f>Timing!W31</f>
        <v>Projected</v>
      </c>
      <c r="X6" s="8" t="str">
        <f>Timing!X31</f>
        <v>Projected</v>
      </c>
      <c r="Y6" s="8" t="str">
        <f>Timing!Y31</f>
        <v>Projected</v>
      </c>
      <c r="Z6" s="8" t="str">
        <f>Timing!Z31</f>
        <v>Projected</v>
      </c>
      <c r="AA6" s="8" t="str">
        <f>Timing!AA31</f>
        <v>Projected</v>
      </c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8" spans="1:39" s="33" customFormat="1" x14ac:dyDescent="0.3">
      <c r="A8" s="33" t="s">
        <v>343</v>
      </c>
    </row>
    <row r="10" spans="1:39" x14ac:dyDescent="0.3">
      <c r="D10" s="63" t="s">
        <v>335</v>
      </c>
      <c r="E10" s="15"/>
      <c r="F10" s="106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6"/>
    </row>
    <row r="11" spans="1:39" x14ac:dyDescent="0.3">
      <c r="D11" s="13" t="s">
        <v>336</v>
      </c>
      <c r="E11" s="16" t="s">
        <v>21</v>
      </c>
      <c r="F11" s="86">
        <f>Inputs!F166</f>
        <v>45017</v>
      </c>
      <c r="G11" s="1"/>
      <c r="H11" s="1">
        <f>($F11&gt;=H$4)*($F11&lt;=H$5)*1</f>
        <v>1</v>
      </c>
      <c r="I11" s="1">
        <f t="shared" ref="I11:AA11" si="0">($F11&gt;=I$4)*($F11&lt;=I$5)*1</f>
        <v>0</v>
      </c>
      <c r="J11" s="1">
        <f t="shared" si="0"/>
        <v>0</v>
      </c>
      <c r="K11" s="1">
        <f t="shared" si="0"/>
        <v>0</v>
      </c>
      <c r="L11" s="1">
        <f t="shared" si="0"/>
        <v>0</v>
      </c>
      <c r="M11" s="1">
        <f t="shared" si="0"/>
        <v>0</v>
      </c>
      <c r="N11" s="1">
        <f t="shared" si="0"/>
        <v>0</v>
      </c>
      <c r="O11" s="1">
        <f t="shared" si="0"/>
        <v>0</v>
      </c>
      <c r="P11" s="1">
        <f t="shared" si="0"/>
        <v>0</v>
      </c>
      <c r="Q11" s="1">
        <f t="shared" si="0"/>
        <v>0</v>
      </c>
      <c r="R11" s="1">
        <f t="shared" si="0"/>
        <v>0</v>
      </c>
      <c r="S11" s="1">
        <f t="shared" si="0"/>
        <v>0</v>
      </c>
      <c r="T11" s="1">
        <f t="shared" si="0"/>
        <v>0</v>
      </c>
      <c r="U11" s="1">
        <f t="shared" si="0"/>
        <v>0</v>
      </c>
      <c r="V11" s="1">
        <f t="shared" si="0"/>
        <v>0</v>
      </c>
      <c r="W11" s="1">
        <f t="shared" si="0"/>
        <v>0</v>
      </c>
      <c r="X11" s="1">
        <f t="shared" si="0"/>
        <v>0</v>
      </c>
      <c r="Y11" s="1">
        <f t="shared" si="0"/>
        <v>0</v>
      </c>
      <c r="Z11" s="1">
        <f t="shared" si="0"/>
        <v>0</v>
      </c>
      <c r="AA11" s="47">
        <f t="shared" si="0"/>
        <v>0</v>
      </c>
    </row>
    <row r="12" spans="1:39" x14ac:dyDescent="0.3">
      <c r="D12" s="13" t="s">
        <v>337</v>
      </c>
      <c r="E12" s="16" t="s">
        <v>21</v>
      </c>
      <c r="F12" s="86">
        <f>EOMONTH(F11-1,Inputs!F174)</f>
        <v>45382</v>
      </c>
      <c r="G12" s="1"/>
      <c r="H12" s="1">
        <f>(H5&gt;=$F11)*(H$5&lt;=$F12)*1</f>
        <v>1</v>
      </c>
      <c r="I12" s="1">
        <f t="shared" ref="I12:N12" si="1">(I5&gt;=$F11)*(I$5&lt;=$F12)*1</f>
        <v>1</v>
      </c>
      <c r="J12" s="1">
        <f t="shared" si="1"/>
        <v>1</v>
      </c>
      <c r="K12" s="1">
        <f t="shared" si="1"/>
        <v>1</v>
      </c>
      <c r="L12" s="1">
        <f t="shared" si="1"/>
        <v>0</v>
      </c>
      <c r="M12" s="1">
        <f t="shared" si="1"/>
        <v>0</v>
      </c>
      <c r="N12" s="1">
        <f t="shared" si="1"/>
        <v>0</v>
      </c>
      <c r="O12" s="1">
        <f t="shared" ref="O12" si="2">(O5&gt;=$F11)*(O$5&lt;=$F12)*1</f>
        <v>0</v>
      </c>
      <c r="P12" s="1">
        <f t="shared" ref="P12" si="3">(P5&gt;=$F11)*(P$5&lt;=$F12)*1</f>
        <v>0</v>
      </c>
      <c r="Q12" s="1">
        <f t="shared" ref="Q12" si="4">(Q5&gt;=$F11)*(Q$5&lt;=$F12)*1</f>
        <v>0</v>
      </c>
      <c r="R12" s="1">
        <f t="shared" ref="R12" si="5">(R5&gt;=$F11)*(R$5&lt;=$F12)*1</f>
        <v>0</v>
      </c>
      <c r="S12" s="1">
        <f t="shared" ref="S12:T12" si="6">(S5&gt;=$F11)*(S$5&lt;=$F12)*1</f>
        <v>0</v>
      </c>
      <c r="T12" s="1">
        <f t="shared" si="6"/>
        <v>0</v>
      </c>
      <c r="U12" s="1">
        <f t="shared" ref="U12" si="7">(U5&gt;=$F11)*(U$5&lt;=$F12)*1</f>
        <v>0</v>
      </c>
      <c r="V12" s="1">
        <f t="shared" ref="V12" si="8">(V5&gt;=$F11)*(V$5&lt;=$F12)*1</f>
        <v>0</v>
      </c>
      <c r="W12" s="1">
        <f t="shared" ref="W12" si="9">(W5&gt;=$F11)*(W$5&lt;=$F12)*1</f>
        <v>0</v>
      </c>
      <c r="X12" s="1">
        <f t="shared" ref="X12" si="10">(X5&gt;=$F11)*(X$5&lt;=$F12)*1</f>
        <v>0</v>
      </c>
      <c r="Y12" s="1">
        <f t="shared" ref="Y12:Z12" si="11">(Y5&gt;=$F11)*(Y$5&lt;=$F12)*1</f>
        <v>0</v>
      </c>
      <c r="Z12" s="1">
        <f t="shared" si="11"/>
        <v>0</v>
      </c>
      <c r="AA12" s="47">
        <f t="shared" ref="AA12" si="12">(AA5&gt;=$F11)*(AA$5&lt;=$F12)*1</f>
        <v>0</v>
      </c>
    </row>
    <row r="13" spans="1:39" x14ac:dyDescent="0.3">
      <c r="D13" s="13" t="s">
        <v>338</v>
      </c>
      <c r="E13" s="16" t="s">
        <v>21</v>
      </c>
      <c r="F13" s="86">
        <f>F12+1</f>
        <v>45383</v>
      </c>
      <c r="G13" s="1"/>
      <c r="H13" s="1">
        <f>($F13&gt;=H$4)*($F13&lt;=H$5)*1</f>
        <v>0</v>
      </c>
      <c r="I13" s="1">
        <f t="shared" ref="I13:AA13" si="13">($F13&gt;=I$4)*($F13&lt;=I$5)*1</f>
        <v>0</v>
      </c>
      <c r="J13" s="1">
        <f t="shared" si="13"/>
        <v>0</v>
      </c>
      <c r="K13" s="1">
        <f t="shared" si="13"/>
        <v>0</v>
      </c>
      <c r="L13" s="1">
        <f t="shared" si="13"/>
        <v>1</v>
      </c>
      <c r="M13" s="1">
        <f t="shared" si="13"/>
        <v>0</v>
      </c>
      <c r="N13" s="1">
        <f t="shared" si="13"/>
        <v>0</v>
      </c>
      <c r="O13" s="1">
        <f t="shared" si="13"/>
        <v>0</v>
      </c>
      <c r="P13" s="1">
        <f t="shared" si="13"/>
        <v>0</v>
      </c>
      <c r="Q13" s="1">
        <f t="shared" si="13"/>
        <v>0</v>
      </c>
      <c r="R13" s="1">
        <f t="shared" si="13"/>
        <v>0</v>
      </c>
      <c r="S13" s="1">
        <f t="shared" si="13"/>
        <v>0</v>
      </c>
      <c r="T13" s="1">
        <f t="shared" si="13"/>
        <v>0</v>
      </c>
      <c r="U13" s="1">
        <f t="shared" si="13"/>
        <v>0</v>
      </c>
      <c r="V13" s="1">
        <f t="shared" si="13"/>
        <v>0</v>
      </c>
      <c r="W13" s="1">
        <f t="shared" si="13"/>
        <v>0</v>
      </c>
      <c r="X13" s="1">
        <f t="shared" si="13"/>
        <v>0</v>
      </c>
      <c r="Y13" s="1">
        <f t="shared" si="13"/>
        <v>0</v>
      </c>
      <c r="Z13" s="1">
        <f t="shared" si="13"/>
        <v>0</v>
      </c>
      <c r="AA13" s="47">
        <f t="shared" si="13"/>
        <v>0</v>
      </c>
    </row>
    <row r="14" spans="1:39" x14ac:dyDescent="0.3">
      <c r="D14" s="13" t="s">
        <v>339</v>
      </c>
      <c r="E14" s="16" t="s">
        <v>21</v>
      </c>
      <c r="F14" s="1"/>
      <c r="G14" s="1"/>
      <c r="H14" s="1">
        <f>(SUM($G13:H13)&gt;0)*1</f>
        <v>0</v>
      </c>
      <c r="I14" s="1">
        <f>(SUM($G13:I13)&gt;0)*1</f>
        <v>0</v>
      </c>
      <c r="J14" s="1">
        <f>(SUM($G13:J13)&gt;0)*1</f>
        <v>0</v>
      </c>
      <c r="K14" s="1">
        <f>(SUM($G13:K13)&gt;0)*1</f>
        <v>0</v>
      </c>
      <c r="L14" s="1">
        <f>(SUM($G13:L13)&gt;0)*1</f>
        <v>1</v>
      </c>
      <c r="M14" s="1">
        <f>(SUM($G13:M13)&gt;0)*1</f>
        <v>1</v>
      </c>
      <c r="N14" s="1">
        <f>(SUM($G13:N13)&gt;0)*1</f>
        <v>1</v>
      </c>
      <c r="O14" s="1">
        <f>(SUM($G13:O13)&gt;0)*1</f>
        <v>1</v>
      </c>
      <c r="P14" s="1">
        <f>(SUM($G13:P13)&gt;0)*1</f>
        <v>1</v>
      </c>
      <c r="Q14" s="1">
        <f>(SUM($G13:Q13)&gt;0)*1</f>
        <v>1</v>
      </c>
      <c r="R14" s="1">
        <f>(SUM($G13:R13)&gt;0)*1</f>
        <v>1</v>
      </c>
      <c r="S14" s="1">
        <f>(SUM($G13:S13)&gt;0)*1</f>
        <v>1</v>
      </c>
      <c r="T14" s="1">
        <f>(SUM($G13:T13)&gt;0)*1</f>
        <v>1</v>
      </c>
      <c r="U14" s="1">
        <f>(SUM($G13:U13)&gt;0)*1</f>
        <v>1</v>
      </c>
      <c r="V14" s="1">
        <f>(SUM($G13:V13)&gt;0)*1</f>
        <v>1</v>
      </c>
      <c r="W14" s="1">
        <f>(SUM($G13:W13)&gt;0)*1</f>
        <v>1</v>
      </c>
      <c r="X14" s="1">
        <f>(SUM($G13:X13)&gt;0)*1</f>
        <v>1</v>
      </c>
      <c r="Y14" s="1">
        <f>(SUM($G13:Y13)&gt;0)*1</f>
        <v>1</v>
      </c>
      <c r="Z14" s="1">
        <f>(SUM($G13:Z13)&gt;0)*1</f>
        <v>1</v>
      </c>
      <c r="AA14" s="47">
        <f>(SUM($G13:AA13)&gt;0)*1</f>
        <v>1</v>
      </c>
    </row>
    <row r="15" spans="1:39" x14ac:dyDescent="0.3">
      <c r="D15" s="13" t="s">
        <v>340</v>
      </c>
      <c r="E15" s="16" t="s">
        <v>341</v>
      </c>
      <c r="F15" s="1"/>
      <c r="G15" s="1"/>
      <c r="H15" s="1">
        <f>G15+H14</f>
        <v>0</v>
      </c>
      <c r="I15" s="1">
        <f t="shared" ref="I15:N15" si="14">H15+I14</f>
        <v>0</v>
      </c>
      <c r="J15" s="1">
        <f t="shared" si="14"/>
        <v>0</v>
      </c>
      <c r="K15" s="1">
        <f t="shared" si="14"/>
        <v>0</v>
      </c>
      <c r="L15" s="1">
        <f t="shared" si="14"/>
        <v>1</v>
      </c>
      <c r="M15" s="1">
        <f t="shared" si="14"/>
        <v>2</v>
      </c>
      <c r="N15" s="1">
        <f t="shared" si="14"/>
        <v>3</v>
      </c>
      <c r="O15" s="1">
        <f t="shared" ref="O15" si="15">N15+O14</f>
        <v>4</v>
      </c>
      <c r="P15" s="1">
        <f t="shared" ref="P15" si="16">O15+P14</f>
        <v>5</v>
      </c>
      <c r="Q15" s="1">
        <f t="shared" ref="Q15" si="17">P15+Q14</f>
        <v>6</v>
      </c>
      <c r="R15" s="1">
        <f t="shared" ref="R15" si="18">Q15+R14</f>
        <v>7</v>
      </c>
      <c r="S15" s="1">
        <f t="shared" ref="S15:T15" si="19">R15+S14</f>
        <v>8</v>
      </c>
      <c r="T15" s="1">
        <f t="shared" si="19"/>
        <v>9</v>
      </c>
      <c r="U15" s="1">
        <f t="shared" ref="U15" si="20">T15+U14</f>
        <v>10</v>
      </c>
      <c r="V15" s="1">
        <f t="shared" ref="V15" si="21">U15+V14</f>
        <v>11</v>
      </c>
      <c r="W15" s="1">
        <f t="shared" ref="W15" si="22">V15+W14</f>
        <v>12</v>
      </c>
      <c r="X15" s="1">
        <f t="shared" ref="X15" si="23">W15+X14</f>
        <v>13</v>
      </c>
      <c r="Y15" s="1">
        <f t="shared" ref="Y15:Z15" si="24">X15+Y14</f>
        <v>14</v>
      </c>
      <c r="Z15" s="1">
        <f t="shared" si="24"/>
        <v>15</v>
      </c>
      <c r="AA15" s="47">
        <f t="shared" ref="AA15" si="25">Z15+AA14</f>
        <v>16</v>
      </c>
    </row>
    <row r="16" spans="1:39" x14ac:dyDescent="0.3">
      <c r="D16" s="1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47"/>
    </row>
    <row r="17" spans="3:27" x14ac:dyDescent="0.3">
      <c r="D17" s="14" t="s">
        <v>342</v>
      </c>
      <c r="E17" s="2"/>
      <c r="F17" s="2"/>
      <c r="G17" s="2"/>
      <c r="H17" s="107">
        <f>DATE(IF(MONTH(H5)&lt;=3,YEAR(H5),YEAR(H5)+1),3,31)</f>
        <v>45382</v>
      </c>
      <c r="I17" s="107">
        <f t="shared" ref="I17:N17" si="26">DATE(IF(MONTH(I5)&lt;=3,YEAR(I5),YEAR(I5)+1),3,31)</f>
        <v>45382</v>
      </c>
      <c r="J17" s="107">
        <f t="shared" si="26"/>
        <v>45382</v>
      </c>
      <c r="K17" s="107">
        <f t="shared" si="26"/>
        <v>45382</v>
      </c>
      <c r="L17" s="107">
        <f t="shared" si="26"/>
        <v>45747</v>
      </c>
      <c r="M17" s="107">
        <f t="shared" si="26"/>
        <v>45747</v>
      </c>
      <c r="N17" s="107">
        <f t="shared" si="26"/>
        <v>45747</v>
      </c>
      <c r="O17" s="107">
        <f t="shared" ref="O17:AA17" si="27">DATE(IF(MONTH(O5)&lt;=3,YEAR(O5),YEAR(O5)+1),3,31)</f>
        <v>45747</v>
      </c>
      <c r="P17" s="107">
        <f t="shared" si="27"/>
        <v>46112</v>
      </c>
      <c r="Q17" s="107">
        <f t="shared" si="27"/>
        <v>46112</v>
      </c>
      <c r="R17" s="107">
        <f t="shared" si="27"/>
        <v>46112</v>
      </c>
      <c r="S17" s="107">
        <f t="shared" si="27"/>
        <v>46112</v>
      </c>
      <c r="T17" s="107">
        <f t="shared" si="27"/>
        <v>46477</v>
      </c>
      <c r="U17" s="107">
        <f t="shared" si="27"/>
        <v>46477</v>
      </c>
      <c r="V17" s="107">
        <f t="shared" si="27"/>
        <v>46477</v>
      </c>
      <c r="W17" s="107">
        <f t="shared" si="27"/>
        <v>46477</v>
      </c>
      <c r="X17" s="107">
        <f t="shared" si="27"/>
        <v>46843</v>
      </c>
      <c r="Y17" s="107">
        <f t="shared" si="27"/>
        <v>46843</v>
      </c>
      <c r="Z17" s="107">
        <f t="shared" si="27"/>
        <v>46843</v>
      </c>
      <c r="AA17" s="108">
        <f t="shared" si="27"/>
        <v>46843</v>
      </c>
    </row>
    <row r="20" spans="3:27" x14ac:dyDescent="0.3">
      <c r="D20" s="63" t="s">
        <v>344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6"/>
    </row>
    <row r="21" spans="3:27" x14ac:dyDescent="0.3">
      <c r="D21" s="13" t="s">
        <v>272</v>
      </c>
      <c r="E21" s="1" t="s">
        <v>46</v>
      </c>
      <c r="F21" s="1"/>
      <c r="G21" s="1"/>
      <c r="H21" s="1">
        <f>G25</f>
        <v>0</v>
      </c>
      <c r="I21" s="1">
        <f t="shared" ref="I21:AA21" si="28">H25</f>
        <v>30</v>
      </c>
      <c r="J21" s="1">
        <f t="shared" si="28"/>
        <v>30</v>
      </c>
      <c r="K21" s="1">
        <f t="shared" si="28"/>
        <v>30</v>
      </c>
      <c r="L21" s="1">
        <f t="shared" si="28"/>
        <v>30</v>
      </c>
      <c r="M21" s="1">
        <f t="shared" si="28"/>
        <v>27.60834376159038</v>
      </c>
      <c r="N21" s="1">
        <f t="shared" si="28"/>
        <v>25.216687523180759</v>
      </c>
      <c r="O21" s="1">
        <f t="shared" si="28"/>
        <v>22.825031284771139</v>
      </c>
      <c r="P21" s="1">
        <f t="shared" si="28"/>
        <v>20.433375046361519</v>
      </c>
      <c r="Q21" s="1">
        <f t="shared" si="28"/>
        <v>15.63053053209512</v>
      </c>
      <c r="R21" s="1">
        <f t="shared" si="28"/>
        <v>10.827686017828722</v>
      </c>
      <c r="S21" s="1">
        <f t="shared" si="28"/>
        <v>6.0248415035623228</v>
      </c>
      <c r="T21" s="1">
        <f t="shared" si="28"/>
        <v>1.2219969892959242</v>
      </c>
      <c r="U21" s="1">
        <f t="shared" si="28"/>
        <v>0</v>
      </c>
      <c r="V21" s="1">
        <f t="shared" si="28"/>
        <v>0</v>
      </c>
      <c r="W21" s="1">
        <f t="shared" si="28"/>
        <v>0</v>
      </c>
      <c r="X21" s="1">
        <f t="shared" si="28"/>
        <v>0</v>
      </c>
      <c r="Y21" s="1">
        <f t="shared" si="28"/>
        <v>0</v>
      </c>
      <c r="Z21" s="1">
        <f t="shared" si="28"/>
        <v>0</v>
      </c>
      <c r="AA21" s="47">
        <f t="shared" si="28"/>
        <v>0</v>
      </c>
    </row>
    <row r="22" spans="3:27" x14ac:dyDescent="0.3">
      <c r="D22" s="13" t="s">
        <v>254</v>
      </c>
      <c r="E22" s="1" t="s">
        <v>46</v>
      </c>
      <c r="F22" s="1">
        <f>Inputs!F169</f>
        <v>30</v>
      </c>
      <c r="G22" s="1"/>
      <c r="H22" s="1">
        <f t="shared" ref="H22:AA22" si="29">$F22*H$11</f>
        <v>30</v>
      </c>
      <c r="I22" s="1">
        <f t="shared" si="29"/>
        <v>0</v>
      </c>
      <c r="J22" s="1">
        <f t="shared" si="29"/>
        <v>0</v>
      </c>
      <c r="K22" s="1">
        <f t="shared" si="29"/>
        <v>0</v>
      </c>
      <c r="L22" s="1">
        <f t="shared" si="29"/>
        <v>0</v>
      </c>
      <c r="M22" s="1">
        <f t="shared" si="29"/>
        <v>0</v>
      </c>
      <c r="N22" s="1">
        <f t="shared" si="29"/>
        <v>0</v>
      </c>
      <c r="O22" s="1">
        <f t="shared" si="29"/>
        <v>0</v>
      </c>
      <c r="P22" s="1">
        <f t="shared" si="29"/>
        <v>0</v>
      </c>
      <c r="Q22" s="1">
        <f t="shared" si="29"/>
        <v>0</v>
      </c>
      <c r="R22" s="1">
        <f t="shared" si="29"/>
        <v>0</v>
      </c>
      <c r="S22" s="1">
        <f t="shared" si="29"/>
        <v>0</v>
      </c>
      <c r="T22" s="1">
        <f t="shared" si="29"/>
        <v>0</v>
      </c>
      <c r="U22" s="1">
        <f t="shared" si="29"/>
        <v>0</v>
      </c>
      <c r="V22" s="1">
        <f t="shared" si="29"/>
        <v>0</v>
      </c>
      <c r="W22" s="1">
        <f t="shared" si="29"/>
        <v>0</v>
      </c>
      <c r="X22" s="1">
        <f t="shared" si="29"/>
        <v>0</v>
      </c>
      <c r="Y22" s="1">
        <f t="shared" si="29"/>
        <v>0</v>
      </c>
      <c r="Z22" s="1">
        <f t="shared" si="29"/>
        <v>0</v>
      </c>
      <c r="AA22" s="47">
        <f t="shared" si="29"/>
        <v>0</v>
      </c>
    </row>
    <row r="23" spans="3:27" x14ac:dyDescent="0.3">
      <c r="D23" s="13" t="s">
        <v>345</v>
      </c>
      <c r="E23" s="1" t="s">
        <v>46</v>
      </c>
      <c r="F23" s="1"/>
      <c r="G23" s="1"/>
      <c r="H23" s="1">
        <f t="shared" ref="H23:AA23" si="30">-MIN(H47,SUM(H21:H22))</f>
        <v>0</v>
      </c>
      <c r="I23" s="1">
        <f t="shared" si="30"/>
        <v>0</v>
      </c>
      <c r="J23" s="1">
        <f t="shared" si="30"/>
        <v>0</v>
      </c>
      <c r="K23" s="1">
        <f t="shared" si="30"/>
        <v>0</v>
      </c>
      <c r="L23" s="1">
        <f t="shared" si="30"/>
        <v>-2.3916562384096216</v>
      </c>
      <c r="M23" s="1">
        <f t="shared" si="30"/>
        <v>-2.3916562384096216</v>
      </c>
      <c r="N23" s="1">
        <f t="shared" si="30"/>
        <v>-2.3916562384096216</v>
      </c>
      <c r="O23" s="1">
        <f t="shared" si="30"/>
        <v>-2.3916562384096216</v>
      </c>
      <c r="P23" s="1">
        <f t="shared" si="30"/>
        <v>-4.8028445142663987</v>
      </c>
      <c r="Q23" s="1">
        <f t="shared" si="30"/>
        <v>-4.8028445142663987</v>
      </c>
      <c r="R23" s="1">
        <f t="shared" si="30"/>
        <v>-4.8028445142663987</v>
      </c>
      <c r="S23" s="1">
        <f t="shared" si="30"/>
        <v>-4.8028445142663987</v>
      </c>
      <c r="T23" s="1">
        <f t="shared" si="30"/>
        <v>-1.2219969892959242</v>
      </c>
      <c r="U23" s="1">
        <f t="shared" si="30"/>
        <v>0</v>
      </c>
      <c r="V23" s="1">
        <f t="shared" si="30"/>
        <v>0</v>
      </c>
      <c r="W23" s="1">
        <f t="shared" si="30"/>
        <v>0</v>
      </c>
      <c r="X23" s="1">
        <f t="shared" si="30"/>
        <v>0</v>
      </c>
      <c r="Y23" s="1">
        <f t="shared" si="30"/>
        <v>0</v>
      </c>
      <c r="Z23" s="1">
        <f t="shared" si="30"/>
        <v>0</v>
      </c>
      <c r="AA23" s="47">
        <f t="shared" si="30"/>
        <v>0</v>
      </c>
    </row>
    <row r="24" spans="3:27" x14ac:dyDescent="0.3">
      <c r="D24" s="1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47"/>
    </row>
    <row r="25" spans="3:27" x14ac:dyDescent="0.3">
      <c r="D25" s="71" t="s">
        <v>274</v>
      </c>
      <c r="E25" s="72" t="s">
        <v>46</v>
      </c>
      <c r="F25" s="72"/>
      <c r="G25" s="72"/>
      <c r="H25" s="72">
        <f>SUM(H21:H24)</f>
        <v>30</v>
      </c>
      <c r="I25" s="72">
        <f t="shared" ref="I25:L25" si="31">SUM(I21:I24)</f>
        <v>30</v>
      </c>
      <c r="J25" s="72">
        <f t="shared" si="31"/>
        <v>30</v>
      </c>
      <c r="K25" s="72">
        <f t="shared" si="31"/>
        <v>30</v>
      </c>
      <c r="L25" s="72">
        <f t="shared" si="31"/>
        <v>27.60834376159038</v>
      </c>
      <c r="M25" s="72">
        <f t="shared" ref="M25" si="32">SUM(M21:M24)</f>
        <v>25.216687523180759</v>
      </c>
      <c r="N25" s="72">
        <f t="shared" ref="N25" si="33">SUM(N21:N24)</f>
        <v>22.825031284771139</v>
      </c>
      <c r="O25" s="72">
        <f t="shared" ref="O25:P25" si="34">SUM(O21:O24)</f>
        <v>20.433375046361519</v>
      </c>
      <c r="P25" s="72">
        <f t="shared" si="34"/>
        <v>15.63053053209512</v>
      </c>
      <c r="Q25" s="72">
        <f t="shared" ref="Q25" si="35">SUM(Q21:Q24)</f>
        <v>10.827686017828722</v>
      </c>
      <c r="R25" s="72">
        <f t="shared" ref="R25" si="36">SUM(R21:R24)</f>
        <v>6.0248415035623228</v>
      </c>
      <c r="S25" s="72">
        <f t="shared" ref="S25:T25" si="37">SUM(S21:S24)</f>
        <v>1.2219969892959242</v>
      </c>
      <c r="T25" s="72">
        <f t="shared" si="37"/>
        <v>0</v>
      </c>
      <c r="U25" s="72">
        <f t="shared" ref="U25" si="38">SUM(U21:U24)</f>
        <v>0</v>
      </c>
      <c r="V25" s="72">
        <f t="shared" ref="V25" si="39">SUM(V21:V24)</f>
        <v>0</v>
      </c>
      <c r="W25" s="72">
        <f t="shared" ref="W25:X25" si="40">SUM(W21:W24)</f>
        <v>0</v>
      </c>
      <c r="X25" s="72">
        <f t="shared" si="40"/>
        <v>0</v>
      </c>
      <c r="Y25" s="72">
        <f t="shared" ref="Y25" si="41">SUM(Y21:Y24)</f>
        <v>0</v>
      </c>
      <c r="Z25" s="72">
        <f t="shared" ref="Z25" si="42">SUM(Z21:Z24)</f>
        <v>0</v>
      </c>
      <c r="AA25" s="101">
        <f t="shared" ref="AA25" si="43">SUM(AA21:AA24)</f>
        <v>0</v>
      </c>
    </row>
    <row r="27" spans="3:27" x14ac:dyDescent="0.3">
      <c r="C27" s="35">
        <v>0</v>
      </c>
      <c r="D27" s="12" t="s">
        <v>346</v>
      </c>
      <c r="E27" s="45" t="s">
        <v>46</v>
      </c>
      <c r="F27" s="109">
        <f>Inputs!F176+$C$27</f>
        <v>0.105</v>
      </c>
      <c r="G27" s="45"/>
      <c r="H27" s="45">
        <f>AVERAGE(H21,H25)*$F27</f>
        <v>1.575</v>
      </c>
      <c r="I27" s="45">
        <f t="shared" ref="I27:AA27" si="44">AVERAGE(I21,I25)*$F27</f>
        <v>3.15</v>
      </c>
      <c r="J27" s="45">
        <f t="shared" si="44"/>
        <v>3.15</v>
      </c>
      <c r="K27" s="45">
        <f t="shared" si="44"/>
        <v>3.15</v>
      </c>
      <c r="L27" s="45">
        <f t="shared" si="44"/>
        <v>3.0244380474834944</v>
      </c>
      <c r="M27" s="45">
        <f t="shared" si="44"/>
        <v>2.7733141424504848</v>
      </c>
      <c r="N27" s="45">
        <f t="shared" si="44"/>
        <v>2.5221902374174743</v>
      </c>
      <c r="O27" s="45">
        <f t="shared" si="44"/>
        <v>2.2710663323844646</v>
      </c>
      <c r="P27" s="45">
        <f t="shared" si="44"/>
        <v>1.8933550428689736</v>
      </c>
      <c r="Q27" s="45">
        <f t="shared" si="44"/>
        <v>1.3890563688710016</v>
      </c>
      <c r="R27" s="45">
        <f t="shared" si="44"/>
        <v>0.88475769487302991</v>
      </c>
      <c r="S27" s="45">
        <f t="shared" si="44"/>
        <v>0.38045902087505795</v>
      </c>
      <c r="T27" s="45">
        <f t="shared" si="44"/>
        <v>6.4154841938036014E-2</v>
      </c>
      <c r="U27" s="45">
        <f t="shared" si="44"/>
        <v>0</v>
      </c>
      <c r="V27" s="45">
        <f t="shared" si="44"/>
        <v>0</v>
      </c>
      <c r="W27" s="45">
        <f t="shared" si="44"/>
        <v>0</v>
      </c>
      <c r="X27" s="45">
        <f t="shared" si="44"/>
        <v>0</v>
      </c>
      <c r="Y27" s="45">
        <f t="shared" si="44"/>
        <v>0</v>
      </c>
      <c r="Z27" s="45">
        <f t="shared" si="44"/>
        <v>0</v>
      </c>
      <c r="AA27" s="46">
        <f t="shared" si="44"/>
        <v>0</v>
      </c>
    </row>
    <row r="28" spans="3:27" x14ac:dyDescent="0.3">
      <c r="D28" s="1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0"/>
    </row>
    <row r="30" spans="3:27" x14ac:dyDescent="0.3">
      <c r="D30" s="12" t="s">
        <v>347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6"/>
    </row>
    <row r="31" spans="3:27" x14ac:dyDescent="0.3">
      <c r="D31" s="13" t="s">
        <v>348</v>
      </c>
      <c r="E31" s="1" t="s">
        <v>46</v>
      </c>
      <c r="F31" s="1"/>
      <c r="G31" s="1"/>
      <c r="H31" s="70">
        <f>SUMIF(FS!$H$5:$N$5,DebtQ!H$17,FS!$H$40:$N$40)/COUNTIF($H$17:$AG$17,H$17)</f>
        <v>7.1576276500000002</v>
      </c>
      <c r="I31" s="70">
        <f>SUMIF(FS!$H$5:$N$5,DebtQ!I$17,FS!$H$40:$N$40)/COUNTIF($H$17:$AG$17,I$17)</f>
        <v>7.1576276500000002</v>
      </c>
      <c r="J31" s="70">
        <f>SUMIF(FS!$H$5:$N$5,DebtQ!J$17,FS!$H$40:$N$40)/COUNTIF($H$17:$AG$17,J$17)</f>
        <v>7.1576276500000002</v>
      </c>
      <c r="K31" s="70">
        <f>SUMIF(FS!$H$5:$N$5,DebtQ!K$17,FS!$H$40:$N$40)/COUNTIF($H$17:$AG$17,K$17)</f>
        <v>7.1576276500000002</v>
      </c>
      <c r="L31" s="70">
        <f>SUMIF(FS!$H$5:$N$5,DebtQ!L$17,FS!$H$40:$N$40)/COUNTIF($H$17:$AG$17,L$17)</f>
        <v>9.569933884108508</v>
      </c>
      <c r="M31" s="70">
        <f>SUMIF(FS!$H$5:$N$5,DebtQ!M$17,FS!$H$40:$N$40)/COUNTIF($H$17:$AG$17,M$17)</f>
        <v>9.569933884108508</v>
      </c>
      <c r="N31" s="70">
        <f>SUMIF(FS!$H$5:$N$5,DebtQ!N$17,FS!$H$40:$N$40)/COUNTIF($H$17:$AG$17,N$17)</f>
        <v>9.569933884108508</v>
      </c>
      <c r="O31" s="70">
        <f>SUMIF(FS!$H$5:$N$5,DebtQ!O$17,FS!$H$40:$N$40)/COUNTIF($H$17:$AG$17,O$17)</f>
        <v>9.569933884108508</v>
      </c>
      <c r="P31" s="70">
        <f>SUMIF(FS!$H$5:$N$5,DebtQ!P$17,FS!$H$40:$N$40)/COUNTIF($H$17:$AG$17,P$17)</f>
        <v>12.504333568323755</v>
      </c>
      <c r="Q31" s="70">
        <f>SUMIF(FS!$H$5:$N$5,DebtQ!Q$17,FS!$H$40:$N$40)/COUNTIF($H$17:$AG$17,Q$17)</f>
        <v>12.504333568323755</v>
      </c>
      <c r="R31" s="70">
        <f>SUMIF(FS!$H$5:$N$5,DebtQ!R$17,FS!$H$40:$N$40)/COUNTIF($H$17:$AG$17,R$17)</f>
        <v>12.504333568323755</v>
      </c>
      <c r="S31" s="70">
        <f>SUMIF(FS!$H$5:$N$5,DebtQ!S$17,FS!$H$40:$N$40)/COUNTIF($H$17:$AG$17,S$17)</f>
        <v>12.504333568323755</v>
      </c>
      <c r="T31" s="70">
        <f>SUMIF(FS!$H$5:$N$5,DebtQ!T$17,FS!$H$40:$N$40)/COUNTIF($H$17:$AG$17,T$17)</f>
        <v>15.694035314988671</v>
      </c>
      <c r="U31" s="70">
        <f>SUMIF(FS!$H$5:$N$5,DebtQ!U$17,FS!$H$40:$N$40)/COUNTIF($H$17:$AG$17,U$17)</f>
        <v>15.694035314988671</v>
      </c>
      <c r="V31" s="70">
        <f>SUMIF(FS!$H$5:$N$5,DebtQ!V$17,FS!$H$40:$N$40)/COUNTIF($H$17:$AG$17,V$17)</f>
        <v>15.694035314988671</v>
      </c>
      <c r="W31" s="70">
        <f>SUMIF(FS!$H$5:$N$5,DebtQ!W$17,FS!$H$40:$N$40)/COUNTIF($H$17:$AG$17,W$17)</f>
        <v>15.694035314988671</v>
      </c>
      <c r="X31" s="70">
        <f>SUMIF(FS!$H$5:$N$5,DebtQ!X$17,FS!$H$40:$N$40)/COUNTIF($H$17:$AG$17,X$17)</f>
        <v>20.17902100617583</v>
      </c>
      <c r="Y31" s="70">
        <f>SUMIF(FS!$H$5:$N$5,DebtQ!Y$17,FS!$H$40:$N$40)/COUNTIF($H$17:$AG$17,Y$17)</f>
        <v>20.17902100617583</v>
      </c>
      <c r="Z31" s="70">
        <f>SUMIF(FS!$H$5:$N$5,DebtQ!Z$17,FS!$H$40:$N$40)/COUNTIF($H$17:$AG$17,Z$17)</f>
        <v>20.17902100617583</v>
      </c>
      <c r="AA31" s="19">
        <f>SUMIF(FS!$H$5:$N$5,DebtQ!AA$17,FS!$H$40:$N$40)/COUNTIF($H$17:$AG$17,AA$17)</f>
        <v>20.17902100617583</v>
      </c>
    </row>
    <row r="32" spans="3:27" x14ac:dyDescent="0.3">
      <c r="D32" s="13" t="s">
        <v>349</v>
      </c>
      <c r="E32" s="1" t="s">
        <v>46</v>
      </c>
      <c r="F32" s="1" t="s">
        <v>350</v>
      </c>
      <c r="G32" s="1"/>
      <c r="H32" s="1">
        <f>-Circ!H22</f>
        <v>-1.575</v>
      </c>
      <c r="I32" s="1">
        <f>-Circ!I22</f>
        <v>-3.15</v>
      </c>
      <c r="J32" s="1">
        <f>-Circ!J22</f>
        <v>-3.15</v>
      </c>
      <c r="K32" s="1">
        <f>-Circ!K22</f>
        <v>-3.15</v>
      </c>
      <c r="L32" s="1">
        <f>-Circ!L22</f>
        <v>-3.15</v>
      </c>
      <c r="M32" s="1">
        <f>-Circ!M22</f>
        <v>-3.15</v>
      </c>
      <c r="N32" s="1">
        <f>-Circ!N22</f>
        <v>-3.15</v>
      </c>
      <c r="O32" s="1">
        <f>-Circ!O22</f>
        <v>-3.15</v>
      </c>
      <c r="P32" s="1">
        <f>-Circ!P22</f>
        <v>-3.15</v>
      </c>
      <c r="Q32" s="1">
        <f>-Circ!Q22</f>
        <v>-3.15</v>
      </c>
      <c r="R32" s="1">
        <f>-Circ!R22</f>
        <v>-3.15</v>
      </c>
      <c r="S32" s="1">
        <f>-Circ!S22</f>
        <v>-3.15</v>
      </c>
      <c r="T32" s="1">
        <f>-Circ!T22</f>
        <v>-3.15</v>
      </c>
      <c r="U32" s="1">
        <f>-Circ!U22</f>
        <v>-3.15</v>
      </c>
      <c r="V32" s="1">
        <f>-Circ!V22</f>
        <v>-3.15</v>
      </c>
      <c r="W32" s="1">
        <f>-Circ!W22</f>
        <v>-3.15</v>
      </c>
      <c r="X32" s="1">
        <f>-Circ!X22</f>
        <v>-3.15</v>
      </c>
      <c r="Y32" s="1">
        <f>-Circ!Y22</f>
        <v>-3.15</v>
      </c>
      <c r="Z32" s="1">
        <f>-Circ!Z22</f>
        <v>-3.15</v>
      </c>
      <c r="AA32" s="47">
        <f>-Circ!AA22</f>
        <v>-3.15</v>
      </c>
    </row>
    <row r="33" spans="4:27" x14ac:dyDescent="0.3">
      <c r="D33" s="13" t="s">
        <v>351</v>
      </c>
      <c r="E33" s="1" t="s">
        <v>46</v>
      </c>
      <c r="F33" s="1" t="s">
        <v>350</v>
      </c>
      <c r="G33" s="1"/>
      <c r="H33" s="1">
        <f>Circ!H25</f>
        <v>0</v>
      </c>
      <c r="I33" s="1">
        <f>Circ!I25</f>
        <v>0</v>
      </c>
      <c r="J33" s="1">
        <f>Circ!J25</f>
        <v>0</v>
      </c>
      <c r="K33" s="1">
        <f>Circ!K25</f>
        <v>0</v>
      </c>
      <c r="L33" s="1">
        <f>Circ!L25</f>
        <v>-0.32411202185792348</v>
      </c>
      <c r="M33" s="1">
        <f>Circ!M25</f>
        <v>-0.32411202185792348</v>
      </c>
      <c r="N33" s="1">
        <f>Circ!N25</f>
        <v>-0.32411202185792348</v>
      </c>
      <c r="O33" s="1">
        <f>Circ!O25</f>
        <v>-0.32411202185792348</v>
      </c>
      <c r="P33" s="1">
        <f>Circ!P25</f>
        <v>-0.60620460263071474</v>
      </c>
      <c r="Q33" s="1">
        <f>Circ!Q25</f>
        <v>-0.60620460263071474</v>
      </c>
      <c r="R33" s="1">
        <f>Circ!R25</f>
        <v>-0.60620460263071474</v>
      </c>
      <c r="S33" s="1">
        <f>Circ!S25</f>
        <v>-0.60620460263071474</v>
      </c>
      <c r="T33" s="1">
        <f>Circ!T25</f>
        <v>-0.85172534472135009</v>
      </c>
      <c r="U33" s="1">
        <f>Circ!U25</f>
        <v>-0.85172534472135009</v>
      </c>
      <c r="V33" s="1">
        <f>Circ!V25</f>
        <v>-0.85172534472135009</v>
      </c>
      <c r="W33" s="1">
        <f>Circ!W25</f>
        <v>-0.85172534472135009</v>
      </c>
      <c r="X33" s="1">
        <f>Circ!X25</f>
        <v>-1.0683345440027017</v>
      </c>
      <c r="Y33" s="1">
        <f>Circ!Y25</f>
        <v>-1.0683345440027017</v>
      </c>
      <c r="Z33" s="1">
        <f>Circ!Z25</f>
        <v>-1.0683345440027017</v>
      </c>
      <c r="AA33" s="47">
        <f>Circ!AA25</f>
        <v>-1.0683345440027017</v>
      </c>
    </row>
    <row r="34" spans="4:27" x14ac:dyDescent="0.3">
      <c r="D34" s="13" t="s">
        <v>352</v>
      </c>
      <c r="E34" s="1" t="s">
        <v>46</v>
      </c>
      <c r="F34" s="1" t="s">
        <v>350</v>
      </c>
      <c r="G34" s="1"/>
      <c r="H34" s="1">
        <f>Circ!H26</f>
        <v>0</v>
      </c>
      <c r="I34" s="1">
        <f>Circ!I26</f>
        <v>0</v>
      </c>
      <c r="J34" s="1">
        <f>Circ!J26</f>
        <v>0</v>
      </c>
      <c r="K34" s="1">
        <f>Circ!K26</f>
        <v>0</v>
      </c>
      <c r="L34" s="1">
        <f>Circ!L26</f>
        <v>0</v>
      </c>
      <c r="M34" s="1">
        <f>Circ!M26</f>
        <v>0</v>
      </c>
      <c r="N34" s="1">
        <f>Circ!N26</f>
        <v>0</v>
      </c>
      <c r="O34" s="1">
        <f>Circ!O26</f>
        <v>0</v>
      </c>
      <c r="P34" s="1">
        <f>Circ!P26</f>
        <v>0</v>
      </c>
      <c r="Q34" s="1">
        <f>Circ!Q26</f>
        <v>0</v>
      </c>
      <c r="R34" s="1">
        <f>Circ!R26</f>
        <v>0</v>
      </c>
      <c r="S34" s="1">
        <f>Circ!S26</f>
        <v>0</v>
      </c>
      <c r="T34" s="1">
        <f>Circ!T26</f>
        <v>0</v>
      </c>
      <c r="U34" s="1">
        <f>Circ!U26</f>
        <v>0</v>
      </c>
      <c r="V34" s="1">
        <f>Circ!V26</f>
        <v>0</v>
      </c>
      <c r="W34" s="1">
        <f>Circ!W26</f>
        <v>0</v>
      </c>
      <c r="X34" s="1">
        <f>Circ!X26</f>
        <v>0</v>
      </c>
      <c r="Y34" s="1">
        <f>Circ!Y26</f>
        <v>0</v>
      </c>
      <c r="Z34" s="1">
        <f>Circ!Z26</f>
        <v>0</v>
      </c>
      <c r="AA34" s="47">
        <f>Circ!AA26</f>
        <v>0</v>
      </c>
    </row>
    <row r="35" spans="4:27" x14ac:dyDescent="0.3">
      <c r="D35" s="13" t="s">
        <v>353</v>
      </c>
      <c r="E35" s="1" t="s">
        <v>46</v>
      </c>
      <c r="F35" s="1"/>
      <c r="G35" s="1"/>
      <c r="H35" s="1">
        <f>Circ!H24</f>
        <v>0</v>
      </c>
      <c r="I35" s="1">
        <f>Circ!I24</f>
        <v>0</v>
      </c>
      <c r="J35" s="1">
        <f>Circ!J24</f>
        <v>0</v>
      </c>
      <c r="K35" s="1">
        <f>Circ!K24</f>
        <v>0</v>
      </c>
      <c r="L35" s="1">
        <f>Circ!L24</f>
        <v>0</v>
      </c>
      <c r="M35" s="1">
        <f>Circ!M24</f>
        <v>0</v>
      </c>
      <c r="N35" s="1">
        <f>Circ!N24</f>
        <v>0</v>
      </c>
      <c r="O35" s="1">
        <f>Circ!O24</f>
        <v>0</v>
      </c>
      <c r="P35" s="1">
        <f>Circ!P24</f>
        <v>0</v>
      </c>
      <c r="Q35" s="1">
        <f>Circ!Q24</f>
        <v>0</v>
      </c>
      <c r="R35" s="1">
        <f>Circ!R24</f>
        <v>0</v>
      </c>
      <c r="S35" s="1">
        <f>Circ!S24</f>
        <v>0</v>
      </c>
      <c r="T35" s="1">
        <f>Circ!T24</f>
        <v>0</v>
      </c>
      <c r="U35" s="1">
        <f>Circ!U24</f>
        <v>0</v>
      </c>
      <c r="V35" s="1">
        <f>Circ!V24</f>
        <v>0</v>
      </c>
      <c r="W35" s="1">
        <f>Circ!W24</f>
        <v>0</v>
      </c>
      <c r="X35" s="1">
        <f>Circ!X24</f>
        <v>0</v>
      </c>
      <c r="Y35" s="1">
        <f>Circ!Y24</f>
        <v>0</v>
      </c>
      <c r="Z35" s="1">
        <f>Circ!Z24</f>
        <v>0</v>
      </c>
      <c r="AA35" s="47">
        <f>Circ!AA24</f>
        <v>0</v>
      </c>
    </row>
    <row r="36" spans="4:27" x14ac:dyDescent="0.3">
      <c r="D36" s="1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47"/>
    </row>
    <row r="37" spans="4:27" x14ac:dyDescent="0.3">
      <c r="D37" s="71" t="s">
        <v>354</v>
      </c>
      <c r="E37" s="72" t="s">
        <v>46</v>
      </c>
      <c r="F37" s="72"/>
      <c r="G37" s="72"/>
      <c r="H37" s="72">
        <f>SUM(H31:H36)</f>
        <v>5.5826276500000001</v>
      </c>
      <c r="I37" s="72">
        <f t="shared" ref="I37:N37" si="45">SUM(I31:I36)</f>
        <v>4.0076276499999999</v>
      </c>
      <c r="J37" s="72">
        <f t="shared" si="45"/>
        <v>4.0076276499999999</v>
      </c>
      <c r="K37" s="72">
        <f t="shared" si="45"/>
        <v>4.0076276499999999</v>
      </c>
      <c r="L37" s="72">
        <f t="shared" si="45"/>
        <v>6.0958218622505838</v>
      </c>
      <c r="M37" s="72">
        <f t="shared" si="45"/>
        <v>6.0958218622505838</v>
      </c>
      <c r="N37" s="72">
        <f t="shared" si="45"/>
        <v>6.0958218622505838</v>
      </c>
      <c r="O37" s="72">
        <f t="shared" ref="O37" si="46">SUM(O31:O36)</f>
        <v>6.0958218622505838</v>
      </c>
      <c r="P37" s="72">
        <f t="shared" ref="P37" si="47">SUM(P31:P36)</f>
        <v>8.7481289656930397</v>
      </c>
      <c r="Q37" s="72">
        <f t="shared" ref="Q37" si="48">SUM(Q31:Q36)</f>
        <v>8.7481289656930397</v>
      </c>
      <c r="R37" s="72">
        <f t="shared" ref="R37" si="49">SUM(R31:R36)</f>
        <v>8.7481289656930397</v>
      </c>
      <c r="S37" s="72">
        <f t="shared" ref="S37:T37" si="50">SUM(S31:S36)</f>
        <v>8.7481289656930397</v>
      </c>
      <c r="T37" s="72">
        <f t="shared" si="50"/>
        <v>11.692309970267321</v>
      </c>
      <c r="U37" s="72">
        <f t="shared" ref="U37" si="51">SUM(U31:U36)</f>
        <v>11.692309970267321</v>
      </c>
      <c r="V37" s="72">
        <f t="shared" ref="V37" si="52">SUM(V31:V36)</f>
        <v>11.692309970267321</v>
      </c>
      <c r="W37" s="72">
        <f t="shared" ref="W37" si="53">SUM(W31:W36)</f>
        <v>11.692309970267321</v>
      </c>
      <c r="X37" s="72">
        <f t="shared" ref="X37" si="54">SUM(X31:X36)</f>
        <v>15.960686462173129</v>
      </c>
      <c r="Y37" s="72">
        <f t="shared" ref="Y37:Z37" si="55">SUM(Y31:Y36)</f>
        <v>15.960686462173129</v>
      </c>
      <c r="Z37" s="72">
        <f t="shared" si="55"/>
        <v>15.960686462173129</v>
      </c>
      <c r="AA37" s="101">
        <f t="shared" ref="AA37" si="56">SUM(AA31:AA36)</f>
        <v>15.960686462173129</v>
      </c>
    </row>
    <row r="39" spans="4:27" x14ac:dyDescent="0.3">
      <c r="D39" s="63" t="s">
        <v>355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6"/>
    </row>
    <row r="40" spans="4:27" x14ac:dyDescent="0.3">
      <c r="D40" s="13" t="s">
        <v>356</v>
      </c>
      <c r="E40" s="1" t="s">
        <v>21</v>
      </c>
      <c r="F40" s="1">
        <f>Inputs!F178</f>
        <v>4</v>
      </c>
      <c r="G40" s="1"/>
      <c r="H40" s="1">
        <f>IF(H$15=1,1,IF(MOD(H$15-1,$F40)=0,1,0))*H$14</f>
        <v>0</v>
      </c>
      <c r="I40" s="1">
        <f t="shared" ref="I40:AA40" si="57">IF(I$15=1,1,IF(MOD(I$15-1,$F40)=0,1,0))*I$14</f>
        <v>0</v>
      </c>
      <c r="J40" s="1">
        <f t="shared" si="57"/>
        <v>0</v>
      </c>
      <c r="K40" s="1">
        <f t="shared" si="57"/>
        <v>0</v>
      </c>
      <c r="L40" s="1">
        <f t="shared" si="57"/>
        <v>1</v>
      </c>
      <c r="M40" s="1">
        <f t="shared" si="57"/>
        <v>0</v>
      </c>
      <c r="N40" s="1">
        <f t="shared" si="57"/>
        <v>0</v>
      </c>
      <c r="O40" s="1">
        <f t="shared" si="57"/>
        <v>0</v>
      </c>
      <c r="P40" s="1">
        <f t="shared" si="57"/>
        <v>1</v>
      </c>
      <c r="Q40" s="1">
        <f t="shared" si="57"/>
        <v>0</v>
      </c>
      <c r="R40" s="1">
        <f t="shared" si="57"/>
        <v>0</v>
      </c>
      <c r="S40" s="1">
        <f t="shared" si="57"/>
        <v>0</v>
      </c>
      <c r="T40" s="1">
        <f t="shared" si="57"/>
        <v>1</v>
      </c>
      <c r="U40" s="1">
        <f t="shared" si="57"/>
        <v>0</v>
      </c>
      <c r="V40" s="1">
        <f t="shared" si="57"/>
        <v>0</v>
      </c>
      <c r="W40" s="1">
        <f t="shared" si="57"/>
        <v>0</v>
      </c>
      <c r="X40" s="1">
        <f t="shared" si="57"/>
        <v>1</v>
      </c>
      <c r="Y40" s="1">
        <f t="shared" si="57"/>
        <v>0</v>
      </c>
      <c r="Z40" s="1">
        <f t="shared" si="57"/>
        <v>0</v>
      </c>
      <c r="AA40" s="47">
        <f t="shared" si="57"/>
        <v>0</v>
      </c>
    </row>
    <row r="41" spans="4:27" x14ac:dyDescent="0.3">
      <c r="D41" s="13" t="s">
        <v>357</v>
      </c>
      <c r="E41" s="1" t="s">
        <v>341</v>
      </c>
      <c r="F41" s="1"/>
      <c r="G41" s="1"/>
      <c r="H41" s="1">
        <f>SUM(G41:G41)+H40</f>
        <v>0</v>
      </c>
      <c r="I41" s="1">
        <f t="shared" ref="I41:M41" si="58">SUM(H41:H41)+I40</f>
        <v>0</v>
      </c>
      <c r="J41" s="1">
        <f t="shared" si="58"/>
        <v>0</v>
      </c>
      <c r="K41" s="1">
        <f t="shared" si="58"/>
        <v>0</v>
      </c>
      <c r="L41" s="1">
        <f t="shared" si="58"/>
        <v>1</v>
      </c>
      <c r="M41" s="1">
        <f t="shared" si="58"/>
        <v>1</v>
      </c>
      <c r="N41" s="1">
        <f t="shared" ref="N41" si="59">SUM(M41:M41)+N40</f>
        <v>1</v>
      </c>
      <c r="O41" s="1">
        <f t="shared" ref="O41" si="60">SUM(N41:N41)+O40</f>
        <v>1</v>
      </c>
      <c r="P41" s="1">
        <f t="shared" ref="P41" si="61">SUM(O41:O41)+P40</f>
        <v>2</v>
      </c>
      <c r="Q41" s="1">
        <f t="shared" ref="Q41:R41" si="62">SUM(P41:P41)+Q40</f>
        <v>2</v>
      </c>
      <c r="R41" s="1">
        <f t="shared" si="62"/>
        <v>2</v>
      </c>
      <c r="S41" s="1">
        <f t="shared" ref="S41" si="63">SUM(R41:R41)+S40</f>
        <v>2</v>
      </c>
      <c r="T41" s="1">
        <f t="shared" ref="T41" si="64">SUM(S41:S41)+T40</f>
        <v>3</v>
      </c>
      <c r="U41" s="1">
        <f t="shared" ref="U41" si="65">SUM(T41:T41)+U40</f>
        <v>3</v>
      </c>
      <c r="V41" s="1">
        <f t="shared" ref="V41:W41" si="66">SUM(U41:U41)+V40</f>
        <v>3</v>
      </c>
      <c r="W41" s="1">
        <f t="shared" si="66"/>
        <v>3</v>
      </c>
      <c r="X41" s="1">
        <f t="shared" ref="X41" si="67">SUM(W41:W41)+X40</f>
        <v>4</v>
      </c>
      <c r="Y41" s="1">
        <f t="shared" ref="Y41" si="68">SUM(X41:X41)+Y40</f>
        <v>4</v>
      </c>
      <c r="Z41" s="1">
        <f t="shared" ref="Z41" si="69">SUM(Y41:Y41)+Z40</f>
        <v>4</v>
      </c>
      <c r="AA41" s="47">
        <f t="shared" ref="AA41" si="70">SUM(Z41:Z41)+AA40</f>
        <v>4</v>
      </c>
    </row>
    <row r="42" spans="4:27" x14ac:dyDescent="0.3">
      <c r="D42" s="13" t="s">
        <v>358</v>
      </c>
      <c r="E42" s="1" t="s">
        <v>279</v>
      </c>
      <c r="F42" s="1"/>
      <c r="G42" s="1"/>
      <c r="H42" s="1">
        <f t="shared" ref="H42:L42" si="71">SUMIF($H$41:$AG$41,H41,$H$37:$AG$37)/COUNTIF($H$41:$AG$41,H41)</f>
        <v>4.4013776499999997</v>
      </c>
      <c r="I42" s="1">
        <f t="shared" si="71"/>
        <v>4.4013776499999997</v>
      </c>
      <c r="J42" s="1">
        <f t="shared" si="71"/>
        <v>4.4013776499999997</v>
      </c>
      <c r="K42" s="1">
        <f t="shared" si="71"/>
        <v>4.4013776499999997</v>
      </c>
      <c r="L42" s="1">
        <f t="shared" si="71"/>
        <v>6.0958218622505838</v>
      </c>
      <c r="M42" s="1">
        <f t="shared" ref="M42:AA42" si="72">SUMIF($H$41:$AG$41,M41,$H$37:$AG$37)/COUNTIF($H$41:$AG$41,M41)</f>
        <v>6.0958218622505838</v>
      </c>
      <c r="N42" s="1">
        <f t="shared" si="72"/>
        <v>6.0958218622505838</v>
      </c>
      <c r="O42" s="1">
        <f t="shared" si="72"/>
        <v>6.0958218622505838</v>
      </c>
      <c r="P42" s="1">
        <f t="shared" si="72"/>
        <v>8.7481289656930397</v>
      </c>
      <c r="Q42" s="1">
        <f t="shared" si="72"/>
        <v>8.7481289656930397</v>
      </c>
      <c r="R42" s="1">
        <f t="shared" si="72"/>
        <v>8.7481289656930397</v>
      </c>
      <c r="S42" s="1">
        <f t="shared" si="72"/>
        <v>8.7481289656930397</v>
      </c>
      <c r="T42" s="1">
        <f t="shared" si="72"/>
        <v>11.692309970267321</v>
      </c>
      <c r="U42" s="1">
        <f t="shared" si="72"/>
        <v>11.692309970267321</v>
      </c>
      <c r="V42" s="1">
        <f t="shared" si="72"/>
        <v>11.692309970267321</v>
      </c>
      <c r="W42" s="1">
        <f t="shared" si="72"/>
        <v>11.692309970267321</v>
      </c>
      <c r="X42" s="1">
        <f t="shared" si="72"/>
        <v>15.960686462173129</v>
      </c>
      <c r="Y42" s="1">
        <f t="shared" si="72"/>
        <v>15.960686462173129</v>
      </c>
      <c r="Z42" s="1">
        <f t="shared" si="72"/>
        <v>15.960686462173129</v>
      </c>
      <c r="AA42" s="47">
        <f t="shared" si="72"/>
        <v>15.960686462173129</v>
      </c>
    </row>
    <row r="43" spans="4:27" x14ac:dyDescent="0.3">
      <c r="D43" s="1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47"/>
    </row>
    <row r="44" spans="4:27" x14ac:dyDescent="0.3">
      <c r="D44" s="13" t="s">
        <v>359</v>
      </c>
      <c r="E44" s="1" t="s">
        <v>46</v>
      </c>
      <c r="F44" s="1">
        <f>Inputs!F177</f>
        <v>1.1000000000000001</v>
      </c>
      <c r="G44" s="1"/>
      <c r="H44" s="1">
        <f>H42/$F44</f>
        <v>4.0012524090909087</v>
      </c>
      <c r="I44" s="1">
        <f t="shared" ref="I44:M44" si="73">I42/$F44</f>
        <v>4.0012524090909087</v>
      </c>
      <c r="J44" s="1">
        <f t="shared" si="73"/>
        <v>4.0012524090909087</v>
      </c>
      <c r="K44" s="1">
        <f t="shared" si="73"/>
        <v>4.0012524090909087</v>
      </c>
      <c r="L44" s="1">
        <f t="shared" si="73"/>
        <v>5.5416562384096215</v>
      </c>
      <c r="M44" s="1">
        <f t="shared" si="73"/>
        <v>5.5416562384096215</v>
      </c>
      <c r="N44" s="1">
        <f t="shared" ref="N44:AA44" si="74">N42/$F44</f>
        <v>5.5416562384096215</v>
      </c>
      <c r="O44" s="1">
        <f t="shared" si="74"/>
        <v>5.5416562384096215</v>
      </c>
      <c r="P44" s="1">
        <f t="shared" si="74"/>
        <v>7.952844514266399</v>
      </c>
      <c r="Q44" s="1">
        <f t="shared" si="74"/>
        <v>7.952844514266399</v>
      </c>
      <c r="R44" s="1">
        <f t="shared" si="74"/>
        <v>7.952844514266399</v>
      </c>
      <c r="S44" s="1">
        <f t="shared" si="74"/>
        <v>7.952844514266399</v>
      </c>
      <c r="T44" s="1">
        <f t="shared" si="74"/>
        <v>10.629372700243017</v>
      </c>
      <c r="U44" s="1">
        <f t="shared" si="74"/>
        <v>10.629372700243017</v>
      </c>
      <c r="V44" s="1">
        <f t="shared" si="74"/>
        <v>10.629372700243017</v>
      </c>
      <c r="W44" s="1">
        <f t="shared" si="74"/>
        <v>10.629372700243017</v>
      </c>
      <c r="X44" s="1">
        <f t="shared" si="74"/>
        <v>14.509714965611934</v>
      </c>
      <c r="Y44" s="1">
        <f t="shared" si="74"/>
        <v>14.509714965611934</v>
      </c>
      <c r="Z44" s="1">
        <f t="shared" si="74"/>
        <v>14.509714965611934</v>
      </c>
      <c r="AA44" s="47">
        <f t="shared" si="74"/>
        <v>14.509714965611934</v>
      </c>
    </row>
    <row r="45" spans="4:27" x14ac:dyDescent="0.3">
      <c r="D45" s="13" t="s">
        <v>360</v>
      </c>
      <c r="E45" s="1" t="s">
        <v>46</v>
      </c>
      <c r="F45" s="1"/>
      <c r="G45" s="1"/>
      <c r="H45" s="1">
        <f>-H32</f>
        <v>1.575</v>
      </c>
      <c r="I45" s="1">
        <f t="shared" ref="I45:M45" si="75">-I32</f>
        <v>3.15</v>
      </c>
      <c r="J45" s="1">
        <f t="shared" si="75"/>
        <v>3.15</v>
      </c>
      <c r="K45" s="1">
        <f t="shared" si="75"/>
        <v>3.15</v>
      </c>
      <c r="L45" s="1">
        <f t="shared" si="75"/>
        <v>3.15</v>
      </c>
      <c r="M45" s="1">
        <f t="shared" si="75"/>
        <v>3.15</v>
      </c>
      <c r="N45" s="1">
        <f t="shared" ref="N45:AA45" si="76">-N32</f>
        <v>3.15</v>
      </c>
      <c r="O45" s="1">
        <f t="shared" si="76"/>
        <v>3.15</v>
      </c>
      <c r="P45" s="1">
        <f t="shared" si="76"/>
        <v>3.15</v>
      </c>
      <c r="Q45" s="1">
        <f t="shared" si="76"/>
        <v>3.15</v>
      </c>
      <c r="R45" s="1">
        <f t="shared" si="76"/>
        <v>3.15</v>
      </c>
      <c r="S45" s="1">
        <f t="shared" si="76"/>
        <v>3.15</v>
      </c>
      <c r="T45" s="1">
        <f t="shared" si="76"/>
        <v>3.15</v>
      </c>
      <c r="U45" s="1">
        <f t="shared" si="76"/>
        <v>3.15</v>
      </c>
      <c r="V45" s="1">
        <f t="shared" si="76"/>
        <v>3.15</v>
      </c>
      <c r="W45" s="1">
        <f t="shared" si="76"/>
        <v>3.15</v>
      </c>
      <c r="X45" s="1">
        <f t="shared" si="76"/>
        <v>3.15</v>
      </c>
      <c r="Y45" s="1">
        <f t="shared" si="76"/>
        <v>3.15</v>
      </c>
      <c r="Z45" s="1">
        <f t="shared" si="76"/>
        <v>3.15</v>
      </c>
      <c r="AA45" s="47">
        <f t="shared" si="76"/>
        <v>3.15</v>
      </c>
    </row>
    <row r="46" spans="4:27" x14ac:dyDescent="0.3">
      <c r="D46" s="1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47"/>
    </row>
    <row r="47" spans="4:27" x14ac:dyDescent="0.3">
      <c r="D47" s="14" t="s">
        <v>361</v>
      </c>
      <c r="E47" s="2" t="s">
        <v>46</v>
      </c>
      <c r="F47" s="2"/>
      <c r="G47" s="2"/>
      <c r="H47" s="2">
        <f>MAX(H44-H45,0)*H$14</f>
        <v>0</v>
      </c>
      <c r="I47" s="2">
        <f t="shared" ref="I47:M47" si="77">MAX(I44-I45,0)*I$14</f>
        <v>0</v>
      </c>
      <c r="J47" s="2">
        <f t="shared" si="77"/>
        <v>0</v>
      </c>
      <c r="K47" s="2">
        <f t="shared" si="77"/>
        <v>0</v>
      </c>
      <c r="L47" s="2">
        <f t="shared" si="77"/>
        <v>2.3916562384096216</v>
      </c>
      <c r="M47" s="2">
        <f t="shared" si="77"/>
        <v>2.3916562384096216</v>
      </c>
      <c r="N47" s="2">
        <f t="shared" ref="N47:AA47" si="78">MAX(N44-N45,0)*N$14</f>
        <v>2.3916562384096216</v>
      </c>
      <c r="O47" s="2">
        <f t="shared" si="78"/>
        <v>2.3916562384096216</v>
      </c>
      <c r="P47" s="2">
        <f t="shared" si="78"/>
        <v>4.8028445142663987</v>
      </c>
      <c r="Q47" s="2">
        <f t="shared" si="78"/>
        <v>4.8028445142663987</v>
      </c>
      <c r="R47" s="2">
        <f t="shared" si="78"/>
        <v>4.8028445142663987</v>
      </c>
      <c r="S47" s="2">
        <f t="shared" si="78"/>
        <v>4.8028445142663987</v>
      </c>
      <c r="T47" s="2">
        <f t="shared" si="78"/>
        <v>7.479372700243017</v>
      </c>
      <c r="U47" s="2">
        <f t="shared" si="78"/>
        <v>7.479372700243017</v>
      </c>
      <c r="V47" s="2">
        <f t="shared" si="78"/>
        <v>7.479372700243017</v>
      </c>
      <c r="W47" s="2">
        <f t="shared" si="78"/>
        <v>7.479372700243017</v>
      </c>
      <c r="X47" s="2">
        <f t="shared" si="78"/>
        <v>11.359714965611934</v>
      </c>
      <c r="Y47" s="2">
        <f t="shared" si="78"/>
        <v>11.359714965611934</v>
      </c>
      <c r="Z47" s="2">
        <f t="shared" si="78"/>
        <v>11.359714965611934</v>
      </c>
      <c r="AA47" s="20">
        <f t="shared" si="78"/>
        <v>11.359714965611934</v>
      </c>
    </row>
    <row r="50" spans="4:27" x14ac:dyDescent="0.3">
      <c r="D50" s="63" t="s">
        <v>362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6"/>
    </row>
    <row r="51" spans="4:27" x14ac:dyDescent="0.3">
      <c r="D51" s="13" t="s">
        <v>363</v>
      </c>
      <c r="E51" s="1" t="s">
        <v>46</v>
      </c>
      <c r="F51" s="1"/>
      <c r="G51" s="1"/>
      <c r="H51" s="1">
        <f t="shared" ref="H51:AA51" si="79">H37</f>
        <v>5.5826276500000001</v>
      </c>
      <c r="I51" s="1">
        <f t="shared" si="79"/>
        <v>4.0076276499999999</v>
      </c>
      <c r="J51" s="1">
        <f t="shared" si="79"/>
        <v>4.0076276499999999</v>
      </c>
      <c r="K51" s="1">
        <f t="shared" si="79"/>
        <v>4.0076276499999999</v>
      </c>
      <c r="L51" s="1">
        <f t="shared" si="79"/>
        <v>6.0958218622505838</v>
      </c>
      <c r="M51" s="1">
        <f t="shared" si="79"/>
        <v>6.0958218622505838</v>
      </c>
      <c r="N51" s="1">
        <f t="shared" si="79"/>
        <v>6.0958218622505838</v>
      </c>
      <c r="O51" s="1">
        <f t="shared" si="79"/>
        <v>6.0958218622505838</v>
      </c>
      <c r="P51" s="1">
        <f t="shared" si="79"/>
        <v>8.7481289656930397</v>
      </c>
      <c r="Q51" s="1">
        <f t="shared" si="79"/>
        <v>8.7481289656930397</v>
      </c>
      <c r="R51" s="1">
        <f t="shared" si="79"/>
        <v>8.7481289656930397</v>
      </c>
      <c r="S51" s="1">
        <f t="shared" si="79"/>
        <v>8.7481289656930397</v>
      </c>
      <c r="T51" s="1">
        <f t="shared" si="79"/>
        <v>11.692309970267321</v>
      </c>
      <c r="U51" s="1">
        <f t="shared" si="79"/>
        <v>11.692309970267321</v>
      </c>
      <c r="V51" s="1">
        <f t="shared" si="79"/>
        <v>11.692309970267321</v>
      </c>
      <c r="W51" s="1">
        <f t="shared" si="79"/>
        <v>11.692309970267321</v>
      </c>
      <c r="X51" s="1">
        <f t="shared" si="79"/>
        <v>15.960686462173129</v>
      </c>
      <c r="Y51" s="1">
        <f t="shared" si="79"/>
        <v>15.960686462173129</v>
      </c>
      <c r="Z51" s="1">
        <f t="shared" si="79"/>
        <v>15.960686462173129</v>
      </c>
      <c r="AA51" s="47">
        <f t="shared" si="79"/>
        <v>15.960686462173129</v>
      </c>
    </row>
    <row r="52" spans="4:27" x14ac:dyDescent="0.3">
      <c r="D52" s="1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47"/>
    </row>
    <row r="53" spans="4:27" x14ac:dyDescent="0.3">
      <c r="D53" s="13" t="s">
        <v>364</v>
      </c>
      <c r="E53" s="1" t="s">
        <v>27</v>
      </c>
      <c r="F53" s="85">
        <f>Inputs!F183</f>
        <v>0.25</v>
      </c>
      <c r="G53" s="1"/>
      <c r="H53" s="1">
        <f t="shared" ref="H53:AA53" si="80">IF(SUM(H21:H22)=0,0,IF(H51&lt;0,0,H51/SUM(H21:H22)))</f>
        <v>0.18608758833333333</v>
      </c>
      <c r="I53" s="1">
        <f t="shared" si="80"/>
        <v>0.13358758833333334</v>
      </c>
      <c r="J53" s="1">
        <f t="shared" si="80"/>
        <v>0.13358758833333334</v>
      </c>
      <c r="K53" s="1">
        <f t="shared" si="80"/>
        <v>0.13358758833333334</v>
      </c>
      <c r="L53" s="1">
        <f t="shared" si="80"/>
        <v>0.20319406207501947</v>
      </c>
      <c r="M53" s="1">
        <f t="shared" si="80"/>
        <v>0.22079636195820221</v>
      </c>
      <c r="N53" s="1">
        <f t="shared" si="80"/>
        <v>0.24173761350085821</v>
      </c>
      <c r="O53" s="1">
        <f t="shared" si="80"/>
        <v>0.26706740447351396</v>
      </c>
      <c r="P53" s="1">
        <f t="shared" si="80"/>
        <v>0.42812941796665061</v>
      </c>
      <c r="Q53" s="1">
        <f t="shared" si="80"/>
        <v>0.55968215203764027</v>
      </c>
      <c r="R53" s="1">
        <f t="shared" si="80"/>
        <v>0.8079407688114052</v>
      </c>
      <c r="S53" s="1">
        <f t="shared" si="80"/>
        <v>1.45200980980504</v>
      </c>
      <c r="T53" s="1">
        <f t="shared" si="80"/>
        <v>9.5681986720802463</v>
      </c>
      <c r="U53" s="1">
        <f t="shared" si="80"/>
        <v>0</v>
      </c>
      <c r="V53" s="1">
        <f t="shared" si="80"/>
        <v>0</v>
      </c>
      <c r="W53" s="1">
        <f t="shared" si="80"/>
        <v>0</v>
      </c>
      <c r="X53" s="1">
        <f t="shared" si="80"/>
        <v>0</v>
      </c>
      <c r="Y53" s="1">
        <f t="shared" si="80"/>
        <v>0</v>
      </c>
      <c r="Z53" s="1">
        <f t="shared" si="80"/>
        <v>0</v>
      </c>
      <c r="AA53" s="47">
        <f t="shared" si="80"/>
        <v>0</v>
      </c>
    </row>
    <row r="54" spans="4:27" x14ac:dyDescent="0.3">
      <c r="D54" s="13" t="s">
        <v>365</v>
      </c>
      <c r="E54" s="1" t="s">
        <v>27</v>
      </c>
      <c r="F54" s="110">
        <f>Inputs!F184</f>
        <v>3</v>
      </c>
      <c r="G54" s="1"/>
      <c r="H54" s="1">
        <f ca="1">AVERAGE(H53:OFFSET(H53,0,-MIN(H$3,$F54-1),1,1))</f>
        <v>0.18608758833333333</v>
      </c>
      <c r="I54" s="1">
        <f ca="1">AVERAGE(I53:OFFSET(I53,0,-MIN(I$3,$F54-1),1,1))</f>
        <v>0.15983758833333334</v>
      </c>
      <c r="J54" s="1">
        <f ca="1">AVERAGE(J53:OFFSET(J53,0,-MIN(J$3,$F54-1),1,1))</f>
        <v>0.15108758833333333</v>
      </c>
      <c r="K54" s="1">
        <f ca="1">AVERAGE(K53:OFFSET(K53,0,-MIN(K$3,$F54-1),1,1))</f>
        <v>0.13358758833333334</v>
      </c>
      <c r="L54" s="1">
        <f ca="1">AVERAGE(L53:OFFSET(L53,0,-MIN(L$3,$F54-1),1,1))</f>
        <v>0.15678974624722872</v>
      </c>
      <c r="M54" s="1">
        <f ca="1">AVERAGE(M53:OFFSET(M53,0,-MIN(M$3,$F54-1),1,1))</f>
        <v>0.18585933745551833</v>
      </c>
      <c r="N54" s="1">
        <f ca="1">AVERAGE(N53:OFFSET(N53,0,-MIN(N$3,$F54-1),1,1))</f>
        <v>0.22190934584469332</v>
      </c>
      <c r="O54" s="1">
        <f ca="1">AVERAGE(O53:OFFSET(O53,0,-MIN(O$3,$F54-1),1,1))</f>
        <v>0.24320045997752479</v>
      </c>
      <c r="P54" s="1">
        <f ca="1">AVERAGE(P53:OFFSET(P53,0,-MIN(P$3,$F54-1),1,1))</f>
        <v>0.31231147864700759</v>
      </c>
      <c r="Q54" s="1">
        <f ca="1">AVERAGE(Q53:OFFSET(Q53,0,-MIN(Q$3,$F54-1),1,1))</f>
        <v>0.41829299149260163</v>
      </c>
      <c r="R54" s="1">
        <f ca="1">AVERAGE(R53:OFFSET(R53,0,-MIN(R$3,$F54-1),1,1))</f>
        <v>0.59858411293856539</v>
      </c>
      <c r="S54" s="1">
        <f ca="1">AVERAGE(S53:OFFSET(S53,0,-MIN(S$3,$F54-1),1,1))</f>
        <v>0.93987757688469509</v>
      </c>
      <c r="T54" s="1">
        <f ca="1">AVERAGE(T53:OFFSET(T53,0,-MIN(T$3,$F54-1),1,1))</f>
        <v>3.9427164168988971</v>
      </c>
      <c r="U54" s="1">
        <f ca="1">AVERAGE(U53:OFFSET(U53,0,-MIN(U$3,$F54-1),1,1))</f>
        <v>3.6734028272950954</v>
      </c>
      <c r="V54" s="1">
        <f ca="1">AVERAGE(V53:OFFSET(V53,0,-MIN(V$3,$F54-1),1,1))</f>
        <v>3.189399557360082</v>
      </c>
      <c r="W54" s="1">
        <f ca="1">AVERAGE(W53:OFFSET(W53,0,-MIN(W$3,$F54-1),1,1))</f>
        <v>0</v>
      </c>
      <c r="X54" s="1">
        <f ca="1">AVERAGE(X53:OFFSET(X53,0,-MIN(X$3,$F54-1),1,1))</f>
        <v>0</v>
      </c>
      <c r="Y54" s="1">
        <f ca="1">AVERAGE(Y53:OFFSET(Y53,0,-MIN(Y$3,$F54-1),1,1))</f>
        <v>0</v>
      </c>
      <c r="Z54" s="1">
        <f ca="1">AVERAGE(Z53:OFFSET(Z53,0,-MIN(Z$3,$F54-1),1,1))</f>
        <v>0</v>
      </c>
      <c r="AA54" s="47">
        <f ca="1">AVERAGE(AA53:OFFSET(AA53,0,-MIN(AA$3,$F54-1),1,1))</f>
        <v>0</v>
      </c>
    </row>
    <row r="55" spans="4:27" x14ac:dyDescent="0.3">
      <c r="D55" s="1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47"/>
    </row>
    <row r="56" spans="4:27" x14ac:dyDescent="0.3">
      <c r="D56" s="13" t="s">
        <v>366</v>
      </c>
      <c r="E56" s="1" t="s">
        <v>21</v>
      </c>
      <c r="F56" s="1">
        <v>1</v>
      </c>
      <c r="G56" s="1"/>
      <c r="H56" s="1">
        <f ca="1">$F56*(H54&gt;=$F53)*1</f>
        <v>0</v>
      </c>
      <c r="I56" s="1">
        <f t="shared" ref="I56:AA56" ca="1" si="81">$F56*(I54&gt;=$F53)*1</f>
        <v>0</v>
      </c>
      <c r="J56" s="1">
        <f t="shared" ca="1" si="81"/>
        <v>0</v>
      </c>
      <c r="K56" s="1">
        <f t="shared" ca="1" si="81"/>
        <v>0</v>
      </c>
      <c r="L56" s="1">
        <f t="shared" ca="1" si="81"/>
        <v>0</v>
      </c>
      <c r="M56" s="1">
        <f t="shared" ca="1" si="81"/>
        <v>0</v>
      </c>
      <c r="N56" s="1">
        <f t="shared" ca="1" si="81"/>
        <v>0</v>
      </c>
      <c r="O56" s="1">
        <f t="shared" ca="1" si="81"/>
        <v>0</v>
      </c>
      <c r="P56" s="1">
        <f t="shared" ca="1" si="81"/>
        <v>1</v>
      </c>
      <c r="Q56" s="1">
        <f t="shared" ca="1" si="81"/>
        <v>1</v>
      </c>
      <c r="R56" s="1">
        <f t="shared" ca="1" si="81"/>
        <v>1</v>
      </c>
      <c r="S56" s="1">
        <f t="shared" ca="1" si="81"/>
        <v>1</v>
      </c>
      <c r="T56" s="1">
        <f t="shared" ca="1" si="81"/>
        <v>1</v>
      </c>
      <c r="U56" s="1">
        <f t="shared" ca="1" si="81"/>
        <v>1</v>
      </c>
      <c r="V56" s="1">
        <f t="shared" ca="1" si="81"/>
        <v>1</v>
      </c>
      <c r="W56" s="1">
        <f t="shared" ca="1" si="81"/>
        <v>0</v>
      </c>
      <c r="X56" s="1">
        <f t="shared" ca="1" si="81"/>
        <v>0</v>
      </c>
      <c r="Y56" s="1">
        <f t="shared" ca="1" si="81"/>
        <v>0</v>
      </c>
      <c r="Z56" s="1">
        <f t="shared" ca="1" si="81"/>
        <v>0</v>
      </c>
      <c r="AA56" s="47">
        <f t="shared" ca="1" si="81"/>
        <v>0</v>
      </c>
    </row>
    <row r="57" spans="4:27" x14ac:dyDescent="0.3">
      <c r="D57" s="13" t="s">
        <v>367</v>
      </c>
      <c r="E57" s="1" t="s">
        <v>21</v>
      </c>
      <c r="F57" s="86">
        <f>EOMONTH(F11-1,Inputs!F181*MonthsInYear)</f>
        <v>45747</v>
      </c>
      <c r="G57" s="1"/>
      <c r="H57" s="1">
        <f>(H$4&gt;$F57)*1*(SUM($G57:G57)=0)</f>
        <v>0</v>
      </c>
      <c r="I57" s="1">
        <f>(I$4&gt;$F57)*1*(SUM($G57:H57)=0)</f>
        <v>0</v>
      </c>
      <c r="J57" s="1">
        <f>(J$4&gt;$F57)*1*(SUM($G57:I57)=0)</f>
        <v>0</v>
      </c>
      <c r="K57" s="1">
        <f>(K$4&gt;$F57)*1*(SUM($G57:J57)=0)</f>
        <v>0</v>
      </c>
      <c r="L57" s="1">
        <f>(L$4&gt;$F57)*1*(SUM($G57:K57)=0)</f>
        <v>0</v>
      </c>
      <c r="M57" s="1">
        <f>(M$4&gt;$F57)*1*(SUM($G57:L57)=0)</f>
        <v>0</v>
      </c>
      <c r="N57" s="1">
        <f>(N$4&gt;$F57)*1*(SUM($G57:M57)=0)</f>
        <v>0</v>
      </c>
      <c r="O57" s="1">
        <f>(O$4&gt;$F57)*1*(SUM($G57:N57)=0)</f>
        <v>0</v>
      </c>
      <c r="P57" s="1">
        <f>(P$4&gt;$F57)*1*(SUM($G57:O57)=0)</f>
        <v>0</v>
      </c>
      <c r="Q57" s="1">
        <f>(Q$4&gt;$F57)*1*(SUM($G57:P57)=0)</f>
        <v>1</v>
      </c>
      <c r="R57" s="1">
        <f>(R$4&gt;$F57)*1*(SUM($G57:Q57)=0)</f>
        <v>0</v>
      </c>
      <c r="S57" s="1">
        <f>(S$4&gt;$F57)*1*(SUM($G57:R57)=0)</f>
        <v>0</v>
      </c>
      <c r="T57" s="1">
        <f>(T$4&gt;$F57)*1*(SUM($G57:S57)=0)</f>
        <v>0</v>
      </c>
      <c r="U57" s="1">
        <f>(U$4&gt;$F57)*1*(SUM($G57:T57)=0)</f>
        <v>0</v>
      </c>
      <c r="V57" s="1">
        <f>(V$4&gt;$F57)*1*(SUM($G57:U57)=0)</f>
        <v>0</v>
      </c>
      <c r="W57" s="1">
        <f>(W$4&gt;$F57)*1*(SUM($G57:V57)=0)</f>
        <v>0</v>
      </c>
      <c r="X57" s="1">
        <f>(X$4&gt;$F57)*1*(SUM($G57:W57)=0)</f>
        <v>0</v>
      </c>
      <c r="Y57" s="1">
        <f>(Y$4&gt;$F57)*1*(SUM($G57:X57)=0)</f>
        <v>0</v>
      </c>
      <c r="Z57" s="1">
        <f>(Z$4&gt;$F57)*1*(SUM($G57:Y57)=0)</f>
        <v>0</v>
      </c>
      <c r="AA57" s="47">
        <f>(AA$4&gt;$F57)*1*(SUM($G57:Z57)=0)</f>
        <v>0</v>
      </c>
    </row>
    <row r="58" spans="4:27" x14ac:dyDescent="0.3">
      <c r="D58" s="13" t="s">
        <v>368</v>
      </c>
      <c r="E58" s="1" t="s">
        <v>369</v>
      </c>
      <c r="F58" s="1"/>
      <c r="G58" s="1"/>
      <c r="H58" s="1">
        <f ca="1">H56*SUM($G57:H57)</f>
        <v>0</v>
      </c>
      <c r="I58" s="1">
        <f ca="1">I56*SUM($G57:I57)</f>
        <v>0</v>
      </c>
      <c r="J58" s="1">
        <f ca="1">J56*SUM($G57:J57)</f>
        <v>0</v>
      </c>
      <c r="K58" s="1">
        <f ca="1">K56*SUM($G57:K57)</f>
        <v>0</v>
      </c>
      <c r="L58" s="1">
        <f ca="1">L56*SUM($G57:L57)</f>
        <v>0</v>
      </c>
      <c r="M58" s="1">
        <f ca="1">M56*SUM($G57:M57)</f>
        <v>0</v>
      </c>
      <c r="N58" s="1">
        <f ca="1">N56*SUM($G57:N57)</f>
        <v>0</v>
      </c>
      <c r="O58" s="1">
        <f ca="1">O56*SUM($G57:O57)</f>
        <v>0</v>
      </c>
      <c r="P58" s="1">
        <f ca="1">P56*SUM($G57:P57)</f>
        <v>0</v>
      </c>
      <c r="Q58" s="1">
        <f ca="1">Q56*SUM($G57:Q57)</f>
        <v>1</v>
      </c>
      <c r="R58" s="1">
        <f ca="1">R56*SUM($G57:R57)</f>
        <v>1</v>
      </c>
      <c r="S58" s="1">
        <f ca="1">S56*SUM($G57:S57)</f>
        <v>1</v>
      </c>
      <c r="T58" s="1">
        <f ca="1">T56*SUM($G57:T57)</f>
        <v>1</v>
      </c>
      <c r="U58" s="1">
        <f ca="1">U56*SUM($G57:U57)</f>
        <v>1</v>
      </c>
      <c r="V58" s="1">
        <f ca="1">V56*SUM($G57:V57)</f>
        <v>1</v>
      </c>
      <c r="W58" s="1">
        <f ca="1">W56*SUM($G57:W57)</f>
        <v>0</v>
      </c>
      <c r="X58" s="1">
        <f ca="1">X56*SUM($G57:X57)</f>
        <v>0</v>
      </c>
      <c r="Y58" s="1">
        <f ca="1">Y56*SUM($G57:Y57)</f>
        <v>0</v>
      </c>
      <c r="Z58" s="1">
        <f ca="1">Z56*SUM($G57:Z57)</f>
        <v>0</v>
      </c>
      <c r="AA58" s="47">
        <f ca="1">AA56*SUM($G57:AA57)</f>
        <v>0</v>
      </c>
    </row>
    <row r="59" spans="4:27" x14ac:dyDescent="0.3">
      <c r="D59" s="1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47"/>
    </row>
    <row r="60" spans="4:27" x14ac:dyDescent="0.3">
      <c r="D60" s="71" t="s">
        <v>370</v>
      </c>
      <c r="E60" s="72" t="s">
        <v>46</v>
      </c>
      <c r="F60" s="72"/>
      <c r="G60" s="72"/>
      <c r="H60" s="72">
        <f ca="1">H58*SUM(H21:H22)*(SUM($G58:G58)=0)</f>
        <v>0</v>
      </c>
      <c r="I60" s="72">
        <f ca="1">I58*SUM(I21:I22)*(SUM($G58:H58)=0)</f>
        <v>0</v>
      </c>
      <c r="J60" s="72">
        <f ca="1">J58*SUM(J21:J22)*(SUM($G58:I58)=0)</f>
        <v>0</v>
      </c>
      <c r="K60" s="72">
        <f ca="1">K58*SUM(K21:K22)*(SUM($G58:J58)=0)</f>
        <v>0</v>
      </c>
      <c r="L60" s="72">
        <f ca="1">L58*SUM(L21:L22)*(SUM($G58:K58)=0)</f>
        <v>0</v>
      </c>
      <c r="M60" s="72">
        <f ca="1">M58*SUM(M21:M22)*(SUM($G58:L58)=0)</f>
        <v>0</v>
      </c>
      <c r="N60" s="72">
        <f ca="1">N58*SUM(N21:N22)*(SUM($G58:M58)=0)</f>
        <v>0</v>
      </c>
      <c r="O60" s="72">
        <f ca="1">O58*SUM(O21:O22)*(SUM($G58:N58)=0)</f>
        <v>0</v>
      </c>
      <c r="P60" s="72">
        <f ca="1">P58*SUM(P21:P22)*(SUM($G58:O58)=0)</f>
        <v>0</v>
      </c>
      <c r="Q60" s="72">
        <f ca="1">Q58*SUM(Q21:Q22)*(SUM($G58:P58)=0)</f>
        <v>15.63053053209512</v>
      </c>
      <c r="R60" s="72">
        <f ca="1">R58*SUM(R21:R22)*(SUM($G58:Q58)=0)</f>
        <v>0</v>
      </c>
      <c r="S60" s="72">
        <f ca="1">S58*SUM(S21:S22)*(SUM($G58:R58)=0)</f>
        <v>0</v>
      </c>
      <c r="T60" s="72">
        <f ca="1">T58*SUM(T21:T22)*(SUM($G58:S58)=0)</f>
        <v>0</v>
      </c>
      <c r="U60" s="72">
        <f ca="1">U58*SUM(U21:U22)*(SUM($G58:T58)=0)</f>
        <v>0</v>
      </c>
      <c r="V60" s="72">
        <f ca="1">V58*SUM(V21:V22)*(SUM($G58:U58)=0)</f>
        <v>0</v>
      </c>
      <c r="W60" s="72">
        <f ca="1">W58*SUM(W21:W22)*(SUM($G58:V58)=0)</f>
        <v>0</v>
      </c>
      <c r="X60" s="72">
        <f ca="1">X58*SUM(X21:X22)*(SUM($G58:W58)=0)</f>
        <v>0</v>
      </c>
      <c r="Y60" s="72">
        <f ca="1">Y58*SUM(Y21:Y22)*(SUM($G58:X58)=0)</f>
        <v>0</v>
      </c>
      <c r="Z60" s="72">
        <f ca="1">Z58*SUM(Z21:Z22)*(SUM($G58:Y58)=0)</f>
        <v>0</v>
      </c>
      <c r="AA60" s="101">
        <f ca="1">AA58*SUM(AA21:AA22)*(SUM($G58:Z58)=0)</f>
        <v>0</v>
      </c>
    </row>
    <row r="62" spans="4:27" x14ac:dyDescent="0.3">
      <c r="D62" s="63" t="s">
        <v>371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</row>
    <row r="63" spans="4:27" x14ac:dyDescent="0.3">
      <c r="D63" s="13" t="s">
        <v>272</v>
      </c>
      <c r="E63" s="1" t="s">
        <v>46</v>
      </c>
      <c r="F63" s="1"/>
      <c r="G63" s="1"/>
      <c r="H63" s="1">
        <f>G69</f>
        <v>0</v>
      </c>
      <c r="I63" s="1">
        <f t="shared" ref="I63:X63" ca="1" si="82">H69</f>
        <v>30</v>
      </c>
      <c r="J63" s="1">
        <f t="shared" ca="1" si="82"/>
        <v>30</v>
      </c>
      <c r="K63" s="1">
        <f t="shared" ca="1" si="82"/>
        <v>30</v>
      </c>
      <c r="L63" s="1">
        <f t="shared" ca="1" si="82"/>
        <v>30</v>
      </c>
      <c r="M63" s="1">
        <f t="shared" ca="1" si="82"/>
        <v>27.60834376159038</v>
      </c>
      <c r="N63" s="1">
        <f t="shared" ca="1" si="82"/>
        <v>25.216687523180759</v>
      </c>
      <c r="O63" s="1">
        <f t="shared" ca="1" si="82"/>
        <v>22.825031284771139</v>
      </c>
      <c r="P63" s="1">
        <f t="shared" ca="1" si="82"/>
        <v>20.433375046361519</v>
      </c>
      <c r="Q63" s="1">
        <f t="shared" ca="1" si="82"/>
        <v>15.63053053209512</v>
      </c>
      <c r="R63" s="1">
        <f t="shared" ca="1" si="82"/>
        <v>12.150303099147106</v>
      </c>
      <c r="S63" s="1">
        <f t="shared" ca="1" si="82"/>
        <v>8.6700756661990912</v>
      </c>
      <c r="T63" s="1">
        <f t="shared" ca="1" si="82"/>
        <v>5.1898482332510767</v>
      </c>
      <c r="U63" s="1">
        <f t="shared" ca="1" si="82"/>
        <v>0</v>
      </c>
      <c r="V63" s="1">
        <f t="shared" ca="1" si="82"/>
        <v>0</v>
      </c>
      <c r="W63" s="1">
        <f t="shared" ca="1" si="82"/>
        <v>0</v>
      </c>
      <c r="X63" s="1">
        <f t="shared" ca="1" si="82"/>
        <v>0</v>
      </c>
      <c r="Y63" s="1">
        <f ca="1">X69</f>
        <v>0</v>
      </c>
      <c r="Z63" s="1">
        <f t="shared" ref="Z63:AA63" ca="1" si="83">Y69</f>
        <v>0</v>
      </c>
      <c r="AA63" s="47">
        <f t="shared" ca="1" si="83"/>
        <v>0</v>
      </c>
    </row>
    <row r="64" spans="4:27" x14ac:dyDescent="0.3">
      <c r="D64" s="13" t="s">
        <v>372</v>
      </c>
      <c r="E64" s="1" t="s">
        <v>46</v>
      </c>
      <c r="F64" s="1"/>
      <c r="G64" s="1"/>
      <c r="H64" s="1">
        <f t="shared" ref="H64:X64" ca="1" si="84">H22*(1-H$58)</f>
        <v>30</v>
      </c>
      <c r="I64" s="1">
        <f t="shared" ca="1" si="84"/>
        <v>0</v>
      </c>
      <c r="J64" s="1">
        <f t="shared" ca="1" si="84"/>
        <v>0</v>
      </c>
      <c r="K64" s="1">
        <f t="shared" ca="1" si="84"/>
        <v>0</v>
      </c>
      <c r="L64" s="1">
        <f t="shared" ca="1" si="84"/>
        <v>0</v>
      </c>
      <c r="M64" s="1">
        <f t="shared" ca="1" si="84"/>
        <v>0</v>
      </c>
      <c r="N64" s="1">
        <f t="shared" ca="1" si="84"/>
        <v>0</v>
      </c>
      <c r="O64" s="1">
        <f t="shared" ca="1" si="84"/>
        <v>0</v>
      </c>
      <c r="P64" s="1">
        <f t="shared" ca="1" si="84"/>
        <v>0</v>
      </c>
      <c r="Q64" s="1">
        <f t="shared" ca="1" si="84"/>
        <v>0</v>
      </c>
      <c r="R64" s="1">
        <f t="shared" ca="1" si="84"/>
        <v>0</v>
      </c>
      <c r="S64" s="1">
        <f t="shared" ca="1" si="84"/>
        <v>0</v>
      </c>
      <c r="T64" s="1">
        <f t="shared" ca="1" si="84"/>
        <v>0</v>
      </c>
      <c r="U64" s="1">
        <f t="shared" ca="1" si="84"/>
        <v>0</v>
      </c>
      <c r="V64" s="1">
        <f t="shared" ca="1" si="84"/>
        <v>0</v>
      </c>
      <c r="W64" s="1">
        <f t="shared" ca="1" si="84"/>
        <v>0</v>
      </c>
      <c r="X64" s="1">
        <f t="shared" ca="1" si="84"/>
        <v>0</v>
      </c>
      <c r="Y64" s="1">
        <f t="shared" ref="Y64:AA64" ca="1" si="85">Y22*(1-Y$58)</f>
        <v>0</v>
      </c>
      <c r="Z64" s="1">
        <f t="shared" ca="1" si="85"/>
        <v>0</v>
      </c>
      <c r="AA64" s="47">
        <f t="shared" ca="1" si="85"/>
        <v>0</v>
      </c>
    </row>
    <row r="65" spans="4:27" x14ac:dyDescent="0.3">
      <c r="D65" s="13" t="s">
        <v>373</v>
      </c>
      <c r="E65" s="1" t="s">
        <v>46</v>
      </c>
      <c r="F65" s="1"/>
      <c r="G65" s="1"/>
      <c r="H65" s="1">
        <f ca="1">H60</f>
        <v>0</v>
      </c>
      <c r="I65" s="1">
        <f t="shared" ref="I65:X65" ca="1" si="86">I60</f>
        <v>0</v>
      </c>
      <c r="J65" s="1">
        <f t="shared" ca="1" si="86"/>
        <v>0</v>
      </c>
      <c r="K65" s="1">
        <f t="shared" ca="1" si="86"/>
        <v>0</v>
      </c>
      <c r="L65" s="1">
        <f t="shared" ca="1" si="86"/>
        <v>0</v>
      </c>
      <c r="M65" s="1">
        <f t="shared" ca="1" si="86"/>
        <v>0</v>
      </c>
      <c r="N65" s="1">
        <f t="shared" ca="1" si="86"/>
        <v>0</v>
      </c>
      <c r="O65" s="1">
        <f t="shared" ca="1" si="86"/>
        <v>0</v>
      </c>
      <c r="P65" s="1">
        <f t="shared" ca="1" si="86"/>
        <v>0</v>
      </c>
      <c r="Q65" s="1">
        <f t="shared" ca="1" si="86"/>
        <v>15.63053053209512</v>
      </c>
      <c r="R65" s="1">
        <f t="shared" ca="1" si="86"/>
        <v>0</v>
      </c>
      <c r="S65" s="1">
        <f t="shared" ca="1" si="86"/>
        <v>0</v>
      </c>
      <c r="T65" s="1">
        <f t="shared" ca="1" si="86"/>
        <v>0</v>
      </c>
      <c r="U65" s="1">
        <f t="shared" ca="1" si="86"/>
        <v>0</v>
      </c>
      <c r="V65" s="1">
        <f t="shared" ca="1" si="86"/>
        <v>0</v>
      </c>
      <c r="W65" s="1">
        <f t="shared" ca="1" si="86"/>
        <v>0</v>
      </c>
      <c r="X65" s="1">
        <f t="shared" ca="1" si="86"/>
        <v>0</v>
      </c>
      <c r="Y65" s="1">
        <f ca="1">Y60</f>
        <v>0</v>
      </c>
      <c r="Z65" s="1">
        <f t="shared" ref="Z65:AA65" ca="1" si="87">Z60</f>
        <v>0</v>
      </c>
      <c r="AA65" s="47">
        <f t="shared" ca="1" si="87"/>
        <v>0</v>
      </c>
    </row>
    <row r="66" spans="4:27" x14ac:dyDescent="0.3">
      <c r="D66" s="13" t="s">
        <v>374</v>
      </c>
      <c r="E66" s="1" t="s">
        <v>46</v>
      </c>
      <c r="F66" s="1"/>
      <c r="G66" s="1"/>
      <c r="H66" s="1">
        <f t="shared" ref="H66:X66" ca="1" si="88">H23*(1-H58)-H60</f>
        <v>0</v>
      </c>
      <c r="I66" s="1">
        <f t="shared" ca="1" si="88"/>
        <v>0</v>
      </c>
      <c r="J66" s="1">
        <f t="shared" ca="1" si="88"/>
        <v>0</v>
      </c>
      <c r="K66" s="1">
        <f t="shared" ca="1" si="88"/>
        <v>0</v>
      </c>
      <c r="L66" s="1">
        <f t="shared" ca="1" si="88"/>
        <v>-2.3916562384096216</v>
      </c>
      <c r="M66" s="1">
        <f t="shared" ca="1" si="88"/>
        <v>-2.3916562384096216</v>
      </c>
      <c r="N66" s="1">
        <f t="shared" ca="1" si="88"/>
        <v>-2.3916562384096216</v>
      </c>
      <c r="O66" s="1">
        <f t="shared" ca="1" si="88"/>
        <v>-2.3916562384096216</v>
      </c>
      <c r="P66" s="1">
        <f t="shared" ca="1" si="88"/>
        <v>-4.8028445142663987</v>
      </c>
      <c r="Q66" s="1">
        <f t="shared" ca="1" si="88"/>
        <v>-15.63053053209512</v>
      </c>
      <c r="R66" s="1">
        <f t="shared" ca="1" si="88"/>
        <v>0</v>
      </c>
      <c r="S66" s="1">
        <f t="shared" ca="1" si="88"/>
        <v>0</v>
      </c>
      <c r="T66" s="1">
        <f t="shared" ca="1" si="88"/>
        <v>0</v>
      </c>
      <c r="U66" s="1">
        <f t="shared" ca="1" si="88"/>
        <v>0</v>
      </c>
      <c r="V66" s="1">
        <f t="shared" ca="1" si="88"/>
        <v>0</v>
      </c>
      <c r="W66" s="1">
        <f t="shared" ca="1" si="88"/>
        <v>0</v>
      </c>
      <c r="X66" s="1">
        <f t="shared" ca="1" si="88"/>
        <v>0</v>
      </c>
      <c r="Y66" s="1">
        <f t="shared" ref="Y66:AA66" ca="1" si="89">Y23*(1-Y58)-Y60</f>
        <v>0</v>
      </c>
      <c r="Z66" s="1">
        <f t="shared" ca="1" si="89"/>
        <v>0</v>
      </c>
      <c r="AA66" s="47">
        <f t="shared" ca="1" si="89"/>
        <v>0</v>
      </c>
    </row>
    <row r="67" spans="4:27" x14ac:dyDescent="0.3">
      <c r="D67" s="13" t="s">
        <v>375</v>
      </c>
      <c r="E67" s="1" t="s">
        <v>46</v>
      </c>
      <c r="F67" s="1"/>
      <c r="G67" s="1"/>
      <c r="H67" s="1">
        <f ca="1">-MIN(H90,SUM(H63:H66))</f>
        <v>0</v>
      </c>
      <c r="I67" s="1">
        <f t="shared" ref="I67:X67" ca="1" si="90">-MIN(I90,SUM(I63:I66))</f>
        <v>0</v>
      </c>
      <c r="J67" s="1">
        <f t="shared" ca="1" si="90"/>
        <v>0</v>
      </c>
      <c r="K67" s="1">
        <f t="shared" ca="1" si="90"/>
        <v>0</v>
      </c>
      <c r="L67" s="1">
        <f t="shared" ca="1" si="90"/>
        <v>0</v>
      </c>
      <c r="M67" s="1">
        <f t="shared" ca="1" si="90"/>
        <v>0</v>
      </c>
      <c r="N67" s="1">
        <f t="shared" ca="1" si="90"/>
        <v>0</v>
      </c>
      <c r="O67" s="1">
        <f t="shared" ca="1" si="90"/>
        <v>0</v>
      </c>
      <c r="P67" s="1">
        <f t="shared" ca="1" si="90"/>
        <v>0</v>
      </c>
      <c r="Q67" s="1">
        <f t="shared" ca="1" si="90"/>
        <v>-3.4802274329480145</v>
      </c>
      <c r="R67" s="1">
        <f t="shared" ca="1" si="90"/>
        <v>-3.4802274329480145</v>
      </c>
      <c r="S67" s="1">
        <f t="shared" ca="1" si="90"/>
        <v>-3.4802274329480145</v>
      </c>
      <c r="T67" s="1">
        <f t="shared" ca="1" si="90"/>
        <v>-5.1898482332510767</v>
      </c>
      <c r="U67" s="1">
        <f t="shared" ca="1" si="90"/>
        <v>0</v>
      </c>
      <c r="V67" s="1">
        <f t="shared" ca="1" si="90"/>
        <v>0</v>
      </c>
      <c r="W67" s="1">
        <f t="shared" ca="1" si="90"/>
        <v>0</v>
      </c>
      <c r="X67" s="1">
        <f t="shared" ca="1" si="90"/>
        <v>0</v>
      </c>
      <c r="Y67" s="1">
        <f ca="1">-MIN(Y90,SUM(Y63:Y66))</f>
        <v>0</v>
      </c>
      <c r="Z67" s="1">
        <f t="shared" ref="Z67" ca="1" si="91">-MIN(Z90,SUM(Z63:Z66))</f>
        <v>0</v>
      </c>
      <c r="AA67" s="47">
        <f t="shared" ref="AA67" ca="1" si="92">-MIN(AA90,SUM(AA63:AA66))</f>
        <v>0</v>
      </c>
    </row>
    <row r="68" spans="4:27" x14ac:dyDescent="0.3">
      <c r="D68" s="1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47"/>
    </row>
    <row r="69" spans="4:27" x14ac:dyDescent="0.3">
      <c r="D69" s="71" t="s">
        <v>274</v>
      </c>
      <c r="E69" s="72" t="s">
        <v>46</v>
      </c>
      <c r="F69" s="72"/>
      <c r="G69" s="72"/>
      <c r="H69" s="72">
        <f ca="1">SUM(H63:H68)</f>
        <v>30</v>
      </c>
      <c r="I69" s="72">
        <f t="shared" ref="I69:X69" ca="1" si="93">SUM(I63:I68)</f>
        <v>30</v>
      </c>
      <c r="J69" s="72">
        <f t="shared" ca="1" si="93"/>
        <v>30</v>
      </c>
      <c r="K69" s="72">
        <f t="shared" ca="1" si="93"/>
        <v>30</v>
      </c>
      <c r="L69" s="72">
        <f t="shared" ca="1" si="93"/>
        <v>27.60834376159038</v>
      </c>
      <c r="M69" s="72">
        <f t="shared" ca="1" si="93"/>
        <v>25.216687523180759</v>
      </c>
      <c r="N69" s="72">
        <f t="shared" ca="1" si="93"/>
        <v>22.825031284771139</v>
      </c>
      <c r="O69" s="72">
        <f t="shared" ca="1" si="93"/>
        <v>20.433375046361519</v>
      </c>
      <c r="P69" s="72">
        <f t="shared" ca="1" si="93"/>
        <v>15.63053053209512</v>
      </c>
      <c r="Q69" s="72">
        <f t="shared" ca="1" si="93"/>
        <v>12.150303099147106</v>
      </c>
      <c r="R69" s="72">
        <f t="shared" ca="1" si="93"/>
        <v>8.6700756661990912</v>
      </c>
      <c r="S69" s="72">
        <f t="shared" ca="1" si="93"/>
        <v>5.1898482332510767</v>
      </c>
      <c r="T69" s="72">
        <f t="shared" ca="1" si="93"/>
        <v>0</v>
      </c>
      <c r="U69" s="72">
        <f t="shared" ca="1" si="93"/>
        <v>0</v>
      </c>
      <c r="V69" s="72">
        <f t="shared" ca="1" si="93"/>
        <v>0</v>
      </c>
      <c r="W69" s="72">
        <f t="shared" ca="1" si="93"/>
        <v>0</v>
      </c>
      <c r="X69" s="72">
        <f t="shared" ca="1" si="93"/>
        <v>0</v>
      </c>
      <c r="Y69" s="72">
        <f ca="1">SUM(Y63:Y68)</f>
        <v>0</v>
      </c>
      <c r="Z69" s="72">
        <f t="shared" ref="Z69" ca="1" si="94">SUM(Z63:Z68)</f>
        <v>0</v>
      </c>
      <c r="AA69" s="101">
        <f t="shared" ref="AA69" ca="1" si="95">SUM(AA63:AA68)</f>
        <v>0</v>
      </c>
    </row>
    <row r="70" spans="4:27" x14ac:dyDescent="0.3">
      <c r="D70" s="1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47"/>
    </row>
    <row r="71" spans="4:27" x14ac:dyDescent="0.3">
      <c r="D71" s="71" t="s">
        <v>346</v>
      </c>
      <c r="E71" s="72" t="s">
        <v>46</v>
      </c>
      <c r="F71" s="111">
        <f>Inputs!F182+$C$27</f>
        <v>0.1</v>
      </c>
      <c r="G71" s="72"/>
      <c r="H71" s="72">
        <f ca="1">AVERAGE(H63,H69)*$F71</f>
        <v>1.5</v>
      </c>
      <c r="I71" s="72">
        <f t="shared" ref="I71:X71" ca="1" si="96">AVERAGE(I63,I69)*$F71</f>
        <v>3</v>
      </c>
      <c r="J71" s="72">
        <f t="shared" ca="1" si="96"/>
        <v>3</v>
      </c>
      <c r="K71" s="72">
        <f t="shared" ca="1" si="96"/>
        <v>3</v>
      </c>
      <c r="L71" s="72">
        <f t="shared" ca="1" si="96"/>
        <v>2.8804171880795191</v>
      </c>
      <c r="M71" s="72">
        <f t="shared" ca="1" si="96"/>
        <v>2.6412515642385572</v>
      </c>
      <c r="N71" s="72">
        <f t="shared" ca="1" si="96"/>
        <v>2.4020859403975949</v>
      </c>
      <c r="O71" s="72">
        <f t="shared" ca="1" si="96"/>
        <v>2.1629203165566331</v>
      </c>
      <c r="P71" s="72">
        <f t="shared" ca="1" si="96"/>
        <v>1.803195278922832</v>
      </c>
      <c r="Q71" s="72">
        <f t="shared" ca="1" si="96"/>
        <v>1.3890416815621114</v>
      </c>
      <c r="R71" s="72">
        <f t="shared" ca="1" si="96"/>
        <v>1.0410189382673101</v>
      </c>
      <c r="S71" s="72">
        <f t="shared" ca="1" si="96"/>
        <v>0.69299619497250842</v>
      </c>
      <c r="T71" s="72">
        <f t="shared" ca="1" si="96"/>
        <v>0.25949241166255382</v>
      </c>
      <c r="U71" s="72">
        <f t="shared" ca="1" si="96"/>
        <v>0</v>
      </c>
      <c r="V71" s="72">
        <f t="shared" ca="1" si="96"/>
        <v>0</v>
      </c>
      <c r="W71" s="72">
        <f t="shared" ca="1" si="96"/>
        <v>0</v>
      </c>
      <c r="X71" s="72">
        <f t="shared" ca="1" si="96"/>
        <v>0</v>
      </c>
      <c r="Y71" s="72">
        <f ca="1">AVERAGE(Y63,Y69)*$F71</f>
        <v>0</v>
      </c>
      <c r="Z71" s="72">
        <f t="shared" ref="Z71:AA71" ca="1" si="97">AVERAGE(Z63,Z69)*$F71</f>
        <v>0</v>
      </c>
      <c r="AA71" s="101">
        <f t="shared" ca="1" si="97"/>
        <v>0</v>
      </c>
    </row>
    <row r="73" spans="4:27" x14ac:dyDescent="0.3">
      <c r="D73" s="63" t="s">
        <v>376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</row>
    <row r="74" spans="4:27" x14ac:dyDescent="0.3">
      <c r="D74" s="13" t="s">
        <v>348</v>
      </c>
      <c r="E74" s="1" t="s">
        <v>46</v>
      </c>
      <c r="F74" s="1"/>
      <c r="G74" s="1"/>
      <c r="H74" s="1">
        <f t="shared" ref="H74:AA74" ca="1" si="98">H31*H58</f>
        <v>0</v>
      </c>
      <c r="I74" s="1">
        <f t="shared" ca="1" si="98"/>
        <v>0</v>
      </c>
      <c r="J74" s="1">
        <f t="shared" ca="1" si="98"/>
        <v>0</v>
      </c>
      <c r="K74" s="1">
        <f t="shared" ca="1" si="98"/>
        <v>0</v>
      </c>
      <c r="L74" s="1">
        <f t="shared" ca="1" si="98"/>
        <v>0</v>
      </c>
      <c r="M74" s="1">
        <f t="shared" ca="1" si="98"/>
        <v>0</v>
      </c>
      <c r="N74" s="1">
        <f t="shared" ca="1" si="98"/>
        <v>0</v>
      </c>
      <c r="O74" s="1">
        <f t="shared" ca="1" si="98"/>
        <v>0</v>
      </c>
      <c r="P74" s="1">
        <f t="shared" ca="1" si="98"/>
        <v>0</v>
      </c>
      <c r="Q74" s="1">
        <f t="shared" ca="1" si="98"/>
        <v>12.504333568323755</v>
      </c>
      <c r="R74" s="1">
        <f t="shared" ca="1" si="98"/>
        <v>12.504333568323755</v>
      </c>
      <c r="S74" s="1">
        <f t="shared" ca="1" si="98"/>
        <v>12.504333568323755</v>
      </c>
      <c r="T74" s="1">
        <f t="shared" ca="1" si="98"/>
        <v>15.694035314988671</v>
      </c>
      <c r="U74" s="1">
        <f t="shared" ca="1" si="98"/>
        <v>15.694035314988671</v>
      </c>
      <c r="V74" s="1">
        <f t="shared" ca="1" si="98"/>
        <v>15.694035314988671</v>
      </c>
      <c r="W74" s="1">
        <f t="shared" ca="1" si="98"/>
        <v>0</v>
      </c>
      <c r="X74" s="1">
        <f t="shared" ca="1" si="98"/>
        <v>0</v>
      </c>
      <c r="Y74" s="1">
        <f t="shared" ca="1" si="98"/>
        <v>0</v>
      </c>
      <c r="Z74" s="1">
        <f t="shared" ca="1" si="98"/>
        <v>0</v>
      </c>
      <c r="AA74" s="47">
        <f t="shared" ca="1" si="98"/>
        <v>0</v>
      </c>
    </row>
    <row r="75" spans="4:27" x14ac:dyDescent="0.3">
      <c r="D75" s="13" t="s">
        <v>377</v>
      </c>
      <c r="E75" s="1" t="s">
        <v>46</v>
      </c>
      <c r="F75" s="1" t="s">
        <v>350</v>
      </c>
      <c r="G75" s="1"/>
      <c r="H75" s="1">
        <f ca="1">-Circ!H23*H58</f>
        <v>0</v>
      </c>
      <c r="I75" s="1">
        <f ca="1">-Circ!I23*I58</f>
        <v>0</v>
      </c>
      <c r="J75" s="1">
        <f ca="1">-Circ!J23*J58</f>
        <v>0</v>
      </c>
      <c r="K75" s="1">
        <f ca="1">-Circ!K23*K58</f>
        <v>0</v>
      </c>
      <c r="L75" s="1">
        <f ca="1">-Circ!L23*L58</f>
        <v>0</v>
      </c>
      <c r="M75" s="1">
        <f ca="1">-Circ!M23*M58</f>
        <v>0</v>
      </c>
      <c r="N75" s="1">
        <f ca="1">-Circ!N23*N58</f>
        <v>0</v>
      </c>
      <c r="O75" s="1">
        <f ca="1">-Circ!O23*O58</f>
        <v>0</v>
      </c>
      <c r="P75" s="1">
        <f ca="1">-Circ!P23*P58</f>
        <v>0</v>
      </c>
      <c r="Q75" s="1">
        <f ca="1">-Circ!Q23*Q58</f>
        <v>-3</v>
      </c>
      <c r="R75" s="1">
        <f ca="1">-Circ!R23*R58</f>
        <v>-3</v>
      </c>
      <c r="S75" s="1">
        <f ca="1">-Circ!S23*S58</f>
        <v>-3</v>
      </c>
      <c r="T75" s="1">
        <f ca="1">-Circ!T23*T58</f>
        <v>-3</v>
      </c>
      <c r="U75" s="1">
        <f ca="1">-Circ!U23*U58</f>
        <v>-3</v>
      </c>
      <c r="V75" s="1">
        <f ca="1">-Circ!V23*V58</f>
        <v>-3</v>
      </c>
      <c r="W75" s="1">
        <f ca="1">-Circ!W23*W58</f>
        <v>0</v>
      </c>
      <c r="X75" s="1">
        <f ca="1">-Circ!X23*X58</f>
        <v>0</v>
      </c>
      <c r="Y75" s="1">
        <f ca="1">-Circ!Y23*Y58</f>
        <v>0</v>
      </c>
      <c r="Z75" s="1">
        <f ca="1">-Circ!Z23*Z58</f>
        <v>0</v>
      </c>
      <c r="AA75" s="47">
        <f ca="1">-Circ!AA23*AA58</f>
        <v>0</v>
      </c>
    </row>
    <row r="76" spans="4:27" x14ac:dyDescent="0.3">
      <c r="D76" s="13" t="s">
        <v>351</v>
      </c>
      <c r="E76" s="1" t="s">
        <v>46</v>
      </c>
      <c r="F76" s="1" t="s">
        <v>350</v>
      </c>
      <c r="G76" s="1"/>
      <c r="H76" s="1">
        <f>[1]Circ!H25</f>
        <v>0</v>
      </c>
      <c r="I76" s="1">
        <f>[1]Circ!I25</f>
        <v>0</v>
      </c>
      <c r="J76" s="1">
        <f>[1]Circ!J25</f>
        <v>0</v>
      </c>
      <c r="K76" s="1">
        <f>[1]Circ!K25</f>
        <v>0</v>
      </c>
      <c r="L76" s="1">
        <f>[1]Circ!L25</f>
        <v>0</v>
      </c>
      <c r="M76" s="1">
        <f>[1]Circ!M25</f>
        <v>0</v>
      </c>
      <c r="N76" s="1">
        <f>[1]Circ!N25</f>
        <v>0</v>
      </c>
      <c r="O76" s="1">
        <f>[1]Circ!O25</f>
        <v>0</v>
      </c>
      <c r="P76" s="1">
        <f>[1]Circ!P25</f>
        <v>0</v>
      </c>
      <c r="Q76" s="1">
        <f>[1]Circ!Q25</f>
        <v>0</v>
      </c>
      <c r="R76" s="1">
        <f>[1]Circ!R25</f>
        <v>0</v>
      </c>
      <c r="S76" s="1">
        <f>[1]Circ!S25</f>
        <v>0</v>
      </c>
      <c r="T76" s="1">
        <f>[1]Circ!T25</f>
        <v>0</v>
      </c>
      <c r="U76" s="1">
        <f>[1]Circ!U25</f>
        <v>0</v>
      </c>
      <c r="V76" s="1">
        <f>[1]Circ!V25</f>
        <v>0</v>
      </c>
      <c r="W76" s="1">
        <f>[1]Circ!W25</f>
        <v>0</v>
      </c>
      <c r="X76" s="1">
        <f>[1]Circ!X25</f>
        <v>0</v>
      </c>
      <c r="Y76" s="1">
        <f>[1]Circ!Y25</f>
        <v>0</v>
      </c>
      <c r="Z76" s="1">
        <f>[1]Circ!Z25</f>
        <v>0</v>
      </c>
      <c r="AA76" s="47">
        <f>[1]Circ!AA25</f>
        <v>0</v>
      </c>
    </row>
    <row r="77" spans="4:27" x14ac:dyDescent="0.3">
      <c r="D77" s="13" t="s">
        <v>352</v>
      </c>
      <c r="E77" s="1"/>
      <c r="F77" s="1" t="s">
        <v>350</v>
      </c>
      <c r="G77" s="1"/>
      <c r="H77" s="1">
        <f>Circ!H26</f>
        <v>0</v>
      </c>
      <c r="I77" s="1">
        <f>Circ!I26</f>
        <v>0</v>
      </c>
      <c r="J77" s="1">
        <f>Circ!J26</f>
        <v>0</v>
      </c>
      <c r="K77" s="1">
        <f>Circ!K26</f>
        <v>0</v>
      </c>
      <c r="L77" s="1">
        <f>Circ!L26</f>
        <v>0</v>
      </c>
      <c r="M77" s="1">
        <f>Circ!M26</f>
        <v>0</v>
      </c>
      <c r="N77" s="1">
        <f>Circ!N26</f>
        <v>0</v>
      </c>
      <c r="O77" s="1">
        <f>Circ!O26</f>
        <v>0</v>
      </c>
      <c r="P77" s="1">
        <f>Circ!P26</f>
        <v>0</v>
      </c>
      <c r="Q77" s="1">
        <f>Circ!Q26</f>
        <v>0</v>
      </c>
      <c r="R77" s="1">
        <f>Circ!R26</f>
        <v>0</v>
      </c>
      <c r="S77" s="1">
        <f>Circ!S26</f>
        <v>0</v>
      </c>
      <c r="T77" s="1">
        <f>Circ!T26</f>
        <v>0</v>
      </c>
      <c r="U77" s="1">
        <f>Circ!U26</f>
        <v>0</v>
      </c>
      <c r="V77" s="1">
        <f>Circ!V26</f>
        <v>0</v>
      </c>
      <c r="W77" s="1">
        <f>Circ!W26</f>
        <v>0</v>
      </c>
      <c r="X77" s="1">
        <f>Circ!X26</f>
        <v>0</v>
      </c>
      <c r="Y77" s="1">
        <f>Circ!Y26</f>
        <v>0</v>
      </c>
      <c r="Z77" s="1">
        <f>Circ!Z26</f>
        <v>0</v>
      </c>
      <c r="AA77" s="47">
        <f>Circ!AA26</f>
        <v>0</v>
      </c>
    </row>
    <row r="78" spans="4:27" x14ac:dyDescent="0.3">
      <c r="D78" s="13" t="s">
        <v>353</v>
      </c>
      <c r="E78" s="1" t="s">
        <v>46</v>
      </c>
      <c r="F78" s="1"/>
      <c r="G78" s="1"/>
      <c r="H78" s="1">
        <f t="shared" ref="H78:AA78" ca="1" si="99">H35*H58</f>
        <v>0</v>
      </c>
      <c r="I78" s="1">
        <f t="shared" ca="1" si="99"/>
        <v>0</v>
      </c>
      <c r="J78" s="1">
        <f t="shared" ca="1" si="99"/>
        <v>0</v>
      </c>
      <c r="K78" s="1">
        <f t="shared" ca="1" si="99"/>
        <v>0</v>
      </c>
      <c r="L78" s="1">
        <f t="shared" ca="1" si="99"/>
        <v>0</v>
      </c>
      <c r="M78" s="1">
        <f t="shared" ca="1" si="99"/>
        <v>0</v>
      </c>
      <c r="N78" s="1">
        <f t="shared" ca="1" si="99"/>
        <v>0</v>
      </c>
      <c r="O78" s="1">
        <f t="shared" ca="1" si="99"/>
        <v>0</v>
      </c>
      <c r="P78" s="1">
        <f t="shared" ca="1" si="99"/>
        <v>0</v>
      </c>
      <c r="Q78" s="1">
        <f t="shared" ca="1" si="99"/>
        <v>0</v>
      </c>
      <c r="R78" s="1">
        <f t="shared" ca="1" si="99"/>
        <v>0</v>
      </c>
      <c r="S78" s="1">
        <f t="shared" ca="1" si="99"/>
        <v>0</v>
      </c>
      <c r="T78" s="1">
        <f t="shared" ca="1" si="99"/>
        <v>0</v>
      </c>
      <c r="U78" s="1">
        <f t="shared" ca="1" si="99"/>
        <v>0</v>
      </c>
      <c r="V78" s="1">
        <f t="shared" ca="1" si="99"/>
        <v>0</v>
      </c>
      <c r="W78" s="1">
        <f t="shared" ca="1" si="99"/>
        <v>0</v>
      </c>
      <c r="X78" s="1">
        <f t="shared" ca="1" si="99"/>
        <v>0</v>
      </c>
      <c r="Y78" s="1">
        <f t="shared" ca="1" si="99"/>
        <v>0</v>
      </c>
      <c r="Z78" s="1">
        <f t="shared" ca="1" si="99"/>
        <v>0</v>
      </c>
      <c r="AA78" s="47">
        <f t="shared" ca="1" si="99"/>
        <v>0</v>
      </c>
    </row>
    <row r="79" spans="4:27" x14ac:dyDescent="0.3">
      <c r="D79" s="1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47"/>
    </row>
    <row r="80" spans="4:27" x14ac:dyDescent="0.3">
      <c r="D80" s="71" t="s">
        <v>354</v>
      </c>
      <c r="E80" s="72" t="s">
        <v>46</v>
      </c>
      <c r="F80" s="72"/>
      <c r="G80" s="72"/>
      <c r="H80" s="72">
        <f ca="1">SUM(H74:H79)</f>
        <v>0</v>
      </c>
      <c r="I80" s="72">
        <f t="shared" ref="I80:AA80" ca="1" si="100">SUM(I74:I79)</f>
        <v>0</v>
      </c>
      <c r="J80" s="72">
        <f t="shared" ca="1" si="100"/>
        <v>0</v>
      </c>
      <c r="K80" s="72">
        <f t="shared" ca="1" si="100"/>
        <v>0</v>
      </c>
      <c r="L80" s="72">
        <f t="shared" ca="1" si="100"/>
        <v>0</v>
      </c>
      <c r="M80" s="72">
        <f t="shared" ca="1" si="100"/>
        <v>0</v>
      </c>
      <c r="N80" s="72">
        <f t="shared" ca="1" si="100"/>
        <v>0</v>
      </c>
      <c r="O80" s="72">
        <f t="shared" ca="1" si="100"/>
        <v>0</v>
      </c>
      <c r="P80" s="72">
        <f t="shared" ca="1" si="100"/>
        <v>0</v>
      </c>
      <c r="Q80" s="72">
        <f t="shared" ca="1" si="100"/>
        <v>9.5043335683237551</v>
      </c>
      <c r="R80" s="72">
        <f t="shared" ca="1" si="100"/>
        <v>9.5043335683237551</v>
      </c>
      <c r="S80" s="72">
        <f t="shared" ca="1" si="100"/>
        <v>9.5043335683237551</v>
      </c>
      <c r="T80" s="72">
        <f t="shared" ca="1" si="100"/>
        <v>12.694035314988671</v>
      </c>
      <c r="U80" s="72">
        <f t="shared" ca="1" si="100"/>
        <v>12.694035314988671</v>
      </c>
      <c r="V80" s="72">
        <f t="shared" ca="1" si="100"/>
        <v>12.694035314988671</v>
      </c>
      <c r="W80" s="72">
        <f t="shared" ca="1" si="100"/>
        <v>0</v>
      </c>
      <c r="X80" s="72">
        <f t="shared" ca="1" si="100"/>
        <v>0</v>
      </c>
      <c r="Y80" s="72">
        <f t="shared" ca="1" si="100"/>
        <v>0</v>
      </c>
      <c r="Z80" s="72">
        <f t="shared" ca="1" si="100"/>
        <v>0</v>
      </c>
      <c r="AA80" s="101">
        <f t="shared" ca="1" si="100"/>
        <v>0</v>
      </c>
    </row>
    <row r="82" spans="1:27" x14ac:dyDescent="0.3">
      <c r="D82" s="63" t="s">
        <v>378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6"/>
    </row>
    <row r="83" spans="1:27" x14ac:dyDescent="0.3">
      <c r="D83" s="13" t="s">
        <v>356</v>
      </c>
      <c r="E83" s="1" t="s">
        <v>21</v>
      </c>
      <c r="F83" s="1">
        <f>Inputs!F178</f>
        <v>4</v>
      </c>
      <c r="G83" s="1"/>
      <c r="H83" s="1">
        <f>IF(H$15=1,1,IF(MOD(H$15-1,$F83)=0,1,0))*H$14</f>
        <v>0</v>
      </c>
      <c r="I83" s="1">
        <f t="shared" ref="I83:AA83" si="101">IF(I$15=1,1,IF(MOD(I$15-1,$F83)=0,1,0))*I$14</f>
        <v>0</v>
      </c>
      <c r="J83" s="1">
        <f t="shared" si="101"/>
        <v>0</v>
      </c>
      <c r="K83" s="1">
        <f t="shared" si="101"/>
        <v>0</v>
      </c>
      <c r="L83" s="1">
        <f t="shared" si="101"/>
        <v>1</v>
      </c>
      <c r="M83" s="1">
        <f t="shared" si="101"/>
        <v>0</v>
      </c>
      <c r="N83" s="1">
        <f t="shared" si="101"/>
        <v>0</v>
      </c>
      <c r="O83" s="1">
        <f t="shared" si="101"/>
        <v>0</v>
      </c>
      <c r="P83" s="1">
        <f t="shared" si="101"/>
        <v>1</v>
      </c>
      <c r="Q83" s="1">
        <f t="shared" si="101"/>
        <v>0</v>
      </c>
      <c r="R83" s="1">
        <f t="shared" si="101"/>
        <v>0</v>
      </c>
      <c r="S83" s="1">
        <f t="shared" si="101"/>
        <v>0</v>
      </c>
      <c r="T83" s="1">
        <f t="shared" si="101"/>
        <v>1</v>
      </c>
      <c r="U83" s="1">
        <f t="shared" si="101"/>
        <v>0</v>
      </c>
      <c r="V83" s="1">
        <f t="shared" si="101"/>
        <v>0</v>
      </c>
      <c r="W83" s="1">
        <f t="shared" si="101"/>
        <v>0</v>
      </c>
      <c r="X83" s="1">
        <f t="shared" si="101"/>
        <v>1</v>
      </c>
      <c r="Y83" s="1">
        <f t="shared" si="101"/>
        <v>0</v>
      </c>
      <c r="Z83" s="1">
        <f t="shared" si="101"/>
        <v>0</v>
      </c>
      <c r="AA83" s="47">
        <f t="shared" si="101"/>
        <v>0</v>
      </c>
    </row>
    <row r="84" spans="1:27" x14ac:dyDescent="0.3">
      <c r="D84" s="13" t="s">
        <v>357</v>
      </c>
      <c r="E84" s="1" t="s">
        <v>341</v>
      </c>
      <c r="F84" s="1"/>
      <c r="G84" s="1"/>
      <c r="H84" s="1">
        <f>SUM(G84:G84)+H83</f>
        <v>0</v>
      </c>
      <c r="I84" s="1">
        <f t="shared" ref="I84:AA84" si="102">SUM(H84:H84)+I83</f>
        <v>0</v>
      </c>
      <c r="J84" s="1">
        <f t="shared" si="102"/>
        <v>0</v>
      </c>
      <c r="K84" s="1">
        <f t="shared" si="102"/>
        <v>0</v>
      </c>
      <c r="L84" s="1">
        <f t="shared" si="102"/>
        <v>1</v>
      </c>
      <c r="M84" s="1">
        <f t="shared" si="102"/>
        <v>1</v>
      </c>
      <c r="N84" s="1">
        <f t="shared" si="102"/>
        <v>1</v>
      </c>
      <c r="O84" s="1">
        <f t="shared" si="102"/>
        <v>1</v>
      </c>
      <c r="P84" s="1">
        <f t="shared" si="102"/>
        <v>2</v>
      </c>
      <c r="Q84" s="1">
        <f t="shared" si="102"/>
        <v>2</v>
      </c>
      <c r="R84" s="1">
        <f t="shared" si="102"/>
        <v>2</v>
      </c>
      <c r="S84" s="1">
        <f t="shared" si="102"/>
        <v>2</v>
      </c>
      <c r="T84" s="1">
        <f t="shared" si="102"/>
        <v>3</v>
      </c>
      <c r="U84" s="1">
        <f t="shared" si="102"/>
        <v>3</v>
      </c>
      <c r="V84" s="1">
        <f t="shared" si="102"/>
        <v>3</v>
      </c>
      <c r="W84" s="1">
        <f t="shared" si="102"/>
        <v>3</v>
      </c>
      <c r="X84" s="1">
        <f t="shared" si="102"/>
        <v>4</v>
      </c>
      <c r="Y84" s="1">
        <f t="shared" si="102"/>
        <v>4</v>
      </c>
      <c r="Z84" s="1">
        <f t="shared" si="102"/>
        <v>4</v>
      </c>
      <c r="AA84" s="47">
        <f t="shared" si="102"/>
        <v>4</v>
      </c>
    </row>
    <row r="85" spans="1:27" x14ac:dyDescent="0.3">
      <c r="D85" s="13" t="s">
        <v>358</v>
      </c>
      <c r="E85" s="1" t="s">
        <v>279</v>
      </c>
      <c r="F85" s="1"/>
      <c r="G85" s="1"/>
      <c r="H85" s="1">
        <f ca="1">SUMIF($H$84:$AG$84,H84,$H$80:$AG$80)/COUNTIF($H$84:$AG$84,H84)</f>
        <v>0</v>
      </c>
      <c r="I85" s="1">
        <f t="shared" ref="I85:AA85" ca="1" si="103">SUMIF($H$84:$AG$84,I84,$H$80:$AG$80)/COUNTIF($H$84:$AG$84,I84)</f>
        <v>0</v>
      </c>
      <c r="J85" s="1">
        <f t="shared" ca="1" si="103"/>
        <v>0</v>
      </c>
      <c r="K85" s="1">
        <f t="shared" ca="1" si="103"/>
        <v>0</v>
      </c>
      <c r="L85" s="1">
        <f t="shared" ca="1" si="103"/>
        <v>0</v>
      </c>
      <c r="M85" s="1">
        <f t="shared" ca="1" si="103"/>
        <v>0</v>
      </c>
      <c r="N85" s="1">
        <f t="shared" ca="1" si="103"/>
        <v>0</v>
      </c>
      <c r="O85" s="1">
        <f t="shared" ca="1" si="103"/>
        <v>0</v>
      </c>
      <c r="P85" s="1">
        <f t="shared" ca="1" si="103"/>
        <v>7.1282501762428163</v>
      </c>
      <c r="Q85" s="1">
        <f t="shared" ca="1" si="103"/>
        <v>7.1282501762428163</v>
      </c>
      <c r="R85" s="1">
        <f t="shared" ca="1" si="103"/>
        <v>7.1282501762428163</v>
      </c>
      <c r="S85" s="1">
        <f t="shared" ca="1" si="103"/>
        <v>7.1282501762428163</v>
      </c>
      <c r="T85" s="1">
        <f t="shared" ca="1" si="103"/>
        <v>9.5205264862415042</v>
      </c>
      <c r="U85" s="1">
        <f t="shared" ca="1" si="103"/>
        <v>9.5205264862415042</v>
      </c>
      <c r="V85" s="1">
        <f t="shared" ca="1" si="103"/>
        <v>9.5205264862415042</v>
      </c>
      <c r="W85" s="1">
        <f t="shared" ca="1" si="103"/>
        <v>9.5205264862415042</v>
      </c>
      <c r="X85" s="1">
        <f t="shared" ca="1" si="103"/>
        <v>0</v>
      </c>
      <c r="Y85" s="1">
        <f t="shared" ca="1" si="103"/>
        <v>0</v>
      </c>
      <c r="Z85" s="1">
        <f t="shared" ca="1" si="103"/>
        <v>0</v>
      </c>
      <c r="AA85" s="47">
        <f t="shared" ca="1" si="103"/>
        <v>0</v>
      </c>
    </row>
    <row r="86" spans="1:27" x14ac:dyDescent="0.3">
      <c r="D86" s="1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47"/>
    </row>
    <row r="87" spans="1:27" x14ac:dyDescent="0.3">
      <c r="D87" s="13" t="s">
        <v>359</v>
      </c>
      <c r="E87" s="1" t="s">
        <v>46</v>
      </c>
      <c r="F87" s="1">
        <f>Inputs!F177</f>
        <v>1.1000000000000001</v>
      </c>
      <c r="G87" s="1"/>
      <c r="H87" s="1">
        <f ca="1">H85/$F87</f>
        <v>0</v>
      </c>
      <c r="I87" s="1">
        <f t="shared" ref="I87:AA87" ca="1" si="104">I85/$F87</f>
        <v>0</v>
      </c>
      <c r="J87" s="1">
        <f t="shared" ca="1" si="104"/>
        <v>0</v>
      </c>
      <c r="K87" s="1">
        <f t="shared" ca="1" si="104"/>
        <v>0</v>
      </c>
      <c r="L87" s="1">
        <f t="shared" ca="1" si="104"/>
        <v>0</v>
      </c>
      <c r="M87" s="1">
        <f t="shared" ca="1" si="104"/>
        <v>0</v>
      </c>
      <c r="N87" s="1">
        <f t="shared" ca="1" si="104"/>
        <v>0</v>
      </c>
      <c r="O87" s="1">
        <f t="shared" ca="1" si="104"/>
        <v>0</v>
      </c>
      <c r="P87" s="1">
        <f t="shared" ca="1" si="104"/>
        <v>6.4802274329480145</v>
      </c>
      <c r="Q87" s="1">
        <f t="shared" ca="1" si="104"/>
        <v>6.4802274329480145</v>
      </c>
      <c r="R87" s="1">
        <f t="shared" ca="1" si="104"/>
        <v>6.4802274329480145</v>
      </c>
      <c r="S87" s="1">
        <f t="shared" ca="1" si="104"/>
        <v>6.4802274329480145</v>
      </c>
      <c r="T87" s="1">
        <f t="shared" ca="1" si="104"/>
        <v>8.6550240784013663</v>
      </c>
      <c r="U87" s="1">
        <f t="shared" ca="1" si="104"/>
        <v>8.6550240784013663</v>
      </c>
      <c r="V87" s="1">
        <f t="shared" ca="1" si="104"/>
        <v>8.6550240784013663</v>
      </c>
      <c r="W87" s="1">
        <f t="shared" ca="1" si="104"/>
        <v>8.6550240784013663</v>
      </c>
      <c r="X87" s="1">
        <f t="shared" ca="1" si="104"/>
        <v>0</v>
      </c>
      <c r="Y87" s="1">
        <f t="shared" ca="1" si="104"/>
        <v>0</v>
      </c>
      <c r="Z87" s="1">
        <f t="shared" ca="1" si="104"/>
        <v>0</v>
      </c>
      <c r="AA87" s="47">
        <f t="shared" ca="1" si="104"/>
        <v>0</v>
      </c>
    </row>
    <row r="88" spans="1:27" x14ac:dyDescent="0.3">
      <c r="D88" s="13" t="s">
        <v>360</v>
      </c>
      <c r="E88" s="1" t="s">
        <v>46</v>
      </c>
      <c r="F88" s="1"/>
      <c r="G88" s="1"/>
      <c r="H88" s="1">
        <f ca="1">-H75</f>
        <v>0</v>
      </c>
      <c r="I88" s="1">
        <f t="shared" ref="I88:AA88" ca="1" si="105">-I75</f>
        <v>0</v>
      </c>
      <c r="J88" s="1">
        <f t="shared" ca="1" si="105"/>
        <v>0</v>
      </c>
      <c r="K88" s="1">
        <f t="shared" ca="1" si="105"/>
        <v>0</v>
      </c>
      <c r="L88" s="1">
        <f t="shared" ca="1" si="105"/>
        <v>0</v>
      </c>
      <c r="M88" s="1">
        <f t="shared" ca="1" si="105"/>
        <v>0</v>
      </c>
      <c r="N88" s="1">
        <f t="shared" ca="1" si="105"/>
        <v>0</v>
      </c>
      <c r="O88" s="1">
        <f t="shared" ca="1" si="105"/>
        <v>0</v>
      </c>
      <c r="P88" s="1">
        <f t="shared" ca="1" si="105"/>
        <v>0</v>
      </c>
      <c r="Q88" s="1">
        <f t="shared" ca="1" si="105"/>
        <v>3</v>
      </c>
      <c r="R88" s="1">
        <f t="shared" ca="1" si="105"/>
        <v>3</v>
      </c>
      <c r="S88" s="1">
        <f t="shared" ca="1" si="105"/>
        <v>3</v>
      </c>
      <c r="T88" s="1">
        <f t="shared" ca="1" si="105"/>
        <v>3</v>
      </c>
      <c r="U88" s="1">
        <f t="shared" ca="1" si="105"/>
        <v>3</v>
      </c>
      <c r="V88" s="1">
        <f t="shared" ca="1" si="105"/>
        <v>3</v>
      </c>
      <c r="W88" s="1">
        <f t="shared" ca="1" si="105"/>
        <v>0</v>
      </c>
      <c r="X88" s="1">
        <f t="shared" ca="1" si="105"/>
        <v>0</v>
      </c>
      <c r="Y88" s="1">
        <f t="shared" ca="1" si="105"/>
        <v>0</v>
      </c>
      <c r="Z88" s="1">
        <f t="shared" ca="1" si="105"/>
        <v>0</v>
      </c>
      <c r="AA88" s="47">
        <f t="shared" ca="1" si="105"/>
        <v>0</v>
      </c>
    </row>
    <row r="89" spans="1:27" x14ac:dyDescent="0.3">
      <c r="D89" s="1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47"/>
    </row>
    <row r="90" spans="1:27" x14ac:dyDescent="0.3">
      <c r="D90" s="71" t="s">
        <v>361</v>
      </c>
      <c r="E90" s="72" t="s">
        <v>46</v>
      </c>
      <c r="F90" s="72"/>
      <c r="G90" s="72"/>
      <c r="H90" s="72">
        <f ca="1">MAX(H87-H88,0)*H58</f>
        <v>0</v>
      </c>
      <c r="I90" s="72">
        <f t="shared" ref="I90:AA90" ca="1" si="106">MAX(I87-I88,0)*I58</f>
        <v>0</v>
      </c>
      <c r="J90" s="72">
        <f t="shared" ca="1" si="106"/>
        <v>0</v>
      </c>
      <c r="K90" s="72">
        <f t="shared" ca="1" si="106"/>
        <v>0</v>
      </c>
      <c r="L90" s="72">
        <f t="shared" ca="1" si="106"/>
        <v>0</v>
      </c>
      <c r="M90" s="72">
        <f t="shared" ca="1" si="106"/>
        <v>0</v>
      </c>
      <c r="N90" s="72">
        <f t="shared" ca="1" si="106"/>
        <v>0</v>
      </c>
      <c r="O90" s="72">
        <f t="shared" ca="1" si="106"/>
        <v>0</v>
      </c>
      <c r="P90" s="72">
        <f t="shared" ca="1" si="106"/>
        <v>0</v>
      </c>
      <c r="Q90" s="72">
        <f t="shared" ca="1" si="106"/>
        <v>3.4802274329480145</v>
      </c>
      <c r="R90" s="72">
        <f t="shared" ca="1" si="106"/>
        <v>3.4802274329480145</v>
      </c>
      <c r="S90" s="72">
        <f t="shared" ca="1" si="106"/>
        <v>3.4802274329480145</v>
      </c>
      <c r="T90" s="72">
        <f t="shared" ca="1" si="106"/>
        <v>5.6550240784013663</v>
      </c>
      <c r="U90" s="72">
        <f t="shared" ca="1" si="106"/>
        <v>5.6550240784013663</v>
      </c>
      <c r="V90" s="72">
        <f t="shared" ca="1" si="106"/>
        <v>5.6550240784013663</v>
      </c>
      <c r="W90" s="72">
        <f t="shared" ca="1" si="106"/>
        <v>0</v>
      </c>
      <c r="X90" s="72">
        <f t="shared" ca="1" si="106"/>
        <v>0</v>
      </c>
      <c r="Y90" s="72">
        <f t="shared" ca="1" si="106"/>
        <v>0</v>
      </c>
      <c r="Z90" s="72">
        <f t="shared" ca="1" si="106"/>
        <v>0</v>
      </c>
      <c r="AA90" s="101">
        <f t="shared" ca="1" si="106"/>
        <v>0</v>
      </c>
    </row>
    <row r="93" spans="1:27" x14ac:dyDescent="0.3">
      <c r="D93" s="71" t="s">
        <v>379</v>
      </c>
      <c r="E93" s="72" t="s">
        <v>46</v>
      </c>
      <c r="F93" s="72"/>
      <c r="G93" s="72"/>
      <c r="H93" s="72">
        <f t="shared" ref="H93:AA93" ca="1" si="107">H32*(1-H58)+H75*H58</f>
        <v>-1.575</v>
      </c>
      <c r="I93" s="72">
        <f t="shared" ca="1" si="107"/>
        <v>-3.15</v>
      </c>
      <c r="J93" s="72">
        <f t="shared" ca="1" si="107"/>
        <v>-3.15</v>
      </c>
      <c r="K93" s="72">
        <f t="shared" ca="1" si="107"/>
        <v>-3.15</v>
      </c>
      <c r="L93" s="72">
        <f t="shared" ca="1" si="107"/>
        <v>-3.15</v>
      </c>
      <c r="M93" s="72">
        <f t="shared" ca="1" si="107"/>
        <v>-3.15</v>
      </c>
      <c r="N93" s="72">
        <f t="shared" ca="1" si="107"/>
        <v>-3.15</v>
      </c>
      <c r="O93" s="72">
        <f t="shared" ca="1" si="107"/>
        <v>-3.15</v>
      </c>
      <c r="P93" s="72">
        <f t="shared" ca="1" si="107"/>
        <v>-3.15</v>
      </c>
      <c r="Q93" s="72">
        <f t="shared" ca="1" si="107"/>
        <v>-3</v>
      </c>
      <c r="R93" s="72">
        <f t="shared" ca="1" si="107"/>
        <v>-3</v>
      </c>
      <c r="S93" s="72">
        <f t="shared" ca="1" si="107"/>
        <v>-3</v>
      </c>
      <c r="T93" s="72">
        <f t="shared" ca="1" si="107"/>
        <v>-3</v>
      </c>
      <c r="U93" s="72">
        <f t="shared" ca="1" si="107"/>
        <v>-3</v>
      </c>
      <c r="V93" s="72">
        <f t="shared" ca="1" si="107"/>
        <v>-3</v>
      </c>
      <c r="W93" s="72">
        <f t="shared" ca="1" si="107"/>
        <v>-3.15</v>
      </c>
      <c r="X93" s="72">
        <f t="shared" ca="1" si="107"/>
        <v>-3.15</v>
      </c>
      <c r="Y93" s="72">
        <f t="shared" ca="1" si="107"/>
        <v>-3.15</v>
      </c>
      <c r="Z93" s="72">
        <f t="shared" ca="1" si="107"/>
        <v>-3.15</v>
      </c>
      <c r="AA93" s="101">
        <f t="shared" ca="1" si="107"/>
        <v>-3.15</v>
      </c>
    </row>
    <row r="95" spans="1:27" s="135" customFormat="1" x14ac:dyDescent="0.3">
      <c r="A95" s="135" t="s">
        <v>380</v>
      </c>
    </row>
  </sheetData>
  <mergeCells count="1">
    <mergeCell ref="A95:XFD95"/>
  </mergeCells>
  <pageMargins left="0.7" right="0.7" top="0.75" bottom="0.75" header="0.3" footer="0.3"/>
  <ignoredErrors>
    <ignoredError sqref="H12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showGridLines="0" workbookViewId="0">
      <pane xSplit="7" ySplit="6" topLeftCell="H16" activePane="bottomRight" state="frozen"/>
      <selection pane="topRight" activeCell="H1" sqref="H1"/>
      <selection pane="bottomLeft" activeCell="A7" sqref="A7"/>
      <selection pane="bottomRight" activeCell="G13" sqref="G13"/>
    </sheetView>
  </sheetViews>
  <sheetFormatPr defaultRowHeight="14.4" x14ac:dyDescent="0.3"/>
  <cols>
    <col min="1" max="1" width="3.88671875" customWidth="1"/>
    <col min="2" max="2" width="5.21875" customWidth="1"/>
    <col min="3" max="3" width="4.77734375" customWidth="1"/>
    <col min="4" max="4" width="35.77734375" customWidth="1"/>
    <col min="5" max="5" width="11.33203125" customWidth="1"/>
    <col min="6" max="6" width="18.88671875" customWidth="1"/>
    <col min="7" max="7" width="17.77734375" customWidth="1"/>
    <col min="8" max="8" width="14.21875" bestFit="1" customWidth="1"/>
    <col min="9" max="10" width="16.77734375" bestFit="1" customWidth="1"/>
    <col min="11" max="11" width="16.33203125" bestFit="1" customWidth="1"/>
    <col min="12" max="12" width="13.21875" bestFit="1" customWidth="1"/>
    <col min="13" max="14" width="16.77734375" bestFit="1" customWidth="1"/>
    <col min="15" max="15" width="16.33203125" bestFit="1" customWidth="1"/>
    <col min="16" max="16" width="13.21875" bestFit="1" customWidth="1"/>
    <col min="17" max="18" width="16.77734375" bestFit="1" customWidth="1"/>
    <col min="19" max="19" width="16.33203125" bestFit="1" customWidth="1"/>
    <col min="20" max="20" width="13.21875" bestFit="1" customWidth="1"/>
    <col min="21" max="22" width="16.77734375" bestFit="1" customWidth="1"/>
    <col min="23" max="23" width="16.33203125" bestFit="1" customWidth="1"/>
    <col min="24" max="24" width="13.21875" bestFit="1" customWidth="1"/>
    <col min="25" max="26" width="16.77734375" bestFit="1" customWidth="1"/>
    <col min="27" max="27" width="16.33203125" bestFit="1" customWidth="1"/>
  </cols>
  <sheetData>
    <row r="1" spans="1:29" s="3" customFormat="1" ht="20.399999999999999" customHeight="1" x14ac:dyDescent="0.3">
      <c r="A1" s="7" t="str">
        <f ca="1">MID(CELL("filename",A1),FIND("[",CELL("filename",A1))+1,FIND("]",CELL("filename",A1))-FIND("[",CELL("filename",A1))-6)</f>
        <v>Valuation_project</v>
      </c>
    </row>
    <row r="2" spans="1:29" s="3" customFormat="1" ht="16.2" customHeight="1" x14ac:dyDescent="0.3">
      <c r="A2" s="7" t="str">
        <f ca="1">MID(CELL("filename",A2),FIND("]",CELL("filename",A2))+1,LEN(CELL("filename",A2)))</f>
        <v>Circ</v>
      </c>
    </row>
    <row r="3" spans="1:29" s="3" customFormat="1" x14ac:dyDescent="0.3">
      <c r="G3" s="6" t="s">
        <v>0</v>
      </c>
      <c r="H3" s="8">
        <f>Timing!H28</f>
        <v>1</v>
      </c>
      <c r="I3" s="8">
        <f>Timing!I28</f>
        <v>2</v>
      </c>
      <c r="J3" s="8">
        <f>Timing!J28</f>
        <v>3</v>
      </c>
      <c r="K3" s="8">
        <f>Timing!K28</f>
        <v>4</v>
      </c>
      <c r="L3" s="8">
        <f>Timing!L28</f>
        <v>5</v>
      </c>
      <c r="M3" s="8">
        <f>Timing!M28</f>
        <v>6</v>
      </c>
      <c r="N3" s="8">
        <f>Timing!N28</f>
        <v>7</v>
      </c>
      <c r="O3" s="8">
        <f>Timing!O28</f>
        <v>8</v>
      </c>
      <c r="P3" s="8">
        <f>Timing!P28</f>
        <v>9</v>
      </c>
      <c r="Q3" s="8">
        <f>Timing!Q28</f>
        <v>10</v>
      </c>
      <c r="R3" s="8">
        <f>Timing!R28</f>
        <v>11</v>
      </c>
      <c r="S3" s="8">
        <f>Timing!S28</f>
        <v>12</v>
      </c>
      <c r="T3" s="8">
        <f>Timing!T28</f>
        <v>13</v>
      </c>
      <c r="U3" s="8">
        <f>Timing!U28</f>
        <v>14</v>
      </c>
      <c r="V3" s="8">
        <f>Timing!V28</f>
        <v>15</v>
      </c>
      <c r="W3" s="8">
        <f>Timing!W28</f>
        <v>16</v>
      </c>
      <c r="X3" s="8">
        <f>Timing!X28</f>
        <v>17</v>
      </c>
      <c r="Y3" s="8">
        <f>Timing!Y28</f>
        <v>18</v>
      </c>
      <c r="Z3" s="8">
        <f>Timing!Z28</f>
        <v>19</v>
      </c>
      <c r="AA3" s="8">
        <f>Timing!AA28</f>
        <v>20</v>
      </c>
      <c r="AB3" s="8"/>
      <c r="AC3" s="8"/>
    </row>
    <row r="4" spans="1:29" s="3" customFormat="1" x14ac:dyDescent="0.3">
      <c r="G4" s="6" t="s">
        <v>1</v>
      </c>
      <c r="H4" s="24">
        <f>Timing!H29</f>
        <v>45017</v>
      </c>
      <c r="I4" s="24">
        <f>Timing!I29</f>
        <v>45107</v>
      </c>
      <c r="J4" s="24">
        <f>Timing!J29</f>
        <v>45199</v>
      </c>
      <c r="K4" s="24">
        <f>Timing!K29</f>
        <v>45291</v>
      </c>
      <c r="L4" s="24">
        <f>Timing!L29</f>
        <v>45382</v>
      </c>
      <c r="M4" s="24">
        <f>Timing!M29</f>
        <v>45473</v>
      </c>
      <c r="N4" s="24">
        <f>Timing!N29</f>
        <v>45565</v>
      </c>
      <c r="O4" s="24">
        <f>Timing!O29</f>
        <v>45657</v>
      </c>
      <c r="P4" s="24">
        <f>Timing!P29</f>
        <v>45747</v>
      </c>
      <c r="Q4" s="24">
        <f>Timing!Q29</f>
        <v>45838</v>
      </c>
      <c r="R4" s="24">
        <f>Timing!R29</f>
        <v>45930</v>
      </c>
      <c r="S4" s="24">
        <f>Timing!S29</f>
        <v>46022</v>
      </c>
      <c r="T4" s="24">
        <f>Timing!T29</f>
        <v>46112</v>
      </c>
      <c r="U4" s="24">
        <f>Timing!U29</f>
        <v>46203</v>
      </c>
      <c r="V4" s="24">
        <f>Timing!V29</f>
        <v>46295</v>
      </c>
      <c r="W4" s="24">
        <f>Timing!W29</f>
        <v>46387</v>
      </c>
      <c r="X4" s="24">
        <f>Timing!X29</f>
        <v>46477</v>
      </c>
      <c r="Y4" s="24">
        <f>Timing!Y29</f>
        <v>46568</v>
      </c>
      <c r="Z4" s="24">
        <f>Timing!Z29</f>
        <v>46660</v>
      </c>
      <c r="AA4" s="24">
        <f>Timing!AA29</f>
        <v>46752</v>
      </c>
      <c r="AB4" s="24"/>
      <c r="AC4" s="24"/>
    </row>
    <row r="5" spans="1:29" s="3" customFormat="1" x14ac:dyDescent="0.3">
      <c r="G5" s="6" t="s">
        <v>2</v>
      </c>
      <c r="H5" s="24">
        <f>Timing!H30</f>
        <v>45107</v>
      </c>
      <c r="I5" s="24">
        <f>Timing!I30</f>
        <v>45199</v>
      </c>
      <c r="J5" s="24">
        <f>Timing!J30</f>
        <v>45291</v>
      </c>
      <c r="K5" s="24">
        <f>Timing!K30</f>
        <v>45382</v>
      </c>
      <c r="L5" s="24">
        <f>Timing!L30</f>
        <v>45473</v>
      </c>
      <c r="M5" s="24">
        <f>Timing!M30</f>
        <v>45565</v>
      </c>
      <c r="N5" s="24">
        <f>Timing!N30</f>
        <v>45657</v>
      </c>
      <c r="O5" s="24">
        <f>Timing!O30</f>
        <v>45747</v>
      </c>
      <c r="P5" s="24">
        <f>Timing!P30</f>
        <v>45838</v>
      </c>
      <c r="Q5" s="24">
        <f>Timing!Q30</f>
        <v>45930</v>
      </c>
      <c r="R5" s="24">
        <f>Timing!R30</f>
        <v>46022</v>
      </c>
      <c r="S5" s="24">
        <f>Timing!S30</f>
        <v>46112</v>
      </c>
      <c r="T5" s="24">
        <f>Timing!T30</f>
        <v>46203</v>
      </c>
      <c r="U5" s="24">
        <f>Timing!U30</f>
        <v>46295</v>
      </c>
      <c r="V5" s="24">
        <f>Timing!V30</f>
        <v>46387</v>
      </c>
      <c r="W5" s="24">
        <f>Timing!W30</f>
        <v>46477</v>
      </c>
      <c r="X5" s="24">
        <f>Timing!X30</f>
        <v>46568</v>
      </c>
      <c r="Y5" s="24">
        <f>Timing!Y30</f>
        <v>46660</v>
      </c>
      <c r="Z5" s="24">
        <f>Timing!Z30</f>
        <v>46752</v>
      </c>
      <c r="AA5" s="24">
        <f>Timing!AA30</f>
        <v>46843</v>
      </c>
      <c r="AB5" s="24"/>
      <c r="AC5" s="24"/>
    </row>
    <row r="6" spans="1:29" s="3" customFormat="1" x14ac:dyDescent="0.3">
      <c r="E6" s="8" t="s">
        <v>10</v>
      </c>
      <c r="G6" s="6" t="s">
        <v>3</v>
      </c>
      <c r="H6" s="8" t="str">
        <f>Timing!H31</f>
        <v>Actual</v>
      </c>
      <c r="I6" s="8" t="str">
        <f>Timing!I31</f>
        <v>Actual</v>
      </c>
      <c r="J6" s="8" t="str">
        <f>Timing!J31</f>
        <v>Actual</v>
      </c>
      <c r="K6" s="8" t="str">
        <f>Timing!K31</f>
        <v>Actual</v>
      </c>
      <c r="L6" s="8" t="str">
        <f>Timing!L31</f>
        <v>Projected</v>
      </c>
      <c r="M6" s="8" t="str">
        <f>Timing!M31</f>
        <v>Projected</v>
      </c>
      <c r="N6" s="8" t="str">
        <f>Timing!N31</f>
        <v>Projected</v>
      </c>
      <c r="O6" s="8" t="str">
        <f>Timing!O31</f>
        <v>Projected</v>
      </c>
      <c r="P6" s="8" t="str">
        <f>Timing!P31</f>
        <v>Projected</v>
      </c>
      <c r="Q6" s="8" t="str">
        <f>Timing!Q31</f>
        <v>Projected</v>
      </c>
      <c r="R6" s="8" t="str">
        <f>Timing!R31</f>
        <v>Projected</v>
      </c>
      <c r="S6" s="8" t="str">
        <f>Timing!S31</f>
        <v>Projected</v>
      </c>
      <c r="T6" s="8" t="str">
        <f>Timing!T31</f>
        <v>Projected</v>
      </c>
      <c r="U6" s="8" t="str">
        <f>Timing!U31</f>
        <v>Projected</v>
      </c>
      <c r="V6" s="8" t="str">
        <f>Timing!V31</f>
        <v>Projected</v>
      </c>
      <c r="W6" s="8" t="str">
        <f>Timing!W31</f>
        <v>Projected</v>
      </c>
      <c r="X6" s="8" t="str">
        <f>Timing!X31</f>
        <v>Projected</v>
      </c>
      <c r="Y6" s="8" t="str">
        <f>Timing!Y31</f>
        <v>Projected</v>
      </c>
      <c r="Z6" s="8" t="str">
        <f>Timing!Z31</f>
        <v>Projected</v>
      </c>
      <c r="AA6" s="8" t="str">
        <f>Timing!AA31</f>
        <v>Projected</v>
      </c>
      <c r="AB6" s="8"/>
      <c r="AC6" s="8"/>
    </row>
    <row r="8" spans="1:29" s="135" customFormat="1" x14ac:dyDescent="0.3">
      <c r="A8" s="135" t="s">
        <v>381</v>
      </c>
    </row>
    <row r="10" spans="1:29" x14ac:dyDescent="0.3">
      <c r="D10" s="12" t="s">
        <v>342</v>
      </c>
      <c r="E10" s="15"/>
      <c r="F10" s="106"/>
      <c r="G10" s="45"/>
      <c r="H10" s="106">
        <f>DATE(IF(MONTH(H5)&lt;=3,YEAR(H5),YEAR(H5)+1),3,31)</f>
        <v>45382</v>
      </c>
      <c r="I10" s="106">
        <f t="shared" ref="I10:AA10" si="0">DATE(IF(MONTH(I5)&lt;=3,YEAR(I5),YEAR(I5)+1),3,31)</f>
        <v>45382</v>
      </c>
      <c r="J10" s="106">
        <f t="shared" si="0"/>
        <v>45382</v>
      </c>
      <c r="K10" s="106">
        <f t="shared" si="0"/>
        <v>45382</v>
      </c>
      <c r="L10" s="106">
        <f t="shared" si="0"/>
        <v>45747</v>
      </c>
      <c r="M10" s="106">
        <f t="shared" si="0"/>
        <v>45747</v>
      </c>
      <c r="N10" s="106">
        <f t="shared" si="0"/>
        <v>45747</v>
      </c>
      <c r="O10" s="106">
        <f t="shared" si="0"/>
        <v>45747</v>
      </c>
      <c r="P10" s="106">
        <f t="shared" si="0"/>
        <v>46112</v>
      </c>
      <c r="Q10" s="106">
        <f t="shared" si="0"/>
        <v>46112</v>
      </c>
      <c r="R10" s="106">
        <f t="shared" si="0"/>
        <v>46112</v>
      </c>
      <c r="S10" s="106">
        <f t="shared" si="0"/>
        <v>46112</v>
      </c>
      <c r="T10" s="106">
        <f t="shared" si="0"/>
        <v>46477</v>
      </c>
      <c r="U10" s="106">
        <f t="shared" si="0"/>
        <v>46477</v>
      </c>
      <c r="V10" s="106">
        <f t="shared" si="0"/>
        <v>46477</v>
      </c>
      <c r="W10" s="106">
        <f t="shared" si="0"/>
        <v>46477</v>
      </c>
      <c r="X10" s="106">
        <f t="shared" si="0"/>
        <v>46843</v>
      </c>
      <c r="Y10" s="106">
        <f t="shared" si="0"/>
        <v>46843</v>
      </c>
      <c r="Z10" s="106">
        <f t="shared" si="0"/>
        <v>46843</v>
      </c>
      <c r="AA10" s="18">
        <f t="shared" si="0"/>
        <v>46843</v>
      </c>
    </row>
    <row r="11" spans="1:29" x14ac:dyDescent="0.3">
      <c r="D11" s="14"/>
      <c r="E11" s="29"/>
      <c r="F11" s="11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0"/>
    </row>
    <row r="12" spans="1:29" x14ac:dyDescent="0.3">
      <c r="E12" s="9"/>
      <c r="F12" s="11"/>
    </row>
    <row r="13" spans="1:29" x14ac:dyDescent="0.3">
      <c r="D13" s="63" t="s">
        <v>382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</row>
    <row r="14" spans="1:29" x14ac:dyDescent="0.3">
      <c r="D14" s="13" t="s">
        <v>383</v>
      </c>
      <c r="E14" s="1" t="s">
        <v>46</v>
      </c>
      <c r="F14" s="70">
        <f>SUM(H14:AG14)</f>
        <v>26.227791729162021</v>
      </c>
      <c r="G14" s="1"/>
      <c r="H14" s="70">
        <f>DebtQ!H27</f>
        <v>1.575</v>
      </c>
      <c r="I14" s="70">
        <f>DebtQ!I27</f>
        <v>3.15</v>
      </c>
      <c r="J14" s="70">
        <f>DebtQ!J27</f>
        <v>3.15</v>
      </c>
      <c r="K14" s="70">
        <f>DebtQ!K27</f>
        <v>3.15</v>
      </c>
      <c r="L14" s="70">
        <f>DebtQ!L27</f>
        <v>3.0244380474834944</v>
      </c>
      <c r="M14" s="70">
        <f>DebtQ!M27</f>
        <v>2.7733141424504848</v>
      </c>
      <c r="N14" s="70">
        <f>DebtQ!N27</f>
        <v>2.5221902374174743</v>
      </c>
      <c r="O14" s="70">
        <f>DebtQ!O27</f>
        <v>2.2710663323844646</v>
      </c>
      <c r="P14" s="70">
        <f>DebtQ!P27</f>
        <v>1.8933550428689736</v>
      </c>
      <c r="Q14" s="70">
        <f>DebtQ!Q27</f>
        <v>1.3890563688710016</v>
      </c>
      <c r="R14" s="70">
        <f>DebtQ!R27</f>
        <v>0.88475769487302991</v>
      </c>
      <c r="S14" s="70">
        <f>DebtQ!S27</f>
        <v>0.38045902087505795</v>
      </c>
      <c r="T14" s="70">
        <f>DebtQ!T27</f>
        <v>6.4154841938036014E-2</v>
      </c>
      <c r="U14" s="70">
        <f>DebtQ!U27</f>
        <v>0</v>
      </c>
      <c r="V14" s="70">
        <f>DebtQ!V27</f>
        <v>0</v>
      </c>
      <c r="W14" s="70">
        <f>DebtQ!W27</f>
        <v>0</v>
      </c>
      <c r="X14" s="70">
        <f>DebtQ!X27</f>
        <v>0</v>
      </c>
      <c r="Y14" s="70">
        <f>DebtQ!Y27</f>
        <v>0</v>
      </c>
      <c r="Z14" s="70">
        <f>DebtQ!Z27</f>
        <v>0</v>
      </c>
      <c r="AA14" s="19">
        <f>DebtQ!AA27</f>
        <v>0</v>
      </c>
    </row>
    <row r="15" spans="1:29" x14ac:dyDescent="0.3">
      <c r="D15" s="13" t="s">
        <v>384</v>
      </c>
      <c r="E15" s="1" t="s">
        <v>46</v>
      </c>
      <c r="F15" s="70">
        <f ca="1">SUM(H15:AG15)</f>
        <v>25.772419514659621</v>
      </c>
      <c r="G15" s="1"/>
      <c r="H15" s="70">
        <f ca="1">DebtQ!H71</f>
        <v>1.5</v>
      </c>
      <c r="I15" s="70">
        <f ca="1">DebtQ!I71</f>
        <v>3</v>
      </c>
      <c r="J15" s="70">
        <f ca="1">DebtQ!J71</f>
        <v>3</v>
      </c>
      <c r="K15" s="70">
        <f ca="1">DebtQ!K71</f>
        <v>3</v>
      </c>
      <c r="L15" s="70">
        <f ca="1">DebtQ!L71</f>
        <v>2.8804171880795191</v>
      </c>
      <c r="M15" s="70">
        <f ca="1">DebtQ!M71</f>
        <v>2.6412515642385572</v>
      </c>
      <c r="N15" s="70">
        <f ca="1">DebtQ!N71</f>
        <v>2.4020859403975949</v>
      </c>
      <c r="O15" s="70">
        <f ca="1">DebtQ!O71</f>
        <v>2.1629203165566331</v>
      </c>
      <c r="P15" s="70">
        <f ca="1">DebtQ!P71</f>
        <v>1.803195278922832</v>
      </c>
      <c r="Q15" s="70">
        <f ca="1">DebtQ!Q71</f>
        <v>1.3890416815621114</v>
      </c>
      <c r="R15" s="70">
        <f ca="1">DebtQ!R71</f>
        <v>1.0410189382673101</v>
      </c>
      <c r="S15" s="70">
        <f ca="1">DebtQ!S71</f>
        <v>0.69299619497250842</v>
      </c>
      <c r="T15" s="70">
        <f ca="1">DebtQ!T71</f>
        <v>0.25949241166255382</v>
      </c>
      <c r="U15" s="70">
        <f ca="1">DebtQ!U71</f>
        <v>0</v>
      </c>
      <c r="V15" s="70">
        <f ca="1">DebtQ!V71</f>
        <v>0</v>
      </c>
      <c r="W15" s="70">
        <f ca="1">DebtQ!W71</f>
        <v>0</v>
      </c>
      <c r="X15" s="70">
        <f ca="1">DebtQ!X71</f>
        <v>0</v>
      </c>
      <c r="Y15" s="70">
        <f ca="1">DebtQ!Y71</f>
        <v>0</v>
      </c>
      <c r="Z15" s="70">
        <f ca="1">DebtQ!Z71</f>
        <v>0</v>
      </c>
      <c r="AA15" s="70">
        <f ca="1">DebtQ!AA71</f>
        <v>0</v>
      </c>
    </row>
    <row r="16" spans="1:29" x14ac:dyDescent="0.3">
      <c r="D16" s="13" t="s">
        <v>385</v>
      </c>
      <c r="E16" s="1" t="s">
        <v>46</v>
      </c>
      <c r="F16" s="70">
        <f t="shared" ref="F16:F18" ca="1" si="1">SUM(H16:AG16)</f>
        <v>-60.218534646431266</v>
      </c>
      <c r="G16" s="1"/>
      <c r="H16" s="70">
        <f ca="1">SUMIF(FS!$H$5:$N$5,Circ!H$10,FS!$H$52:$N$52)/COUNTIF($H$10:$AG$10,H$10)</f>
        <v>-1.3287615174195002</v>
      </c>
      <c r="I16" s="70">
        <f ca="1">SUMIF(FS!$H$5:$N$5,Circ!I$10,FS!$H$52:$N$52)/COUNTIF($H$10:$AG$10,I$10)</f>
        <v>-1.3287615174195002</v>
      </c>
      <c r="J16" s="70">
        <f ca="1">SUMIF(FS!$H$5:$N$5,Circ!J$10,FS!$H$52:$N$52)/COUNTIF($H$10:$AG$10,J$10)</f>
        <v>-1.3287615174195002</v>
      </c>
      <c r="K16" s="70">
        <f ca="1">SUMIF(FS!$H$5:$N$5,Circ!K$10,FS!$H$52:$N$52)/COUNTIF($H$10:$AG$10,K$10)</f>
        <v>-1.3287615174195002</v>
      </c>
      <c r="L16" s="70">
        <f ca="1">SUMIF(FS!$H$5:$N$5,Circ!L$10,FS!$H$52:$N$52)/COUNTIF($H$10:$AG$10,L$10)</f>
        <v>-1.9218788272534111</v>
      </c>
      <c r="M16" s="70">
        <f ca="1">SUMIF(FS!$H$5:$N$5,Circ!M$10,FS!$H$52:$N$52)/COUNTIF($H$10:$AG$10,M$10)</f>
        <v>-1.9218788272534111</v>
      </c>
      <c r="N16" s="70">
        <f ca="1">SUMIF(FS!$H$5:$N$5,Circ!N$10,FS!$H$52:$N$52)/COUNTIF($H$10:$AG$10,N$10)</f>
        <v>-1.9218788272534111</v>
      </c>
      <c r="O16" s="70">
        <f ca="1">SUMIF(FS!$H$5:$N$5,Circ!O$10,FS!$H$52:$N$52)/COUNTIF($H$10:$AG$10,O$10)</f>
        <v>-1.9218788272534111</v>
      </c>
      <c r="P16" s="70">
        <f ca="1">SUMIF(FS!$H$5:$N$5,Circ!P$10,FS!$H$52:$N$52)/COUNTIF($H$10:$AG$10,P$10)</f>
        <v>-2.8196103452436532</v>
      </c>
      <c r="Q16" s="70">
        <f ca="1">SUMIF(FS!$H$5:$N$5,Circ!Q$10,FS!$H$52:$N$52)/COUNTIF($H$10:$AG$10,Q$10)</f>
        <v>-2.8196103452436532</v>
      </c>
      <c r="R16" s="70">
        <f ca="1">SUMIF(FS!$H$5:$N$5,Circ!R$10,FS!$H$52:$N$52)/COUNTIF($H$10:$AG$10,R$10)</f>
        <v>-2.8196103452436532</v>
      </c>
      <c r="S16" s="70">
        <f ca="1">SUMIF(FS!$H$5:$N$5,Circ!S$10,FS!$H$52:$N$52)/COUNTIF($H$10:$AG$10,S$10)</f>
        <v>-2.8196103452436532</v>
      </c>
      <c r="T16" s="70">
        <f ca="1">SUMIF(FS!$H$5:$N$5,Circ!T$10,FS!$H$52:$N$52)/COUNTIF($H$10:$AG$10,T$10)</f>
        <v>-3.8213672359190176</v>
      </c>
      <c r="U16" s="70">
        <f ca="1">SUMIF(FS!$H$5:$N$5,Circ!U$10,FS!$H$52:$N$52)/COUNTIF($H$10:$AG$10,U$10)</f>
        <v>-3.8213672359190176</v>
      </c>
      <c r="V16" s="70">
        <f ca="1">SUMIF(FS!$H$5:$N$5,Circ!V$10,FS!$H$52:$N$52)/COUNTIF($H$10:$AG$10,V$10)</f>
        <v>-3.8213672359190176</v>
      </c>
      <c r="W16" s="70">
        <f ca="1">SUMIF(FS!$H$5:$N$5,Circ!W$10,FS!$H$52:$N$52)/COUNTIF($H$10:$AG$10,W$10)</f>
        <v>-3.8213672359190176</v>
      </c>
      <c r="X16" s="70">
        <f ca="1">SUMIF(FS!$H$5:$N$5,Circ!X$10,FS!$H$52:$N$52)/COUNTIF($H$10:$AG$10,X$10)</f>
        <v>-5.1630157357722366</v>
      </c>
      <c r="Y16" s="70">
        <f ca="1">SUMIF(FS!$H$5:$N$5,Circ!Y$10,FS!$H$52:$N$52)/COUNTIF($H$10:$AG$10,Y$10)</f>
        <v>-5.1630157357722366</v>
      </c>
      <c r="Z16" s="70">
        <f ca="1">SUMIF(FS!$H$5:$N$5,Circ!Z$10,FS!$H$52:$N$52)/COUNTIF($H$10:$AG$10,Z$10)</f>
        <v>-5.1630157357722366</v>
      </c>
      <c r="AA16" s="19">
        <f ca="1">SUMIF(FS!$H$5:$N$5,Circ!AA$10,FS!$H$52:$N$52)/COUNTIF($H$10:$AG$10,AA$10)</f>
        <v>-5.1630157357722366</v>
      </c>
    </row>
    <row r="17" spans="4:27" x14ac:dyDescent="0.3">
      <c r="D17" s="13" t="s">
        <v>386</v>
      </c>
      <c r="E17" s="1" t="s">
        <v>46</v>
      </c>
      <c r="F17" s="70">
        <f t="shared" ca="1" si="1"/>
        <v>0</v>
      </c>
      <c r="G17" s="1"/>
      <c r="H17" s="70">
        <f>-SUMIF(Calculations!$H$5:$L$5,H$10,Calculations!$H$376:$L$376)/COUNTIF($H$10:$AA$10,H$10)</f>
        <v>0</v>
      </c>
      <c r="I17" s="70">
        <f>-SUMIF(Calculations!$H$5:$L$5,I$10,Calculations!$H$376:$L$376)/COUNTIF($H$10:$AA$10,I$10)</f>
        <v>0</v>
      </c>
      <c r="J17" s="70">
        <f>-SUMIF(Calculations!$H$5:$L$5,J$10,Calculations!$H$376:$L$376)/COUNTIF($H$10:$AA$10,J$10)</f>
        <v>0</v>
      </c>
      <c r="K17" s="70">
        <f>-SUMIF(Calculations!$H$5:$L$5,K$10,Calculations!$H$376:$L$376)/COUNTIF($H$10:$AA$10,K$10)</f>
        <v>0</v>
      </c>
      <c r="L17" s="70">
        <f ca="1">-SUMIF(Calculations!$H$5:$L$5,L$10,Calculations!$H$376:$L$376)/COUNTIF($H$10:$AA$10,L$10)</f>
        <v>0</v>
      </c>
      <c r="M17" s="70">
        <f ca="1">-SUMIF(Calculations!$H$5:$L$5,M$10,Calculations!$H$376:$L$376)/COUNTIF($H$10:$AA$10,M$10)</f>
        <v>0</v>
      </c>
      <c r="N17" s="70">
        <f ca="1">-SUMIF(Calculations!$H$5:$L$5,N$10,Calculations!$H$376:$L$376)/COUNTIF($H$10:$AA$10,N$10)</f>
        <v>0</v>
      </c>
      <c r="O17" s="70">
        <f ca="1">-SUMIF(Calculations!$H$5:$L$5,O$10,Calculations!$H$376:$L$376)/COUNTIF($H$10:$AA$10,O$10)</f>
        <v>0</v>
      </c>
      <c r="P17" s="70">
        <f ca="1">-SUMIF(Calculations!$H$5:$L$5,P$10,Calculations!$H$376:$L$376)/COUNTIF($H$10:$AA$10,P$10)</f>
        <v>0</v>
      </c>
      <c r="Q17" s="70">
        <f ca="1">-SUMIF(Calculations!$H$5:$L$5,Q$10,Calculations!$H$376:$L$376)/COUNTIF($H$10:$AA$10,Q$10)</f>
        <v>0</v>
      </c>
      <c r="R17" s="70">
        <f ca="1">-SUMIF(Calculations!$H$5:$L$5,R$10,Calculations!$H$376:$L$376)/COUNTIF($H$10:$AA$10,R$10)</f>
        <v>0</v>
      </c>
      <c r="S17" s="70">
        <f ca="1">-SUMIF(Calculations!$H$5:$L$5,S$10,Calculations!$H$376:$L$376)/COUNTIF($H$10:$AA$10,S$10)</f>
        <v>0</v>
      </c>
      <c r="T17" s="70">
        <f ca="1">-SUMIF(Calculations!$H$5:$L$5,T$10,Calculations!$H$376:$L$376)/COUNTIF($H$10:$AA$10,T$10)</f>
        <v>0</v>
      </c>
      <c r="U17" s="70">
        <f ca="1">-SUMIF(Calculations!$H$5:$L$5,U$10,Calculations!$H$376:$L$376)/COUNTIF($H$10:$AA$10,U$10)</f>
        <v>0</v>
      </c>
      <c r="V17" s="70">
        <f ca="1">-SUMIF(Calculations!$H$5:$L$5,V$10,Calculations!$H$376:$L$376)/COUNTIF($H$10:$AA$10,V$10)</f>
        <v>0</v>
      </c>
      <c r="W17" s="70">
        <f ca="1">-SUMIF(Calculations!$H$5:$L$5,W$10,Calculations!$H$376:$L$376)/COUNTIF($H$10:$AA$10,W$10)</f>
        <v>0</v>
      </c>
      <c r="X17" s="70">
        <f ca="1">-SUMIF(Calculations!$H$5:$L$5,X$10,Calculations!$H$376:$L$376)/COUNTIF($H$10:$AA$10,X$10)</f>
        <v>0</v>
      </c>
      <c r="Y17" s="70">
        <f ca="1">-SUMIF(Calculations!$H$5:$L$5,Y$10,Calculations!$H$376:$L$376)/COUNTIF($H$10:$AA$10,Y$10)</f>
        <v>0</v>
      </c>
      <c r="Z17" s="70">
        <f ca="1">-SUMIF(Calculations!$H$5:$L$5,Z$10,Calculations!$H$376:$L$376)/COUNTIF($H$10:$AA$10,Z$10)</f>
        <v>0</v>
      </c>
      <c r="AA17" s="19">
        <f ca="1">-SUMIF(Calculations!$H$5:$L$5,AA$10,Calculations!$H$376:$L$376)/COUNTIF($H$10:$AA$10,AA$10)</f>
        <v>0</v>
      </c>
    </row>
    <row r="18" spans="4:27" x14ac:dyDescent="0.3">
      <c r="D18" s="14" t="s">
        <v>157</v>
      </c>
      <c r="E18" s="2" t="s">
        <v>46</v>
      </c>
      <c r="F18" s="66">
        <f t="shared" ca="1" si="1"/>
        <v>27.739729731495306</v>
      </c>
      <c r="G18" s="2"/>
      <c r="H18" s="66">
        <f ca="1">SUMIF(Calculations!$H$5:$L$5,H$10,Calculations!$H$378:$L$378)/COUNTIF($H$10:$AA$10,H$10)</f>
        <v>0.40297021241639353</v>
      </c>
      <c r="I18" s="66">
        <f ca="1">SUMIF(Calculations!$H$5:$L$5,I$10,Calculations!$H$378:$L$378)/COUNTIF($H$10:$AA$10,I$10)</f>
        <v>0.40297021241639353</v>
      </c>
      <c r="J18" s="66">
        <f ca="1">SUMIF(Calculations!$H$5:$L$5,J$10,Calculations!$H$378:$L$378)/COUNTIF($H$10:$AA$10,J$10)</f>
        <v>0.40297021241639353</v>
      </c>
      <c r="K18" s="66">
        <f ca="1">SUMIF(Calculations!$H$5:$L$5,K$10,Calculations!$H$378:$L$378)/COUNTIF($H$10:$AA$10,K$10)</f>
        <v>0.40297021241639353</v>
      </c>
      <c r="L18" s="66">
        <f ca="1">SUMIF(Calculations!$H$5:$L$5,L$10,Calculations!$H$378:$L$378)/COUNTIF($H$10:$AA$10,L$10)</f>
        <v>0.67536358469325175</v>
      </c>
      <c r="M18" s="66">
        <f ca="1">SUMIF(Calculations!$H$5:$L$5,M$10,Calculations!$H$378:$L$378)/COUNTIF($H$10:$AA$10,M$10)</f>
        <v>0.67536358469325175</v>
      </c>
      <c r="N18" s="66">
        <f ca="1">SUMIF(Calculations!$H$5:$L$5,N$10,Calculations!$H$378:$L$378)/COUNTIF($H$10:$AA$10,N$10)</f>
        <v>0.67536358469325175</v>
      </c>
      <c r="O18" s="66">
        <f ca="1">SUMIF(Calculations!$H$5:$L$5,O$10,Calculations!$H$378:$L$378)/COUNTIF($H$10:$AA$10,O$10)</f>
        <v>0.67536358469325175</v>
      </c>
      <c r="P18" s="66">
        <f ca="1">SUMIF(Calculations!$H$5:$L$5,P$10,Calculations!$H$378:$L$378)/COUNTIF($H$10:$AA$10,P$10)</f>
        <v>1.0235445968000452</v>
      </c>
      <c r="Q18" s="66">
        <f ca="1">SUMIF(Calculations!$H$5:$L$5,Q$10,Calculations!$H$378:$L$378)/COUNTIF($H$10:$AA$10,Q$10)</f>
        <v>1.0235445968000452</v>
      </c>
      <c r="R18" s="66">
        <f ca="1">SUMIF(Calculations!$H$5:$L$5,R$10,Calculations!$H$378:$L$378)/COUNTIF($H$10:$AA$10,R$10)</f>
        <v>1.0235445968000452</v>
      </c>
      <c r="S18" s="66">
        <f ca="1">SUMIF(Calculations!$H$5:$L$5,S$10,Calculations!$H$378:$L$378)/COUNTIF($H$10:$AA$10,S$10)</f>
        <v>1.0235445968000452</v>
      </c>
      <c r="T18" s="66">
        <f ca="1">SUMIF(Calculations!$H$5:$L$5,T$10,Calculations!$H$378:$L$378)/COUNTIF($H$10:$AA$10,T$10)</f>
        <v>1.820309221947958</v>
      </c>
      <c r="U18" s="66">
        <f ca="1">SUMIF(Calculations!$H$5:$L$5,U$10,Calculations!$H$378:$L$378)/COUNTIF($H$10:$AA$10,U$10)</f>
        <v>1.820309221947958</v>
      </c>
      <c r="V18" s="66">
        <f ca="1">SUMIF(Calculations!$H$5:$L$5,V$10,Calculations!$H$378:$L$378)/COUNTIF($H$10:$AA$10,V$10)</f>
        <v>1.820309221947958</v>
      </c>
      <c r="W18" s="66">
        <f ca="1">SUMIF(Calculations!$H$5:$L$5,W$10,Calculations!$H$378:$L$378)/COUNTIF($H$10:$AA$10,W$10)</f>
        <v>1.820309221947958</v>
      </c>
      <c r="X18" s="66">
        <f ca="1">SUMIF(Calculations!$H$5:$L$5,X$10,Calculations!$H$378:$L$378)/COUNTIF($H$10:$AA$10,X$10)</f>
        <v>3.0127448170161784</v>
      </c>
      <c r="Y18" s="66">
        <f ca="1">SUMIF(Calculations!$H$5:$L$5,Y$10,Calculations!$H$378:$L$378)/COUNTIF($H$10:$AA$10,Y$10)</f>
        <v>3.0127448170161784</v>
      </c>
      <c r="Z18" s="66">
        <f ca="1">SUMIF(Calculations!$H$5:$L$5,Z$10,Calculations!$H$378:$L$378)/COUNTIF($H$10:$AA$10,Z$10)</f>
        <v>3.0127448170161784</v>
      </c>
      <c r="AA18" s="67">
        <f ca="1">SUMIF(Calculations!$H$5:$L$5,AA$10,Calculations!$H$378:$L$378)/COUNTIF($H$10:$AA$10,AA$10)</f>
        <v>3.0127448170161784</v>
      </c>
    </row>
    <row r="21" spans="4:27" x14ac:dyDescent="0.3">
      <c r="D21" s="63" t="s">
        <v>387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6"/>
    </row>
    <row r="22" spans="4:27" x14ac:dyDescent="0.3">
      <c r="D22" s="13" t="s">
        <v>383</v>
      </c>
      <c r="E22" s="1" t="s">
        <v>46</v>
      </c>
      <c r="F22" s="70">
        <f>SUM(H22:AG22)</f>
        <v>61.424999999999983</v>
      </c>
      <c r="G22" s="1"/>
      <c r="H22" s="70">
        <v>1.575</v>
      </c>
      <c r="I22" s="70">
        <v>3.15</v>
      </c>
      <c r="J22" s="70">
        <v>3.15</v>
      </c>
      <c r="K22" s="70">
        <v>3.15</v>
      </c>
      <c r="L22" s="70">
        <v>3.15</v>
      </c>
      <c r="M22" s="70">
        <v>3.15</v>
      </c>
      <c r="N22" s="70">
        <v>3.15</v>
      </c>
      <c r="O22" s="70">
        <v>3.15</v>
      </c>
      <c r="P22" s="70">
        <v>3.15</v>
      </c>
      <c r="Q22" s="70">
        <v>3.15</v>
      </c>
      <c r="R22" s="70">
        <v>3.15</v>
      </c>
      <c r="S22" s="70">
        <v>3.15</v>
      </c>
      <c r="T22" s="70">
        <v>3.15</v>
      </c>
      <c r="U22" s="70">
        <v>3.15</v>
      </c>
      <c r="V22" s="70">
        <v>3.15</v>
      </c>
      <c r="W22" s="70">
        <v>3.15</v>
      </c>
      <c r="X22" s="70">
        <v>3.15</v>
      </c>
      <c r="Y22" s="70">
        <v>3.15</v>
      </c>
      <c r="Z22" s="70">
        <v>3.15</v>
      </c>
      <c r="AA22" s="19">
        <v>3.15</v>
      </c>
    </row>
    <row r="23" spans="4:27" x14ac:dyDescent="0.3">
      <c r="D23" s="13" t="s">
        <v>384</v>
      </c>
      <c r="E23" s="1" t="s">
        <v>46</v>
      </c>
      <c r="F23" s="70">
        <f>SUM(H23:AG23)</f>
        <v>58.5</v>
      </c>
      <c r="G23" s="1"/>
      <c r="H23" s="70">
        <v>1.5</v>
      </c>
      <c r="I23" s="70">
        <v>3</v>
      </c>
      <c r="J23" s="70">
        <v>3</v>
      </c>
      <c r="K23" s="70">
        <v>3</v>
      </c>
      <c r="L23" s="70">
        <v>3</v>
      </c>
      <c r="M23" s="70">
        <v>3</v>
      </c>
      <c r="N23" s="70">
        <v>3</v>
      </c>
      <c r="O23" s="70">
        <v>3</v>
      </c>
      <c r="P23" s="70">
        <v>3</v>
      </c>
      <c r="Q23" s="70">
        <v>3</v>
      </c>
      <c r="R23" s="70">
        <v>3</v>
      </c>
      <c r="S23" s="70">
        <v>3</v>
      </c>
      <c r="T23" s="70">
        <v>3</v>
      </c>
      <c r="U23" s="70">
        <v>3</v>
      </c>
      <c r="V23" s="70">
        <v>3</v>
      </c>
      <c r="W23" s="70">
        <v>3</v>
      </c>
      <c r="X23" s="70">
        <v>3</v>
      </c>
      <c r="Y23" s="70">
        <v>3</v>
      </c>
      <c r="Z23" s="70">
        <v>3</v>
      </c>
      <c r="AA23" s="19">
        <v>3</v>
      </c>
    </row>
    <row r="24" spans="4:27" x14ac:dyDescent="0.3">
      <c r="D24" s="13" t="s">
        <v>385</v>
      </c>
      <c r="E24" s="1" t="s">
        <v>46</v>
      </c>
      <c r="F24" s="70">
        <f t="shared" ref="F24:F26" si="2">SUM(H24:AG24)</f>
        <v>0</v>
      </c>
      <c r="G24" s="1"/>
      <c r="H24" s="70">
        <v>0</v>
      </c>
      <c r="I24" s="70">
        <v>0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0</v>
      </c>
      <c r="S24" s="7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19">
        <v>0</v>
      </c>
    </row>
    <row r="25" spans="4:27" x14ac:dyDescent="0.3">
      <c r="D25" s="13" t="s">
        <v>386</v>
      </c>
      <c r="E25" s="1" t="s">
        <v>46</v>
      </c>
      <c r="F25" s="70">
        <f t="shared" si="2"/>
        <v>-11.401506052850763</v>
      </c>
      <c r="G25" s="1"/>
      <c r="H25" s="70">
        <v>0</v>
      </c>
      <c r="I25" s="70">
        <v>0</v>
      </c>
      <c r="J25" s="70">
        <v>0</v>
      </c>
      <c r="K25" s="70">
        <v>0</v>
      </c>
      <c r="L25" s="70">
        <v>-0.32411202185792348</v>
      </c>
      <c r="M25" s="70">
        <v>-0.32411202185792348</v>
      </c>
      <c r="N25" s="70">
        <v>-0.32411202185792348</v>
      </c>
      <c r="O25" s="70">
        <v>-0.32411202185792348</v>
      </c>
      <c r="P25" s="70">
        <v>-0.60620460263071474</v>
      </c>
      <c r="Q25" s="70">
        <v>-0.60620460263071474</v>
      </c>
      <c r="R25" s="70">
        <v>-0.60620460263071474</v>
      </c>
      <c r="S25" s="70">
        <v>-0.60620460263071474</v>
      </c>
      <c r="T25" s="70">
        <v>-0.85172534472135009</v>
      </c>
      <c r="U25" s="70">
        <v>-0.85172534472135009</v>
      </c>
      <c r="V25" s="70">
        <v>-0.85172534472135009</v>
      </c>
      <c r="W25" s="70">
        <v>-0.85172534472135009</v>
      </c>
      <c r="X25" s="70">
        <v>-1.0683345440027017</v>
      </c>
      <c r="Y25" s="70">
        <v>-1.0683345440027017</v>
      </c>
      <c r="Z25" s="70">
        <v>-1.0683345440027017</v>
      </c>
      <c r="AA25" s="19">
        <v>-1.0683345440027017</v>
      </c>
    </row>
    <row r="26" spans="4:27" x14ac:dyDescent="0.3">
      <c r="D26" s="13" t="s">
        <v>157</v>
      </c>
      <c r="E26" s="1" t="s">
        <v>46</v>
      </c>
      <c r="F26" s="70">
        <f t="shared" si="2"/>
        <v>0</v>
      </c>
      <c r="G26" s="1"/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70">
        <v>0</v>
      </c>
      <c r="O26" s="70">
        <v>0</v>
      </c>
      <c r="P26" s="70">
        <v>0</v>
      </c>
      <c r="Q26" s="70">
        <v>0</v>
      </c>
      <c r="R26" s="70">
        <v>0</v>
      </c>
      <c r="S26" s="70">
        <v>0</v>
      </c>
      <c r="T26" s="70">
        <v>0</v>
      </c>
      <c r="U26" s="70">
        <v>0</v>
      </c>
      <c r="V26" s="70">
        <v>0</v>
      </c>
      <c r="W26" s="70">
        <v>0</v>
      </c>
      <c r="X26" s="70">
        <v>0</v>
      </c>
      <c r="Y26" s="70">
        <v>0</v>
      </c>
      <c r="Z26" s="70">
        <v>0</v>
      </c>
      <c r="AA26" s="19">
        <v>0</v>
      </c>
    </row>
    <row r="27" spans="4:27" x14ac:dyDescent="0.3">
      <c r="D27" s="14"/>
      <c r="E27" s="2"/>
      <c r="F27" s="66"/>
      <c r="G27" s="2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7"/>
    </row>
    <row r="29" spans="4:27" x14ac:dyDescent="0.3">
      <c r="D29" s="63" t="s">
        <v>388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6"/>
    </row>
    <row r="30" spans="4:27" x14ac:dyDescent="0.3">
      <c r="D30" s="13" t="s">
        <v>383</v>
      </c>
      <c r="E30" s="1" t="s">
        <v>46</v>
      </c>
      <c r="F30" s="1">
        <f>F14-F22</f>
        <v>-35.197208270837962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47"/>
    </row>
    <row r="31" spans="4:27" x14ac:dyDescent="0.3">
      <c r="D31" s="13" t="s">
        <v>384</v>
      </c>
      <c r="E31" s="1" t="s">
        <v>46</v>
      </c>
      <c r="F31" s="1">
        <f ca="1">F15-F23</f>
        <v>-32.727580485340383</v>
      </c>
      <c r="G31" s="1"/>
      <c r="H31" s="1">
        <f t="shared" ref="H31:O34" ca="1" si="3">H15-H23</f>
        <v>0</v>
      </c>
      <c r="I31" s="1">
        <f t="shared" ca="1" si="3"/>
        <v>0</v>
      </c>
      <c r="J31" s="1">
        <f t="shared" ca="1" si="3"/>
        <v>0</v>
      </c>
      <c r="K31" s="1">
        <f t="shared" ca="1" si="3"/>
        <v>0</v>
      </c>
      <c r="L31" s="1">
        <f t="shared" ca="1" si="3"/>
        <v>-0.11958281192048092</v>
      </c>
      <c r="M31" s="1">
        <f t="shared" ca="1" si="3"/>
        <v>-0.35874843576144277</v>
      </c>
      <c r="N31" s="1">
        <f t="shared" ca="1" si="3"/>
        <v>-0.59791405960240507</v>
      </c>
      <c r="O31" s="1">
        <f t="shared" ca="1" si="3"/>
        <v>-0.83707968344336692</v>
      </c>
      <c r="P31" s="1">
        <f t="shared" ref="P31:AA31" ca="1" si="4">P15-P23</f>
        <v>-1.196804721077168</v>
      </c>
      <c r="Q31" s="1">
        <f t="shared" ca="1" si="4"/>
        <v>-1.6109583184378886</v>
      </c>
      <c r="R31" s="1">
        <f t="shared" ca="1" si="4"/>
        <v>-1.9589810617326899</v>
      </c>
      <c r="S31" s="1">
        <f t="shared" ca="1" si="4"/>
        <v>-2.3070038050274917</v>
      </c>
      <c r="T31" s="1">
        <f t="shared" ca="1" si="4"/>
        <v>-2.7405075883374463</v>
      </c>
      <c r="U31" s="1">
        <f t="shared" ca="1" si="4"/>
        <v>-3</v>
      </c>
      <c r="V31" s="1">
        <f t="shared" ca="1" si="4"/>
        <v>-3</v>
      </c>
      <c r="W31" s="1">
        <f t="shared" ca="1" si="4"/>
        <v>-3</v>
      </c>
      <c r="X31" s="1">
        <f t="shared" ca="1" si="4"/>
        <v>-3</v>
      </c>
      <c r="Y31" s="1">
        <f t="shared" ca="1" si="4"/>
        <v>-3</v>
      </c>
      <c r="Z31" s="1">
        <f t="shared" ca="1" si="4"/>
        <v>-3</v>
      </c>
      <c r="AA31" s="47">
        <f t="shared" ca="1" si="4"/>
        <v>-3</v>
      </c>
    </row>
    <row r="32" spans="4:27" x14ac:dyDescent="0.3">
      <c r="D32" s="13" t="s">
        <v>385</v>
      </c>
      <c r="E32" s="1" t="s">
        <v>46</v>
      </c>
      <c r="F32" s="1">
        <f ca="1">F16-F24</f>
        <v>-60.218534646431266</v>
      </c>
      <c r="G32" s="1"/>
      <c r="H32" s="1">
        <f t="shared" ca="1" si="3"/>
        <v>-1.3287615174195002</v>
      </c>
      <c r="I32" s="1">
        <f t="shared" ca="1" si="3"/>
        <v>-1.3287615174195002</v>
      </c>
      <c r="J32" s="1">
        <f t="shared" ca="1" si="3"/>
        <v>-1.3287615174195002</v>
      </c>
      <c r="K32" s="1">
        <f t="shared" ca="1" si="3"/>
        <v>-1.3287615174195002</v>
      </c>
      <c r="L32" s="1">
        <f t="shared" ca="1" si="3"/>
        <v>-1.9218788272534111</v>
      </c>
      <c r="M32" s="1">
        <f t="shared" ca="1" si="3"/>
        <v>-1.9218788272534111</v>
      </c>
      <c r="N32" s="1">
        <f t="shared" ca="1" si="3"/>
        <v>-1.9218788272534111</v>
      </c>
      <c r="O32" s="1">
        <f t="shared" ca="1" si="3"/>
        <v>-1.9218788272534111</v>
      </c>
      <c r="P32" s="1">
        <f t="shared" ref="P32:AA32" ca="1" si="5">P16-P24</f>
        <v>-2.8196103452436532</v>
      </c>
      <c r="Q32" s="1">
        <f t="shared" ca="1" si="5"/>
        <v>-2.8196103452436532</v>
      </c>
      <c r="R32" s="1">
        <f t="shared" ca="1" si="5"/>
        <v>-2.8196103452436532</v>
      </c>
      <c r="S32" s="1">
        <f t="shared" ca="1" si="5"/>
        <v>-2.8196103452436532</v>
      </c>
      <c r="T32" s="1">
        <f t="shared" ca="1" si="5"/>
        <v>-3.8213672359190176</v>
      </c>
      <c r="U32" s="1">
        <f t="shared" ca="1" si="5"/>
        <v>-3.8213672359190176</v>
      </c>
      <c r="V32" s="1">
        <f t="shared" ca="1" si="5"/>
        <v>-3.8213672359190176</v>
      </c>
      <c r="W32" s="1">
        <f t="shared" ca="1" si="5"/>
        <v>-3.8213672359190176</v>
      </c>
      <c r="X32" s="1">
        <f t="shared" ca="1" si="5"/>
        <v>-5.1630157357722366</v>
      </c>
      <c r="Y32" s="1">
        <f t="shared" ca="1" si="5"/>
        <v>-5.1630157357722366</v>
      </c>
      <c r="Z32" s="1">
        <f t="shared" ca="1" si="5"/>
        <v>-5.1630157357722366</v>
      </c>
      <c r="AA32" s="47">
        <f t="shared" ca="1" si="5"/>
        <v>-5.1630157357722366</v>
      </c>
    </row>
    <row r="33" spans="1:27" x14ac:dyDescent="0.3">
      <c r="D33" s="13" t="s">
        <v>386</v>
      </c>
      <c r="E33" s="1" t="s">
        <v>46</v>
      </c>
      <c r="F33" s="1">
        <f ca="1">F17-F25</f>
        <v>11.401506052850763</v>
      </c>
      <c r="G33" s="1"/>
      <c r="H33" s="1">
        <f t="shared" si="3"/>
        <v>0</v>
      </c>
      <c r="I33" s="1">
        <f t="shared" si="3"/>
        <v>0</v>
      </c>
      <c r="J33" s="1">
        <f t="shared" si="3"/>
        <v>0</v>
      </c>
      <c r="K33" s="1">
        <f t="shared" si="3"/>
        <v>0</v>
      </c>
      <c r="L33" s="1">
        <f t="shared" ca="1" si="3"/>
        <v>0.32411202185792348</v>
      </c>
      <c r="M33" s="1">
        <f t="shared" ca="1" si="3"/>
        <v>0.32411202185792348</v>
      </c>
      <c r="N33" s="1">
        <f t="shared" ca="1" si="3"/>
        <v>0.32411202185792348</v>
      </c>
      <c r="O33" s="1">
        <f t="shared" ca="1" si="3"/>
        <v>0.32411202185792348</v>
      </c>
      <c r="P33" s="1">
        <f t="shared" ref="P33:AA33" ca="1" si="6">P17-P25</f>
        <v>0.60620460263071474</v>
      </c>
      <c r="Q33" s="1">
        <f t="shared" ca="1" si="6"/>
        <v>0.60620460263071474</v>
      </c>
      <c r="R33" s="1">
        <f t="shared" ca="1" si="6"/>
        <v>0.60620460263071474</v>
      </c>
      <c r="S33" s="1">
        <f t="shared" ca="1" si="6"/>
        <v>0.60620460263071474</v>
      </c>
      <c r="T33" s="1">
        <f t="shared" ca="1" si="6"/>
        <v>0.85172534472135009</v>
      </c>
      <c r="U33" s="1">
        <f t="shared" ca="1" si="6"/>
        <v>0.85172534472135009</v>
      </c>
      <c r="V33" s="1">
        <f t="shared" ca="1" si="6"/>
        <v>0.85172534472135009</v>
      </c>
      <c r="W33" s="1">
        <f t="shared" ca="1" si="6"/>
        <v>0.85172534472135009</v>
      </c>
      <c r="X33" s="1">
        <f t="shared" ca="1" si="6"/>
        <v>1.0683345440027017</v>
      </c>
      <c r="Y33" s="1">
        <f t="shared" ca="1" si="6"/>
        <v>1.0683345440027017</v>
      </c>
      <c r="Z33" s="1">
        <f t="shared" ca="1" si="6"/>
        <v>1.0683345440027017</v>
      </c>
      <c r="AA33" s="47">
        <f t="shared" ca="1" si="6"/>
        <v>1.0683345440027017</v>
      </c>
    </row>
    <row r="34" spans="1:27" x14ac:dyDescent="0.3">
      <c r="D34" s="14" t="s">
        <v>157</v>
      </c>
      <c r="E34" s="2" t="s">
        <v>46</v>
      </c>
      <c r="F34" s="2">
        <f ca="1">F18-F26</f>
        <v>27.739729731495306</v>
      </c>
      <c r="G34" s="2"/>
      <c r="H34" s="2">
        <f t="shared" ca="1" si="3"/>
        <v>0.40297021241639353</v>
      </c>
      <c r="I34" s="2">
        <f t="shared" ca="1" si="3"/>
        <v>0.40297021241639353</v>
      </c>
      <c r="J34" s="2">
        <f t="shared" ca="1" si="3"/>
        <v>0.40297021241639353</v>
      </c>
      <c r="K34" s="2">
        <f t="shared" ca="1" si="3"/>
        <v>0.40297021241639353</v>
      </c>
      <c r="L34" s="2">
        <f t="shared" ca="1" si="3"/>
        <v>0.67536358469325175</v>
      </c>
      <c r="M34" s="2">
        <f t="shared" ca="1" si="3"/>
        <v>0.67536358469325175</v>
      </c>
      <c r="N34" s="2">
        <f t="shared" ca="1" si="3"/>
        <v>0.67536358469325175</v>
      </c>
      <c r="O34" s="2">
        <f t="shared" ca="1" si="3"/>
        <v>0.67536358469325175</v>
      </c>
      <c r="P34" s="2">
        <f t="shared" ref="P34:AA34" ca="1" si="7">P18-P26</f>
        <v>1.0235445968000452</v>
      </c>
      <c r="Q34" s="2">
        <f t="shared" ca="1" si="7"/>
        <v>1.0235445968000452</v>
      </c>
      <c r="R34" s="2">
        <f t="shared" ca="1" si="7"/>
        <v>1.0235445968000452</v>
      </c>
      <c r="S34" s="2">
        <f t="shared" ca="1" si="7"/>
        <v>1.0235445968000452</v>
      </c>
      <c r="T34" s="2">
        <f t="shared" ca="1" si="7"/>
        <v>1.820309221947958</v>
      </c>
      <c r="U34" s="2">
        <f t="shared" ca="1" si="7"/>
        <v>1.820309221947958</v>
      </c>
      <c r="V34" s="2">
        <f t="shared" ca="1" si="7"/>
        <v>1.820309221947958</v>
      </c>
      <c r="W34" s="2">
        <f t="shared" ca="1" si="7"/>
        <v>1.820309221947958</v>
      </c>
      <c r="X34" s="2">
        <f t="shared" ca="1" si="7"/>
        <v>3.0127448170161784</v>
      </c>
      <c r="Y34" s="2">
        <f t="shared" ca="1" si="7"/>
        <v>3.0127448170161784</v>
      </c>
      <c r="Z34" s="2">
        <f t="shared" ca="1" si="7"/>
        <v>3.0127448170161784</v>
      </c>
      <c r="AA34" s="20">
        <f t="shared" ca="1" si="7"/>
        <v>3.0127448170161784</v>
      </c>
    </row>
    <row r="37" spans="1:27" s="135" customFormat="1" x14ac:dyDescent="0.3">
      <c r="A37" s="135" t="s">
        <v>334</v>
      </c>
    </row>
  </sheetData>
  <mergeCells count="2">
    <mergeCell ref="A8:XFD8"/>
    <mergeCell ref="A37:XFD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showGridLines="0" workbookViewId="0">
      <pane xSplit="7" ySplit="6" topLeftCell="H16" activePane="bottomRight" state="frozen"/>
      <selection pane="topRight" activeCell="H1" sqref="H1"/>
      <selection pane="bottomLeft" activeCell="A7" sqref="A7"/>
      <selection pane="bottomRight" activeCell="H3" sqref="H3"/>
    </sheetView>
  </sheetViews>
  <sheetFormatPr defaultRowHeight="14.4" x14ac:dyDescent="0.3"/>
  <cols>
    <col min="1" max="1" width="3.88671875" customWidth="1"/>
    <col min="2" max="2" width="5.21875" customWidth="1"/>
    <col min="3" max="3" width="4.77734375" customWidth="1"/>
    <col min="4" max="4" width="35.77734375" customWidth="1"/>
    <col min="5" max="5" width="14.77734375" bestFit="1" customWidth="1"/>
    <col min="6" max="6" width="16.77734375" customWidth="1"/>
    <col min="7" max="7" width="17.77734375" customWidth="1"/>
    <col min="8" max="8" width="13.21875" bestFit="1" customWidth="1"/>
    <col min="9" max="10" width="16.77734375" bestFit="1" customWidth="1"/>
    <col min="11" max="11" width="16.33203125" bestFit="1" customWidth="1"/>
    <col min="12" max="12" width="13.21875" bestFit="1" customWidth="1"/>
    <col min="13" max="14" width="16.77734375" bestFit="1" customWidth="1"/>
    <col min="15" max="15" width="16.33203125" bestFit="1" customWidth="1"/>
    <col min="16" max="16" width="13.21875" bestFit="1" customWidth="1"/>
    <col min="17" max="18" width="16.77734375" bestFit="1" customWidth="1"/>
    <col min="19" max="19" width="16.33203125" bestFit="1" customWidth="1"/>
    <col min="20" max="20" width="13.21875" bestFit="1" customWidth="1"/>
    <col min="21" max="22" width="16.77734375" bestFit="1" customWidth="1"/>
    <col min="23" max="23" width="16.33203125" bestFit="1" customWidth="1"/>
    <col min="24" max="24" width="13.21875" bestFit="1" customWidth="1"/>
    <col min="25" max="26" width="16.77734375" bestFit="1" customWidth="1"/>
    <col min="27" max="27" width="16.33203125" bestFit="1" customWidth="1"/>
    <col min="28" max="28" width="13.21875" bestFit="1" customWidth="1"/>
  </cols>
  <sheetData>
    <row r="1" spans="1:12" s="3" customFormat="1" ht="20.399999999999999" customHeight="1" x14ac:dyDescent="0.3">
      <c r="A1" s="7" t="str">
        <f ca="1">MID(CELL("filename",A1),FIND("[",CELL("filename",A1))+1,FIND("]",CELL("filename",A1))-FIND("[",CELL("filename",A1))-6)</f>
        <v>Valuation_project</v>
      </c>
    </row>
    <row r="2" spans="1:12" s="3" customFormat="1" ht="16.2" customHeight="1" x14ac:dyDescent="0.3">
      <c r="A2" s="7" t="str">
        <f ca="1">MID(CELL("filename",A2),FIND("]",CELL("filename",A2))+1,LEN(CELL("filename",A2)))</f>
        <v>Timing</v>
      </c>
    </row>
    <row r="3" spans="1:12" s="3" customFormat="1" x14ac:dyDescent="0.3">
      <c r="G3" s="6" t="s">
        <v>0</v>
      </c>
      <c r="H3" s="8">
        <f>H18</f>
        <v>1</v>
      </c>
      <c r="I3" s="8">
        <f t="shared" ref="I3:L3" si="0">I18</f>
        <v>2</v>
      </c>
      <c r="J3" s="8">
        <f t="shared" si="0"/>
        <v>3</v>
      </c>
      <c r="K3" s="8">
        <f t="shared" si="0"/>
        <v>4</v>
      </c>
      <c r="L3" s="8">
        <f t="shared" si="0"/>
        <v>5</v>
      </c>
    </row>
    <row r="4" spans="1:12" s="3" customFormat="1" x14ac:dyDescent="0.3">
      <c r="G4" s="6" t="s">
        <v>1</v>
      </c>
      <c r="H4" s="22">
        <f t="shared" ref="H4:L6" si="1">H19</f>
        <v>45017</v>
      </c>
      <c r="I4" s="24">
        <f t="shared" si="1"/>
        <v>45383</v>
      </c>
      <c r="J4" s="24">
        <f t="shared" si="1"/>
        <v>45748</v>
      </c>
      <c r="K4" s="24">
        <f t="shared" si="1"/>
        <v>46113</v>
      </c>
      <c r="L4" s="24">
        <f t="shared" si="1"/>
        <v>46478</v>
      </c>
    </row>
    <row r="5" spans="1:12" s="3" customFormat="1" x14ac:dyDescent="0.3">
      <c r="G5" s="6" t="s">
        <v>2</v>
      </c>
      <c r="H5" s="22">
        <f t="shared" si="1"/>
        <v>45382</v>
      </c>
      <c r="I5" s="24">
        <f t="shared" si="1"/>
        <v>45747</v>
      </c>
      <c r="J5" s="24">
        <f t="shared" si="1"/>
        <v>46112</v>
      </c>
      <c r="K5" s="24">
        <f t="shared" si="1"/>
        <v>46477</v>
      </c>
      <c r="L5" s="24">
        <f t="shared" si="1"/>
        <v>46843</v>
      </c>
    </row>
    <row r="6" spans="1:12" s="3" customFormat="1" x14ac:dyDescent="0.3">
      <c r="E6" s="8" t="s">
        <v>10</v>
      </c>
      <c r="G6" s="6" t="s">
        <v>3</v>
      </c>
      <c r="H6" s="8" t="str">
        <f t="shared" si="1"/>
        <v>Actual</v>
      </c>
      <c r="I6" s="8" t="str">
        <f t="shared" si="1"/>
        <v>Projected</v>
      </c>
      <c r="J6" s="8" t="str">
        <f t="shared" si="1"/>
        <v>Projected</v>
      </c>
      <c r="K6" s="8" t="str">
        <f t="shared" si="1"/>
        <v>Projected</v>
      </c>
      <c r="L6" s="8" t="str">
        <f t="shared" si="1"/>
        <v>Projected</v>
      </c>
    </row>
    <row r="8" spans="1:12" s="135" customFormat="1" x14ac:dyDescent="0.3">
      <c r="A8" s="135" t="s">
        <v>12</v>
      </c>
    </row>
    <row r="10" spans="1:12" x14ac:dyDescent="0.3">
      <c r="D10" s="12" t="s">
        <v>5</v>
      </c>
      <c r="E10" s="15" t="s">
        <v>8</v>
      </c>
      <c r="F10" s="26">
        <f>Inputs!F10</f>
        <v>45017</v>
      </c>
    </row>
    <row r="11" spans="1:12" x14ac:dyDescent="0.3">
      <c r="D11" s="13" t="s">
        <v>6</v>
      </c>
      <c r="E11" s="16" t="s">
        <v>8</v>
      </c>
      <c r="F11" s="27">
        <f>Inputs!F11</f>
        <v>45382</v>
      </c>
    </row>
    <row r="12" spans="1:12" x14ac:dyDescent="0.3">
      <c r="D12" s="13" t="s">
        <v>7</v>
      </c>
      <c r="E12" s="16" t="s">
        <v>9</v>
      </c>
      <c r="F12" s="28">
        <v>4</v>
      </c>
    </row>
    <row r="13" spans="1:12" x14ac:dyDescent="0.3">
      <c r="D13" s="13" t="s">
        <v>11</v>
      </c>
      <c r="E13" s="16" t="s">
        <v>8</v>
      </c>
      <c r="F13" s="27">
        <f>EOMONTH(F11,48)</f>
        <v>46843</v>
      </c>
    </row>
    <row r="14" spans="1:12" x14ac:dyDescent="0.3">
      <c r="D14" s="14"/>
      <c r="E14" s="2"/>
      <c r="F14" s="20"/>
    </row>
    <row r="16" spans="1:12" x14ac:dyDescent="0.3">
      <c r="D16" t="s">
        <v>16</v>
      </c>
      <c r="E16" s="21" t="s">
        <v>14</v>
      </c>
      <c r="F16" s="25">
        <v>12</v>
      </c>
    </row>
    <row r="18" spans="1:28" x14ac:dyDescent="0.3">
      <c r="D18" t="s">
        <v>0</v>
      </c>
      <c r="E18" s="9" t="s">
        <v>14</v>
      </c>
      <c r="H18" s="9">
        <v>1</v>
      </c>
      <c r="I18" s="9">
        <v>2</v>
      </c>
      <c r="J18" s="9">
        <v>3</v>
      </c>
      <c r="K18" s="9">
        <v>4</v>
      </c>
      <c r="L18" s="9">
        <v>5</v>
      </c>
    </row>
    <row r="19" spans="1:28" x14ac:dyDescent="0.3">
      <c r="D19" t="s">
        <v>1</v>
      </c>
      <c r="E19" s="9" t="s">
        <v>8</v>
      </c>
      <c r="H19" s="23">
        <f>F10</f>
        <v>45017</v>
      </c>
      <c r="I19" s="23">
        <f>H20+1</f>
        <v>45383</v>
      </c>
      <c r="J19" s="23">
        <f>I20+1</f>
        <v>45748</v>
      </c>
      <c r="K19" s="23">
        <f t="shared" ref="K19:L19" si="2">J20+1</f>
        <v>46113</v>
      </c>
      <c r="L19" s="23">
        <f t="shared" si="2"/>
        <v>46478</v>
      </c>
      <c r="M19" s="10"/>
    </row>
    <row r="20" spans="1:28" x14ac:dyDescent="0.3">
      <c r="D20" t="s">
        <v>2</v>
      </c>
      <c r="E20" s="9" t="s">
        <v>8</v>
      </c>
      <c r="H20" s="23">
        <f>MIN(DATE(IF(MONTH(H19)&gt;3,YEAR(H19)+1,YEAR(H19)),3,31),EOMONTH(H19-1,F16))</f>
        <v>45382</v>
      </c>
      <c r="I20" s="23">
        <f>EOMONTH(I19-1,$F$16)</f>
        <v>45747</v>
      </c>
      <c r="J20" s="23">
        <f>EOMONTH(J19-1,$F$16)</f>
        <v>46112</v>
      </c>
      <c r="K20" s="23">
        <f t="shared" ref="K20:L20" si="3">EOMONTH(K19-1,$F$16)</f>
        <v>46477</v>
      </c>
      <c r="L20" s="23">
        <f t="shared" si="3"/>
        <v>46843</v>
      </c>
      <c r="M20" s="10"/>
    </row>
    <row r="21" spans="1:28" x14ac:dyDescent="0.3">
      <c r="D21" t="s">
        <v>13</v>
      </c>
      <c r="E21" s="9" t="s">
        <v>15</v>
      </c>
      <c r="H21" s="9" t="str">
        <f>IF(H20&lt;=$F$11,"Actual","Projected")</f>
        <v>Actual</v>
      </c>
      <c r="I21" s="9" t="str">
        <f t="shared" ref="I21:L21" si="4">IF(I20&lt;=$F$11,"Actual","Projected")</f>
        <v>Projected</v>
      </c>
      <c r="J21" s="9" t="str">
        <f t="shared" si="4"/>
        <v>Projected</v>
      </c>
      <c r="K21" s="9" t="str">
        <f t="shared" si="4"/>
        <v>Projected</v>
      </c>
      <c r="L21" s="9" t="str">
        <f t="shared" si="4"/>
        <v>Projected</v>
      </c>
    </row>
    <row r="24" spans="1:28" s="135" customFormat="1" x14ac:dyDescent="0.3">
      <c r="A24" s="135" t="s">
        <v>17</v>
      </c>
    </row>
    <row r="26" spans="1:28" x14ac:dyDescent="0.3">
      <c r="D26" t="s">
        <v>16</v>
      </c>
      <c r="E26" s="9" t="s">
        <v>14</v>
      </c>
      <c r="F26" s="25">
        <v>3</v>
      </c>
    </row>
    <row r="27" spans="1:28" x14ac:dyDescent="0.3">
      <c r="E27" s="9"/>
    </row>
    <row r="28" spans="1:28" x14ac:dyDescent="0.3">
      <c r="D28" t="s">
        <v>0</v>
      </c>
      <c r="E28" s="9" t="s">
        <v>14</v>
      </c>
      <c r="H28" s="9">
        <v>1</v>
      </c>
      <c r="I28" s="9">
        <f>H28+1</f>
        <v>2</v>
      </c>
      <c r="J28" s="9">
        <f t="shared" ref="J28:AA28" si="5">I28+1</f>
        <v>3</v>
      </c>
      <c r="K28" s="9">
        <f t="shared" si="5"/>
        <v>4</v>
      </c>
      <c r="L28" s="9">
        <f t="shared" si="5"/>
        <v>5</v>
      </c>
      <c r="M28" s="9">
        <f t="shared" si="5"/>
        <v>6</v>
      </c>
      <c r="N28" s="9">
        <f t="shared" si="5"/>
        <v>7</v>
      </c>
      <c r="O28" s="9">
        <f t="shared" si="5"/>
        <v>8</v>
      </c>
      <c r="P28" s="9">
        <f t="shared" si="5"/>
        <v>9</v>
      </c>
      <c r="Q28" s="9">
        <f t="shared" si="5"/>
        <v>10</v>
      </c>
      <c r="R28" s="9">
        <f t="shared" si="5"/>
        <v>11</v>
      </c>
      <c r="S28" s="9">
        <f t="shared" si="5"/>
        <v>12</v>
      </c>
      <c r="T28" s="9">
        <f t="shared" si="5"/>
        <v>13</v>
      </c>
      <c r="U28" s="9">
        <f t="shared" si="5"/>
        <v>14</v>
      </c>
      <c r="V28" s="9">
        <f t="shared" si="5"/>
        <v>15</v>
      </c>
      <c r="W28" s="9">
        <f t="shared" si="5"/>
        <v>16</v>
      </c>
      <c r="X28" s="9">
        <f t="shared" si="5"/>
        <v>17</v>
      </c>
      <c r="Y28" s="9">
        <f t="shared" si="5"/>
        <v>18</v>
      </c>
      <c r="Z28" s="9">
        <f t="shared" si="5"/>
        <v>19</v>
      </c>
      <c r="AA28" s="9">
        <f t="shared" si="5"/>
        <v>20</v>
      </c>
    </row>
    <row r="29" spans="1:28" x14ac:dyDescent="0.3">
      <c r="D29" t="s">
        <v>1</v>
      </c>
      <c r="E29" s="9" t="s">
        <v>8</v>
      </c>
      <c r="H29" s="23">
        <f>F10</f>
        <v>45017</v>
      </c>
      <c r="I29" s="23">
        <f>H30</f>
        <v>45107</v>
      </c>
      <c r="J29" s="23">
        <f>I30</f>
        <v>45199</v>
      </c>
      <c r="K29" s="23">
        <f t="shared" ref="K29:AA29" si="6">J30</f>
        <v>45291</v>
      </c>
      <c r="L29" s="23">
        <f t="shared" si="6"/>
        <v>45382</v>
      </c>
      <c r="M29" s="23">
        <f t="shared" si="6"/>
        <v>45473</v>
      </c>
      <c r="N29" s="23">
        <f t="shared" si="6"/>
        <v>45565</v>
      </c>
      <c r="O29" s="23">
        <f t="shared" si="6"/>
        <v>45657</v>
      </c>
      <c r="P29" s="23">
        <f t="shared" si="6"/>
        <v>45747</v>
      </c>
      <c r="Q29" s="23">
        <f t="shared" si="6"/>
        <v>45838</v>
      </c>
      <c r="R29" s="23">
        <f t="shared" si="6"/>
        <v>45930</v>
      </c>
      <c r="S29" s="23">
        <f t="shared" si="6"/>
        <v>46022</v>
      </c>
      <c r="T29" s="23">
        <f t="shared" si="6"/>
        <v>46112</v>
      </c>
      <c r="U29" s="23">
        <f t="shared" si="6"/>
        <v>46203</v>
      </c>
      <c r="V29" s="23">
        <f t="shared" si="6"/>
        <v>46295</v>
      </c>
      <c r="W29" s="23">
        <f t="shared" si="6"/>
        <v>46387</v>
      </c>
      <c r="X29" s="23">
        <f t="shared" si="6"/>
        <v>46477</v>
      </c>
      <c r="Y29" s="23">
        <f t="shared" si="6"/>
        <v>46568</v>
      </c>
      <c r="Z29" s="23">
        <f t="shared" si="6"/>
        <v>46660</v>
      </c>
      <c r="AA29" s="23">
        <f t="shared" si="6"/>
        <v>46752</v>
      </c>
      <c r="AB29" s="10"/>
    </row>
    <row r="30" spans="1:28" x14ac:dyDescent="0.3">
      <c r="D30" t="s">
        <v>2</v>
      </c>
      <c r="E30" s="9" t="s">
        <v>8</v>
      </c>
      <c r="H30" s="23">
        <f>MIN(DATE(IF(MONTH(H29&gt;3),YEAR(H29)+1,YEAR(H29)),3,31),EOMONTH(H29-1,F26))</f>
        <v>45107</v>
      </c>
      <c r="I30" s="23">
        <f>EOMONTH(I29-1,$F$26)</f>
        <v>45199</v>
      </c>
      <c r="J30" s="23">
        <f>EOMONTH(J29-1,$F$26)</f>
        <v>45291</v>
      </c>
      <c r="K30" s="23">
        <f t="shared" ref="K30:O30" si="7">EOMONTH(K29-1,$F$26)</f>
        <v>45382</v>
      </c>
      <c r="L30" s="23">
        <f t="shared" si="7"/>
        <v>45473</v>
      </c>
      <c r="M30" s="23">
        <f t="shared" si="7"/>
        <v>45565</v>
      </c>
      <c r="N30" s="23">
        <f t="shared" si="7"/>
        <v>45657</v>
      </c>
      <c r="O30" s="23">
        <f t="shared" si="7"/>
        <v>45747</v>
      </c>
      <c r="P30" s="23">
        <f t="shared" ref="P30" si="8">EOMONTH(P29-1,$F$26)</f>
        <v>45838</v>
      </c>
      <c r="Q30" s="23">
        <f t="shared" ref="Q30" si="9">EOMONTH(Q29-1,$F$26)</f>
        <v>45930</v>
      </c>
      <c r="R30" s="23">
        <f t="shared" ref="R30:T30" si="10">EOMONTH(R29-1,$F$26)</f>
        <v>46022</v>
      </c>
      <c r="S30" s="23">
        <f t="shared" si="10"/>
        <v>46112</v>
      </c>
      <c r="T30" s="23">
        <f t="shared" si="10"/>
        <v>46203</v>
      </c>
      <c r="U30" s="23">
        <f t="shared" ref="U30" si="11">EOMONTH(U29-1,$F$26)</f>
        <v>46295</v>
      </c>
      <c r="V30" s="23">
        <f t="shared" ref="V30" si="12">EOMONTH(V29-1,$F$26)</f>
        <v>46387</v>
      </c>
      <c r="W30" s="23">
        <f t="shared" ref="W30:Y30" si="13">EOMONTH(W29-1,$F$26)</f>
        <v>46477</v>
      </c>
      <c r="X30" s="23">
        <f t="shared" si="13"/>
        <v>46568</v>
      </c>
      <c r="Y30" s="23">
        <f t="shared" si="13"/>
        <v>46660</v>
      </c>
      <c r="Z30" s="23">
        <f t="shared" ref="Z30" si="14">EOMONTH(Z29-1,$F$26)</f>
        <v>46752</v>
      </c>
      <c r="AA30" s="23">
        <f t="shared" ref="AA30" si="15">EOMONTH(AA29-1,$F$26)</f>
        <v>46843</v>
      </c>
      <c r="AB30" s="10"/>
    </row>
    <row r="31" spans="1:28" x14ac:dyDescent="0.3">
      <c r="D31" t="s">
        <v>13</v>
      </c>
      <c r="E31" s="9" t="s">
        <v>3</v>
      </c>
      <c r="H31" s="9" t="str">
        <f>IF(H30&lt;=$F$11,"Actual","Projected")</f>
        <v>Actual</v>
      </c>
      <c r="I31" s="9" t="str">
        <f t="shared" ref="I31:K31" si="16">IF(I30&lt;=$F$11,"Actual","Projected")</f>
        <v>Actual</v>
      </c>
      <c r="J31" s="9" t="str">
        <f t="shared" si="16"/>
        <v>Actual</v>
      </c>
      <c r="K31" s="9" t="str">
        <f t="shared" si="16"/>
        <v>Actual</v>
      </c>
      <c r="L31" s="9" t="str">
        <f>IF(L30&lt;=$F$11,"Actual","Projected")</f>
        <v>Projected</v>
      </c>
      <c r="M31" s="9" t="str">
        <f t="shared" ref="M31" si="17">IF(M30&lt;=$F$11,"Actual","Projected")</f>
        <v>Projected</v>
      </c>
      <c r="N31" s="9" t="str">
        <f t="shared" ref="N31" si="18">IF(N30&lt;=$F$11,"Actual","Projected")</f>
        <v>Projected</v>
      </c>
      <c r="O31" s="9" t="str">
        <f t="shared" ref="O31" si="19">IF(O30&lt;=$F$11,"Actual","Projected")</f>
        <v>Projected</v>
      </c>
      <c r="P31" s="9" t="str">
        <f t="shared" ref="P31:R31" si="20">IF(P30&lt;=$F$11,"Actual","Projected")</f>
        <v>Projected</v>
      </c>
      <c r="Q31" s="9" t="str">
        <f t="shared" si="20"/>
        <v>Projected</v>
      </c>
      <c r="R31" s="9" t="str">
        <f t="shared" si="20"/>
        <v>Projected</v>
      </c>
      <c r="S31" s="9" t="str">
        <f t="shared" ref="S31" si="21">IF(S30&lt;=$F$11,"Actual","Projected")</f>
        <v>Projected</v>
      </c>
      <c r="T31" s="9" t="str">
        <f t="shared" ref="T31" si="22">IF(T30&lt;=$F$11,"Actual","Projected")</f>
        <v>Projected</v>
      </c>
      <c r="U31" s="9" t="str">
        <f t="shared" ref="U31:W31" si="23">IF(U30&lt;=$F$11,"Actual","Projected")</f>
        <v>Projected</v>
      </c>
      <c r="V31" s="9" t="str">
        <f t="shared" si="23"/>
        <v>Projected</v>
      </c>
      <c r="W31" s="9" t="str">
        <f t="shared" si="23"/>
        <v>Projected</v>
      </c>
      <c r="X31" s="9" t="str">
        <f t="shared" ref="X31" si="24">IF(X30&lt;=$F$11,"Actual","Projected")</f>
        <v>Projected</v>
      </c>
      <c r="Y31" s="9" t="str">
        <f t="shared" ref="Y31" si="25">IF(Y30&lt;=$F$11,"Actual","Projected")</f>
        <v>Projected</v>
      </c>
      <c r="Z31" s="9" t="str">
        <f t="shared" ref="Z31:AA31" si="26">IF(Z30&lt;=$F$11,"Actual","Projected")</f>
        <v>Projected</v>
      </c>
      <c r="AA31" s="9" t="str">
        <f t="shared" si="26"/>
        <v>Projected</v>
      </c>
    </row>
    <row r="33" spans="1:1" s="3" customFormat="1" x14ac:dyDescent="0.3">
      <c r="A33" s="3" t="s">
        <v>18</v>
      </c>
    </row>
  </sheetData>
  <mergeCells count="2">
    <mergeCell ref="A8:XFD8"/>
    <mergeCell ref="A24:XFD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showGridLines="0" tabSelected="1" workbookViewId="0">
      <pane xSplit="7" ySplit="6" topLeftCell="H12" activePane="bottomRight" state="frozen"/>
      <selection pane="topRight" activeCell="H1" sqref="H1"/>
      <selection pane="bottomLeft" activeCell="A7" sqref="A7"/>
      <selection pane="bottomRight" activeCell="J18" sqref="J18"/>
    </sheetView>
  </sheetViews>
  <sheetFormatPr defaultRowHeight="14.4" x14ac:dyDescent="0.3"/>
  <cols>
    <col min="1" max="1" width="3.88671875" customWidth="1"/>
    <col min="2" max="2" width="5.21875" customWidth="1"/>
    <col min="3" max="3" width="4.77734375" customWidth="1"/>
    <col min="4" max="4" width="65" bestFit="1" customWidth="1"/>
    <col min="5" max="5" width="11.33203125" customWidth="1"/>
    <col min="6" max="6" width="18.88671875" customWidth="1"/>
    <col min="7" max="7" width="17.77734375" customWidth="1"/>
    <col min="8" max="12" width="13.21875" bestFit="1" customWidth="1"/>
  </cols>
  <sheetData>
    <row r="1" spans="1:13" s="3" customFormat="1" ht="20.399999999999999" customHeight="1" x14ac:dyDescent="0.3">
      <c r="A1" s="7" t="str">
        <f ca="1">MID(CELL("filename",A1),FIND("[",CELL("filename",A1))+1,FIND("]",CELL("filename",A1))-FIND("[",CELL("filename",A1))-6)</f>
        <v>Valuation_project</v>
      </c>
    </row>
    <row r="2" spans="1:13" s="3" customFormat="1" ht="16.2" customHeight="1" x14ac:dyDescent="0.3">
      <c r="A2" s="7" t="str">
        <f ca="1">MID(CELL("filename",A2),FIND("]",CELL("filename",A2))+1,LEN(CELL("filename",A2)))</f>
        <v>Valuation</v>
      </c>
    </row>
    <row r="3" spans="1:13" s="3" customFormat="1" x14ac:dyDescent="0.3">
      <c r="G3" s="6" t="s">
        <v>0</v>
      </c>
      <c r="H3" s="8">
        <f>Inputs!H3</f>
        <v>1</v>
      </c>
      <c r="I3" s="8">
        <f>Inputs!I3</f>
        <v>2</v>
      </c>
      <c r="J3" s="8">
        <f>Inputs!J3</f>
        <v>3</v>
      </c>
      <c r="K3" s="8">
        <f>Inputs!K3</f>
        <v>4</v>
      </c>
      <c r="L3" s="8">
        <f>Inputs!L3</f>
        <v>5</v>
      </c>
      <c r="M3" s="8"/>
    </row>
    <row r="4" spans="1:13" s="3" customFormat="1" x14ac:dyDescent="0.3">
      <c r="G4" s="6" t="s">
        <v>1</v>
      </c>
      <c r="H4" s="24">
        <f>Inputs!H4</f>
        <v>45017</v>
      </c>
      <c r="I4" s="24">
        <f>Inputs!I4</f>
        <v>45383</v>
      </c>
      <c r="J4" s="24">
        <f>Inputs!J4</f>
        <v>45748</v>
      </c>
      <c r="K4" s="24">
        <f>Inputs!K4</f>
        <v>46113</v>
      </c>
      <c r="L4" s="24">
        <f>Inputs!L4</f>
        <v>46478</v>
      </c>
      <c r="M4" s="24"/>
    </row>
    <row r="5" spans="1:13" s="3" customFormat="1" x14ac:dyDescent="0.3">
      <c r="G5" s="6" t="s">
        <v>2</v>
      </c>
      <c r="H5" s="24">
        <f>Inputs!H5</f>
        <v>45382</v>
      </c>
      <c r="I5" s="24">
        <f>Inputs!I5</f>
        <v>45747</v>
      </c>
      <c r="J5" s="24">
        <f>Inputs!J5</f>
        <v>46112</v>
      </c>
      <c r="K5" s="24">
        <f>Inputs!K5</f>
        <v>46477</v>
      </c>
      <c r="L5" s="24">
        <f>Inputs!L5</f>
        <v>46843</v>
      </c>
      <c r="M5" s="24"/>
    </row>
    <row r="6" spans="1:13" s="3" customFormat="1" x14ac:dyDescent="0.3">
      <c r="E6" s="8" t="s">
        <v>10</v>
      </c>
      <c r="G6" s="6" t="s">
        <v>3</v>
      </c>
      <c r="H6" s="8" t="str">
        <f>Inputs!H6</f>
        <v>Actual</v>
      </c>
      <c r="I6" s="8" t="str">
        <f>Inputs!I6</f>
        <v>Projected</v>
      </c>
      <c r="J6" s="8" t="str">
        <f>Inputs!J6</f>
        <v>Projected</v>
      </c>
      <c r="K6" s="8" t="str">
        <f>Inputs!K6</f>
        <v>Projected</v>
      </c>
      <c r="L6" s="8" t="str">
        <f>Inputs!L6</f>
        <v>Projected</v>
      </c>
      <c r="M6" s="8"/>
    </row>
    <row r="8" spans="1:13" s="135" customFormat="1" x14ac:dyDescent="0.3">
      <c r="A8" s="135" t="s">
        <v>441</v>
      </c>
    </row>
    <row r="10" spans="1:13" x14ac:dyDescent="0.3">
      <c r="D10" s="12" t="s">
        <v>442</v>
      </c>
      <c r="E10" s="15" t="s">
        <v>46</v>
      </c>
      <c r="F10" s="89">
        <f ca="1">FS!I78</f>
        <v>28.313104761904761</v>
      </c>
    </row>
    <row r="11" spans="1:13" x14ac:dyDescent="0.3">
      <c r="D11" s="13" t="s">
        <v>443</v>
      </c>
      <c r="E11" s="16" t="s">
        <v>46</v>
      </c>
      <c r="F11" s="19">
        <f ca="1">FS!I85</f>
        <v>57.095194295857915</v>
      </c>
    </row>
    <row r="12" spans="1:13" x14ac:dyDescent="0.3">
      <c r="D12" s="13" t="s">
        <v>419</v>
      </c>
      <c r="E12" s="16" t="s">
        <v>46</v>
      </c>
      <c r="F12" s="144">
        <f>FS!I91</f>
        <v>-4.9685212004940551</v>
      </c>
    </row>
    <row r="13" spans="1:13" x14ac:dyDescent="0.3">
      <c r="D13" s="13" t="s">
        <v>444</v>
      </c>
      <c r="E13" s="16" t="s">
        <v>46</v>
      </c>
      <c r="F13" s="19">
        <f ca="1">-FS!I66</f>
        <v>-20.433375046361512</v>
      </c>
    </row>
    <row r="14" spans="1:13" x14ac:dyDescent="0.3">
      <c r="D14" s="13" t="s">
        <v>445</v>
      </c>
      <c r="E14" s="16" t="s">
        <v>46</v>
      </c>
      <c r="F14" s="19">
        <f ca="1">FS!I67</f>
        <v>0</v>
      </c>
    </row>
    <row r="15" spans="1:13" x14ac:dyDescent="0.3">
      <c r="D15" s="13"/>
      <c r="E15" s="16"/>
      <c r="F15" s="47"/>
    </row>
    <row r="16" spans="1:13" x14ac:dyDescent="0.3">
      <c r="D16" s="13" t="s">
        <v>446</v>
      </c>
      <c r="E16" s="1"/>
      <c r="F16" s="19">
        <f ca="1">SUM(F10:F15)</f>
        <v>60.006402810907112</v>
      </c>
    </row>
    <row r="17" spans="1:6" x14ac:dyDescent="0.3">
      <c r="D17" s="14"/>
      <c r="E17" s="2"/>
      <c r="F17" s="20"/>
    </row>
    <row r="20" spans="1:6" s="135" customFormat="1" x14ac:dyDescent="0.3">
      <c r="A20" s="135" t="s">
        <v>499</v>
      </c>
    </row>
    <row r="22" spans="1:6" x14ac:dyDescent="0.3">
      <c r="D22" t="s">
        <v>192</v>
      </c>
      <c r="E22" s="9" t="s">
        <v>46</v>
      </c>
      <c r="F22">
        <f>Inputs!F243</f>
        <v>80</v>
      </c>
    </row>
    <row r="23" spans="1:6" x14ac:dyDescent="0.3">
      <c r="D23" t="s">
        <v>193</v>
      </c>
      <c r="E23" s="9" t="s">
        <v>27</v>
      </c>
      <c r="F23" s="35">
        <f>Inputs!F244</f>
        <v>0.42</v>
      </c>
    </row>
    <row r="24" spans="1:6" x14ac:dyDescent="0.3">
      <c r="D24" t="s">
        <v>194</v>
      </c>
      <c r="E24" s="9" t="s">
        <v>46</v>
      </c>
      <c r="F24">
        <f>Inputs!F245</f>
        <v>290</v>
      </c>
    </row>
    <row r="25" spans="1:6" x14ac:dyDescent="0.3">
      <c r="D25" t="s">
        <v>195</v>
      </c>
      <c r="E25" s="9" t="s">
        <v>14</v>
      </c>
      <c r="F25">
        <f>Inputs!F246</f>
        <v>14</v>
      </c>
    </row>
    <row r="26" spans="1:6" x14ac:dyDescent="0.3">
      <c r="D26" t="s">
        <v>196</v>
      </c>
      <c r="E26" s="9" t="s">
        <v>14</v>
      </c>
      <c r="F26">
        <f>Inputs!F247</f>
        <v>21</v>
      </c>
    </row>
    <row r="27" spans="1:6" x14ac:dyDescent="0.3">
      <c r="E27" s="9"/>
    </row>
    <row r="28" spans="1:6" x14ac:dyDescent="0.3">
      <c r="D28" t="s">
        <v>448</v>
      </c>
      <c r="E28" s="9" t="s">
        <v>46</v>
      </c>
      <c r="F28" s="17">
        <f>FS!I19</f>
        <v>79.374157791824985</v>
      </c>
    </row>
    <row r="29" spans="1:6" x14ac:dyDescent="0.3">
      <c r="D29" t="s">
        <v>449</v>
      </c>
      <c r="E29" s="9" t="s">
        <v>46</v>
      </c>
      <c r="F29" s="17">
        <f>FS!I40</f>
        <v>38.279735536434032</v>
      </c>
    </row>
    <row r="30" spans="1:6" x14ac:dyDescent="0.3">
      <c r="D30" t="s">
        <v>450</v>
      </c>
      <c r="E30" s="9" t="s">
        <v>27</v>
      </c>
      <c r="F30" s="17">
        <f>IF(F28=0,0,F29/F28)</f>
        <v>0.48226950182993428</v>
      </c>
    </row>
    <row r="31" spans="1:6" x14ac:dyDescent="0.3">
      <c r="D31" t="s">
        <v>447</v>
      </c>
      <c r="E31" s="9" t="s">
        <v>46</v>
      </c>
      <c r="F31" s="17">
        <f ca="1">FS!I54</f>
        <v>15.671472139988694</v>
      </c>
    </row>
    <row r="32" spans="1:6" x14ac:dyDescent="0.3">
      <c r="D32" t="s">
        <v>451</v>
      </c>
      <c r="E32" s="9" t="s">
        <v>46</v>
      </c>
      <c r="F32" s="17">
        <f ca="1">FS!I69-FS!I83</f>
        <v>-22.130871660416403</v>
      </c>
    </row>
    <row r="34" spans="4:6" x14ac:dyDescent="0.3">
      <c r="D34" s="63" t="s">
        <v>452</v>
      </c>
      <c r="E34" s="45"/>
      <c r="F34" s="46"/>
    </row>
    <row r="35" spans="4:6" x14ac:dyDescent="0.3">
      <c r="D35" s="13" t="s">
        <v>453</v>
      </c>
      <c r="E35" s="16" t="s">
        <v>14</v>
      </c>
      <c r="F35" s="19">
        <f>F25</f>
        <v>14</v>
      </c>
    </row>
    <row r="36" spans="4:6" x14ac:dyDescent="0.3">
      <c r="D36" s="13" t="s">
        <v>454</v>
      </c>
      <c r="E36" s="16" t="s">
        <v>27</v>
      </c>
      <c r="F36" s="19">
        <f>Inputs!F248</f>
        <v>0</v>
      </c>
    </row>
    <row r="37" spans="4:6" x14ac:dyDescent="0.3">
      <c r="D37" s="13"/>
      <c r="E37" s="16"/>
      <c r="F37" s="19"/>
    </row>
    <row r="38" spans="4:6" x14ac:dyDescent="0.3">
      <c r="D38" s="13" t="s">
        <v>455</v>
      </c>
      <c r="E38" s="16" t="s">
        <v>14</v>
      </c>
      <c r="F38" s="19">
        <f>F35*(1-F36)</f>
        <v>14</v>
      </c>
    </row>
    <row r="39" spans="4:6" x14ac:dyDescent="0.3">
      <c r="D39" s="13" t="s">
        <v>456</v>
      </c>
      <c r="E39" s="16" t="s">
        <v>46</v>
      </c>
      <c r="F39" s="19">
        <f>F29</f>
        <v>38.279735536434032</v>
      </c>
    </row>
    <row r="40" spans="4:6" x14ac:dyDescent="0.3">
      <c r="D40" s="13"/>
      <c r="E40" s="16"/>
      <c r="F40" s="19"/>
    </row>
    <row r="41" spans="4:6" x14ac:dyDescent="0.3">
      <c r="D41" s="13" t="s">
        <v>457</v>
      </c>
      <c r="E41" s="16" t="s">
        <v>46</v>
      </c>
      <c r="F41" s="19">
        <f>F39*F38</f>
        <v>535.91629751007645</v>
      </c>
    </row>
    <row r="42" spans="4:6" x14ac:dyDescent="0.3">
      <c r="D42" s="13" t="s">
        <v>458</v>
      </c>
      <c r="E42" s="16" t="s">
        <v>46</v>
      </c>
      <c r="F42" s="19">
        <f ca="1">-F32</f>
        <v>22.130871660416403</v>
      </c>
    </row>
    <row r="43" spans="4:6" x14ac:dyDescent="0.3">
      <c r="D43" s="13"/>
      <c r="E43" s="16"/>
      <c r="F43" s="19"/>
    </row>
    <row r="44" spans="4:6" x14ac:dyDescent="0.3">
      <c r="D44" s="76" t="s">
        <v>459</v>
      </c>
      <c r="E44" s="152" t="s">
        <v>46</v>
      </c>
      <c r="F44" s="79">
        <f ca="1">SUM(F41:F43)</f>
        <v>558.04716917049291</v>
      </c>
    </row>
    <row r="46" spans="4:6" x14ac:dyDescent="0.3">
      <c r="D46" s="63" t="s">
        <v>460</v>
      </c>
      <c r="E46" s="45"/>
      <c r="F46" s="46"/>
    </row>
    <row r="47" spans="4:6" x14ac:dyDescent="0.3">
      <c r="D47" s="13" t="s">
        <v>196</v>
      </c>
      <c r="E47" s="16" t="s">
        <v>14</v>
      </c>
      <c r="F47" s="19">
        <f>F26</f>
        <v>21</v>
      </c>
    </row>
    <row r="48" spans="4:6" x14ac:dyDescent="0.3">
      <c r="D48" s="13" t="s">
        <v>454</v>
      </c>
      <c r="E48" s="16" t="s">
        <v>27</v>
      </c>
      <c r="F48" s="19">
        <f>[1]Inputs!F249</f>
        <v>0</v>
      </c>
    </row>
    <row r="49" spans="1:6" x14ac:dyDescent="0.3">
      <c r="D49" s="13"/>
      <c r="E49" s="16"/>
      <c r="F49" s="19"/>
    </row>
    <row r="50" spans="1:6" x14ac:dyDescent="0.3">
      <c r="D50" s="13" t="s">
        <v>461</v>
      </c>
      <c r="E50" s="16" t="s">
        <v>14</v>
      </c>
      <c r="F50" s="19">
        <f>F47*(1-F48)</f>
        <v>21</v>
      </c>
    </row>
    <row r="51" spans="1:6" x14ac:dyDescent="0.3">
      <c r="D51" s="13" t="s">
        <v>447</v>
      </c>
      <c r="E51" s="16" t="s">
        <v>46</v>
      </c>
      <c r="F51" s="19">
        <f ca="1">F31</f>
        <v>15.671472139988694</v>
      </c>
    </row>
    <row r="52" spans="1:6" x14ac:dyDescent="0.3">
      <c r="D52" s="13"/>
      <c r="E52" s="16"/>
      <c r="F52" s="19"/>
    </row>
    <row r="53" spans="1:6" x14ac:dyDescent="0.3">
      <c r="D53" s="102" t="s">
        <v>462</v>
      </c>
      <c r="E53" s="157" t="s">
        <v>46</v>
      </c>
      <c r="F53" s="149">
        <f ca="1">F51*F50</f>
        <v>329.10091493976256</v>
      </c>
    </row>
    <row r="57" spans="1:6" s="135" customFormat="1" x14ac:dyDescent="0.3">
      <c r="A57" s="135" t="s">
        <v>463</v>
      </c>
    </row>
    <row r="59" spans="1:6" x14ac:dyDescent="0.3">
      <c r="D59" s="63" t="s">
        <v>464</v>
      </c>
      <c r="E59" s="45"/>
      <c r="F59" s="46"/>
    </row>
    <row r="60" spans="1:6" x14ac:dyDescent="0.3">
      <c r="D60" s="13" t="s">
        <v>465</v>
      </c>
      <c r="E60" s="16" t="s">
        <v>27</v>
      </c>
      <c r="F60" s="65">
        <f>AVERAGE(Inputs!F176,Inputs!F182)</f>
        <v>0.10250000000000001</v>
      </c>
    </row>
    <row r="61" spans="1:6" x14ac:dyDescent="0.3">
      <c r="D61" s="13" t="s">
        <v>466</v>
      </c>
      <c r="E61" s="16" t="s">
        <v>27</v>
      </c>
      <c r="F61" s="65">
        <f>Calculations!J387</f>
        <v>0.34608000000000005</v>
      </c>
    </row>
    <row r="62" spans="1:6" x14ac:dyDescent="0.3">
      <c r="D62" s="13"/>
      <c r="E62" s="16"/>
      <c r="F62" s="65"/>
    </row>
    <row r="63" spans="1:6" x14ac:dyDescent="0.3">
      <c r="D63" s="13" t="s">
        <v>467</v>
      </c>
      <c r="E63" s="16" t="s">
        <v>27</v>
      </c>
      <c r="F63" s="65">
        <f>F60*(1-F61)</f>
        <v>6.7026799999999997E-2</v>
      </c>
    </row>
    <row r="64" spans="1:6" x14ac:dyDescent="0.3">
      <c r="D64" s="13"/>
      <c r="E64" s="16"/>
      <c r="F64" s="65"/>
    </row>
    <row r="65" spans="3:12" x14ac:dyDescent="0.3">
      <c r="D65" s="13" t="s">
        <v>186</v>
      </c>
      <c r="E65" s="16" t="s">
        <v>27</v>
      </c>
      <c r="F65" s="65">
        <f>Inputs!F234</f>
        <v>0.06</v>
      </c>
    </row>
    <row r="66" spans="3:12" x14ac:dyDescent="0.3">
      <c r="D66" s="13" t="s">
        <v>187</v>
      </c>
      <c r="E66" s="16" t="s">
        <v>27</v>
      </c>
      <c r="F66" s="65">
        <f>Inputs!F235</f>
        <v>0.155</v>
      </c>
    </row>
    <row r="67" spans="3:12" x14ac:dyDescent="0.3">
      <c r="D67" s="13" t="s">
        <v>468</v>
      </c>
      <c r="E67" s="16" t="s">
        <v>14</v>
      </c>
      <c r="F67" s="65">
        <f>Inputs!F238</f>
        <v>0.75</v>
      </c>
    </row>
    <row r="68" spans="3:12" x14ac:dyDescent="0.3">
      <c r="D68" s="13"/>
      <c r="E68" s="16"/>
      <c r="F68" s="65"/>
    </row>
    <row r="69" spans="3:12" x14ac:dyDescent="0.3">
      <c r="D69" s="13" t="s">
        <v>469</v>
      </c>
      <c r="E69" s="16" t="s">
        <v>27</v>
      </c>
      <c r="F69" s="65">
        <f>F65+F67*(F66-F65)</f>
        <v>0.13125000000000001</v>
      </c>
    </row>
    <row r="70" spans="3:12" x14ac:dyDescent="0.3">
      <c r="D70" s="13"/>
      <c r="E70" s="16"/>
      <c r="F70" s="65"/>
    </row>
    <row r="71" spans="3:12" x14ac:dyDescent="0.3">
      <c r="D71" s="13" t="s">
        <v>470</v>
      </c>
      <c r="E71" s="16" t="s">
        <v>27</v>
      </c>
      <c r="F71" s="65">
        <f>Inputs!F236</f>
        <v>0</v>
      </c>
    </row>
    <row r="72" spans="3:12" x14ac:dyDescent="0.3">
      <c r="D72" s="13" t="s">
        <v>471</v>
      </c>
      <c r="E72" s="16" t="s">
        <v>27</v>
      </c>
      <c r="F72" s="65">
        <f>1-F71</f>
        <v>1</v>
      </c>
    </row>
    <row r="73" spans="3:12" x14ac:dyDescent="0.3">
      <c r="D73" s="13"/>
      <c r="E73" s="16"/>
      <c r="F73" s="65"/>
    </row>
    <row r="74" spans="3:12" x14ac:dyDescent="0.3">
      <c r="D74" s="102" t="s">
        <v>472</v>
      </c>
      <c r="E74" s="157" t="s">
        <v>27</v>
      </c>
      <c r="F74" s="158">
        <f>(F71*F63)+(F72*F69)</f>
        <v>0.13125000000000001</v>
      </c>
    </row>
    <row r="76" spans="3:12" x14ac:dyDescent="0.3">
      <c r="D76" s="63" t="s">
        <v>473</v>
      </c>
      <c r="E76" s="15"/>
      <c r="F76" s="45"/>
      <c r="G76" s="45"/>
      <c r="H76" s="45"/>
      <c r="I76" s="45"/>
      <c r="J76" s="45"/>
      <c r="K76" s="45"/>
      <c r="L76" s="46"/>
    </row>
    <row r="77" spans="3:12" x14ac:dyDescent="0.3">
      <c r="C77">
        <f>Inputs!F231</f>
        <v>3</v>
      </c>
      <c r="D77" s="13" t="s">
        <v>474</v>
      </c>
      <c r="E77" s="16" t="s">
        <v>21</v>
      </c>
      <c r="F77" s="86">
        <f>Inputs!F230</f>
        <v>45747</v>
      </c>
      <c r="G77" s="86">
        <f>EOMONTH(F77,C77*MonthsInYear)</f>
        <v>46843</v>
      </c>
      <c r="H77" s="1">
        <f>AND(H$5&gt;$F77,H$5&lt;=$G77)*1</f>
        <v>0</v>
      </c>
      <c r="I77" s="1">
        <f t="shared" ref="I77:L77" si="0">AND(I$5&gt;$F77,I$5&lt;=$G77)*1</f>
        <v>0</v>
      </c>
      <c r="J77" s="1">
        <f t="shared" si="0"/>
        <v>1</v>
      </c>
      <c r="K77" s="1">
        <f t="shared" si="0"/>
        <v>1</v>
      </c>
      <c r="L77" s="47">
        <f t="shared" si="0"/>
        <v>1</v>
      </c>
    </row>
    <row r="78" spans="3:12" x14ac:dyDescent="0.3">
      <c r="D78" s="13" t="s">
        <v>475</v>
      </c>
      <c r="E78" s="16" t="s">
        <v>21</v>
      </c>
      <c r="F78" s="1"/>
      <c r="G78" s="1"/>
      <c r="H78" s="1">
        <f>(H$5=$G77)*1</f>
        <v>0</v>
      </c>
      <c r="I78" s="1">
        <f t="shared" ref="I78:L78" si="1">(I$5=$G77)*1</f>
        <v>0</v>
      </c>
      <c r="J78" s="1">
        <f t="shared" si="1"/>
        <v>0</v>
      </c>
      <c r="K78" s="1">
        <f t="shared" si="1"/>
        <v>0</v>
      </c>
      <c r="L78" s="47">
        <f t="shared" si="1"/>
        <v>1</v>
      </c>
    </row>
    <row r="79" spans="3:12" x14ac:dyDescent="0.3">
      <c r="D79" s="13"/>
      <c r="E79" s="16"/>
      <c r="F79" s="1"/>
      <c r="G79" s="1"/>
      <c r="H79" s="1"/>
      <c r="I79" s="1"/>
      <c r="J79" s="1"/>
      <c r="K79" s="1"/>
      <c r="L79" s="47"/>
    </row>
    <row r="80" spans="3:12" x14ac:dyDescent="0.3">
      <c r="D80" s="13" t="s">
        <v>476</v>
      </c>
      <c r="E80" s="16" t="s">
        <v>477</v>
      </c>
      <c r="F80" s="1"/>
      <c r="G80" s="1"/>
      <c r="H80" s="1">
        <f>(H$5-$F77)*H77</f>
        <v>0</v>
      </c>
      <c r="I80" s="1">
        <f t="shared" ref="I80:L80" si="2">(I$5-$F77)*I77</f>
        <v>0</v>
      </c>
      <c r="J80" s="153">
        <f t="shared" si="2"/>
        <v>365</v>
      </c>
      <c r="K80" s="153">
        <f t="shared" si="2"/>
        <v>730</v>
      </c>
      <c r="L80" s="154">
        <f t="shared" si="2"/>
        <v>1096</v>
      </c>
    </row>
    <row r="81" spans="4:12" x14ac:dyDescent="0.3">
      <c r="D81" s="14" t="s">
        <v>478</v>
      </c>
      <c r="E81" s="29" t="s">
        <v>477</v>
      </c>
      <c r="F81" s="2"/>
      <c r="G81" s="2"/>
      <c r="H81" s="2">
        <f t="shared" ref="H81" si="3">(G80+(H80-G80)/2)*H$77</f>
        <v>0</v>
      </c>
      <c r="I81" s="2">
        <f t="shared" ref="I81" si="4">(H80+(I80-H80)/2)*I$77</f>
        <v>0</v>
      </c>
      <c r="J81" s="155">
        <f t="shared" ref="J81" si="5">(I80+(J80-I80)/2)*J$77</f>
        <v>182.5</v>
      </c>
      <c r="K81" s="155">
        <f t="shared" ref="K81" si="6">(J80+(K80-J80)/2)*K$77</f>
        <v>547.5</v>
      </c>
      <c r="L81" s="156">
        <f t="shared" ref="L81" si="7">(K80+(L80-K80)/2)*L$77</f>
        <v>913</v>
      </c>
    </row>
    <row r="82" spans="4:12" x14ac:dyDescent="0.3">
      <c r="E82" s="9"/>
    </row>
    <row r="83" spans="4:12" x14ac:dyDescent="0.3">
      <c r="E83" s="9"/>
    </row>
    <row r="84" spans="4:12" x14ac:dyDescent="0.3">
      <c r="D84" s="12" t="s">
        <v>479</v>
      </c>
      <c r="E84" s="15"/>
      <c r="F84" s="45"/>
      <c r="G84" s="45"/>
      <c r="H84" s="45"/>
      <c r="I84" s="45"/>
      <c r="J84" s="45"/>
      <c r="K84" s="45"/>
      <c r="L84" s="46"/>
    </row>
    <row r="85" spans="4:12" x14ac:dyDescent="0.3">
      <c r="D85" s="13" t="s">
        <v>348</v>
      </c>
      <c r="E85" s="16" t="s">
        <v>46</v>
      </c>
      <c r="F85" s="1"/>
      <c r="G85" s="1"/>
      <c r="H85" s="70">
        <f>FS!H40</f>
        <v>28.630510600000001</v>
      </c>
      <c r="I85" s="70">
        <f>FS!I40</f>
        <v>38.279735536434032</v>
      </c>
      <c r="J85" s="70">
        <f>FS!J40</f>
        <v>50.01733427329502</v>
      </c>
      <c r="K85" s="70">
        <f>FS!K40</f>
        <v>62.776141259954684</v>
      </c>
      <c r="L85" s="19">
        <f>FS!L40</f>
        <v>80.716084024703321</v>
      </c>
    </row>
    <row r="86" spans="4:12" x14ac:dyDescent="0.3">
      <c r="D86" s="13" t="s">
        <v>480</v>
      </c>
      <c r="E86" s="16" t="s">
        <v>46</v>
      </c>
      <c r="F86" s="1"/>
      <c r="G86" s="1"/>
      <c r="H86" s="70">
        <f ca="1">FS!H42</f>
        <v>-0.95809523809523811</v>
      </c>
      <c r="I86" s="70">
        <f ca="1">FS!I42</f>
        <v>-1.0243</v>
      </c>
      <c r="J86" s="70">
        <f ca="1">FS!J42</f>
        <v>-1.2388859761904765</v>
      </c>
      <c r="K86" s="70">
        <f ca="1">FS!K42</f>
        <v>-1.1156154341666666</v>
      </c>
      <c r="L86" s="19">
        <f ca="1">FS!L42</f>
        <v>-1.3372334778684523</v>
      </c>
    </row>
    <row r="87" spans="4:12" x14ac:dyDescent="0.3">
      <c r="D87" s="13"/>
      <c r="E87" s="16"/>
      <c r="F87" s="1"/>
      <c r="G87" s="1"/>
      <c r="H87" s="70"/>
      <c r="I87" s="70"/>
      <c r="J87" s="70"/>
      <c r="K87" s="70"/>
      <c r="L87" s="19"/>
    </row>
    <row r="88" spans="4:12" x14ac:dyDescent="0.3">
      <c r="D88" s="13" t="s">
        <v>398</v>
      </c>
      <c r="E88" s="16" t="s">
        <v>46</v>
      </c>
      <c r="F88" s="1"/>
      <c r="G88" s="1"/>
      <c r="H88" s="70">
        <f ca="1">SUM(H85:H87)</f>
        <v>27.672415361904761</v>
      </c>
      <c r="I88" s="70">
        <f t="shared" ref="I88:K88" ca="1" si="8">SUM(I85:I87)</f>
        <v>37.255435536434035</v>
      </c>
      <c r="J88" s="70">
        <f t="shared" ca="1" si="8"/>
        <v>48.778448297104546</v>
      </c>
      <c r="K88" s="70">
        <f t="shared" ca="1" si="8"/>
        <v>61.660525825788021</v>
      </c>
      <c r="L88" s="19">
        <f ca="1">SUM(L85:L87)</f>
        <v>79.378850546834869</v>
      </c>
    </row>
    <row r="89" spans="4:12" x14ac:dyDescent="0.3">
      <c r="D89" s="13" t="s">
        <v>481</v>
      </c>
      <c r="E89" s="16" t="s">
        <v>46</v>
      </c>
      <c r="F89" s="1"/>
      <c r="G89" s="1"/>
      <c r="H89" s="70">
        <f ca="1">-Calculations!H507</f>
        <v>-8.960241819678</v>
      </c>
      <c r="I89" s="70">
        <f ca="1">-Calculations!I507</f>
        <v>-12.282097940161187</v>
      </c>
      <c r="J89" s="70">
        <f ca="1">-Calculations!J507</f>
        <v>-16.097313592045786</v>
      </c>
      <c r="K89" s="70">
        <f ca="1">-Calculations!K507</f>
        <v>-20.42904724657695</v>
      </c>
      <c r="L89" s="19">
        <f ca="1">-Calculations!L507</f>
        <v>-26.230894744223399</v>
      </c>
    </row>
    <row r="90" spans="4:12" x14ac:dyDescent="0.3">
      <c r="D90" s="13" t="s">
        <v>482</v>
      </c>
      <c r="E90" s="16" t="s">
        <v>46</v>
      </c>
      <c r="F90" s="1"/>
      <c r="G90" s="1"/>
      <c r="H90" s="70">
        <f ca="1">-H86</f>
        <v>0.95809523809523811</v>
      </c>
      <c r="I90" s="70">
        <f t="shared" ref="I90:K90" ca="1" si="9">-I86</f>
        <v>1.0243</v>
      </c>
      <c r="J90" s="70">
        <f t="shared" ca="1" si="9"/>
        <v>1.2388859761904765</v>
      </c>
      <c r="K90" s="70">
        <f t="shared" ca="1" si="9"/>
        <v>1.1156154341666666</v>
      </c>
      <c r="L90" s="19">
        <f ca="1">-L86</f>
        <v>1.3372334778684523</v>
      </c>
    </row>
    <row r="91" spans="4:12" x14ac:dyDescent="0.3">
      <c r="D91" s="13" t="s">
        <v>483</v>
      </c>
      <c r="E91" s="16" t="s">
        <v>46</v>
      </c>
      <c r="F91" s="1"/>
      <c r="G91" s="1"/>
      <c r="H91" s="70">
        <f>FS!H107</f>
        <v>-29.8</v>
      </c>
      <c r="I91" s="70">
        <f ca="1">FS!I107</f>
        <v>-0.49550000000000005</v>
      </c>
      <c r="J91" s="70">
        <f ca="1">FS!J107</f>
        <v>-1.5857675000000002</v>
      </c>
      <c r="K91" s="70">
        <f ca="1">FS!K107</f>
        <v>-0.46141048750000002</v>
      </c>
      <c r="L91" s="19">
        <f ca="1">FS!L107</f>
        <v>-1.9723431376875</v>
      </c>
    </row>
    <row r="92" spans="4:12" x14ac:dyDescent="0.3">
      <c r="D92" s="13" t="s">
        <v>484</v>
      </c>
      <c r="E92" s="16" t="s">
        <v>46</v>
      </c>
      <c r="F92" s="1"/>
      <c r="G92" s="1"/>
      <c r="H92" s="70">
        <f>FS!H103</f>
        <v>-7.6569999791803278</v>
      </c>
      <c r="I92" s="70">
        <f>FS!I103</f>
        <v>-1.9054264094056164</v>
      </c>
      <c r="J92" s="70">
        <f>FS!J103</f>
        <v>-2.2848452383574749</v>
      </c>
      <c r="K92" s="70">
        <f>FS!K103</f>
        <v>-2.6026870322237592</v>
      </c>
      <c r="L92" s="19">
        <f>FS!L103</f>
        <v>-3.364417182383507</v>
      </c>
    </row>
    <row r="93" spans="4:12" x14ac:dyDescent="0.3">
      <c r="D93" s="13"/>
      <c r="E93" s="16"/>
      <c r="F93" s="1"/>
      <c r="G93" s="1"/>
      <c r="H93" s="70"/>
      <c r="I93" s="70"/>
      <c r="J93" s="70"/>
      <c r="K93" s="70"/>
      <c r="L93" s="19"/>
    </row>
    <row r="94" spans="4:12" x14ac:dyDescent="0.3">
      <c r="D94" s="13" t="s">
        <v>479</v>
      </c>
      <c r="E94" s="16" t="s">
        <v>46</v>
      </c>
      <c r="F94" s="1"/>
      <c r="G94" s="1"/>
      <c r="H94" s="70">
        <f ca="1">SUM(H88:H93)</f>
        <v>-17.786731198858327</v>
      </c>
      <c r="I94" s="70">
        <f t="shared" ref="I94:K94" ca="1" si="10">SUM(I88:I93)</f>
        <v>23.596711186867232</v>
      </c>
      <c r="J94" s="70">
        <f t="shared" ca="1" si="10"/>
        <v>30.049407942891754</v>
      </c>
      <c r="K94" s="70">
        <f t="shared" ca="1" si="10"/>
        <v>39.282996493653982</v>
      </c>
      <c r="L94" s="19">
        <f ca="1">SUM(L88:L93)</f>
        <v>49.148428960408914</v>
      </c>
    </row>
    <row r="95" spans="4:12" x14ac:dyDescent="0.3">
      <c r="D95" s="13"/>
      <c r="E95" s="16"/>
      <c r="F95" s="1"/>
      <c r="G95" s="1"/>
      <c r="H95" s="70"/>
      <c r="I95" s="70"/>
      <c r="J95" s="70"/>
      <c r="K95" s="70"/>
      <c r="L95" s="19"/>
    </row>
    <row r="96" spans="4:12" x14ac:dyDescent="0.3">
      <c r="D96" s="13" t="s">
        <v>485</v>
      </c>
      <c r="E96" s="16" t="s">
        <v>46</v>
      </c>
      <c r="F96" s="1"/>
      <c r="G96" s="1"/>
      <c r="H96" s="70">
        <f ca="1">H94*H$77</f>
        <v>0</v>
      </c>
      <c r="I96" s="70">
        <f t="shared" ref="I96:K96" ca="1" si="11">I94*I$77</f>
        <v>0</v>
      </c>
      <c r="J96" s="70">
        <f t="shared" ca="1" si="11"/>
        <v>30.049407942891754</v>
      </c>
      <c r="K96" s="70">
        <f t="shared" ca="1" si="11"/>
        <v>39.282996493653982</v>
      </c>
      <c r="L96" s="19">
        <f ca="1">L94*L$77</f>
        <v>49.148428960408914</v>
      </c>
    </row>
    <row r="97" spans="3:12" x14ac:dyDescent="0.3">
      <c r="D97" s="13" t="s">
        <v>486</v>
      </c>
      <c r="E97" s="16" t="s">
        <v>46</v>
      </c>
      <c r="F97" s="85">
        <f>Inputs!F240</f>
        <v>4.4999999999999998E-2</v>
      </c>
      <c r="G97" s="1"/>
      <c r="H97" s="70">
        <f ca="1">(H94*(1+$F97)/($F100-$F97))*H$78</f>
        <v>0</v>
      </c>
      <c r="I97" s="70">
        <f t="shared" ref="I97:K97" ca="1" si="12">(I94*(1+$F97)/($F100-$F97))*I$78</f>
        <v>0</v>
      </c>
      <c r="J97" s="70">
        <f t="shared" ca="1" si="12"/>
        <v>0</v>
      </c>
      <c r="K97" s="70">
        <f t="shared" ca="1" si="12"/>
        <v>0</v>
      </c>
      <c r="L97" s="19">
        <f ca="1">(L94*(1+$F97)/($F100-$F97))*L$78</f>
        <v>595.47951610002679</v>
      </c>
    </row>
    <row r="98" spans="3:12" x14ac:dyDescent="0.3">
      <c r="D98" s="13"/>
      <c r="E98" s="16"/>
      <c r="F98" s="1"/>
      <c r="G98" s="1"/>
      <c r="H98" s="70"/>
      <c r="I98" s="70"/>
      <c r="J98" s="70"/>
      <c r="K98" s="70"/>
      <c r="L98" s="19"/>
    </row>
    <row r="99" spans="3:12" x14ac:dyDescent="0.3">
      <c r="D99" s="13" t="s">
        <v>487</v>
      </c>
      <c r="E99" s="16" t="s">
        <v>46</v>
      </c>
      <c r="F99" s="1"/>
      <c r="G99" s="1"/>
      <c r="H99" s="70">
        <f ca="1">SUM(H96:H98)</f>
        <v>0</v>
      </c>
      <c r="I99" s="70">
        <f t="shared" ref="I99:K99" ca="1" si="13">SUM(I96:I98)</f>
        <v>0</v>
      </c>
      <c r="J99" s="70">
        <f t="shared" ca="1" si="13"/>
        <v>30.049407942891754</v>
      </c>
      <c r="K99" s="70">
        <f t="shared" ca="1" si="13"/>
        <v>39.282996493653982</v>
      </c>
      <c r="L99" s="19">
        <f ca="1">SUM(L96:L98)</f>
        <v>644.62794506043565</v>
      </c>
    </row>
    <row r="100" spans="3:12" x14ac:dyDescent="0.3">
      <c r="C100" s="31">
        <v>0</v>
      </c>
      <c r="D100" s="13" t="s">
        <v>488</v>
      </c>
      <c r="E100" s="16" t="s">
        <v>14</v>
      </c>
      <c r="F100" s="70">
        <f>IF(C100=0,F74,C100)</f>
        <v>0.13125000000000001</v>
      </c>
      <c r="G100" s="1"/>
      <c r="H100" s="70">
        <f t="shared" ref="H100:L100" si="14">1/(1+$F100)^(H$80/DaysInYear)*$F101</f>
        <v>1</v>
      </c>
      <c r="I100" s="70">
        <f t="shared" si="14"/>
        <v>1</v>
      </c>
      <c r="J100" s="70">
        <f t="shared" si="14"/>
        <v>0.88397790055248615</v>
      </c>
      <c r="K100" s="70">
        <f t="shared" si="14"/>
        <v>0.78141692866518098</v>
      </c>
      <c r="L100" s="19">
        <f t="shared" si="14"/>
        <v>0.69052194872825101</v>
      </c>
    </row>
    <row r="101" spans="3:12" x14ac:dyDescent="0.3">
      <c r="D101" s="13" t="s">
        <v>489</v>
      </c>
      <c r="E101" s="16" t="s">
        <v>14</v>
      </c>
      <c r="F101" s="1">
        <v>1</v>
      </c>
      <c r="G101" s="1"/>
      <c r="H101" s="70">
        <f t="shared" ref="H101:K101" si="15">1/(1+$F100)^(H$81/DaysInYear)*(1-$F101)</f>
        <v>0</v>
      </c>
      <c r="I101" s="70">
        <f t="shared" si="15"/>
        <v>0</v>
      </c>
      <c r="J101" s="70">
        <f t="shared" si="15"/>
        <v>0</v>
      </c>
      <c r="K101" s="70">
        <f t="shared" si="15"/>
        <v>0</v>
      </c>
      <c r="L101" s="19">
        <f t="shared" ref="L101" si="16">1/(1+$F100)^(L$81/DaysInYear)*(1-$F101)</f>
        <v>0</v>
      </c>
    </row>
    <row r="102" spans="3:12" x14ac:dyDescent="0.3">
      <c r="D102" s="13"/>
      <c r="E102" s="16"/>
      <c r="F102" s="1"/>
      <c r="G102" s="1"/>
      <c r="H102" s="70"/>
      <c r="I102" s="70"/>
      <c r="J102" s="70"/>
      <c r="K102" s="70"/>
      <c r="L102" s="19"/>
    </row>
    <row r="103" spans="3:12" x14ac:dyDescent="0.3">
      <c r="D103" s="13" t="s">
        <v>490</v>
      </c>
      <c r="E103" s="16" t="s">
        <v>46</v>
      </c>
      <c r="F103" s="1"/>
      <c r="G103" s="1"/>
      <c r="H103" s="70">
        <f ca="1">H99*SUM(H100:H102)</f>
        <v>0</v>
      </c>
      <c r="I103" s="70">
        <f t="shared" ref="I103:K103" ca="1" si="17">I99*SUM(I100:I102)</f>
        <v>0</v>
      </c>
      <c r="J103" s="70">
        <f t="shared" ca="1" si="17"/>
        <v>26.563012546202653</v>
      </c>
      <c r="K103" s="70">
        <f t="shared" ca="1" si="17"/>
        <v>30.696398468836168</v>
      </c>
      <c r="L103" s="19">
        <f ca="1">L99*SUM(L100:L102)</f>
        <v>445.12974482781993</v>
      </c>
    </row>
    <row r="104" spans="3:12" x14ac:dyDescent="0.3">
      <c r="D104" s="102" t="s">
        <v>491</v>
      </c>
      <c r="E104" s="157" t="s">
        <v>46</v>
      </c>
      <c r="F104" s="148">
        <f ca="1">SUM(H103:N103)</f>
        <v>502.38915584285877</v>
      </c>
      <c r="G104" s="104"/>
      <c r="H104" s="66"/>
      <c r="I104" s="2"/>
      <c r="J104" s="2"/>
      <c r="K104" s="2"/>
      <c r="L104" s="20"/>
    </row>
    <row r="106" spans="3:12" x14ac:dyDescent="0.3">
      <c r="D106" s="12" t="s">
        <v>492</v>
      </c>
      <c r="E106" s="45"/>
      <c r="F106" s="45"/>
      <c r="G106" s="45"/>
      <c r="H106" s="45"/>
      <c r="I106" s="45"/>
      <c r="J106" s="45"/>
      <c r="K106" s="45"/>
      <c r="L106" s="46"/>
    </row>
    <row r="107" spans="3:12" x14ac:dyDescent="0.3">
      <c r="D107" s="13" t="s">
        <v>348</v>
      </c>
      <c r="E107" s="1" t="s">
        <v>46</v>
      </c>
      <c r="F107" s="1"/>
      <c r="G107" s="1"/>
      <c r="H107" s="70">
        <f>FS!H40</f>
        <v>28.630510600000001</v>
      </c>
      <c r="I107" s="70">
        <f>FS!I40</f>
        <v>38.279735536434032</v>
      </c>
      <c r="J107" s="70">
        <f>FS!J40</f>
        <v>50.01733427329502</v>
      </c>
      <c r="K107" s="70">
        <f>FS!K40</f>
        <v>62.776141259954684</v>
      </c>
      <c r="L107" s="19">
        <f>FS!L40</f>
        <v>80.716084024703321</v>
      </c>
    </row>
    <row r="108" spans="3:12" x14ac:dyDescent="0.3">
      <c r="D108" s="13" t="s">
        <v>480</v>
      </c>
      <c r="E108" s="1" t="s">
        <v>46</v>
      </c>
      <c r="F108" s="1"/>
      <c r="G108" s="1"/>
      <c r="H108" s="70">
        <f ca="1">FS!H42</f>
        <v>-0.95809523809523811</v>
      </c>
      <c r="I108" s="70">
        <f ca="1">FS!I42</f>
        <v>-1.0243</v>
      </c>
      <c r="J108" s="70">
        <f ca="1">FS!J42</f>
        <v>-1.2388859761904765</v>
      </c>
      <c r="K108" s="70">
        <f ca="1">FS!K42</f>
        <v>-1.1156154341666666</v>
      </c>
      <c r="L108" s="19">
        <f ca="1">FS!L42</f>
        <v>-1.3372334778684523</v>
      </c>
    </row>
    <row r="109" spans="3:12" x14ac:dyDescent="0.3">
      <c r="D109" s="13"/>
      <c r="E109" s="1"/>
      <c r="F109" s="1"/>
      <c r="G109" s="1"/>
      <c r="H109" s="70"/>
      <c r="I109" s="70"/>
      <c r="J109" s="70"/>
      <c r="K109" s="70"/>
      <c r="L109" s="19"/>
    </row>
    <row r="110" spans="3:12" x14ac:dyDescent="0.3">
      <c r="D110" s="13" t="s">
        <v>398</v>
      </c>
      <c r="E110" s="1" t="s">
        <v>46</v>
      </c>
      <c r="F110" s="1"/>
      <c r="G110" s="1"/>
      <c r="H110" s="70">
        <f ca="1">SUM(H107:H109)</f>
        <v>27.672415361904761</v>
      </c>
      <c r="I110" s="70">
        <f t="shared" ref="I110:L110" ca="1" si="18">SUM(I107:I109)</f>
        <v>37.255435536434035</v>
      </c>
      <c r="J110" s="70">
        <f t="shared" ca="1" si="18"/>
        <v>48.778448297104546</v>
      </c>
      <c r="K110" s="70">
        <f t="shared" ca="1" si="18"/>
        <v>61.660525825788021</v>
      </c>
      <c r="L110" s="19">
        <f t="shared" ca="1" si="18"/>
        <v>79.378850546834869</v>
      </c>
    </row>
    <row r="111" spans="3:12" x14ac:dyDescent="0.3">
      <c r="D111" s="13" t="s">
        <v>493</v>
      </c>
      <c r="E111" s="1" t="s">
        <v>46</v>
      </c>
      <c r="F111" s="1"/>
      <c r="G111" s="1"/>
      <c r="H111" s="70">
        <f ca="1">SUM(FS!H46:H49)</f>
        <v>-11.025</v>
      </c>
      <c r="I111" s="70">
        <f ca="1">SUM(FS!I46:I49)</f>
        <v>-13.896448087431693</v>
      </c>
      <c r="J111" s="70">
        <f ca="1">SUM(FS!J46:J49)</f>
        <v>-14.574818410522859</v>
      </c>
      <c r="K111" s="70">
        <f ca="1">SUM(FS!K46:K49)</f>
        <v>-15.556901378885401</v>
      </c>
      <c r="L111" s="19">
        <f ca="1">SUM(FS!L46:L49)</f>
        <v>-16.873338176010805</v>
      </c>
    </row>
    <row r="112" spans="3:12" x14ac:dyDescent="0.3">
      <c r="D112" s="13" t="s">
        <v>494</v>
      </c>
      <c r="E112" s="1" t="s">
        <v>46</v>
      </c>
      <c r="F112" s="1"/>
      <c r="G112" s="1"/>
      <c r="H112" s="70">
        <f ca="1">FS!H52</f>
        <v>-5.3150460696780009</v>
      </c>
      <c r="I112" s="70">
        <f ca="1">FS!I52</f>
        <v>-7.6875153090136443</v>
      </c>
      <c r="J112" s="70">
        <f ca="1">FS!J52</f>
        <v>-11.278441380974613</v>
      </c>
      <c r="K112" s="70">
        <f ca="1">FS!K52</f>
        <v>-15.28546894367607</v>
      </c>
      <c r="L112" s="19">
        <f ca="1">FS!L52</f>
        <v>-20.652062943088946</v>
      </c>
    </row>
    <row r="113" spans="3:12" x14ac:dyDescent="0.3">
      <c r="D113" s="13" t="s">
        <v>482</v>
      </c>
      <c r="E113" s="1" t="s">
        <v>46</v>
      </c>
      <c r="F113" s="1"/>
      <c r="G113" s="1"/>
      <c r="H113" s="70">
        <f ca="1">-H108</f>
        <v>0.95809523809523811</v>
      </c>
      <c r="I113" s="70">
        <f t="shared" ref="I113:L113" ca="1" si="19">-I108</f>
        <v>1.0243</v>
      </c>
      <c r="J113" s="70">
        <f t="shared" ca="1" si="19"/>
        <v>1.2388859761904765</v>
      </c>
      <c r="K113" s="70">
        <f t="shared" ca="1" si="19"/>
        <v>1.1156154341666666</v>
      </c>
      <c r="L113" s="19">
        <f t="shared" ca="1" si="19"/>
        <v>1.3372334778684523</v>
      </c>
    </row>
    <row r="114" spans="3:12" x14ac:dyDescent="0.3">
      <c r="D114" s="13" t="s">
        <v>483</v>
      </c>
      <c r="E114" s="1" t="s">
        <v>46</v>
      </c>
      <c r="F114" s="1"/>
      <c r="G114" s="1"/>
      <c r="H114" s="70">
        <f>FS!H107</f>
        <v>-29.8</v>
      </c>
      <c r="I114" s="70">
        <f ca="1">FS!I107</f>
        <v>-0.49550000000000005</v>
      </c>
      <c r="J114" s="70">
        <f ca="1">FS!J107</f>
        <v>-1.5857675000000002</v>
      </c>
      <c r="K114" s="70">
        <f ca="1">FS!K107</f>
        <v>-0.46141048750000002</v>
      </c>
      <c r="L114" s="19">
        <f ca="1">FS!L107</f>
        <v>-1.9723431376875</v>
      </c>
    </row>
    <row r="115" spans="3:12" x14ac:dyDescent="0.3">
      <c r="D115" s="13" t="s">
        <v>484</v>
      </c>
      <c r="E115" s="1" t="s">
        <v>46</v>
      </c>
      <c r="F115" s="1"/>
      <c r="G115" s="1"/>
      <c r="H115" s="70">
        <f>FS!H103</f>
        <v>-7.6569999791803278</v>
      </c>
      <c r="I115" s="70">
        <f>FS!I103</f>
        <v>-1.9054264094056164</v>
      </c>
      <c r="J115" s="70">
        <f>FS!J103</f>
        <v>-2.2848452383574749</v>
      </c>
      <c r="K115" s="70">
        <f>FS!K103</f>
        <v>-2.6026870322237592</v>
      </c>
      <c r="L115" s="19">
        <f>FS!L103</f>
        <v>-3.364417182383507</v>
      </c>
    </row>
    <row r="116" spans="3:12" x14ac:dyDescent="0.3">
      <c r="D116" s="13" t="s">
        <v>495</v>
      </c>
      <c r="E116" s="1" t="s">
        <v>46</v>
      </c>
      <c r="F116" s="1"/>
      <c r="G116" s="1"/>
      <c r="H116" s="70">
        <f ca="1">SUM(FS!H112:H113,FS!H123:H124)</f>
        <v>30</v>
      </c>
      <c r="I116" s="70">
        <f ca="1">SUM(FS!I112:I113,FS!I123:I124)</f>
        <v>-9.5666249536384864</v>
      </c>
      <c r="J116" s="70">
        <f ca="1">SUM(FS!J112:J113,FS!J123:J124)</f>
        <v>-15.243526813110444</v>
      </c>
      <c r="K116" s="70">
        <f ca="1">SUM(FS!K112:K113,FS!K123:K124)</f>
        <v>-5.1898482332510767</v>
      </c>
      <c r="L116" s="19">
        <f ca="1">SUM(FS!L112:L113,FS!L123:L124)</f>
        <v>0</v>
      </c>
    </row>
    <row r="117" spans="3:12" x14ac:dyDescent="0.3">
      <c r="D117" s="13"/>
      <c r="E117" s="1"/>
      <c r="F117" s="1"/>
      <c r="G117" s="1"/>
      <c r="H117" s="70"/>
      <c r="I117" s="70"/>
      <c r="J117" s="70"/>
      <c r="K117" s="70"/>
      <c r="L117" s="19"/>
    </row>
    <row r="118" spans="3:12" x14ac:dyDescent="0.3">
      <c r="D118" s="13" t="s">
        <v>492</v>
      </c>
      <c r="E118" s="1" t="s">
        <v>46</v>
      </c>
      <c r="F118" s="1"/>
      <c r="G118" s="1"/>
      <c r="H118" s="70">
        <f ca="1">SUM(H110:H117)</f>
        <v>4.8334645511416738</v>
      </c>
      <c r="I118" s="70">
        <f t="shared" ref="I118:L118" ca="1" si="20">SUM(I110:I117)</f>
        <v>4.7282207769445943</v>
      </c>
      <c r="J118" s="70">
        <f t="shared" ca="1" si="20"/>
        <v>5.0499349303296324</v>
      </c>
      <c r="K118" s="70">
        <f t="shared" ca="1" si="20"/>
        <v>23.67982518441838</v>
      </c>
      <c r="L118" s="19">
        <f t="shared" ca="1" si="20"/>
        <v>37.853922585532558</v>
      </c>
    </row>
    <row r="119" spans="3:12" x14ac:dyDescent="0.3">
      <c r="D119" s="13"/>
      <c r="E119" s="1"/>
      <c r="F119" s="1"/>
      <c r="G119" s="1"/>
      <c r="H119" s="70"/>
      <c r="I119" s="70"/>
      <c r="J119" s="70"/>
      <c r="K119" s="70"/>
      <c r="L119" s="19"/>
    </row>
    <row r="120" spans="3:12" x14ac:dyDescent="0.3">
      <c r="D120" s="13" t="s">
        <v>496</v>
      </c>
      <c r="E120" s="1" t="s">
        <v>46</v>
      </c>
      <c r="F120" s="1"/>
      <c r="G120" s="1"/>
      <c r="H120" s="70">
        <f ca="1">H118*H$77</f>
        <v>0</v>
      </c>
      <c r="I120" s="70">
        <f t="shared" ref="I120:L120" ca="1" si="21">I118*I$77</f>
        <v>0</v>
      </c>
      <c r="J120" s="70">
        <f t="shared" ca="1" si="21"/>
        <v>5.0499349303296324</v>
      </c>
      <c r="K120" s="70">
        <f t="shared" ca="1" si="21"/>
        <v>23.67982518441838</v>
      </c>
      <c r="L120" s="19">
        <f t="shared" ca="1" si="21"/>
        <v>37.853922585532558</v>
      </c>
    </row>
    <row r="121" spans="3:12" x14ac:dyDescent="0.3">
      <c r="D121" s="13" t="s">
        <v>486</v>
      </c>
      <c r="E121" s="1" t="s">
        <v>46</v>
      </c>
      <c r="F121" s="85">
        <f>Inputs!F240</f>
        <v>4.4999999999999998E-2</v>
      </c>
      <c r="G121" s="1"/>
      <c r="H121" s="70">
        <f ca="1">(H118*(1+$F121)/($F125-$F121))*H$78</f>
        <v>0</v>
      </c>
      <c r="I121" s="70">
        <f t="shared" ref="I121:L121" ca="1" si="22">(I118*(1+$F121)/($F125-$F121))*I$78</f>
        <v>0</v>
      </c>
      <c r="J121" s="70">
        <f t="shared" ca="1" si="22"/>
        <v>0</v>
      </c>
      <c r="K121" s="70">
        <f t="shared" ca="1" si="22"/>
        <v>0</v>
      </c>
      <c r="L121" s="19">
        <f t="shared" ca="1" si="22"/>
        <v>458.63593161601761</v>
      </c>
    </row>
    <row r="122" spans="3:12" x14ac:dyDescent="0.3">
      <c r="D122" s="13" t="s">
        <v>497</v>
      </c>
      <c r="E122" s="1" t="s">
        <v>46</v>
      </c>
      <c r="F122" s="1"/>
      <c r="G122" s="1"/>
      <c r="H122" s="70">
        <f ca="1">SUM(I116:$N116)*H$78</f>
        <v>0</v>
      </c>
      <c r="I122" s="70">
        <f ca="1">SUM(J116:$N116)*I$78</f>
        <v>0</v>
      </c>
      <c r="J122" s="70">
        <f ca="1">SUM(K116:$N116)*J$78</f>
        <v>0</v>
      </c>
      <c r="K122" s="70">
        <f ca="1">SUM(L116:$N116)*K$78</f>
        <v>0</v>
      </c>
      <c r="L122" s="19">
        <f>SUM(M116:$N116)*L$78</f>
        <v>0</v>
      </c>
    </row>
    <row r="123" spans="3:12" x14ac:dyDescent="0.3">
      <c r="D123" s="13"/>
      <c r="E123" s="1"/>
      <c r="F123" s="1"/>
      <c r="G123" s="1"/>
      <c r="H123" s="70"/>
      <c r="I123" s="70"/>
      <c r="J123" s="70"/>
      <c r="K123" s="70"/>
      <c r="L123" s="19"/>
    </row>
    <row r="124" spans="3:12" x14ac:dyDescent="0.3">
      <c r="D124" s="13" t="s">
        <v>498</v>
      </c>
      <c r="E124" s="1" t="s">
        <v>46</v>
      </c>
      <c r="F124" s="1"/>
      <c r="G124" s="1"/>
      <c r="H124" s="70">
        <f ca="1">SUM(H120:H123)</f>
        <v>0</v>
      </c>
      <c r="I124" s="70">
        <f t="shared" ref="I124:L124" ca="1" si="23">SUM(I120:I123)</f>
        <v>0</v>
      </c>
      <c r="J124" s="70">
        <f t="shared" ca="1" si="23"/>
        <v>5.0499349303296324</v>
      </c>
      <c r="K124" s="70">
        <f t="shared" ca="1" si="23"/>
        <v>23.67982518441838</v>
      </c>
      <c r="L124" s="19">
        <f t="shared" ca="1" si="23"/>
        <v>496.4898542015502</v>
      </c>
    </row>
    <row r="125" spans="3:12" x14ac:dyDescent="0.3">
      <c r="C125" s="31">
        <v>0</v>
      </c>
      <c r="D125" s="13" t="s">
        <v>488</v>
      </c>
      <c r="E125" s="1" t="s">
        <v>14</v>
      </c>
      <c r="F125" s="70">
        <f>IF(C125=0,F69,C125)</f>
        <v>0.13125000000000001</v>
      </c>
      <c r="G125" s="1"/>
      <c r="H125" s="70">
        <f>1/(1+$F125)^(H$80/DaysInYear)*$F126</f>
        <v>1</v>
      </c>
      <c r="I125" s="70">
        <f>1/(1+$F125)^(I$80/DaysInYear)*$F126</f>
        <v>1</v>
      </c>
      <c r="J125" s="70">
        <f>1/(1+$F125)^(J$80/DaysInYear)*$F126</f>
        <v>0.88397790055248615</v>
      </c>
      <c r="K125" s="70">
        <f>1/(1+$F125)^(K$80/DaysInYear)*$F126</f>
        <v>0.78141692866518098</v>
      </c>
      <c r="L125" s="19">
        <f>1/(1+$F125)^(L$80/DaysInYear)*$F126</f>
        <v>0.69052194872825101</v>
      </c>
    </row>
    <row r="126" spans="3:12" x14ac:dyDescent="0.3">
      <c r="D126" s="13" t="s">
        <v>489</v>
      </c>
      <c r="E126" s="1" t="s">
        <v>14</v>
      </c>
      <c r="F126" s="1">
        <v>1</v>
      </c>
      <c r="G126" s="1"/>
      <c r="H126" s="70">
        <f>1/(1+$F125)^(H$81/DaysInYear)*(1-$F126)</f>
        <v>0</v>
      </c>
      <c r="I126" s="70">
        <f t="shared" ref="I126:L126" si="24">1/(1+$F125)^(I$81/DaysInYear)*(1-$F126)</f>
        <v>0</v>
      </c>
      <c r="J126" s="70">
        <f t="shared" si="24"/>
        <v>0</v>
      </c>
      <c r="K126" s="70">
        <f t="shared" si="24"/>
        <v>0</v>
      </c>
      <c r="L126" s="19">
        <f t="shared" si="24"/>
        <v>0</v>
      </c>
    </row>
    <row r="127" spans="3:12" x14ac:dyDescent="0.3">
      <c r="D127" s="13"/>
      <c r="E127" s="1"/>
      <c r="F127" s="1"/>
      <c r="G127" s="1"/>
      <c r="H127" s="70"/>
      <c r="I127" s="70"/>
      <c r="J127" s="70"/>
      <c r="K127" s="70"/>
      <c r="L127" s="19"/>
    </row>
    <row r="128" spans="3:12" x14ac:dyDescent="0.3">
      <c r="D128" s="13" t="s">
        <v>490</v>
      </c>
      <c r="E128" s="1" t="s">
        <v>46</v>
      </c>
      <c r="F128" s="1"/>
      <c r="G128" s="1"/>
      <c r="H128" s="70">
        <f ca="1">H124*SUM(H125:H127)</f>
        <v>0</v>
      </c>
      <c r="I128" s="70">
        <f t="shared" ref="I128:L128" ca="1" si="25">I124*SUM(I125:I127)</f>
        <v>0</v>
      </c>
      <c r="J128" s="70">
        <f t="shared" ca="1" si="25"/>
        <v>4.4640308776394537</v>
      </c>
      <c r="K128" s="70">
        <f t="shared" ca="1" si="25"/>
        <v>18.503816266936614</v>
      </c>
      <c r="L128" s="19">
        <f t="shared" ca="1" si="25"/>
        <v>342.8371416470597</v>
      </c>
    </row>
    <row r="129" spans="4:12" x14ac:dyDescent="0.3">
      <c r="D129" s="102" t="s">
        <v>446</v>
      </c>
      <c r="E129" s="103" t="s">
        <v>46</v>
      </c>
      <c r="F129" s="104">
        <f ca="1">SUM(H128:N128)</f>
        <v>365.80498879163576</v>
      </c>
      <c r="G129" s="2"/>
      <c r="H129" s="66"/>
      <c r="I129" s="66"/>
      <c r="J129" s="66"/>
      <c r="K129" s="66"/>
      <c r="L129" s="67"/>
    </row>
  </sheetData>
  <mergeCells count="3">
    <mergeCell ref="A8:XFD8"/>
    <mergeCell ref="A57:XFD57"/>
    <mergeCell ref="A20:XF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Inputs</vt:lpstr>
      <vt:lpstr>FS</vt:lpstr>
      <vt:lpstr>Calculations</vt:lpstr>
      <vt:lpstr>DebtQ</vt:lpstr>
      <vt:lpstr>Circ</vt:lpstr>
      <vt:lpstr>Timing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Chaudhuri</dc:creator>
  <cp:lastModifiedBy>Sanket Chaudhuri</cp:lastModifiedBy>
  <dcterms:created xsi:type="dcterms:W3CDTF">2024-05-06T14:20:44Z</dcterms:created>
  <dcterms:modified xsi:type="dcterms:W3CDTF">2024-05-13T11:24:44Z</dcterms:modified>
</cp:coreProperties>
</file>