
<file path=[Content_Types].xml><?xml version="1.0" encoding="utf-8"?>
<Types xmlns="http://schemas.openxmlformats.org/package/2006/content-types">
  <Override PartName="/xl/worksheets/sheet15.xml" ContentType="application/vnd.openxmlformats-officedocument.spreadsheetml.worksheet+xml"/>
  <Override PartName="/xl/charts/chart6.xml" ContentType="application/vnd.openxmlformats-officedocument.drawingml.chart+xml"/>
  <Override PartName="/xl/charts/chart20.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charts/chart29.xml" ContentType="application/vnd.openxmlformats-officedocument.drawingml.char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worksheets/sheet1.xml" ContentType="application/vnd.openxmlformats-officedocument.spreadsheetml.worksheet+xml"/>
  <Override PartName="/xl/charts/chart16.xml" ContentType="application/vnd.openxmlformats-officedocument.drawingml.chart+xml"/>
  <Override PartName="/xl/charts/chart17.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worksheets/sheet17.xml" ContentType="application/vnd.openxmlformats-officedocument.spreadsheetml.worksheet+xml"/>
  <Override PartName="/xl/worksheets/sheet18.xml" ContentType="application/vnd.openxmlformats-officedocument.spreadsheetml.worksheet+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Override PartName="/xl/charts/chart10.xml" ContentType="application/vnd.openxmlformats-officedocument.drawingml.chart+xml"/>
  <Override PartName="/xl/worksheets/sheet14.xml" ContentType="application/vnd.openxmlformats-officedocument.spreadsheetml.worksheet+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charts/chart3.xml" ContentType="application/vnd.openxmlformats-officedocument.drawingml.char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Whole Data" sheetId="1" r:id="rId1"/>
    <sheet name="Average SGPA" sheetId="2" r:id="rId2"/>
    <sheet name="Categories" sheetId="3" r:id="rId3"/>
    <sheet name="Crosstables" sheetId="4" r:id="rId4"/>
    <sheet name="Whole Data(Spare)" sheetId="5" r:id="rId5"/>
    <sheet name="ANOVA (R)" sheetId="6" r:id="rId6"/>
    <sheet name="ANOVA (Excel)" sheetId="16" r:id="rId7"/>
    <sheet name="ANOVA Calculations" sheetId="15" r:id="rId8"/>
    <sheet name="ANOVA" sheetId="23" r:id="rId9"/>
    <sheet name="Dummy" sheetId="7" r:id="rId10"/>
    <sheet name="Regression" sheetId="10" r:id="rId11"/>
    <sheet name="Actual SGPA" sheetId="9" r:id="rId12"/>
    <sheet name="Predicted AVG upto 4th" sheetId="11" r:id="rId13"/>
    <sheet name="Wrong(Pred svg upto 4 vs act 5)" sheetId="13" r:id="rId14"/>
    <sheet name="Pred vs act 4 avg SGPA" sheetId="24" r:id="rId15"/>
    <sheet name="Regression-II" sheetId="29" r:id="rId16"/>
    <sheet name="Regression-III" sheetId="30" r:id="rId17"/>
    <sheet name="Dummy-II" sheetId="25" r:id="rId18"/>
    <sheet name="Pred vs Act upto 5th" sheetId="27" r:id="rId19"/>
    <sheet name="Predicting 5th SGPA" sheetId="26" r:id="rId20"/>
    <sheet name="Plot" sheetId="32" r:id="rId21"/>
  </sheets>
  <calcPr calcId="124519"/>
</workbook>
</file>

<file path=xl/calcChain.xml><?xml version="1.0" encoding="utf-8"?>
<calcChain xmlns="http://schemas.openxmlformats.org/spreadsheetml/2006/main">
  <c r="O53" i="26"/>
  <c r="N53"/>
  <c r="M53"/>
  <c r="L53"/>
  <c r="H44"/>
  <c r="I44"/>
  <c r="J44"/>
  <c r="K44"/>
  <c r="K3"/>
  <c r="K4"/>
  <c r="K5"/>
  <c r="K6"/>
  <c r="K7"/>
  <c r="K8"/>
  <c r="K9"/>
  <c r="K10"/>
  <c r="K11"/>
  <c r="K12"/>
  <c r="K13"/>
  <c r="K14"/>
  <c r="K15"/>
  <c r="K16"/>
  <c r="K17"/>
  <c r="K18"/>
  <c r="K19"/>
  <c r="K20"/>
  <c r="K21"/>
  <c r="K22"/>
  <c r="K23"/>
  <c r="K24"/>
  <c r="K25"/>
  <c r="K26"/>
  <c r="K27"/>
  <c r="K28"/>
  <c r="K29"/>
  <c r="K30"/>
  <c r="K31"/>
  <c r="K32"/>
  <c r="K33"/>
  <c r="K34"/>
  <c r="K35"/>
  <c r="K36"/>
  <c r="K37"/>
  <c r="K38"/>
  <c r="K39"/>
  <c r="K40"/>
  <c r="K41"/>
  <c r="K42"/>
  <c r="K43"/>
  <c r="J3"/>
  <c r="J4"/>
  <c r="J5"/>
  <c r="J6"/>
  <c r="J7"/>
  <c r="J8"/>
  <c r="J9"/>
  <c r="J10"/>
  <c r="J11"/>
  <c r="J12"/>
  <c r="J13"/>
  <c r="J14"/>
  <c r="J15"/>
  <c r="J16"/>
  <c r="J17"/>
  <c r="J18"/>
  <c r="J19"/>
  <c r="J20"/>
  <c r="J21"/>
  <c r="J22"/>
  <c r="J23"/>
  <c r="J24"/>
  <c r="J25"/>
  <c r="J26"/>
  <c r="J27"/>
  <c r="J28"/>
  <c r="J29"/>
  <c r="J30"/>
  <c r="J31"/>
  <c r="J32"/>
  <c r="J33"/>
  <c r="J34"/>
  <c r="J35"/>
  <c r="J36"/>
  <c r="J37"/>
  <c r="J38"/>
  <c r="J39"/>
  <c r="J40"/>
  <c r="J41"/>
  <c r="J42"/>
  <c r="J43"/>
  <c r="I3"/>
  <c r="I4"/>
  <c r="I5"/>
  <c r="I6"/>
  <c r="I7"/>
  <c r="I8"/>
  <c r="I9"/>
  <c r="I10"/>
  <c r="I11"/>
  <c r="I12"/>
  <c r="I13"/>
  <c r="I14"/>
  <c r="I15"/>
  <c r="I16"/>
  <c r="I17"/>
  <c r="I18"/>
  <c r="I19"/>
  <c r="I20"/>
  <c r="I21"/>
  <c r="I22"/>
  <c r="I23"/>
  <c r="I24"/>
  <c r="I25"/>
  <c r="I26"/>
  <c r="I27"/>
  <c r="I28"/>
  <c r="I29"/>
  <c r="I30"/>
  <c r="I31"/>
  <c r="I32"/>
  <c r="I33"/>
  <c r="I34"/>
  <c r="I35"/>
  <c r="I36"/>
  <c r="I37"/>
  <c r="I38"/>
  <c r="I39"/>
  <c r="I40"/>
  <c r="I41"/>
  <c r="I42"/>
  <c r="I43"/>
  <c r="H3"/>
  <c r="H4"/>
  <c r="H5"/>
  <c r="H6"/>
  <c r="H7"/>
  <c r="H8"/>
  <c r="H9"/>
  <c r="H10"/>
  <c r="H11"/>
  <c r="H12"/>
  <c r="H13"/>
  <c r="H14"/>
  <c r="H15"/>
  <c r="H16"/>
  <c r="H17"/>
  <c r="H18"/>
  <c r="H19"/>
  <c r="H20"/>
  <c r="H21"/>
  <c r="H22"/>
  <c r="H23"/>
  <c r="H24"/>
  <c r="H25"/>
  <c r="H26"/>
  <c r="H27"/>
  <c r="H28"/>
  <c r="H29"/>
  <c r="H30"/>
  <c r="H31"/>
  <c r="H32"/>
  <c r="H33"/>
  <c r="H34"/>
  <c r="H35"/>
  <c r="H36"/>
  <c r="H37"/>
  <c r="H38"/>
  <c r="H39"/>
  <c r="H40"/>
  <c r="H41"/>
  <c r="H42"/>
  <c r="H43"/>
  <c r="K2"/>
  <c r="K2" i="27"/>
  <c r="J2" i="26"/>
  <c r="J2" i="27"/>
  <c r="I2" i="26"/>
  <c r="I2" i="27"/>
  <c r="H2" i="26"/>
  <c r="H2" i="27"/>
  <c r="O4" i="9"/>
  <c r="O5"/>
  <c r="O6"/>
  <c r="O7"/>
  <c r="O8"/>
  <c r="O9"/>
  <c r="O10"/>
  <c r="O11"/>
  <c r="O12"/>
  <c r="O13"/>
  <c r="O14"/>
  <c r="O15"/>
  <c r="O16"/>
  <c r="O17"/>
  <c r="O18"/>
  <c r="O19"/>
  <c r="O20"/>
  <c r="O21"/>
  <c r="O22"/>
  <c r="O23"/>
  <c r="O24"/>
  <c r="O25"/>
  <c r="O26"/>
  <c r="O27"/>
  <c r="O28"/>
  <c r="O29"/>
  <c r="O30"/>
  <c r="O31"/>
  <c r="O32"/>
  <c r="O33"/>
  <c r="O34"/>
  <c r="O35"/>
  <c r="O36"/>
  <c r="O37"/>
  <c r="O38"/>
  <c r="O39"/>
  <c r="O40"/>
  <c r="O41"/>
  <c r="O42"/>
  <c r="O43"/>
  <c r="O44"/>
  <c r="O3"/>
  <c r="O53" i="27"/>
  <c r="M53"/>
  <c r="L53"/>
  <c r="G38" i="24"/>
  <c r="D4" i="25"/>
  <c r="F3" i="27" s="1"/>
  <c r="D5" i="25"/>
  <c r="F4" i="27" s="1"/>
  <c r="D6" i="25"/>
  <c r="F5" i="27" s="1"/>
  <c r="D7" i="25"/>
  <c r="F6" i="27" s="1"/>
  <c r="D8" i="25"/>
  <c r="F7" i="27" s="1"/>
  <c r="D9" i="25"/>
  <c r="F8" i="27" s="1"/>
  <c r="D10" i="25"/>
  <c r="F9" i="27" s="1"/>
  <c r="D11" i="25"/>
  <c r="F10" i="27" s="1"/>
  <c r="D12" i="25"/>
  <c r="F11" i="27" s="1"/>
  <c r="D13" i="25"/>
  <c r="F12" i="27" s="1"/>
  <c r="D14" i="25"/>
  <c r="F13" i="27" s="1"/>
  <c r="D15" i="25"/>
  <c r="F14" i="27" s="1"/>
  <c r="D16" i="25"/>
  <c r="F15" i="27" s="1"/>
  <c r="D17" i="25"/>
  <c r="F16" i="27" s="1"/>
  <c r="D18" i="25"/>
  <c r="F17" i="27" s="1"/>
  <c r="D19" i="25"/>
  <c r="F18" i="27" s="1"/>
  <c r="D20" i="25"/>
  <c r="F19" i="27" s="1"/>
  <c r="D21" i="25"/>
  <c r="F20" i="27" s="1"/>
  <c r="D22" i="25"/>
  <c r="F21" i="27" s="1"/>
  <c r="D23" i="25"/>
  <c r="F22" i="27" s="1"/>
  <c r="D24" i="25"/>
  <c r="F23" i="27" s="1"/>
  <c r="D25" i="25"/>
  <c r="F24" i="27" s="1"/>
  <c r="D26" i="25"/>
  <c r="F25" i="27" s="1"/>
  <c r="D27" i="25"/>
  <c r="F26" i="27" s="1"/>
  <c r="D28" i="25"/>
  <c r="F27" i="27" s="1"/>
  <c r="D29" i="25"/>
  <c r="F28" i="27" s="1"/>
  <c r="D30" i="25"/>
  <c r="F29" i="27" s="1"/>
  <c r="D31" i="25"/>
  <c r="F30" i="27" s="1"/>
  <c r="D32" i="25"/>
  <c r="F31" i="27" s="1"/>
  <c r="D33" i="25"/>
  <c r="F32" i="27" s="1"/>
  <c r="D34" i="25"/>
  <c r="F33" i="27" s="1"/>
  <c r="D35" i="25"/>
  <c r="F34" i="27" s="1"/>
  <c r="D36" i="25"/>
  <c r="F35" i="27" s="1"/>
  <c r="D37" i="25"/>
  <c r="F36" i="27" s="1"/>
  <c r="D38" i="25"/>
  <c r="F37" i="27" s="1"/>
  <c r="D39" i="25"/>
  <c r="F38" i="27" s="1"/>
  <c r="D40" i="25"/>
  <c r="F39" i="27" s="1"/>
  <c r="D41" i="25"/>
  <c r="F40" i="27" s="1"/>
  <c r="D42" i="25"/>
  <c r="F41" i="27" s="1"/>
  <c r="D43" i="25"/>
  <c r="F42" i="27" s="1"/>
  <c r="D44" i="25"/>
  <c r="F43" i="27" s="1"/>
  <c r="D3" i="25"/>
  <c r="F2" i="27" s="1"/>
  <c r="O44" i="25"/>
  <c r="N44"/>
  <c r="M44"/>
  <c r="L44"/>
  <c r="K44"/>
  <c r="J44"/>
  <c r="I44"/>
  <c r="O43"/>
  <c r="N43"/>
  <c r="M43"/>
  <c r="L43"/>
  <c r="K43"/>
  <c r="J43"/>
  <c r="I43"/>
  <c r="O42"/>
  <c r="N42"/>
  <c r="M42"/>
  <c r="L42"/>
  <c r="K42"/>
  <c r="J42"/>
  <c r="I42"/>
  <c r="O41"/>
  <c r="N41"/>
  <c r="M41"/>
  <c r="L41"/>
  <c r="K41"/>
  <c r="J41"/>
  <c r="I41"/>
  <c r="O40"/>
  <c r="N40"/>
  <c r="M40"/>
  <c r="L40"/>
  <c r="K40"/>
  <c r="J40"/>
  <c r="I40"/>
  <c r="O39"/>
  <c r="N39"/>
  <c r="M39"/>
  <c r="L39"/>
  <c r="K39"/>
  <c r="J39"/>
  <c r="I39"/>
  <c r="O38"/>
  <c r="N38"/>
  <c r="M38"/>
  <c r="L38"/>
  <c r="K38"/>
  <c r="J38"/>
  <c r="I38"/>
  <c r="O37"/>
  <c r="N37"/>
  <c r="M37"/>
  <c r="L37"/>
  <c r="K37"/>
  <c r="J37"/>
  <c r="I37"/>
  <c r="O36"/>
  <c r="N36"/>
  <c r="M36"/>
  <c r="L36"/>
  <c r="K36"/>
  <c r="J36"/>
  <c r="I36"/>
  <c r="O35"/>
  <c r="N35"/>
  <c r="M35"/>
  <c r="L35"/>
  <c r="K35"/>
  <c r="J35"/>
  <c r="I35"/>
  <c r="O34"/>
  <c r="N34"/>
  <c r="M34"/>
  <c r="L34"/>
  <c r="K34"/>
  <c r="J34"/>
  <c r="I34"/>
  <c r="O33"/>
  <c r="N33"/>
  <c r="M33"/>
  <c r="L33"/>
  <c r="K33"/>
  <c r="J33"/>
  <c r="I33"/>
  <c r="O32"/>
  <c r="N32"/>
  <c r="M32"/>
  <c r="L32"/>
  <c r="K32"/>
  <c r="J32"/>
  <c r="I32"/>
  <c r="O31"/>
  <c r="N31"/>
  <c r="M31"/>
  <c r="L31"/>
  <c r="K31"/>
  <c r="J31"/>
  <c r="I31"/>
  <c r="O30"/>
  <c r="N30"/>
  <c r="M30"/>
  <c r="L30"/>
  <c r="K30"/>
  <c r="J30"/>
  <c r="I30"/>
  <c r="O29"/>
  <c r="N29"/>
  <c r="M29"/>
  <c r="L29"/>
  <c r="K29"/>
  <c r="J29"/>
  <c r="I29"/>
  <c r="O28"/>
  <c r="N28"/>
  <c r="M28"/>
  <c r="L28"/>
  <c r="K28"/>
  <c r="J28"/>
  <c r="I28"/>
  <c r="O27"/>
  <c r="N27"/>
  <c r="M27"/>
  <c r="L27"/>
  <c r="K27"/>
  <c r="J27"/>
  <c r="I27"/>
  <c r="O26"/>
  <c r="N26"/>
  <c r="M26"/>
  <c r="L26"/>
  <c r="K26"/>
  <c r="J26"/>
  <c r="I26"/>
  <c r="O25"/>
  <c r="N25"/>
  <c r="M25"/>
  <c r="L25"/>
  <c r="K25"/>
  <c r="J25"/>
  <c r="I25"/>
  <c r="O24"/>
  <c r="N24"/>
  <c r="M24"/>
  <c r="L24"/>
  <c r="K24"/>
  <c r="J24"/>
  <c r="I24"/>
  <c r="O23"/>
  <c r="N23"/>
  <c r="M23"/>
  <c r="L23"/>
  <c r="K23"/>
  <c r="J23"/>
  <c r="I23"/>
  <c r="O22"/>
  <c r="N22"/>
  <c r="M22"/>
  <c r="L22"/>
  <c r="K22"/>
  <c r="J22"/>
  <c r="I22"/>
  <c r="O21"/>
  <c r="N21"/>
  <c r="M21"/>
  <c r="L21"/>
  <c r="K21"/>
  <c r="J21"/>
  <c r="I21"/>
  <c r="O20"/>
  <c r="N20"/>
  <c r="M20"/>
  <c r="L20"/>
  <c r="K20"/>
  <c r="J20"/>
  <c r="I20"/>
  <c r="O19"/>
  <c r="N19"/>
  <c r="M19"/>
  <c r="L19"/>
  <c r="K19"/>
  <c r="J19"/>
  <c r="I19"/>
  <c r="O18"/>
  <c r="N18"/>
  <c r="M18"/>
  <c r="L18"/>
  <c r="K18"/>
  <c r="J18"/>
  <c r="I18"/>
  <c r="O17"/>
  <c r="N17"/>
  <c r="M17"/>
  <c r="L17"/>
  <c r="K17"/>
  <c r="J17"/>
  <c r="I17"/>
  <c r="O16"/>
  <c r="N16"/>
  <c r="M16"/>
  <c r="L16"/>
  <c r="K16"/>
  <c r="J16"/>
  <c r="I16"/>
  <c r="O15"/>
  <c r="N15"/>
  <c r="M15"/>
  <c r="L15"/>
  <c r="K15"/>
  <c r="J15"/>
  <c r="I15"/>
  <c r="O14"/>
  <c r="N14"/>
  <c r="M14"/>
  <c r="L14"/>
  <c r="K14"/>
  <c r="J14"/>
  <c r="I14"/>
  <c r="O13"/>
  <c r="N13"/>
  <c r="M13"/>
  <c r="L13"/>
  <c r="K13"/>
  <c r="J13"/>
  <c r="I13"/>
  <c r="O12"/>
  <c r="N12"/>
  <c r="M12"/>
  <c r="L12"/>
  <c r="K12"/>
  <c r="J12"/>
  <c r="I12"/>
  <c r="O11"/>
  <c r="N11"/>
  <c r="M11"/>
  <c r="L11"/>
  <c r="K11"/>
  <c r="J11"/>
  <c r="I11"/>
  <c r="O10"/>
  <c r="N10"/>
  <c r="M10"/>
  <c r="L10"/>
  <c r="K10"/>
  <c r="J10"/>
  <c r="I10"/>
  <c r="O9"/>
  <c r="N9"/>
  <c r="M9"/>
  <c r="L9"/>
  <c r="K9"/>
  <c r="J9"/>
  <c r="I9"/>
  <c r="O8"/>
  <c r="N8"/>
  <c r="M8"/>
  <c r="L8"/>
  <c r="K8"/>
  <c r="J8"/>
  <c r="I8"/>
  <c r="O7"/>
  <c r="N7"/>
  <c r="M7"/>
  <c r="L7"/>
  <c r="K7"/>
  <c r="J7"/>
  <c r="I7"/>
  <c r="O6"/>
  <c r="N6"/>
  <c r="M6"/>
  <c r="L6"/>
  <c r="K6"/>
  <c r="J6"/>
  <c r="I6"/>
  <c r="O5"/>
  <c r="N5"/>
  <c r="M5"/>
  <c r="L5"/>
  <c r="K5"/>
  <c r="J5"/>
  <c r="I5"/>
  <c r="O4"/>
  <c r="N4"/>
  <c r="M4"/>
  <c r="L4"/>
  <c r="K4"/>
  <c r="J4"/>
  <c r="I4"/>
  <c r="O3"/>
  <c r="N3"/>
  <c r="M3"/>
  <c r="L3"/>
  <c r="K3"/>
  <c r="J3"/>
  <c r="I3"/>
  <c r="N4" i="9"/>
  <c r="N5"/>
  <c r="N6"/>
  <c r="N7"/>
  <c r="N8"/>
  <c r="N9"/>
  <c r="N10"/>
  <c r="N11"/>
  <c r="N12"/>
  <c r="N13"/>
  <c r="N14"/>
  <c r="N15"/>
  <c r="N16"/>
  <c r="N17"/>
  <c r="N18"/>
  <c r="N19"/>
  <c r="N20"/>
  <c r="N21"/>
  <c r="N22"/>
  <c r="N23"/>
  <c r="N24"/>
  <c r="N25"/>
  <c r="N26"/>
  <c r="N27"/>
  <c r="N28"/>
  <c r="N29"/>
  <c r="N30"/>
  <c r="N31"/>
  <c r="N32"/>
  <c r="N33"/>
  <c r="N34"/>
  <c r="N35"/>
  <c r="N36"/>
  <c r="N37"/>
  <c r="N38"/>
  <c r="N39"/>
  <c r="N40"/>
  <c r="N41"/>
  <c r="N42"/>
  <c r="N43"/>
  <c r="N44"/>
  <c r="N3"/>
  <c r="M17"/>
  <c r="M18"/>
  <c r="M19"/>
  <c r="M20"/>
  <c r="M21"/>
  <c r="M22"/>
  <c r="M23"/>
  <c r="M24"/>
  <c r="M25"/>
  <c r="M26"/>
  <c r="M27"/>
  <c r="M28"/>
  <c r="M29"/>
  <c r="M30"/>
  <c r="M31"/>
  <c r="M32"/>
  <c r="M33"/>
  <c r="M34"/>
  <c r="M35"/>
  <c r="M36"/>
  <c r="M37"/>
  <c r="M38"/>
  <c r="M39"/>
  <c r="M40"/>
  <c r="M41"/>
  <c r="M42"/>
  <c r="M43"/>
  <c r="M44"/>
  <c r="M16"/>
  <c r="N167" i="24"/>
  <c r="L167"/>
  <c r="K167"/>
  <c r="Q5" i="13"/>
  <c r="G158" i="24"/>
  <c r="H158"/>
  <c r="I158"/>
  <c r="J15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122"/>
  <c r="J123"/>
  <c r="J124"/>
  <c r="J125"/>
  <c r="J126"/>
  <c r="J127"/>
  <c r="J128"/>
  <c r="J129"/>
  <c r="J130"/>
  <c r="J131"/>
  <c r="J132"/>
  <c r="J133"/>
  <c r="J134"/>
  <c r="J135"/>
  <c r="J136"/>
  <c r="J137"/>
  <c r="J138"/>
  <c r="J139"/>
  <c r="J140"/>
  <c r="J141"/>
  <c r="J142"/>
  <c r="J143"/>
  <c r="J144"/>
  <c r="J145"/>
  <c r="J146"/>
  <c r="J147"/>
  <c r="J148"/>
  <c r="J149"/>
  <c r="J150"/>
  <c r="J151"/>
  <c r="J152"/>
  <c r="J153"/>
  <c r="J154"/>
  <c r="J155"/>
  <c r="J156"/>
  <c r="J157"/>
  <c r="J38"/>
  <c r="J3" i="13"/>
  <c r="I39" i="24"/>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9"/>
  <c r="I110"/>
  <c r="I111"/>
  <c r="I112"/>
  <c r="I113"/>
  <c r="I114"/>
  <c r="I115"/>
  <c r="I116"/>
  <c r="I117"/>
  <c r="I118"/>
  <c r="I119"/>
  <c r="I120"/>
  <c r="I121"/>
  <c r="I122"/>
  <c r="I123"/>
  <c r="I124"/>
  <c r="I125"/>
  <c r="I126"/>
  <c r="I127"/>
  <c r="I128"/>
  <c r="I129"/>
  <c r="I130"/>
  <c r="I131"/>
  <c r="I132"/>
  <c r="I133"/>
  <c r="I134"/>
  <c r="I135"/>
  <c r="I136"/>
  <c r="I137"/>
  <c r="I138"/>
  <c r="I139"/>
  <c r="I140"/>
  <c r="I141"/>
  <c r="I142"/>
  <c r="I143"/>
  <c r="I144"/>
  <c r="I145"/>
  <c r="I146"/>
  <c r="I147"/>
  <c r="I148"/>
  <c r="I149"/>
  <c r="I150"/>
  <c r="I151"/>
  <c r="I152"/>
  <c r="I153"/>
  <c r="I154"/>
  <c r="I155"/>
  <c r="I156"/>
  <c r="I157"/>
  <c r="I38"/>
  <c r="I3" i="13"/>
  <c r="H39" i="24"/>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9"/>
  <c r="H110"/>
  <c r="H111"/>
  <c r="H112"/>
  <c r="H113"/>
  <c r="H114"/>
  <c r="H115"/>
  <c r="H116"/>
  <c r="H117"/>
  <c r="H118"/>
  <c r="H119"/>
  <c r="H120"/>
  <c r="H121"/>
  <c r="H122"/>
  <c r="H123"/>
  <c r="H124"/>
  <c r="H125"/>
  <c r="H126"/>
  <c r="H127"/>
  <c r="H128"/>
  <c r="H129"/>
  <c r="H130"/>
  <c r="H131"/>
  <c r="H132"/>
  <c r="H133"/>
  <c r="H134"/>
  <c r="H135"/>
  <c r="H136"/>
  <c r="H137"/>
  <c r="H138"/>
  <c r="H139"/>
  <c r="H140"/>
  <c r="H141"/>
  <c r="H142"/>
  <c r="H143"/>
  <c r="H144"/>
  <c r="H145"/>
  <c r="H146"/>
  <c r="H147"/>
  <c r="H148"/>
  <c r="H149"/>
  <c r="H150"/>
  <c r="H151"/>
  <c r="H152"/>
  <c r="H153"/>
  <c r="H154"/>
  <c r="H155"/>
  <c r="H156"/>
  <c r="H157"/>
  <c r="H38"/>
  <c r="H3" i="13"/>
  <c r="G3"/>
  <c r="G39" i="24"/>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45" i="13"/>
  <c r="T5"/>
  <c r="R5"/>
  <c r="H45"/>
  <c r="I45"/>
  <c r="J45"/>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H4"/>
  <c r="H5"/>
  <c r="H6"/>
  <c r="H7"/>
  <c r="H8"/>
  <c r="H9"/>
  <c r="H10"/>
  <c r="H11"/>
  <c r="H12"/>
  <c r="H13"/>
  <c r="H14"/>
  <c r="H15"/>
  <c r="H16"/>
  <c r="H17"/>
  <c r="H18"/>
  <c r="H19"/>
  <c r="H20"/>
  <c r="H21"/>
  <c r="H22"/>
  <c r="H23"/>
  <c r="H24"/>
  <c r="H25"/>
  <c r="H26"/>
  <c r="H27"/>
  <c r="H28"/>
  <c r="H29"/>
  <c r="H30"/>
  <c r="H31"/>
  <c r="H32"/>
  <c r="H33"/>
  <c r="H34"/>
  <c r="H35"/>
  <c r="H36"/>
  <c r="H37"/>
  <c r="H38"/>
  <c r="H39"/>
  <c r="H40"/>
  <c r="H41"/>
  <c r="H42"/>
  <c r="H43"/>
  <c r="H44"/>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I122" i="7"/>
  <c r="J122"/>
  <c r="K122"/>
  <c r="L122"/>
  <c r="M122"/>
  <c r="H122"/>
  <c r="G122"/>
  <c r="K3"/>
  <c r="M4"/>
  <c r="M5"/>
  <c r="M6"/>
  <c r="M7"/>
  <c r="M8"/>
  <c r="M9"/>
  <c r="M10"/>
  <c r="M11"/>
  <c r="M12"/>
  <c r="M13"/>
  <c r="M14"/>
  <c r="M15"/>
  <c r="M16"/>
  <c r="M17"/>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5"/>
  <c r="M116"/>
  <c r="M117"/>
  <c r="M118"/>
  <c r="M119"/>
  <c r="M120"/>
  <c r="M121"/>
  <c r="M3"/>
  <c r="L3"/>
  <c r="L4"/>
  <c r="L5"/>
  <c r="L6"/>
  <c r="L7"/>
  <c r="L8"/>
  <c r="L9"/>
  <c r="L10"/>
  <c r="L11"/>
  <c r="L12"/>
  <c r="L13"/>
  <c r="L14"/>
  <c r="L15"/>
  <c r="L16"/>
  <c r="L17"/>
  <c r="L18"/>
  <c r="L19"/>
  <c r="L20"/>
  <c r="L21"/>
  <c r="L22"/>
  <c r="L23"/>
  <c r="L24"/>
  <c r="L25"/>
  <c r="L26"/>
  <c r="L27"/>
  <c r="L28"/>
  <c r="L29"/>
  <c r="L30"/>
  <c r="L31"/>
  <c r="L32"/>
  <c r="L33"/>
  <c r="L34"/>
  <c r="L35"/>
  <c r="L36"/>
  <c r="L37"/>
  <c r="L38"/>
  <c r="L39"/>
  <c r="L40"/>
  <c r="L41"/>
  <c r="L42"/>
  <c r="L43"/>
  <c r="L44"/>
  <c r="L45"/>
  <c r="L46"/>
  <c r="L47"/>
  <c r="L48"/>
  <c r="L49"/>
  <c r="L50"/>
  <c r="L51"/>
  <c r="L52"/>
  <c r="L53"/>
  <c r="L54"/>
  <c r="L55"/>
  <c r="L56"/>
  <c r="L57"/>
  <c r="L58"/>
  <c r="L59"/>
  <c r="L60"/>
  <c r="L61"/>
  <c r="L62"/>
  <c r="L63"/>
  <c r="L64"/>
  <c r="L65"/>
  <c r="L66"/>
  <c r="L67"/>
  <c r="L68"/>
  <c r="L69"/>
  <c r="L70"/>
  <c r="L71"/>
  <c r="L72"/>
  <c r="L73"/>
  <c r="L74"/>
  <c r="L75"/>
  <c r="L76"/>
  <c r="L77"/>
  <c r="L78"/>
  <c r="L79"/>
  <c r="L80"/>
  <c r="L81"/>
  <c r="L82"/>
  <c r="L83"/>
  <c r="L84"/>
  <c r="L85"/>
  <c r="L86"/>
  <c r="L87"/>
  <c r="L88"/>
  <c r="L89"/>
  <c r="L90"/>
  <c r="L91"/>
  <c r="L92"/>
  <c r="L93"/>
  <c r="L94"/>
  <c r="L95"/>
  <c r="L96"/>
  <c r="L97"/>
  <c r="L98"/>
  <c r="L99"/>
  <c r="L100"/>
  <c r="L101"/>
  <c r="L102"/>
  <c r="L103"/>
  <c r="L104"/>
  <c r="L105"/>
  <c r="L106"/>
  <c r="L107"/>
  <c r="L108"/>
  <c r="L109"/>
  <c r="L110"/>
  <c r="L111"/>
  <c r="L112"/>
  <c r="L113"/>
  <c r="L114"/>
  <c r="L115"/>
  <c r="L116"/>
  <c r="L117"/>
  <c r="L118"/>
  <c r="L119"/>
  <c r="L120"/>
  <c r="L121"/>
  <c r="K4"/>
  <c r="K5"/>
  <c r="K6"/>
  <c r="K7"/>
  <c r="K8"/>
  <c r="K9"/>
  <c r="K10"/>
  <c r="K11"/>
  <c r="K12"/>
  <c r="K13"/>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K69"/>
  <c r="K70"/>
  <c r="K71"/>
  <c r="K72"/>
  <c r="K73"/>
  <c r="K74"/>
  <c r="K75"/>
  <c r="K76"/>
  <c r="K77"/>
  <c r="K78"/>
  <c r="K79"/>
  <c r="K80"/>
  <c r="K81"/>
  <c r="K82"/>
  <c r="K83"/>
  <c r="K84"/>
  <c r="K85"/>
  <c r="K86"/>
  <c r="K87"/>
  <c r="K88"/>
  <c r="K89"/>
  <c r="K90"/>
  <c r="K91"/>
  <c r="K92"/>
  <c r="K93"/>
  <c r="K94"/>
  <c r="K95"/>
  <c r="K96"/>
  <c r="K97"/>
  <c r="K98"/>
  <c r="K99"/>
  <c r="K100"/>
  <c r="K101"/>
  <c r="K102"/>
  <c r="K103"/>
  <c r="K104"/>
  <c r="K105"/>
  <c r="K106"/>
  <c r="K107"/>
  <c r="K108"/>
  <c r="K109"/>
  <c r="K110"/>
  <c r="K111"/>
  <c r="K112"/>
  <c r="K113"/>
  <c r="K114"/>
  <c r="K115"/>
  <c r="K116"/>
  <c r="K117"/>
  <c r="K118"/>
  <c r="K119"/>
  <c r="K120"/>
  <c r="K121"/>
  <c r="G3"/>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3"/>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9"/>
  <c r="I110"/>
  <c r="I111"/>
  <c r="I112"/>
  <c r="I113"/>
  <c r="I114"/>
  <c r="I115"/>
  <c r="I116"/>
  <c r="I117"/>
  <c r="I118"/>
  <c r="I119"/>
  <c r="I120"/>
  <c r="I121"/>
  <c r="I3"/>
  <c r="H4"/>
  <c r="H5"/>
  <c r="H6"/>
  <c r="H7"/>
  <c r="H8"/>
  <c r="H9"/>
  <c r="H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9"/>
  <c r="H110"/>
  <c r="H111"/>
  <c r="H112"/>
  <c r="H113"/>
  <c r="H114"/>
  <c r="H115"/>
  <c r="H116"/>
  <c r="H117"/>
  <c r="H118"/>
  <c r="H119"/>
  <c r="H120"/>
  <c r="H121"/>
  <c r="H3"/>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J3" i="5"/>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2"/>
  <c r="AD5" i="4"/>
  <c r="AD6"/>
  <c r="AD7"/>
  <c r="AD8"/>
  <c r="AD9"/>
  <c r="AD10"/>
  <c r="AD11"/>
  <c r="AD12"/>
  <c r="AD13"/>
  <c r="AD14"/>
  <c r="AD4"/>
  <c r="AC14"/>
  <c r="AC12"/>
  <c r="AC13"/>
  <c r="AC11"/>
  <c r="AC10"/>
  <c r="AC9"/>
  <c r="AC8"/>
  <c r="AC7"/>
  <c r="AC6"/>
  <c r="AC5"/>
  <c r="AC4"/>
  <c r="AB14"/>
  <c r="AB13"/>
  <c r="AB12"/>
  <c r="AB11"/>
  <c r="AB10"/>
  <c r="AB9"/>
  <c r="AB8"/>
  <c r="AB7"/>
  <c r="AB6"/>
  <c r="AB5"/>
  <c r="AB4"/>
  <c r="V1"/>
  <c r="K43" i="27" l="1"/>
  <c r="J43"/>
  <c r="I43"/>
  <c r="H43"/>
  <c r="K41"/>
  <c r="J41"/>
  <c r="I41"/>
  <c r="H41"/>
  <c r="K39"/>
  <c r="J39"/>
  <c r="I39"/>
  <c r="H39"/>
  <c r="K37"/>
  <c r="J37"/>
  <c r="I37"/>
  <c r="H37"/>
  <c r="K35"/>
  <c r="J35"/>
  <c r="I35"/>
  <c r="H35"/>
  <c r="K33"/>
  <c r="J33"/>
  <c r="I33"/>
  <c r="H33"/>
  <c r="K31"/>
  <c r="J31"/>
  <c r="I31"/>
  <c r="H31"/>
  <c r="K29"/>
  <c r="J29"/>
  <c r="I29"/>
  <c r="H29"/>
  <c r="K27"/>
  <c r="J27"/>
  <c r="I27"/>
  <c r="H27"/>
  <c r="K25"/>
  <c r="J25"/>
  <c r="I25"/>
  <c r="H25"/>
  <c r="K23"/>
  <c r="J23"/>
  <c r="I23"/>
  <c r="H23"/>
  <c r="K21"/>
  <c r="J21"/>
  <c r="I21"/>
  <c r="H21"/>
  <c r="K19"/>
  <c r="J19"/>
  <c r="I19"/>
  <c r="H19"/>
  <c r="K17"/>
  <c r="J17"/>
  <c r="I17"/>
  <c r="H17"/>
  <c r="K15"/>
  <c r="J15"/>
  <c r="I15"/>
  <c r="H15"/>
  <c r="K13"/>
  <c r="J13"/>
  <c r="I13"/>
  <c r="H13"/>
  <c r="K11"/>
  <c r="J11"/>
  <c r="I11"/>
  <c r="H11"/>
  <c r="K9"/>
  <c r="J9"/>
  <c r="I9"/>
  <c r="H9"/>
  <c r="K7"/>
  <c r="J7"/>
  <c r="I7"/>
  <c r="H7"/>
  <c r="K5"/>
  <c r="J5"/>
  <c r="I5"/>
  <c r="H5"/>
  <c r="K3"/>
  <c r="J3"/>
  <c r="I3"/>
  <c r="H3"/>
  <c r="K42"/>
  <c r="J42"/>
  <c r="I42"/>
  <c r="H42"/>
  <c r="K40"/>
  <c r="J40"/>
  <c r="I40"/>
  <c r="H40"/>
  <c r="K38"/>
  <c r="J38"/>
  <c r="I38"/>
  <c r="H38"/>
  <c r="K36"/>
  <c r="J36"/>
  <c r="I36"/>
  <c r="H36"/>
  <c r="K34"/>
  <c r="J34"/>
  <c r="I34"/>
  <c r="H34"/>
  <c r="K32"/>
  <c r="J32"/>
  <c r="I32"/>
  <c r="H32"/>
  <c r="K30"/>
  <c r="J30"/>
  <c r="I30"/>
  <c r="H30"/>
  <c r="K28"/>
  <c r="J28"/>
  <c r="I28"/>
  <c r="H28"/>
  <c r="K26"/>
  <c r="J26"/>
  <c r="I26"/>
  <c r="H26"/>
  <c r="K24"/>
  <c r="J24"/>
  <c r="I24"/>
  <c r="H24"/>
  <c r="K22"/>
  <c r="J22"/>
  <c r="I22"/>
  <c r="H22"/>
  <c r="K20"/>
  <c r="J20"/>
  <c r="I20"/>
  <c r="H20"/>
  <c r="K18"/>
  <c r="J18"/>
  <c r="I18"/>
  <c r="H18"/>
  <c r="K16"/>
  <c r="J16"/>
  <c r="I16"/>
  <c r="H16"/>
  <c r="K14"/>
  <c r="J14"/>
  <c r="I14"/>
  <c r="H14"/>
  <c r="K12"/>
  <c r="J12"/>
  <c r="I12"/>
  <c r="H12"/>
  <c r="K10"/>
  <c r="J10"/>
  <c r="I10"/>
  <c r="H10"/>
  <c r="K8"/>
  <c r="J8"/>
  <c r="I8"/>
  <c r="H8"/>
  <c r="K6"/>
  <c r="J6"/>
  <c r="I6"/>
  <c r="H6"/>
  <c r="K4"/>
  <c r="J4"/>
  <c r="I4"/>
  <c r="H4"/>
  <c r="H32" i="6"/>
  <c r="H25"/>
  <c r="H18"/>
  <c r="H11"/>
  <c r="S146" i="4"/>
  <c r="S145"/>
  <c r="S144"/>
  <c r="S143"/>
  <c r="S142"/>
  <c r="S141"/>
  <c r="S140"/>
  <c r="S139"/>
  <c r="S138"/>
  <c r="S137"/>
  <c r="S136"/>
  <c r="S135"/>
  <c r="S134"/>
  <c r="S133"/>
  <c r="Q146"/>
  <c r="Q145"/>
  <c r="Q144"/>
  <c r="Q143"/>
  <c r="Q142"/>
  <c r="Q141"/>
  <c r="Q140"/>
  <c r="Q139"/>
  <c r="Q138"/>
  <c r="Q137"/>
  <c r="Q136"/>
  <c r="Q135"/>
  <c r="Q134"/>
  <c r="Q133"/>
  <c r="S131"/>
  <c r="Q130"/>
  <c r="S130"/>
  <c r="S129"/>
  <c r="S128"/>
  <c r="S127"/>
  <c r="S126"/>
  <c r="S125"/>
  <c r="S124"/>
  <c r="S123"/>
  <c r="S122"/>
  <c r="S121"/>
  <c r="S120"/>
  <c r="Q129"/>
  <c r="Q128"/>
  <c r="Q127"/>
  <c r="Q126"/>
  <c r="Q125"/>
  <c r="Q124"/>
  <c r="Q123"/>
  <c r="Q122"/>
  <c r="Q121"/>
  <c r="Q120"/>
  <c r="S117"/>
  <c r="S116"/>
  <c r="S115"/>
  <c r="S114"/>
  <c r="S113"/>
  <c r="S112"/>
  <c r="S111"/>
  <c r="S110"/>
  <c r="S109"/>
  <c r="Q116"/>
  <c r="Q115"/>
  <c r="Q114"/>
  <c r="Q113"/>
  <c r="Q112"/>
  <c r="Q111"/>
  <c r="Q110"/>
  <c r="Q109"/>
  <c r="S107"/>
  <c r="S106"/>
  <c r="S105"/>
  <c r="S104"/>
  <c r="S103"/>
  <c r="S102"/>
  <c r="S101"/>
  <c r="S100"/>
  <c r="S99"/>
  <c r="S98"/>
  <c r="Q106"/>
  <c r="Q105"/>
  <c r="Q104"/>
  <c r="Q103"/>
  <c r="Q102"/>
  <c r="Q101"/>
  <c r="Q100"/>
  <c r="Q99"/>
  <c r="Q98"/>
  <c r="S96"/>
  <c r="S95"/>
  <c r="S94"/>
  <c r="S93"/>
  <c r="S92"/>
  <c r="S91"/>
  <c r="S90"/>
  <c r="S89"/>
  <c r="S88"/>
  <c r="S87"/>
  <c r="S86"/>
  <c r="S85"/>
  <c r="Q95"/>
  <c r="R88"/>
  <c r="R87"/>
  <c r="R86"/>
  <c r="R85"/>
  <c r="Q94"/>
  <c r="Q93"/>
  <c r="Q92"/>
  <c r="Q91"/>
  <c r="Q90"/>
  <c r="Q89"/>
  <c r="Q88"/>
  <c r="Q87"/>
  <c r="Q86"/>
  <c r="Q85"/>
  <c r="S83"/>
  <c r="S82"/>
  <c r="S81"/>
  <c r="S80"/>
  <c r="S79"/>
  <c r="S77"/>
  <c r="S78"/>
  <c r="S76"/>
  <c r="S75"/>
  <c r="S74"/>
  <c r="S73"/>
  <c r="S72"/>
  <c r="Q81"/>
  <c r="R74"/>
  <c r="R75"/>
  <c r="R73"/>
  <c r="R72"/>
  <c r="Q78"/>
  <c r="Q79"/>
  <c r="Q80"/>
  <c r="Q77"/>
  <c r="Q76"/>
  <c r="Q75"/>
  <c r="Q74"/>
  <c r="Q73"/>
  <c r="Q72"/>
  <c r="S70"/>
  <c r="S69"/>
  <c r="S68"/>
  <c r="S67"/>
  <c r="S66"/>
  <c r="S65"/>
  <c r="S64"/>
  <c r="S63"/>
  <c r="S62"/>
  <c r="S61"/>
  <c r="S60"/>
  <c r="S59"/>
  <c r="Q69"/>
  <c r="R62"/>
  <c r="R61"/>
  <c r="R60"/>
  <c r="R59"/>
  <c r="Q68"/>
  <c r="Q67"/>
  <c r="Q66"/>
  <c r="Q65"/>
  <c r="Q64"/>
  <c r="Q63"/>
  <c r="Q62"/>
  <c r="Q61"/>
  <c r="Q60"/>
  <c r="Q59"/>
  <c r="I136"/>
  <c r="I135"/>
  <c r="I137"/>
  <c r="I138"/>
  <c r="H138"/>
  <c r="G138"/>
  <c r="F138"/>
  <c r="E138"/>
  <c r="D138"/>
  <c r="H137"/>
  <c r="G137"/>
  <c r="F137"/>
  <c r="E137"/>
  <c r="D137"/>
  <c r="H135"/>
  <c r="H136"/>
  <c r="G136"/>
  <c r="F136"/>
  <c r="E136"/>
  <c r="D136"/>
  <c r="G135"/>
  <c r="F135"/>
  <c r="E135"/>
  <c r="D135"/>
  <c r="I134"/>
  <c r="H134"/>
  <c r="H139" s="1"/>
  <c r="G134"/>
  <c r="G139" s="1"/>
  <c r="F134"/>
  <c r="F139" s="1"/>
  <c r="E134"/>
  <c r="E139" s="1"/>
  <c r="D134"/>
  <c r="D133" a="1"/>
  <c r="G133" s="1"/>
  <c r="I126"/>
  <c r="H126"/>
  <c r="G126"/>
  <c r="F126"/>
  <c r="E126"/>
  <c r="D126"/>
  <c r="I125"/>
  <c r="H125"/>
  <c r="G125"/>
  <c r="F125"/>
  <c r="E125"/>
  <c r="D125"/>
  <c r="I124"/>
  <c r="H124"/>
  <c r="G124"/>
  <c r="F124"/>
  <c r="E124"/>
  <c r="D124"/>
  <c r="I123"/>
  <c r="H123"/>
  <c r="G123"/>
  <c r="F123"/>
  <c r="E123"/>
  <c r="D123"/>
  <c r="I122"/>
  <c r="H122"/>
  <c r="G122"/>
  <c r="F122"/>
  <c r="E122"/>
  <c r="D122"/>
  <c r="D121" a="1"/>
  <c r="G121" s="1"/>
  <c r="I113"/>
  <c r="H113"/>
  <c r="G113"/>
  <c r="F113"/>
  <c r="E113"/>
  <c r="D113"/>
  <c r="I112"/>
  <c r="H112"/>
  <c r="G112"/>
  <c r="F112"/>
  <c r="E112"/>
  <c r="D112"/>
  <c r="I111"/>
  <c r="H111"/>
  <c r="G111"/>
  <c r="F111"/>
  <c r="E111"/>
  <c r="D111"/>
  <c r="I110"/>
  <c r="H110"/>
  <c r="G110"/>
  <c r="F110"/>
  <c r="E110"/>
  <c r="D110"/>
  <c r="I109"/>
  <c r="H109"/>
  <c r="G109"/>
  <c r="F109"/>
  <c r="E109"/>
  <c r="D109"/>
  <c r="D108" a="1"/>
  <c r="G108" s="1"/>
  <c r="I101"/>
  <c r="H101"/>
  <c r="G101"/>
  <c r="F101"/>
  <c r="E101"/>
  <c r="D101"/>
  <c r="I100"/>
  <c r="H100"/>
  <c r="G100"/>
  <c r="F100"/>
  <c r="E100"/>
  <c r="D100"/>
  <c r="I99"/>
  <c r="H99"/>
  <c r="G99"/>
  <c r="F99"/>
  <c r="E99"/>
  <c r="D99"/>
  <c r="I98"/>
  <c r="H98"/>
  <c r="G98"/>
  <c r="F98"/>
  <c r="E98"/>
  <c r="D98"/>
  <c r="I97"/>
  <c r="H97"/>
  <c r="G97"/>
  <c r="F97"/>
  <c r="E97"/>
  <c r="D97"/>
  <c r="H96"/>
  <c r="D96"/>
  <c r="D96" a="1"/>
  <c r="G96" s="1"/>
  <c r="I88"/>
  <c r="H88"/>
  <c r="G88"/>
  <c r="F88"/>
  <c r="E88"/>
  <c r="D88"/>
  <c r="I87"/>
  <c r="H87"/>
  <c r="G87"/>
  <c r="F87"/>
  <c r="E87"/>
  <c r="D87"/>
  <c r="I86"/>
  <c r="H86"/>
  <c r="G86"/>
  <c r="F86"/>
  <c r="E86"/>
  <c r="D86"/>
  <c r="I85"/>
  <c r="H85"/>
  <c r="G85"/>
  <c r="F85"/>
  <c r="E85"/>
  <c r="D85"/>
  <c r="I84"/>
  <c r="H84"/>
  <c r="G84"/>
  <c r="F84"/>
  <c r="E84"/>
  <c r="D84"/>
  <c r="D83" a="1"/>
  <c r="H83" s="1"/>
  <c r="I76"/>
  <c r="H76"/>
  <c r="G76"/>
  <c r="F76"/>
  <c r="E76"/>
  <c r="D76"/>
  <c r="I75"/>
  <c r="H75"/>
  <c r="G75"/>
  <c r="F75"/>
  <c r="E75"/>
  <c r="D75"/>
  <c r="I74"/>
  <c r="H74"/>
  <c r="G74"/>
  <c r="F74"/>
  <c r="E74"/>
  <c r="D74"/>
  <c r="I73"/>
  <c r="H73"/>
  <c r="G73"/>
  <c r="F73"/>
  <c r="E73"/>
  <c r="D73"/>
  <c r="I72"/>
  <c r="H72"/>
  <c r="G72"/>
  <c r="F72"/>
  <c r="E72"/>
  <c r="D72"/>
  <c r="D71" a="1"/>
  <c r="G71" s="1"/>
  <c r="I61"/>
  <c r="H61"/>
  <c r="G61"/>
  <c r="F61"/>
  <c r="E61"/>
  <c r="D61"/>
  <c r="I60"/>
  <c r="H60"/>
  <c r="G60"/>
  <c r="F60"/>
  <c r="E60"/>
  <c r="D60"/>
  <c r="I59"/>
  <c r="H59"/>
  <c r="G59"/>
  <c r="F59"/>
  <c r="E59"/>
  <c r="D59"/>
  <c r="I58"/>
  <c r="H58"/>
  <c r="G58"/>
  <c r="F58"/>
  <c r="E58"/>
  <c r="D58"/>
  <c r="I57"/>
  <c r="H57"/>
  <c r="G57"/>
  <c r="F57"/>
  <c r="E57"/>
  <c r="D57"/>
  <c r="D56" a="1"/>
  <c r="H56" s="1"/>
  <c r="I49"/>
  <c r="H49"/>
  <c r="G49"/>
  <c r="F49"/>
  <c r="E49"/>
  <c r="D49"/>
  <c r="I48"/>
  <c r="H48"/>
  <c r="G48"/>
  <c r="F48"/>
  <c r="Q56" s="1"/>
  <c r="E48"/>
  <c r="S52" s="1"/>
  <c r="D48"/>
  <c r="Q54" s="1"/>
  <c r="I47"/>
  <c r="H47"/>
  <c r="G47"/>
  <c r="F47"/>
  <c r="S49" s="1"/>
  <c r="E47"/>
  <c r="S50" s="1"/>
  <c r="D47"/>
  <c r="Q51" s="1"/>
  <c r="I46"/>
  <c r="H46"/>
  <c r="G46"/>
  <c r="F46"/>
  <c r="E46"/>
  <c r="S48" s="1"/>
  <c r="D46"/>
  <c r="Q49" s="1"/>
  <c r="I45"/>
  <c r="H45"/>
  <c r="G45"/>
  <c r="F45"/>
  <c r="E45"/>
  <c r="Q48" s="1"/>
  <c r="D45"/>
  <c r="Q47" s="1"/>
  <c r="D44" a="1"/>
  <c r="H44" s="1"/>
  <c r="I36"/>
  <c r="H36"/>
  <c r="G36"/>
  <c r="F36"/>
  <c r="E36"/>
  <c r="D36"/>
  <c r="I35"/>
  <c r="H35"/>
  <c r="G35"/>
  <c r="Q44" s="1"/>
  <c r="F35"/>
  <c r="E35"/>
  <c r="Q42" s="1"/>
  <c r="D35"/>
  <c r="Q41" s="1"/>
  <c r="I34"/>
  <c r="G34"/>
  <c r="H34"/>
  <c r="F34"/>
  <c r="E34"/>
  <c r="S37" s="1"/>
  <c r="D34"/>
  <c r="Q37" s="1"/>
  <c r="I33"/>
  <c r="H33"/>
  <c r="G33"/>
  <c r="F33"/>
  <c r="E33"/>
  <c r="S34" s="1"/>
  <c r="D33"/>
  <c r="Q34" s="1"/>
  <c r="I32"/>
  <c r="H32"/>
  <c r="G32"/>
  <c r="F32"/>
  <c r="E32"/>
  <c r="S32" s="1"/>
  <c r="D32"/>
  <c r="Q32" s="1"/>
  <c r="I23"/>
  <c r="H23"/>
  <c r="G23"/>
  <c r="F23"/>
  <c r="E23"/>
  <c r="D23"/>
  <c r="I22"/>
  <c r="H22"/>
  <c r="G22"/>
  <c r="S29" s="1"/>
  <c r="F22"/>
  <c r="E22"/>
  <c r="T18" s="1"/>
  <c r="D22"/>
  <c r="R17" s="1"/>
  <c r="I21"/>
  <c r="S23" s="1"/>
  <c r="H21"/>
  <c r="Q29" s="1"/>
  <c r="G21"/>
  <c r="S25" s="1"/>
  <c r="F21"/>
  <c r="E21"/>
  <c r="S27" s="1"/>
  <c r="D21"/>
  <c r="Q25" s="1"/>
  <c r="I20"/>
  <c r="H20"/>
  <c r="G20"/>
  <c r="Q23" s="1"/>
  <c r="F20"/>
  <c r="E20"/>
  <c r="S22" s="1"/>
  <c r="D20"/>
  <c r="Q20" s="1"/>
  <c r="I19"/>
  <c r="I24" s="1"/>
  <c r="H19"/>
  <c r="G19"/>
  <c r="G24" s="1"/>
  <c r="F19"/>
  <c r="F24" s="1"/>
  <c r="E19"/>
  <c r="S18" s="1"/>
  <c r="D19"/>
  <c r="D31" a="1"/>
  <c r="H31" s="1"/>
  <c r="H24"/>
  <c r="J20"/>
  <c r="J21"/>
  <c r="J22"/>
  <c r="J23"/>
  <c r="D6"/>
  <c r="D18" a="1"/>
  <c r="G18" s="1"/>
  <c r="I44" i="27" l="1"/>
  <c r="K44"/>
  <c r="H44"/>
  <c r="J44"/>
  <c r="E24" i="4"/>
  <c r="J19"/>
  <c r="S21"/>
  <c r="S19"/>
  <c r="S26"/>
  <c r="T17"/>
  <c r="S28"/>
  <c r="S33"/>
  <c r="S36"/>
  <c r="S35"/>
  <c r="S39"/>
  <c r="J134"/>
  <c r="J137"/>
  <c r="J136"/>
  <c r="Q18"/>
  <c r="Q21"/>
  <c r="Q24"/>
  <c r="Q27"/>
  <c r="Q28"/>
  <c r="R19"/>
  <c r="R21"/>
  <c r="S20"/>
  <c r="S24"/>
  <c r="Q33"/>
  <c r="Q35"/>
  <c r="Q39"/>
  <c r="Q43"/>
  <c r="S38"/>
  <c r="S41" s="1"/>
  <c r="S40"/>
  <c r="Q52"/>
  <c r="Q53"/>
  <c r="Q55"/>
  <c r="S47"/>
  <c r="S51"/>
  <c r="J135"/>
  <c r="Q17"/>
  <c r="Q19"/>
  <c r="Q22"/>
  <c r="Q26"/>
  <c r="R18"/>
  <c r="R20"/>
  <c r="S17"/>
  <c r="S30" s="1"/>
  <c r="Q36"/>
  <c r="Q38"/>
  <c r="Q40"/>
  <c r="Q50"/>
  <c r="Q57" s="1"/>
  <c r="I139"/>
  <c r="J138"/>
  <c r="F96"/>
  <c r="F121"/>
  <c r="D121"/>
  <c r="H121"/>
  <c r="D133"/>
  <c r="F133"/>
  <c r="H133"/>
  <c r="D139"/>
  <c r="E133"/>
  <c r="J126"/>
  <c r="J125"/>
  <c r="J124"/>
  <c r="I127"/>
  <c r="H127"/>
  <c r="G127"/>
  <c r="F127"/>
  <c r="E127"/>
  <c r="J123"/>
  <c r="J122"/>
  <c r="D127"/>
  <c r="E121"/>
  <c r="J113"/>
  <c r="J112"/>
  <c r="J111"/>
  <c r="I114"/>
  <c r="H114"/>
  <c r="G114"/>
  <c r="F114"/>
  <c r="E114"/>
  <c r="J110"/>
  <c r="J109"/>
  <c r="D108"/>
  <c r="H108"/>
  <c r="F108"/>
  <c r="D114"/>
  <c r="E108"/>
  <c r="J101"/>
  <c r="J100"/>
  <c r="J99"/>
  <c r="I102"/>
  <c r="H102"/>
  <c r="G102"/>
  <c r="F102"/>
  <c r="E102"/>
  <c r="J98"/>
  <c r="J97"/>
  <c r="D102"/>
  <c r="E96"/>
  <c r="J88"/>
  <c r="J87"/>
  <c r="J86"/>
  <c r="I89"/>
  <c r="H89"/>
  <c r="G89"/>
  <c r="F89"/>
  <c r="E89"/>
  <c r="J85"/>
  <c r="J84"/>
  <c r="E83"/>
  <c r="G83"/>
  <c r="D83"/>
  <c r="F83"/>
  <c r="D89"/>
  <c r="J76"/>
  <c r="J75"/>
  <c r="J74"/>
  <c r="I77"/>
  <c r="H77"/>
  <c r="G77"/>
  <c r="F77"/>
  <c r="E77"/>
  <c r="J73"/>
  <c r="J72"/>
  <c r="F71"/>
  <c r="D71"/>
  <c r="H71"/>
  <c r="D77"/>
  <c r="E71"/>
  <c r="J61"/>
  <c r="J60"/>
  <c r="J59"/>
  <c r="I62"/>
  <c r="H62"/>
  <c r="G62"/>
  <c r="F62"/>
  <c r="E62"/>
  <c r="J58"/>
  <c r="J57"/>
  <c r="E56"/>
  <c r="G56"/>
  <c r="D56"/>
  <c r="F56"/>
  <c r="D62"/>
  <c r="J49"/>
  <c r="J48"/>
  <c r="J47"/>
  <c r="I50"/>
  <c r="H50"/>
  <c r="G50"/>
  <c r="F50"/>
  <c r="E50"/>
  <c r="J46"/>
  <c r="J45"/>
  <c r="E44"/>
  <c r="G44"/>
  <c r="D44"/>
  <c r="F44"/>
  <c r="D50"/>
  <c r="J36"/>
  <c r="J35"/>
  <c r="J34"/>
  <c r="I37"/>
  <c r="H37"/>
  <c r="G37"/>
  <c r="F37"/>
  <c r="E37"/>
  <c r="J33"/>
  <c r="J32"/>
  <c r="E31"/>
  <c r="G31"/>
  <c r="D31"/>
  <c r="F31"/>
  <c r="D37"/>
  <c r="D24"/>
  <c r="J24" s="1"/>
  <c r="D18"/>
  <c r="F18"/>
  <c r="H18"/>
  <c r="E18"/>
  <c r="S53" l="1"/>
  <c r="S55" s="1"/>
  <c r="Q45"/>
  <c r="S43" s="1"/>
  <c r="Q30"/>
  <c r="S31" s="1"/>
  <c r="J139"/>
  <c r="J127"/>
  <c r="J114"/>
  <c r="J102"/>
  <c r="J89"/>
  <c r="J77"/>
  <c r="J62"/>
  <c r="J50"/>
  <c r="J37"/>
  <c r="G5"/>
  <c r="F5"/>
  <c r="E5"/>
  <c r="D9"/>
  <c r="D8"/>
  <c r="D7"/>
  <c r="D5"/>
  <c r="H9"/>
  <c r="H8"/>
  <c r="H7"/>
  <c r="G9"/>
  <c r="G8"/>
  <c r="G7"/>
  <c r="F9"/>
  <c r="F8"/>
  <c r="F7"/>
  <c r="E9"/>
  <c r="E8"/>
  <c r="E7"/>
  <c r="H6"/>
  <c r="G6"/>
  <c r="F6"/>
  <c r="E6"/>
  <c r="D4" a="1"/>
  <c r="D4" s="1"/>
  <c r="K3" i="1"/>
  <c r="K4"/>
  <c r="K5"/>
  <c r="K6"/>
  <c r="K7"/>
  <c r="K8"/>
  <c r="K9"/>
  <c r="K10"/>
  <c r="K11"/>
  <c r="K12"/>
  <c r="K13"/>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K69"/>
  <c r="K70"/>
  <c r="K71"/>
  <c r="K72"/>
  <c r="K73"/>
  <c r="K74"/>
  <c r="K75"/>
  <c r="K76"/>
  <c r="K77"/>
  <c r="K78"/>
  <c r="K79"/>
  <c r="K80"/>
  <c r="K81"/>
  <c r="K82"/>
  <c r="K83"/>
  <c r="K84"/>
  <c r="K85"/>
  <c r="K86"/>
  <c r="K87"/>
  <c r="K88"/>
  <c r="K89"/>
  <c r="K90"/>
  <c r="K91"/>
  <c r="K92"/>
  <c r="K93"/>
  <c r="K94"/>
  <c r="K95"/>
  <c r="K96"/>
  <c r="K97"/>
  <c r="K98"/>
  <c r="K99"/>
  <c r="K100"/>
  <c r="K101"/>
  <c r="K102"/>
  <c r="K103"/>
  <c r="K104"/>
  <c r="K105"/>
  <c r="K106"/>
  <c r="K107"/>
  <c r="K108"/>
  <c r="K109"/>
  <c r="K110"/>
  <c r="K111"/>
  <c r="K112"/>
  <c r="K113"/>
  <c r="K114"/>
  <c r="K115"/>
  <c r="K116"/>
  <c r="K117"/>
  <c r="K118"/>
  <c r="K119"/>
  <c r="K120"/>
  <c r="K121"/>
  <c r="K2"/>
  <c r="J9" i="2"/>
  <c r="J8"/>
  <c r="J7"/>
  <c r="J6"/>
  <c r="J5"/>
  <c r="J4"/>
  <c r="BO10" i="3"/>
  <c r="BJ10"/>
  <c r="BD10"/>
  <c r="AY10"/>
  <c r="AT10"/>
  <c r="AO10"/>
  <c r="AJ10"/>
  <c r="AC10"/>
  <c r="X10"/>
  <c r="T11"/>
  <c r="N10"/>
  <c r="G119" i="2"/>
  <c r="G56"/>
  <c r="G70"/>
  <c r="G98"/>
  <c r="G85"/>
  <c r="G87"/>
  <c r="G77"/>
  <c r="G91"/>
  <c r="G107"/>
  <c r="G110"/>
  <c r="G65"/>
  <c r="G95"/>
  <c r="G5"/>
  <c r="G28"/>
  <c r="G16"/>
  <c r="G74"/>
  <c r="G44"/>
  <c r="G64"/>
  <c r="G39"/>
  <c r="G83"/>
  <c r="G53"/>
  <c r="G72"/>
  <c r="G99"/>
  <c r="G114"/>
  <c r="G68"/>
  <c r="G80"/>
  <c r="G34"/>
  <c r="G21"/>
  <c r="G36"/>
  <c r="G109"/>
  <c r="G88"/>
  <c r="G86"/>
  <c r="G7"/>
  <c r="G29"/>
  <c r="G11"/>
  <c r="G66"/>
  <c r="G75"/>
  <c r="G40"/>
  <c r="G60"/>
  <c r="G4"/>
  <c r="G121"/>
  <c r="G12"/>
  <c r="G103"/>
  <c r="G100"/>
  <c r="G69"/>
  <c r="G49"/>
  <c r="G54"/>
  <c r="G120"/>
  <c r="G37"/>
  <c r="G9"/>
  <c r="G24"/>
  <c r="G23"/>
  <c r="G35"/>
  <c r="G57"/>
  <c r="G38"/>
  <c r="G15"/>
  <c r="G45"/>
  <c r="G73"/>
  <c r="G96"/>
  <c r="G41"/>
  <c r="G71"/>
  <c r="G122"/>
  <c r="G78"/>
  <c r="G76"/>
  <c r="G106"/>
  <c r="G97"/>
  <c r="G101"/>
  <c r="G82"/>
  <c r="G63"/>
  <c r="G104"/>
  <c r="G8"/>
  <c r="G3"/>
  <c r="G108"/>
  <c r="G19"/>
  <c r="G89"/>
  <c r="G79"/>
  <c r="G105"/>
  <c r="G30"/>
  <c r="G25"/>
  <c r="G115"/>
  <c r="G55"/>
  <c r="G13"/>
  <c r="G42"/>
  <c r="G61"/>
  <c r="G92"/>
  <c r="G93"/>
  <c r="G48"/>
  <c r="G67"/>
  <c r="G59"/>
  <c r="G14"/>
  <c r="G22"/>
  <c r="G58"/>
  <c r="G117"/>
  <c r="G111"/>
  <c r="G32"/>
  <c r="G18"/>
  <c r="G81"/>
  <c r="G116"/>
  <c r="G118"/>
  <c r="G51"/>
  <c r="G112"/>
  <c r="G102"/>
  <c r="G90"/>
  <c r="G113"/>
  <c r="G62"/>
  <c r="G94"/>
  <c r="G84"/>
  <c r="G26"/>
  <c r="G47"/>
  <c r="G43"/>
  <c r="G17"/>
  <c r="G52"/>
  <c r="G31"/>
  <c r="G33"/>
  <c r="G20"/>
  <c r="G50"/>
  <c r="G6"/>
  <c r="G10"/>
  <c r="G27"/>
  <c r="G46"/>
  <c r="Q6" i="4" l="1"/>
  <c r="S3"/>
  <c r="Q12"/>
  <c r="S11"/>
  <c r="S7"/>
  <c r="Q9"/>
  <c r="Q14"/>
  <c r="S9"/>
  <c r="S5"/>
  <c r="Q7"/>
  <c r="S4"/>
  <c r="Q5"/>
  <c r="S8"/>
  <c r="Q8"/>
  <c r="Q4"/>
  <c r="S10"/>
  <c r="Q13"/>
  <c r="S6"/>
  <c r="Q10"/>
  <c r="S2"/>
  <c r="Q3"/>
  <c r="Q2"/>
  <c r="Q11"/>
  <c r="H10"/>
  <c r="G10"/>
  <c r="F10"/>
  <c r="I8"/>
  <c r="E10"/>
  <c r="I7"/>
  <c r="I6"/>
  <c r="I9"/>
  <c r="I5"/>
  <c r="D10"/>
  <c r="G4"/>
  <c r="E4"/>
  <c r="H4"/>
  <c r="F4"/>
  <c r="Q15" l="1"/>
  <c r="S15" s="1"/>
  <c r="S12"/>
  <c r="I10"/>
  <c r="V145" l="1"/>
  <c r="V146" s="1"/>
  <c r="V106"/>
  <c r="V107" s="1"/>
  <c r="V82"/>
  <c r="V83" s="1"/>
  <c r="V54"/>
  <c r="V55" s="1"/>
  <c r="V30"/>
  <c r="V31" s="1"/>
  <c r="V95"/>
  <c r="V96" s="1"/>
  <c r="V69"/>
  <c r="V70" s="1"/>
  <c r="V42"/>
  <c r="V43" s="1"/>
  <c r="V117"/>
  <c r="V118" s="1"/>
  <c r="V131"/>
  <c r="V132" s="1"/>
  <c r="V12"/>
  <c r="V15" s="1"/>
</calcChain>
</file>

<file path=xl/sharedStrings.xml><?xml version="1.0" encoding="utf-8"?>
<sst xmlns="http://schemas.openxmlformats.org/spreadsheetml/2006/main" count="9375" uniqueCount="613">
  <si>
    <t>Email address</t>
  </si>
  <si>
    <t>1.Your Name</t>
  </si>
  <si>
    <t>2. Gender</t>
  </si>
  <si>
    <t>3. Name of your institution</t>
  </si>
  <si>
    <t>4. The University your Institution is affiliated to</t>
  </si>
  <si>
    <t>5. How much time do you spend on study daily on an average?</t>
  </si>
  <si>
    <t>6. Your 1st semester SGPA
(If you have backlog and can't provide SGPA, simply write "NA")</t>
  </si>
  <si>
    <t>7. Your 2nd semester SGPA
(If you have backlog and can't provide SGPA, simply write "NA")</t>
  </si>
  <si>
    <t>8. Your 3rd semester SGPA
(If you have backlog and can't provide SGPA, simply write "NA")</t>
  </si>
  <si>
    <t>9. Your 4th semester SGPA
(If you have backlog and can't provide SGPA, simply write "NA")</t>
  </si>
  <si>
    <t>10. Which range of SGPA you expected yourself to get in the previous semester (4th semester)?</t>
  </si>
  <si>
    <t>11. Which range of SGPA you expect yourself to get in the next semester (5th semester)?</t>
  </si>
  <si>
    <t>12. How much time do you spend on mobile weekly on an average?
(Aggregated total of mobile phone usage)</t>
  </si>
  <si>
    <t>13. How much time do you spend on mobile for study weekly on an average ?</t>
  </si>
  <si>
    <t>14. How much time do you spend on mobile for gaming weekly on an average ?</t>
  </si>
  <si>
    <t>15. How much time do you spend on mobile for social media usage weekly on an average ?</t>
  </si>
  <si>
    <t>16. How much time do you spend on mobile for chatting weekly on an average ?</t>
  </si>
  <si>
    <t>17. How much time do you spend on mobile for watching movies/videos weekly on an average ?</t>
  </si>
  <si>
    <t>18. How much time do you spend on mobile for extra curricular/hobby related usage weekly on an average ?</t>
  </si>
  <si>
    <t>19. Which kind of network service/s do you use for internet at your residence?</t>
  </si>
  <si>
    <t>20. How much money do you spend on mobile recharge monthly on an average?</t>
  </si>
  <si>
    <t>21. Does your monthly recharge satisfy your requirements?</t>
  </si>
  <si>
    <t>22. How do you feel usage of mobile phone impact on your study/result?
[1: Extremely Negative Impact, 2: Moderately Negative Impact, 3: Neutral, 4: Moderately Positive Impact, 5: Extremely Positive Impact]</t>
  </si>
  <si>
    <t>23. How much time do you spend on sports weekly on an average?
(If you are not into sports, simply select the option "NO")</t>
  </si>
  <si>
    <t>24. How do you feel sports impact on your study/result?
[1: Extremely Negative Impact, 2: Moderately Negative Impact, 3: Neutral, 4: Moderately Positive Impact, 5: Extremely Positive Impact]</t>
  </si>
  <si>
    <t>25. How much time do you spend on extra curricular activities weekly on an average?
(If you are not involved in extra curricular activities, simply select the option "NO")</t>
  </si>
  <si>
    <t>26. How do you feel extra curricular activities impact on your study/result?
[1: Extremely Negative Impact, 2: Moderately Negative Impact, 3: Neutral, 4: Moderately Positive Impact, 5: Extremely Positive Impact]</t>
  </si>
  <si>
    <t>27. How much time do you sleep daily on an average?</t>
  </si>
  <si>
    <t>28. Remarks (If any)</t>
  </si>
  <si>
    <t>chakrabortydiptajit@gmail.com</t>
  </si>
  <si>
    <t>Diptajit Chakraborty</t>
  </si>
  <si>
    <t>Male</t>
  </si>
  <si>
    <t>Maulana Azad College</t>
  </si>
  <si>
    <t>University of Calcutta</t>
  </si>
  <si>
    <t>2-5 hours</t>
  </si>
  <si>
    <t>Above 7 - Upto 8</t>
  </si>
  <si>
    <t>Above 30 hours - Upto 50 hours</t>
  </si>
  <si>
    <t>Above 5 hours - Upto 25 hours</t>
  </si>
  <si>
    <t>Above 45 hours - Upto 65 hours</t>
  </si>
  <si>
    <t>Less than 5 hours</t>
  </si>
  <si>
    <t>Mobile Data</t>
  </si>
  <si>
    <t>Above 200 Rs.- Below 300 Rs.</t>
  </si>
  <si>
    <t>No</t>
  </si>
  <si>
    <t>NO</t>
  </si>
  <si>
    <t>Above 8 hours - Upto 10 hours</t>
  </si>
  <si>
    <t>sd6746847@gmail.com</t>
  </si>
  <si>
    <t>Saheb Tirtha Dey</t>
  </si>
  <si>
    <t>Adamas University</t>
  </si>
  <si>
    <t>8-11 hours</t>
  </si>
  <si>
    <t>Above 9</t>
  </si>
  <si>
    <t>More than 9</t>
  </si>
  <si>
    <t>Less than 10 hours</t>
  </si>
  <si>
    <t>Wi-fi through Broadband / Optical Fibre</t>
  </si>
  <si>
    <t>Less than 50 Rs.</t>
  </si>
  <si>
    <t>Yes</t>
  </si>
  <si>
    <t>All the best</t>
  </si>
  <si>
    <t>saha.pritam939@gmail.com</t>
  </si>
  <si>
    <t>Pritam Saha</t>
  </si>
  <si>
    <t>St. Xavier's College kolkata</t>
  </si>
  <si>
    <t>Both</t>
  </si>
  <si>
    <t>More than 300 Rs.</t>
  </si>
  <si>
    <t>Above 10 hours - Upto 30 hours</t>
  </si>
  <si>
    <t>Above 6 hours - Upto 8 hours</t>
  </si>
  <si>
    <t>royshagnick718@gmail.com</t>
  </si>
  <si>
    <t>Shagnick Roy</t>
  </si>
  <si>
    <t>Presidency University</t>
  </si>
  <si>
    <t>Less than 2 hours</t>
  </si>
  <si>
    <t>Above 8 - Upto 9</t>
  </si>
  <si>
    <t>Above 70 hours - Upto 90 hours</t>
  </si>
  <si>
    <t>Good form not so much time taking</t>
  </si>
  <si>
    <t>sayan.dewanjee@gmail.com</t>
  </si>
  <si>
    <t>Sayan Dewanjee</t>
  </si>
  <si>
    <t>Surendranath College</t>
  </si>
  <si>
    <t>Above 25 hours - Upto 45 hours</t>
  </si>
  <si>
    <t>Above 2 hours - Upto 4 hours</t>
  </si>
  <si>
    <t>trambakbanerjee2003@gmail.com</t>
  </si>
  <si>
    <t>Trambak Banerjee</t>
  </si>
  <si>
    <t>Institute of Technical Education and Research</t>
  </si>
  <si>
    <t>Siksha 'O' Anusandhan University, Bhubaneswar</t>
  </si>
  <si>
    <t>Above 100 Rs.- Below 200 Rs.</t>
  </si>
  <si>
    <t>indranilghosh650@gmail.com</t>
  </si>
  <si>
    <t>Indranil Ghosh</t>
  </si>
  <si>
    <t>Heritage Institute of Technology, Kolkata</t>
  </si>
  <si>
    <t>Maulana Abul Kalam Azad University of Technology</t>
  </si>
  <si>
    <t>sp20030313@gmail.com</t>
  </si>
  <si>
    <t>Sneha Paul</t>
  </si>
  <si>
    <t>Female</t>
  </si>
  <si>
    <t>Bengal Institute of Technology</t>
  </si>
  <si>
    <t>duttasaptajit7@gmail.com</t>
  </si>
  <si>
    <t>SAPTAJIT DUTTA</t>
  </si>
  <si>
    <t>MAULANA AZAD COLLEGE</t>
  </si>
  <si>
    <t>More than 10 hours</t>
  </si>
  <si>
    <t>NA</t>
  </si>
  <si>
    <t>bristimaity01@gmail.com</t>
  </si>
  <si>
    <t>Bristi Maity</t>
  </si>
  <si>
    <t>Techno main salt lake</t>
  </si>
  <si>
    <t>deepsingha615@gmail.com</t>
  </si>
  <si>
    <t>West Bengal State University</t>
  </si>
  <si>
    <t>Above 50 hours - Upto 70 hours</t>
  </si>
  <si>
    <t>Above 4 hours - Upto 6 hours</t>
  </si>
  <si>
    <t>I am bad, as a student, as a citizen, as a friend, as a son. Please help me.</t>
  </si>
  <si>
    <t>harleyqyinextreme@gmail.com</t>
  </si>
  <si>
    <t>Sirsha Ghosh</t>
  </si>
  <si>
    <t>Lady Brabourne college</t>
  </si>
  <si>
    <t>More than 11 hours</t>
  </si>
  <si>
    <t>in2sahoo1262k3@gmail.com</t>
  </si>
  <si>
    <t>Subhayan Sahoo</t>
  </si>
  <si>
    <t>UEM</t>
  </si>
  <si>
    <t>IEM</t>
  </si>
  <si>
    <t>mollasarfaraz.003@gmail.com</t>
  </si>
  <si>
    <t>Sarfaraz Molla</t>
  </si>
  <si>
    <t>Above 5 - Upto 6</t>
  </si>
  <si>
    <t>Above 6 - Upto 7</t>
  </si>
  <si>
    <t>Nice scrutiny brother??</t>
  </si>
  <si>
    <t>srija270604@gmail.com</t>
  </si>
  <si>
    <t>Srija Acharjee</t>
  </si>
  <si>
    <t>Vidyasagar College</t>
  </si>
  <si>
    <t>5-8 hours</t>
  </si>
  <si>
    <t>banerjeeniladri06@gmail.com</t>
  </si>
  <si>
    <t>Niladri Banerjee</t>
  </si>
  <si>
    <t xml:space="preserve">
Onek sneho o bhalobasha roilo</t>
  </si>
  <si>
    <t>atreyeebose629@gmail.com</t>
  </si>
  <si>
    <t>Atreyee Bose</t>
  </si>
  <si>
    <t>Maulana azad college</t>
  </si>
  <si>
    <t>daipayan.scholar@gmail.com</t>
  </si>
  <si>
    <t>Daipayan Bhattacharyya</t>
  </si>
  <si>
    <t>More than 90 hours</t>
  </si>
  <si>
    <t>Above 65 hours - Upto 85 hours</t>
  </si>
  <si>
    <t>ani685088@gmail.com</t>
  </si>
  <si>
    <t>Aniruddha Mukherjee</t>
  </si>
  <si>
    <t>Surendranath college</t>
  </si>
  <si>
    <t>samaptichitubilash35@gmail.com</t>
  </si>
  <si>
    <t>Shibaji Das</t>
  </si>
  <si>
    <t>More than 85 hours</t>
  </si>
  <si>
    <t>ahanseth31@gmail.com</t>
  </si>
  <si>
    <t>Ahan Mazumdar</t>
  </si>
  <si>
    <t>swarNAlidutta543@gmail.com</t>
  </si>
  <si>
    <t>Swarnali Dutta</t>
  </si>
  <si>
    <t>sohamchoudhury9@gmail.com</t>
  </si>
  <si>
    <t>Soham Choudhury</t>
  </si>
  <si>
    <t>St. Xavier's College, Kolkata</t>
  </si>
  <si>
    <t>ghoshtathastu9@gmail.com</t>
  </si>
  <si>
    <t>Tathastu Ghosh</t>
  </si>
  <si>
    <t>The questionnaire is very well designed. It seems to be to the point and there are no ambiguous questions which is the achievement of this questionnaire. Hope it will be helpful for you.</t>
  </si>
  <si>
    <t>kundu0583@gmail.com</t>
  </si>
  <si>
    <t>Ayush</t>
  </si>
  <si>
    <t>Makaut in house on campus</t>
  </si>
  <si>
    <t>subhanjan.03subh@gmail.com</t>
  </si>
  <si>
    <t>Subhanjan Debnath</t>
  </si>
  <si>
    <t>Asutosh College</t>
  </si>
  <si>
    <t>rakshitshikta@gmail.com</t>
  </si>
  <si>
    <t>Shikta</t>
  </si>
  <si>
    <t>Snggdcg</t>
  </si>
  <si>
    <t>bhuiNAvik@gmail.com</t>
  </si>
  <si>
    <t>Avik Bhuin</t>
  </si>
  <si>
    <t>Time Management is the key.</t>
  </si>
  <si>
    <t>rohitsen0701@gmail.com</t>
  </si>
  <si>
    <t>Rohit Sen</t>
  </si>
  <si>
    <t>deasmita2003@gmail.com</t>
  </si>
  <si>
    <t>Asmita De</t>
  </si>
  <si>
    <t>Bethune college</t>
  </si>
  <si>
    <t>Good</t>
  </si>
  <si>
    <t>pratikrivo@gmail.com</t>
  </si>
  <si>
    <t>Prat</t>
  </si>
  <si>
    <t>RKMV BELUR MATH</t>
  </si>
  <si>
    <t>rupsa.connect@gmail.com</t>
  </si>
  <si>
    <t>Rupsa Chakraborty</t>
  </si>
  <si>
    <t>Maulana Azad college</t>
  </si>
  <si>
    <t>rathantarimahapatra@gmail.com</t>
  </si>
  <si>
    <t>Rathantari Mahapatra</t>
  </si>
  <si>
    <t>Bethune College</t>
  </si>
  <si>
    <t>chatterjee.trisha002@gmail.com</t>
  </si>
  <si>
    <t>Trisha Chatterjee</t>
  </si>
  <si>
    <t>Rammohan College</t>
  </si>
  <si>
    <t>Nothing to say</t>
  </si>
  <si>
    <t>tiyasachakraborty5@gmail.com</t>
  </si>
  <si>
    <t>Tiyasa Chakraborty</t>
  </si>
  <si>
    <t>Women's College,Calcutta</t>
  </si>
  <si>
    <t>mukherjeemoumita602@gmail.com</t>
  </si>
  <si>
    <t>Debarati Mukherjee</t>
  </si>
  <si>
    <t>Bagbazar Women's college</t>
  </si>
  <si>
    <t>geniapaul09@gmail.com</t>
  </si>
  <si>
    <t>GENIA PAUL</t>
  </si>
  <si>
    <t>Victoria College</t>
  </si>
  <si>
    <t>sukanyadas7246@gmail.com</t>
  </si>
  <si>
    <t>A</t>
  </si>
  <si>
    <t>What is the use of asking for the name</t>
  </si>
  <si>
    <t>daspriyankakrpkab4522@gmail.com</t>
  </si>
  <si>
    <t>Priyanka Das</t>
  </si>
  <si>
    <t>Victoria Institution (college)</t>
  </si>
  <si>
    <t>arkajyotibanerjee1@gmail.com</t>
  </si>
  <si>
    <t>Arkajyoti Banerjee</t>
  </si>
  <si>
    <t>sahaarunima198@gmail.com</t>
  </si>
  <si>
    <t>Arunima Saha</t>
  </si>
  <si>
    <t>Rammohan college</t>
  </si>
  <si>
    <t>hackerboltee69@gmail.com</t>
  </si>
  <si>
    <t>RKMRC NDP</t>
  </si>
  <si>
    <t>santanupaul148@gmail.com</t>
  </si>
  <si>
    <t>Santanu Paul</t>
  </si>
  <si>
    <t>Vidyasagar metropolitan college</t>
  </si>
  <si>
    <t>upasaNAdas721@gmail.com</t>
  </si>
  <si>
    <t>Upasana Das</t>
  </si>
  <si>
    <t>imseNAkash@gmail.com</t>
  </si>
  <si>
    <t>Akash Sen</t>
  </si>
  <si>
    <t>sudipadas973@gmail.com</t>
  </si>
  <si>
    <t>Sudipa Das</t>
  </si>
  <si>
    <t>rm8193266@gmail.com</t>
  </si>
  <si>
    <t>Rohan Mitra</t>
  </si>
  <si>
    <t>Ananda Mohan College</t>
  </si>
  <si>
    <t>sandiptamalakar9@gmail.com</t>
  </si>
  <si>
    <t>Sandipta Malakar</t>
  </si>
  <si>
    <t>s.koley2003@gmail.com</t>
  </si>
  <si>
    <t>Snehasis Koley</t>
  </si>
  <si>
    <t>Ramakrishna Mission Residential College</t>
  </si>
  <si>
    <t>royarijit26102003@gmail.com</t>
  </si>
  <si>
    <t>Arijit Roy</t>
  </si>
  <si>
    <t>sabiNA15303@gmail.com</t>
  </si>
  <si>
    <t>Sabina Yasmin</t>
  </si>
  <si>
    <t>MUC Women's College</t>
  </si>
  <si>
    <t>University of Burdwan</t>
  </si>
  <si>
    <t>jamirulchowdhury316@gmail.com</t>
  </si>
  <si>
    <t>Jamirul Chowdhury</t>
  </si>
  <si>
    <t>arkaadebkapat@gmail.com</t>
  </si>
  <si>
    <t>Arkaadeb Kapat</t>
  </si>
  <si>
    <t>City College</t>
  </si>
  <si>
    <t>This survey is very helpful for learning some harmful effects of mobile phone upon our exam results.</t>
  </si>
  <si>
    <t>shreyamaiti04@gmail.com</t>
  </si>
  <si>
    <t>Shreya Maiti</t>
  </si>
  <si>
    <t>titlibiswas800@gmail.com</t>
  </si>
  <si>
    <t>Titli Biswas</t>
  </si>
  <si>
    <t>tamalghosh1972@gmail.com</t>
  </si>
  <si>
    <t>Tamojit Ghosh</t>
  </si>
  <si>
    <t>soumyadeepbasak2003@gmail.com</t>
  </si>
  <si>
    <t>Soumyadeep Basak</t>
  </si>
  <si>
    <t>Vidyasagar college</t>
  </si>
  <si>
    <t>annesha.khamrui@gmail.com</t>
  </si>
  <si>
    <t>Annesha Khamrui</t>
  </si>
  <si>
    <t>krittika.rksm19@gmail.com</t>
  </si>
  <si>
    <t>Krittika Chatterjee</t>
  </si>
  <si>
    <t>Sister Nibedita Govt General Degree College for Girls</t>
  </si>
  <si>
    <t>Nice survey. Best wishes. Thank you.</t>
  </si>
  <si>
    <t>srijitabhattacharjee83@gmail.com</t>
  </si>
  <si>
    <t>Srijeeta Bhattacharjee</t>
  </si>
  <si>
    <t>Scottish Church College</t>
  </si>
  <si>
    <t>thakurchitra667@gmail.com</t>
  </si>
  <si>
    <t>Chitra Thakur</t>
  </si>
  <si>
    <t>surjyadeepbose@gmail.com</t>
  </si>
  <si>
    <t>Surjyadeep Bose</t>
  </si>
  <si>
    <t>Vivekananda college</t>
  </si>
  <si>
    <t>siboham2002@gmail.com</t>
  </si>
  <si>
    <t>Siboham Pattanayak</t>
  </si>
  <si>
    <t>RKMRC</t>
  </si>
  <si>
    <t>Autonomous</t>
  </si>
  <si>
    <t>soumadip2106@gmail.com</t>
  </si>
  <si>
    <t>Soumadip Das</t>
  </si>
  <si>
    <t>Raiganj University</t>
  </si>
  <si>
    <t>mukherjeemayukh938@gmail.com</t>
  </si>
  <si>
    <t>Mayukh Mukherjee</t>
  </si>
  <si>
    <t>Heritage Institute of Technology</t>
  </si>
  <si>
    <t>NIL</t>
  </si>
  <si>
    <t>pansafalya2003@gmail.com</t>
  </si>
  <si>
    <t>Safalya Pan</t>
  </si>
  <si>
    <t>B. P. Poddar Institute of Management and Technology</t>
  </si>
  <si>
    <t>Above 50 Rs.- Below 100 Rs.</t>
  </si>
  <si>
    <t>lalchandgorai2003@gmail.com</t>
  </si>
  <si>
    <t>Lalchand Gorai</t>
  </si>
  <si>
    <t>Ramakrishna mission residential college (Autonomous), Narendrapur</t>
  </si>
  <si>
    <t>raNAdas64125@gmail.com</t>
  </si>
  <si>
    <t>Tanupriyo Das</t>
  </si>
  <si>
    <t>poushomi30@gmail.com</t>
  </si>
  <si>
    <t>Poushomi Chatterjee</t>
  </si>
  <si>
    <t>sister nivedita government general degree college for girls</t>
  </si>
  <si>
    <t>NAskarantara2003@gmail.com</t>
  </si>
  <si>
    <t>Antara Naskar</t>
  </si>
  <si>
    <t>sagnikchowdhury876@gmail.com</t>
  </si>
  <si>
    <t>Sagnik Chowdhury</t>
  </si>
  <si>
    <t>siuli.mitun@gmail.com</t>
  </si>
  <si>
    <t>Aishani Chowdhury</t>
  </si>
  <si>
    <t>Maharani Kasiswari College</t>
  </si>
  <si>
    <t>kundu.sagnik07@gmail.com</t>
  </si>
  <si>
    <t>Sagnik kundu</t>
  </si>
  <si>
    <t>Above 4 - Upto 5</t>
  </si>
  <si>
    <t>Bhalo</t>
  </si>
  <si>
    <t>souvikNAth5o@gmail.com</t>
  </si>
  <si>
    <t>Souvik Nath</t>
  </si>
  <si>
    <t>University of Engineering and Management, Kolkata</t>
  </si>
  <si>
    <t>aniketdingo@gmail.com</t>
  </si>
  <si>
    <t>ANIKET SAHA</t>
  </si>
  <si>
    <t>Rabindra Bharati University</t>
  </si>
  <si>
    <t>Hello Santarpan , this is my opinion for your questions . I think it will be helpfull for you . I wish good luck for your project work . Keep working .</t>
  </si>
  <si>
    <t>rbhattacharya848@gmail.com</t>
  </si>
  <si>
    <t>Ritam Bhattacharya</t>
  </si>
  <si>
    <t>gankaNA50@gmail.com</t>
  </si>
  <si>
    <t>Ankana Ghosh</t>
  </si>
  <si>
    <t>Sister Nibedita Government General Degree College For Girls</t>
  </si>
  <si>
    <t>joyganguly047@gmail.com</t>
  </si>
  <si>
    <t>Joy Ganguly</t>
  </si>
  <si>
    <t>Kalyani Mahavidyalaya</t>
  </si>
  <si>
    <t>Kalyani University</t>
  </si>
  <si>
    <t>I don't understand why 24,26th questions are mandatory, how anyone can answer it if they don't spend time watching sports or doing extra curriculum.</t>
  </si>
  <si>
    <t>tanushmondal03@gmail.com</t>
  </si>
  <si>
    <t>Tanush Mondal</t>
  </si>
  <si>
    <t>saranyadas039@gmail.com</t>
  </si>
  <si>
    <t>Sharanya Das</t>
  </si>
  <si>
    <t>Presidency University, Kolkata</t>
  </si>
  <si>
    <t>deepadiotic@gmail.com</t>
  </si>
  <si>
    <t>Soumya Deep saha</t>
  </si>
  <si>
    <t>Narula institute of technology</t>
  </si>
  <si>
    <t>Come to Newyour</t>
  </si>
  <si>
    <t>somasikder22034@gmail.com</t>
  </si>
  <si>
    <t>Soma Sikder</t>
  </si>
  <si>
    <t>pujapandey2612@gmail.com</t>
  </si>
  <si>
    <t>Puja Pandey</t>
  </si>
  <si>
    <t>Maulana Azad</t>
  </si>
  <si>
    <t>anishadutta960@gmail.com</t>
  </si>
  <si>
    <t>Anisha Dutta</t>
  </si>
  <si>
    <t>Gurudas College</t>
  </si>
  <si>
    <t>chakrobortydebaditya@gmail.com</t>
  </si>
  <si>
    <t>Debaditya Chakraborty</t>
  </si>
  <si>
    <t>Vivekananda College Thakurpukur</t>
  </si>
  <si>
    <t>soniakundu2244@gmail.com</t>
  </si>
  <si>
    <t>SK</t>
  </si>
  <si>
    <t>Sarojini Naidu college for women</t>
  </si>
  <si>
    <t>kousikpramanik176@gmail.com</t>
  </si>
  <si>
    <t>Kousik Pramanik</t>
  </si>
  <si>
    <t>Self</t>
  </si>
  <si>
    <t>das026427@gmail.com</t>
  </si>
  <si>
    <t>Ananya Das</t>
  </si>
  <si>
    <t>GOENKA College of Commerce and Business Administration</t>
  </si>
  <si>
    <t>Please add no options in few of the questions because everyone does not do those things at all</t>
  </si>
  <si>
    <t>bappadityadebNAth329@gmail.com</t>
  </si>
  <si>
    <t>Bappaditya Debnath</t>
  </si>
  <si>
    <t>National Institute of Science Education and Research Bhubaneswar</t>
  </si>
  <si>
    <t>Homi Bhabha National Institute</t>
  </si>
  <si>
    <t>abhijNAnsarkar18@gmail.com</t>
  </si>
  <si>
    <t>Abhijnan Sarkar</t>
  </si>
  <si>
    <t>Haldia Institute of Technology</t>
  </si>
  <si>
    <t>rmondal2002@gmail.com</t>
  </si>
  <si>
    <t>Romit</t>
  </si>
  <si>
    <t>ahamedserry@gmail.com</t>
  </si>
  <si>
    <t>Sara Ahamed</t>
  </si>
  <si>
    <t>dassulagNA02@gmail.com</t>
  </si>
  <si>
    <t>Sulagna Das</t>
  </si>
  <si>
    <t>Sister Nibedita Government General Degree College for Girls</t>
  </si>
  <si>
    <t>sensankhya@gmail.com</t>
  </si>
  <si>
    <t>Sankhya Sen</t>
  </si>
  <si>
    <t>rajdeepmondal890@gmail.com</t>
  </si>
  <si>
    <t>Rajdeep Mondal</t>
  </si>
  <si>
    <t>RCC Institute of Information Technology</t>
  </si>
  <si>
    <t>aniketagarwal433@gmail.com</t>
  </si>
  <si>
    <t>Aniket Agarwal</t>
  </si>
  <si>
    <t>Nice survey. All the best for your project!</t>
  </si>
  <si>
    <t>dparNA387@gmail.com</t>
  </si>
  <si>
    <t>Parna Dutta</t>
  </si>
  <si>
    <t>Vivekananda College</t>
  </si>
  <si>
    <t>pm069471@gmail.com</t>
  </si>
  <si>
    <t>Priya Mondal</t>
  </si>
  <si>
    <t>Burdwan university</t>
  </si>
  <si>
    <t>csoumyajyoti12@gmail.com</t>
  </si>
  <si>
    <t>SOUMYAJYOTI CHAKRABORTY</t>
  </si>
  <si>
    <t>Bidhannagar College</t>
  </si>
  <si>
    <t>akkepogupraisie@gmail.com</t>
  </si>
  <si>
    <t>A S Praisie Jemimah</t>
  </si>
  <si>
    <t>Gitam University</t>
  </si>
  <si>
    <t>monicoNAbose@gmail.com</t>
  </si>
  <si>
    <t>Adityabarna Bose</t>
  </si>
  <si>
    <t>Asutosh college</t>
  </si>
  <si>
    <t>Neither wifi, nor mobile data impacts anyone's study. It is the PHONE and the TIME you spend on it that matters!</t>
  </si>
  <si>
    <t>parthibsaha100@gmail.com</t>
  </si>
  <si>
    <t>Parthib Saha</t>
  </si>
  <si>
    <t>Ramakrishna Mission Vidyamandira</t>
  </si>
  <si>
    <t>duttaadrisha18@gmail.com</t>
  </si>
  <si>
    <t>Adrisha Dutta</t>
  </si>
  <si>
    <t>Narula Institute Of Technology</t>
  </si>
  <si>
    <t>rohitmondal9123@gmail.com</t>
  </si>
  <si>
    <t>Rohit Mondal</t>
  </si>
  <si>
    <t>Bengal institute of technology</t>
  </si>
  <si>
    <t>somNAthcrash@gmail.com</t>
  </si>
  <si>
    <t>Somnath Banerjee</t>
  </si>
  <si>
    <t>Best of luck.</t>
  </si>
  <si>
    <t>soumitadatta2003@gmail.com</t>
  </si>
  <si>
    <t>Soumita Datta</t>
  </si>
  <si>
    <t>Maharani KASISWARI COLLEGE</t>
  </si>
  <si>
    <t>snigdhas529@gmail.com</t>
  </si>
  <si>
    <t>Snigdha Saha</t>
  </si>
  <si>
    <t>Lady Brabourne College</t>
  </si>
  <si>
    <t>souvik140104@gmail.com</t>
  </si>
  <si>
    <t>Souvik Ghosh</t>
  </si>
  <si>
    <t>royshreenidhi@gmail.com</t>
  </si>
  <si>
    <t>Shreenidhi Roy</t>
  </si>
  <si>
    <t>No , not any</t>
  </si>
  <si>
    <t>debemon.sen25@gmail.com</t>
  </si>
  <si>
    <t>Debayan Sen</t>
  </si>
  <si>
    <t>sreejadun007@gmail.com</t>
  </si>
  <si>
    <t>Sreeja Maity</t>
  </si>
  <si>
    <t>duttaanushka507@gmail.com</t>
  </si>
  <si>
    <t>Anushka Dutta</t>
  </si>
  <si>
    <t>dasguptapriyanka30@gmail.com</t>
  </si>
  <si>
    <t>Priyanka Dasgupta</t>
  </si>
  <si>
    <t>aNAghosh2003@gmail.com</t>
  </si>
  <si>
    <t>Ananya Ghosh</t>
  </si>
  <si>
    <t>Maulana Azad College.</t>
  </si>
  <si>
    <t>adritasen1103@gmail.com</t>
  </si>
  <si>
    <t>Adrita Sen</t>
  </si>
  <si>
    <t>Maulana Azad College,Calcutta University</t>
  </si>
  <si>
    <t>soumilihati27@gmail.com</t>
  </si>
  <si>
    <t>Soumili Hati</t>
  </si>
  <si>
    <t>mukherjeerajdeep42@gmail.com</t>
  </si>
  <si>
    <t>Rajdeep mukherjee</t>
  </si>
  <si>
    <t>badgujarshifa@gmail.com</t>
  </si>
  <si>
    <t>Shifa Badgujar</t>
  </si>
  <si>
    <t>rizwanrizwi788@gmail.com</t>
  </si>
  <si>
    <t>Rizwan Rizwi</t>
  </si>
  <si>
    <t>anuskaghosh2704@gmail.com</t>
  </si>
  <si>
    <t>Anuska Ghosh</t>
  </si>
  <si>
    <t>Maulana Azad College, Kolkata</t>
  </si>
  <si>
    <t>Deep Singha</t>
  </si>
  <si>
    <t>DDMC</t>
  </si>
  <si>
    <t>AVG</t>
  </si>
  <si>
    <t>less than 2</t>
  </si>
  <si>
    <t>2-5 hr</t>
  </si>
  <si>
    <t>5-8 hr</t>
  </si>
  <si>
    <t>8-11 hr</t>
  </si>
  <si>
    <t>more than 11</t>
  </si>
  <si>
    <t>less than 10</t>
  </si>
  <si>
    <t>10-30 hr</t>
  </si>
  <si>
    <t>30-50 hr</t>
  </si>
  <si>
    <t>50-70 hr</t>
  </si>
  <si>
    <t>70-90 hr</t>
  </si>
  <si>
    <t>more than 90</t>
  </si>
  <si>
    <t>less than 5</t>
  </si>
  <si>
    <t>5-25 hr</t>
  </si>
  <si>
    <t>45-65 hr</t>
  </si>
  <si>
    <t>25-45 hr</t>
  </si>
  <si>
    <t>65-85 hr</t>
  </si>
  <si>
    <t>more than 85</t>
  </si>
  <si>
    <t>More than 70</t>
  </si>
  <si>
    <t>2-4 hr</t>
  </si>
  <si>
    <t>4-6 hr</t>
  </si>
  <si>
    <t>6-8 hr</t>
  </si>
  <si>
    <t>8-10 hr</t>
  </si>
  <si>
    <t>more than 10</t>
  </si>
  <si>
    <t>5 to 6</t>
  </si>
  <si>
    <t>6 to 7</t>
  </si>
  <si>
    <t>7 to 8</t>
  </si>
  <si>
    <t>8 to 9</t>
  </si>
  <si>
    <t>more than 9</t>
  </si>
  <si>
    <t>Average SGPA</t>
  </si>
  <si>
    <t xml:space="preserve">Average SGPA </t>
  </si>
  <si>
    <t>TOTAL</t>
  </si>
  <si>
    <t>Total Study Hour</t>
  </si>
  <si>
    <t>Total Hour Spend On Mobile</t>
  </si>
  <si>
    <t>More Than 90 hr</t>
  </si>
  <si>
    <t>Total Hour Spend On Mobile for Study</t>
  </si>
  <si>
    <t>More Than 85 hr</t>
  </si>
  <si>
    <t>Total Hour Spend On Mobile for Gaming</t>
  </si>
  <si>
    <t>Total Hour Spend On Mobile for Social Media</t>
  </si>
  <si>
    <t>Total Hour Spend On Mobile for Chatting</t>
  </si>
  <si>
    <t>More than 85</t>
  </si>
  <si>
    <t>Total Hour Spend On Mobile for Watching Videos</t>
  </si>
  <si>
    <t>Total Hour Spend On Mobile for Extra Curricular Activities</t>
  </si>
  <si>
    <t>Total Hour Spend On Sports</t>
  </si>
  <si>
    <t>Total Hour Spend On Extra Curricular Activities</t>
  </si>
  <si>
    <t>Total Hour Spend On Sleep</t>
  </si>
  <si>
    <t>More than 10 hr</t>
  </si>
  <si>
    <t>Less than 10 hr</t>
  </si>
  <si>
    <t>More than 70 hr</t>
  </si>
  <si>
    <t>Less than 5 hr</t>
  </si>
  <si>
    <t>More than 85 hr</t>
  </si>
  <si>
    <t>More than 90 hr</t>
  </si>
  <si>
    <t>Less than 2 hr</t>
  </si>
  <si>
    <t>More than 11 hr</t>
  </si>
  <si>
    <t>Na</t>
  </si>
  <si>
    <t>Ni</t>
  </si>
  <si>
    <t>G=(Na-Ni)/(Na+Ni)</t>
  </si>
  <si>
    <t>G</t>
  </si>
  <si>
    <t>Anova Table</t>
  </si>
  <si>
    <t>Sources of variation</t>
  </si>
  <si>
    <t>d.f.</t>
  </si>
  <si>
    <t>SS</t>
  </si>
  <si>
    <t>MS</t>
  </si>
  <si>
    <t>F value</t>
  </si>
  <si>
    <t>Time spend on mobile</t>
  </si>
  <si>
    <t>Total</t>
  </si>
  <si>
    <t>Time spend on mobile for study</t>
  </si>
  <si>
    <t>Time spend on extracurricular activities</t>
  </si>
  <si>
    <t>Time spend on sports</t>
  </si>
  <si>
    <t>p-value</t>
  </si>
  <si>
    <t>p</t>
  </si>
  <si>
    <t>T=G * sqrt [(Na+Ni)]/{n(1-G^2)}]</t>
  </si>
  <si>
    <t xml:space="preserve"> p value</t>
  </si>
  <si>
    <t>T</t>
  </si>
  <si>
    <t>Factors</t>
  </si>
  <si>
    <t>p value</t>
  </si>
  <si>
    <t>AVG SGPA</t>
  </si>
  <si>
    <t>Study 5</t>
  </si>
  <si>
    <t>Sports 6</t>
  </si>
  <si>
    <t xml:space="preserve"> How much time do you spend on study daily on an average?</t>
  </si>
  <si>
    <t>Study</t>
  </si>
  <si>
    <t>Sports</t>
  </si>
  <si>
    <t>z1</t>
  </si>
  <si>
    <t>z2</t>
  </si>
  <si>
    <t>z3</t>
  </si>
  <si>
    <t>z4</t>
  </si>
  <si>
    <t>=</t>
  </si>
  <si>
    <t>Name</t>
  </si>
  <si>
    <t xml:space="preserve"> How much time do you spend on sports weekly on an average?
(If you are not into sports, simply select the option "NO")</t>
  </si>
  <si>
    <t>w1</t>
  </si>
  <si>
    <t>w2</t>
  </si>
  <si>
    <t>w3</t>
  </si>
  <si>
    <t>SUMMARY OUTPUT</t>
  </si>
  <si>
    <t>Regression Statistics</t>
  </si>
  <si>
    <t>Multiple R</t>
  </si>
  <si>
    <t>R Square</t>
  </si>
  <si>
    <t>Adjusted R Square</t>
  </si>
  <si>
    <t>Standard Error</t>
  </si>
  <si>
    <t>Observations</t>
  </si>
  <si>
    <t>ANOVA</t>
  </si>
  <si>
    <t>Regression</t>
  </si>
  <si>
    <t>Residual</t>
  </si>
  <si>
    <t>Intercept</t>
  </si>
  <si>
    <t>df</t>
  </si>
  <si>
    <t>F</t>
  </si>
  <si>
    <t>Significance F</t>
  </si>
  <si>
    <t>Coefficients</t>
  </si>
  <si>
    <t>t Stat</t>
  </si>
  <si>
    <t>P-value</t>
  </si>
  <si>
    <t>Lower 95%</t>
  </si>
  <si>
    <t>Upper 95%</t>
  </si>
  <si>
    <t>Lower 95.0%</t>
  </si>
  <si>
    <t>Upper 95.0%</t>
  </si>
  <si>
    <t>RESIDUAL OUTPUT</t>
  </si>
  <si>
    <t>Observation</t>
  </si>
  <si>
    <t>Predicted AVG SGPA</t>
  </si>
  <si>
    <t>Residuals</t>
  </si>
  <si>
    <t>Predicted SGPA</t>
  </si>
  <si>
    <t>Predicted SGPA of 5th Semester</t>
  </si>
  <si>
    <t>Actual SGPA</t>
  </si>
  <si>
    <t>Error</t>
  </si>
  <si>
    <t>Total Sports Time</t>
  </si>
  <si>
    <t>Total Extracurricular Time</t>
  </si>
  <si>
    <t>Anova: Single Factor</t>
  </si>
  <si>
    <t>SUMMARY</t>
  </si>
  <si>
    <t>Groups</t>
  </si>
  <si>
    <t>Count</t>
  </si>
  <si>
    <t>Sum</t>
  </si>
  <si>
    <t>Average</t>
  </si>
  <si>
    <t>Variance</t>
  </si>
  <si>
    <t>Source of Variation</t>
  </si>
  <si>
    <t>F crit</t>
  </si>
  <si>
    <t>Between Groups</t>
  </si>
  <si>
    <t>Within Groups</t>
  </si>
  <si>
    <t>Study Hour</t>
  </si>
  <si>
    <t>Sports Time</t>
  </si>
  <si>
    <t>Extra Curricular</t>
  </si>
  <si>
    <t>Total Time Spend on Mobile</t>
  </si>
  <si>
    <t>Total Mobile Time</t>
  </si>
  <si>
    <t>Time Spend on Mobile for Study</t>
  </si>
  <si>
    <t>Avg. SGPA</t>
  </si>
  <si>
    <t>Time Spend on Mobile for Extra Curricular</t>
  </si>
  <si>
    <t xml:space="preserve">Total Mobile Time on study </t>
  </si>
  <si>
    <t xml:space="preserve">Total Mobile Time on Extracurricular </t>
  </si>
  <si>
    <t>Total Study Time</t>
  </si>
  <si>
    <t>Total Time Spend on Sports</t>
  </si>
  <si>
    <t>Total Time Spend on Extracurricular Activities</t>
  </si>
  <si>
    <t>Total Time Spend on Mobile for Study</t>
  </si>
  <si>
    <t>Total Time Spend on Mobile for Extracurricular Activities</t>
  </si>
  <si>
    <t>Sports (Excluding No)</t>
  </si>
  <si>
    <t>Total Time Spend on Sports(Excluding No)</t>
  </si>
  <si>
    <t>Significant or not</t>
  </si>
  <si>
    <t>g</t>
  </si>
  <si>
    <t>TP</t>
  </si>
  <si>
    <t>TN</t>
  </si>
  <si>
    <t>FP</t>
  </si>
  <si>
    <t>FN</t>
  </si>
  <si>
    <t>Accuracy</t>
  </si>
  <si>
    <t>Precision</t>
  </si>
  <si>
    <t>Recall</t>
  </si>
  <si>
    <t>Specificity</t>
  </si>
  <si>
    <r>
      <t>(TP + TN) / (TP + TN + FP + FN)</t>
    </r>
    <r>
      <rPr>
        <sz val="8"/>
        <color rgb="FF1F1F1F"/>
        <rFont val="Arial"/>
        <family val="2"/>
      </rPr>
      <t> </t>
    </r>
  </si>
  <si>
    <t>TP / (TP + FN)</t>
  </si>
  <si>
    <t>TN / (TN + FP)</t>
  </si>
  <si>
    <t>TP ÷ (TP + FP)</t>
  </si>
  <si>
    <t>Sensitivity</t>
  </si>
  <si>
    <t>-</t>
  </si>
  <si>
    <t>Actual Value/ Predicted Value</t>
  </si>
  <si>
    <t>Actual AVG SGPA</t>
  </si>
  <si>
    <t>Predicted vs Actual Average SGPA upto 4th Semester</t>
  </si>
  <si>
    <t>Negative</t>
  </si>
  <si>
    <t>Positive</t>
  </si>
  <si>
    <t>Actual 5th Sem SGPA</t>
  </si>
  <si>
    <t>1ST SGPA</t>
  </si>
  <si>
    <t>2ND SGPA</t>
  </si>
  <si>
    <t>3RD SGPA</t>
  </si>
  <si>
    <t>4TH SGPA</t>
  </si>
  <si>
    <t>5th SGPA</t>
  </si>
  <si>
    <t>X Variable 1</t>
  </si>
  <si>
    <t>X Variable 2</t>
  </si>
  <si>
    <t>X Variable 3</t>
  </si>
  <si>
    <t>X Variable 4</t>
  </si>
  <si>
    <t>X Variable 5</t>
  </si>
  <si>
    <t>X Variable 6</t>
  </si>
  <si>
    <t>X Variable 7</t>
  </si>
  <si>
    <t>Predicted Y</t>
  </si>
  <si>
    <t>AVG(5)</t>
  </si>
  <si>
    <t>AVG(4)</t>
  </si>
  <si>
    <t>AVG SGPA (4)</t>
  </si>
  <si>
    <t>Actual SGPA (5)</t>
  </si>
  <si>
    <t>X Variable 8</t>
  </si>
  <si>
    <t>AVG SGPA (5)</t>
  </si>
  <si>
    <t>Actual 5</t>
  </si>
  <si>
    <t>Predicted 5</t>
  </si>
  <si>
    <t>Individual</t>
  </si>
</sst>
</file>

<file path=xl/styles.xml><?xml version="1.0" encoding="utf-8"?>
<styleSheet xmlns="http://schemas.openxmlformats.org/spreadsheetml/2006/main">
  <numFmts count="1">
    <numFmt numFmtId="164" formatCode="0.000"/>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3" tint="-0.499984740745262"/>
      <name val="Calibri"/>
      <family val="2"/>
      <scheme val="minor"/>
    </font>
    <font>
      <i/>
      <sz val="11"/>
      <color theme="1"/>
      <name val="Calibri"/>
      <family val="2"/>
      <scheme val="minor"/>
    </font>
    <font>
      <b/>
      <i/>
      <sz val="11"/>
      <color theme="1"/>
      <name val="Calibri"/>
      <family val="2"/>
      <scheme val="minor"/>
    </font>
    <font>
      <sz val="8"/>
      <color rgb="FF040C28"/>
      <name val="Arial"/>
      <family val="2"/>
    </font>
    <font>
      <sz val="8"/>
      <color rgb="FF1F1F1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4"/>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1">
    <xf numFmtId="0" fontId="0" fillId="0" borderId="0" xfId="0"/>
    <xf numFmtId="0" fontId="0" fillId="0" borderId="0" xfId="0" applyAlignment="1">
      <alignment wrapText="1"/>
    </xf>
    <xf numFmtId="0" fontId="0" fillId="0" borderId="0" xfId="0" applyAlignment="1">
      <alignment horizontal="center"/>
    </xf>
    <xf numFmtId="0" fontId="16" fillId="0" borderId="0" xfId="0" applyFont="1" applyAlignment="1">
      <alignment horizontal="center" wrapText="1"/>
    </xf>
    <xf numFmtId="164" fontId="0" fillId="0" borderId="0" xfId="0" applyNumberFormat="1"/>
    <xf numFmtId="0" fontId="16" fillId="0" borderId="0" xfId="0" applyFont="1" applyAlignment="1">
      <alignment horizontal="center"/>
    </xf>
    <xf numFmtId="0" fontId="16" fillId="0" borderId="0" xfId="0" applyFont="1"/>
    <xf numFmtId="0" fontId="16" fillId="0" borderId="0" xfId="0" applyFont="1" applyAlignment="1">
      <alignment wrapText="1"/>
    </xf>
    <xf numFmtId="16" fontId="0" fillId="0" borderId="0" xfId="0" applyNumberFormat="1" applyAlignment="1">
      <alignment horizontal="center"/>
    </xf>
    <xf numFmtId="16" fontId="0" fillId="0" borderId="0" xfId="0" applyNumberFormat="1"/>
    <xf numFmtId="0" fontId="0" fillId="0" borderId="0" xfId="0" applyAlignment="1">
      <alignment horizontal="center" wrapText="1"/>
    </xf>
    <xf numFmtId="164" fontId="0" fillId="0" borderId="0" xfId="0" applyNumberFormat="1" applyAlignment="1">
      <alignment horizontal="center"/>
    </xf>
    <xf numFmtId="0" fontId="0" fillId="0" borderId="0" xfId="0" applyAlignment="1">
      <alignment horizontal="center" vertical="center"/>
    </xf>
    <xf numFmtId="16" fontId="0" fillId="0" borderId="0" xfId="0" applyNumberFormat="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33" borderId="0" xfId="0" applyFont="1" applyFill="1" applyAlignment="1">
      <alignment horizontal="center" vertical="center"/>
    </xf>
    <xf numFmtId="0" fontId="16" fillId="0" borderId="18" xfId="0" applyFont="1" applyBorder="1" applyAlignment="1">
      <alignment horizontal="center" vertical="center"/>
    </xf>
    <xf numFmtId="0" fontId="0" fillId="0" borderId="18" xfId="0" applyBorder="1" applyAlignment="1">
      <alignment horizontal="center" vertical="center" wrapText="1"/>
    </xf>
    <xf numFmtId="0" fontId="0" fillId="0" borderId="18"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6" fillId="0" borderId="0" xfId="0" applyFont="1" applyAlignment="1">
      <alignment horizontal="center" vertical="center"/>
    </xf>
    <xf numFmtId="0" fontId="0" fillId="0" borderId="0" xfId="0" applyAlignment="1">
      <alignment vertical="center"/>
    </xf>
    <xf numFmtId="0" fontId="1" fillId="11" borderId="18" xfId="20" applyBorder="1" applyAlignment="1">
      <alignment horizontal="center" vertical="center"/>
    </xf>
    <xf numFmtId="0" fontId="1" fillId="11" borderId="18" xfId="20" applyBorder="1" applyAlignment="1">
      <alignment vertical="center"/>
    </xf>
    <xf numFmtId="0" fontId="18" fillId="12" borderId="18" xfId="21" applyFont="1" applyBorder="1" applyAlignment="1">
      <alignment horizontal="center" vertical="center"/>
    </xf>
    <xf numFmtId="0" fontId="0" fillId="0" borderId="0" xfId="0" applyFont="1" applyAlignment="1">
      <alignment horizontal="center"/>
    </xf>
    <xf numFmtId="0" fontId="0" fillId="0" borderId="0" xfId="0" applyFill="1" applyBorder="1" applyAlignment="1"/>
    <xf numFmtId="0" fontId="0" fillId="0" borderId="19" xfId="0" applyFill="1" applyBorder="1" applyAlignment="1"/>
    <xf numFmtId="0" fontId="19" fillId="0" borderId="20" xfId="0" applyFont="1" applyFill="1" applyBorder="1" applyAlignment="1">
      <alignment horizontal="center"/>
    </xf>
    <xf numFmtId="0" fontId="19" fillId="0" borderId="20" xfId="0" applyFont="1" applyFill="1" applyBorder="1" applyAlignment="1">
      <alignment horizontal="centerContinuous"/>
    </xf>
    <xf numFmtId="164" fontId="0" fillId="0" borderId="0" xfId="0" applyNumberFormat="1" applyFill="1" applyBorder="1" applyAlignment="1"/>
    <xf numFmtId="164" fontId="1" fillId="10" borderId="18" xfId="19" applyNumberFormat="1" applyBorder="1" applyAlignment="1">
      <alignment horizontal="center"/>
    </xf>
    <xf numFmtId="0" fontId="16" fillId="10" borderId="18" xfId="19" applyFont="1" applyBorder="1" applyAlignment="1">
      <alignment horizontal="center"/>
    </xf>
    <xf numFmtId="0" fontId="16" fillId="10" borderId="18" xfId="19" applyFont="1" applyBorder="1" applyAlignment="1">
      <alignment horizontal="center" wrapText="1"/>
    </xf>
    <xf numFmtId="164" fontId="0" fillId="0" borderId="0" xfId="0" applyNumberFormat="1" applyAlignment="1">
      <alignment horizontal="center" vertical="center"/>
    </xf>
    <xf numFmtId="0" fontId="16" fillId="0" borderId="0" xfId="0" applyFont="1" applyAlignment="1">
      <alignment horizontal="center" vertical="center" wrapText="1"/>
    </xf>
    <xf numFmtId="0" fontId="0" fillId="0" borderId="18" xfId="0" applyFill="1" applyBorder="1" applyAlignment="1"/>
    <xf numFmtId="0" fontId="20" fillId="0" borderId="18" xfId="0" applyFont="1" applyFill="1" applyBorder="1" applyAlignment="1">
      <alignment horizontal="center"/>
    </xf>
    <xf numFmtId="0" fontId="16" fillId="0" borderId="18" xfId="0" applyFont="1" applyFill="1" applyBorder="1" applyAlignment="1"/>
    <xf numFmtId="0" fontId="1" fillId="11" borderId="18" xfId="20" applyBorder="1" applyAlignment="1">
      <alignment horizontal="center"/>
    </xf>
    <xf numFmtId="164" fontId="1" fillId="11" borderId="18" xfId="20" applyNumberFormat="1" applyBorder="1" applyAlignment="1">
      <alignment horizontal="center"/>
    </xf>
    <xf numFmtId="0" fontId="16" fillId="11" borderId="18" xfId="20" applyFont="1" applyBorder="1" applyAlignment="1">
      <alignment horizontal="center"/>
    </xf>
    <xf numFmtId="0" fontId="1" fillId="12" borderId="18" xfId="21" applyFont="1" applyBorder="1" applyAlignment="1">
      <alignment horizontal="center"/>
    </xf>
    <xf numFmtId="0" fontId="16" fillId="12" borderId="18" xfId="21" applyFont="1" applyBorder="1" applyAlignment="1">
      <alignment horizontal="center"/>
    </xf>
    <xf numFmtId="0" fontId="0" fillId="0" borderId="0" xfId="0" applyAlignment="1"/>
    <xf numFmtId="0" fontId="21" fillId="0" borderId="0" xfId="0" applyFont="1"/>
    <xf numFmtId="0" fontId="0" fillId="0" borderId="0" xfId="0" applyAlignment="1">
      <alignment horizontal="center" vertical="center"/>
    </xf>
    <xf numFmtId="0" fontId="16" fillId="0" borderId="0" xfId="0" applyFont="1" applyAlignment="1">
      <alignment horizontal="center" vertical="center"/>
    </xf>
    <xf numFmtId="0" fontId="16" fillId="0" borderId="0" xfId="0" applyFont="1" applyAlignment="1">
      <alignment horizontal="center"/>
    </xf>
    <xf numFmtId="0" fontId="0" fillId="0" borderId="0" xfId="0" applyAlignment="1">
      <alignment horizontal="center"/>
    </xf>
    <xf numFmtId="0" fontId="1" fillId="9" borderId="18" xfId="18" applyFont="1" applyBorder="1" applyAlignment="1">
      <alignment horizontal="center"/>
    </xf>
    <xf numFmtId="0" fontId="16" fillId="9" borderId="18" xfId="18" applyFont="1" applyBorder="1" applyAlignment="1">
      <alignment horizontal="center"/>
    </xf>
    <xf numFmtId="164" fontId="0" fillId="0" borderId="19" xfId="0" applyNumberFormat="1" applyFill="1" applyBorder="1" applyAlignment="1"/>
    <xf numFmtId="164" fontId="0" fillId="0" borderId="0" xfId="0" applyNumberFormat="1" applyFill="1" applyBorder="1" applyAlignment="1">
      <alignment horizontal="center" vertical="center"/>
    </xf>
    <xf numFmtId="164" fontId="1" fillId="10" borderId="18" xfId="19" applyNumberFormat="1" applyBorder="1" applyAlignment="1">
      <alignment horizontal="center" vertical="center"/>
    </xf>
    <xf numFmtId="0" fontId="16" fillId="10" borderId="18" xfId="19" applyFont="1" applyBorder="1" applyAlignment="1">
      <alignment horizontal="center" vertical="center"/>
    </xf>
    <xf numFmtId="0" fontId="21" fillId="0" borderId="0" xfId="0" applyFont="1" applyAlignment="1">
      <alignment horizontal="center"/>
    </xf>
    <xf numFmtId="0" fontId="0" fillId="0" borderId="0" xfId="0" applyBorder="1"/>
    <xf numFmtId="0" fontId="19" fillId="0" borderId="0" xfId="0" applyFont="1" applyFill="1" applyBorder="1" applyAlignment="1">
      <alignment horizontal="centerContinuous"/>
    </xf>
    <xf numFmtId="0" fontId="19" fillId="0" borderId="0" xfId="0" applyFont="1" applyFill="1" applyBorder="1" applyAlignment="1">
      <alignment horizontal="center"/>
    </xf>
    <xf numFmtId="164" fontId="0" fillId="0" borderId="0" xfId="0" applyNumberFormat="1" applyFill="1" applyBorder="1" applyAlignment="1">
      <alignment horizontal="center"/>
    </xf>
    <xf numFmtId="164" fontId="0" fillId="0" borderId="0" xfId="0" applyNumberFormat="1" applyBorder="1" applyAlignment="1">
      <alignment horizontal="center"/>
    </xf>
    <xf numFmtId="0" fontId="16" fillId="9" borderId="18" xfId="18" applyFont="1" applyBorder="1" applyAlignment="1">
      <alignment horizontal="center" wrapText="1"/>
    </xf>
    <xf numFmtId="0" fontId="16" fillId="0" borderId="18" xfId="19" applyFont="1" applyFill="1" applyBorder="1" applyAlignment="1">
      <alignment horizontal="center" vertical="center"/>
    </xf>
    <xf numFmtId="0" fontId="0" fillId="0" borderId="0" xfId="0" applyFill="1"/>
    <xf numFmtId="164" fontId="1" fillId="0" borderId="18" xfId="19" applyNumberFormat="1" applyFill="1" applyBorder="1" applyAlignment="1">
      <alignment horizontal="center" vertical="center"/>
    </xf>
    <xf numFmtId="0" fontId="0" fillId="0" borderId="0" xfId="0" applyFill="1" applyAlignment="1">
      <alignment horizontal="center" vertical="center"/>
    </xf>
    <xf numFmtId="0" fontId="16" fillId="0" borderId="0" xfId="0" applyFont="1" applyFill="1" applyAlignment="1">
      <alignment horizontal="center" vertical="center"/>
    </xf>
    <xf numFmtId="0" fontId="0" fillId="0" borderId="0" xfId="0" applyAlignment="1">
      <alignment horizontal="center" vertical="center" textRotation="90"/>
    </xf>
    <xf numFmtId="0" fontId="0" fillId="0" borderId="0" xfId="0" applyAlignment="1">
      <alignment horizontal="center" vertical="center"/>
    </xf>
    <xf numFmtId="0" fontId="16" fillId="0" borderId="0" xfId="0" applyFont="1" applyAlignment="1">
      <alignment horizontal="center" vertical="center"/>
    </xf>
    <xf numFmtId="0" fontId="16" fillId="0" borderId="0" xfId="0" applyFont="1" applyBorder="1" applyAlignment="1">
      <alignment horizontal="center"/>
    </xf>
    <xf numFmtId="0" fontId="16" fillId="0" borderId="16" xfId="0" applyFont="1" applyBorder="1" applyAlignment="1">
      <alignment horizontal="center"/>
    </xf>
    <xf numFmtId="0" fontId="16" fillId="0" borderId="0" xfId="0" applyFont="1" applyAlignment="1">
      <alignment horizontal="center"/>
    </xf>
    <xf numFmtId="0" fontId="0" fillId="0" borderId="0" xfId="0" applyAlignment="1">
      <alignment horizont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z3 Line Fit  Plot</a:t>
            </a:r>
          </a:p>
        </c:rich>
      </c:tx>
    </c:title>
    <c:plotArea>
      <c:layout/>
      <c:barChart>
        <c:barDir val="col"/>
        <c:grouping val="clustered"/>
        <c:ser>
          <c:idx val="0"/>
          <c:order val="0"/>
          <c:tx>
            <c:v>AVG SGPA</c:v>
          </c:tx>
          <c:cat>
            <c:numRef>
              <c:f>Dummy!$I$3:$I$121</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1</c:v>
                </c:pt>
                <c:pt idx="19">
                  <c:v>0</c:v>
                </c:pt>
                <c:pt idx="20">
                  <c:v>1</c:v>
                </c:pt>
                <c:pt idx="21">
                  <c:v>0</c:v>
                </c:pt>
                <c:pt idx="22">
                  <c:v>0</c:v>
                </c:pt>
                <c:pt idx="23">
                  <c:v>1</c:v>
                </c:pt>
                <c:pt idx="24">
                  <c:v>0</c:v>
                </c:pt>
                <c:pt idx="25">
                  <c:v>1</c:v>
                </c:pt>
                <c:pt idx="26">
                  <c:v>0</c:v>
                </c:pt>
                <c:pt idx="27">
                  <c:v>0</c:v>
                </c:pt>
                <c:pt idx="28">
                  <c:v>1</c:v>
                </c:pt>
                <c:pt idx="29">
                  <c:v>0</c:v>
                </c:pt>
                <c:pt idx="30">
                  <c:v>0</c:v>
                </c:pt>
                <c:pt idx="31">
                  <c:v>1</c:v>
                </c:pt>
                <c:pt idx="32">
                  <c:v>1</c:v>
                </c:pt>
                <c:pt idx="33">
                  <c:v>0</c:v>
                </c:pt>
                <c:pt idx="34">
                  <c:v>1</c:v>
                </c:pt>
                <c:pt idx="35">
                  <c:v>1</c:v>
                </c:pt>
                <c:pt idx="36">
                  <c:v>0</c:v>
                </c:pt>
                <c:pt idx="37">
                  <c:v>1</c:v>
                </c:pt>
                <c:pt idx="38">
                  <c:v>0</c:v>
                </c:pt>
                <c:pt idx="39">
                  <c:v>0</c:v>
                </c:pt>
                <c:pt idx="40">
                  <c:v>0</c:v>
                </c:pt>
                <c:pt idx="41">
                  <c:v>0</c:v>
                </c:pt>
                <c:pt idx="42">
                  <c:v>0</c:v>
                </c:pt>
                <c:pt idx="43">
                  <c:v>1</c:v>
                </c:pt>
                <c:pt idx="44">
                  <c:v>1</c:v>
                </c:pt>
                <c:pt idx="45">
                  <c:v>0</c:v>
                </c:pt>
                <c:pt idx="46">
                  <c:v>0</c:v>
                </c:pt>
                <c:pt idx="47">
                  <c:v>0</c:v>
                </c:pt>
                <c:pt idx="48">
                  <c:v>1</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1</c:v>
                </c:pt>
                <c:pt idx="76">
                  <c:v>1</c:v>
                </c:pt>
                <c:pt idx="77">
                  <c:v>1</c:v>
                </c:pt>
                <c:pt idx="78">
                  <c:v>1</c:v>
                </c:pt>
                <c:pt idx="79">
                  <c:v>0</c:v>
                </c:pt>
                <c:pt idx="80">
                  <c:v>0</c:v>
                </c:pt>
                <c:pt idx="81">
                  <c:v>0</c:v>
                </c:pt>
                <c:pt idx="82">
                  <c:v>0</c:v>
                </c:pt>
                <c:pt idx="83">
                  <c:v>1</c:v>
                </c:pt>
                <c:pt idx="84">
                  <c:v>0</c:v>
                </c:pt>
                <c:pt idx="85">
                  <c:v>1</c:v>
                </c:pt>
                <c:pt idx="86">
                  <c:v>0</c:v>
                </c:pt>
                <c:pt idx="87">
                  <c:v>0</c:v>
                </c:pt>
                <c:pt idx="88">
                  <c:v>0</c:v>
                </c:pt>
                <c:pt idx="89">
                  <c:v>0</c:v>
                </c:pt>
                <c:pt idx="90">
                  <c:v>0</c:v>
                </c:pt>
                <c:pt idx="91">
                  <c:v>0</c:v>
                </c:pt>
                <c:pt idx="92">
                  <c:v>0</c:v>
                </c:pt>
                <c:pt idx="93">
                  <c:v>0</c:v>
                </c:pt>
                <c:pt idx="94">
                  <c:v>0</c:v>
                </c:pt>
                <c:pt idx="95">
                  <c:v>1</c:v>
                </c:pt>
                <c:pt idx="96">
                  <c:v>0</c:v>
                </c:pt>
                <c:pt idx="97">
                  <c:v>1</c:v>
                </c:pt>
                <c:pt idx="98">
                  <c:v>0</c:v>
                </c:pt>
                <c:pt idx="99">
                  <c:v>0</c:v>
                </c:pt>
                <c:pt idx="100">
                  <c:v>1</c:v>
                </c:pt>
                <c:pt idx="101">
                  <c:v>1</c:v>
                </c:pt>
                <c:pt idx="102">
                  <c:v>0</c:v>
                </c:pt>
                <c:pt idx="103">
                  <c:v>0</c:v>
                </c:pt>
                <c:pt idx="104">
                  <c:v>0</c:v>
                </c:pt>
                <c:pt idx="105">
                  <c:v>0</c:v>
                </c:pt>
                <c:pt idx="106">
                  <c:v>1</c:v>
                </c:pt>
                <c:pt idx="107">
                  <c:v>1</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Dummy!$D$3:$D$121</c:f>
              <c:numCache>
                <c:formatCode>0.000</c:formatCode>
                <c:ptCount val="119"/>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numCache>
            </c:numRef>
          </c:val>
        </c:ser>
        <c:ser>
          <c:idx val="1"/>
          <c:order val="1"/>
          <c:tx>
            <c:v>Predicted AVG SGPA</c:v>
          </c:tx>
          <c:cat>
            <c:numRef>
              <c:f>Dummy!$I$3:$I$121</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1</c:v>
                </c:pt>
                <c:pt idx="19">
                  <c:v>0</c:v>
                </c:pt>
                <c:pt idx="20">
                  <c:v>1</c:v>
                </c:pt>
                <c:pt idx="21">
                  <c:v>0</c:v>
                </c:pt>
                <c:pt idx="22">
                  <c:v>0</c:v>
                </c:pt>
                <c:pt idx="23">
                  <c:v>1</c:v>
                </c:pt>
                <c:pt idx="24">
                  <c:v>0</c:v>
                </c:pt>
                <c:pt idx="25">
                  <c:v>1</c:v>
                </c:pt>
                <c:pt idx="26">
                  <c:v>0</c:v>
                </c:pt>
                <c:pt idx="27">
                  <c:v>0</c:v>
                </c:pt>
                <c:pt idx="28">
                  <c:v>1</c:v>
                </c:pt>
                <c:pt idx="29">
                  <c:v>0</c:v>
                </c:pt>
                <c:pt idx="30">
                  <c:v>0</c:v>
                </c:pt>
                <c:pt idx="31">
                  <c:v>1</c:v>
                </c:pt>
                <c:pt idx="32">
                  <c:v>1</c:v>
                </c:pt>
                <c:pt idx="33">
                  <c:v>0</c:v>
                </c:pt>
                <c:pt idx="34">
                  <c:v>1</c:v>
                </c:pt>
                <c:pt idx="35">
                  <c:v>1</c:v>
                </c:pt>
                <c:pt idx="36">
                  <c:v>0</c:v>
                </c:pt>
                <c:pt idx="37">
                  <c:v>1</c:v>
                </c:pt>
                <c:pt idx="38">
                  <c:v>0</c:v>
                </c:pt>
                <c:pt idx="39">
                  <c:v>0</c:v>
                </c:pt>
                <c:pt idx="40">
                  <c:v>0</c:v>
                </c:pt>
                <c:pt idx="41">
                  <c:v>0</c:v>
                </c:pt>
                <c:pt idx="42">
                  <c:v>0</c:v>
                </c:pt>
                <c:pt idx="43">
                  <c:v>1</c:v>
                </c:pt>
                <c:pt idx="44">
                  <c:v>1</c:v>
                </c:pt>
                <c:pt idx="45">
                  <c:v>0</c:v>
                </c:pt>
                <c:pt idx="46">
                  <c:v>0</c:v>
                </c:pt>
                <c:pt idx="47">
                  <c:v>0</c:v>
                </c:pt>
                <c:pt idx="48">
                  <c:v>1</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1</c:v>
                </c:pt>
                <c:pt idx="76">
                  <c:v>1</c:v>
                </c:pt>
                <c:pt idx="77">
                  <c:v>1</c:v>
                </c:pt>
                <c:pt idx="78">
                  <c:v>1</c:v>
                </c:pt>
                <c:pt idx="79">
                  <c:v>0</c:v>
                </c:pt>
                <c:pt idx="80">
                  <c:v>0</c:v>
                </c:pt>
                <c:pt idx="81">
                  <c:v>0</c:v>
                </c:pt>
                <c:pt idx="82">
                  <c:v>0</c:v>
                </c:pt>
                <c:pt idx="83">
                  <c:v>1</c:v>
                </c:pt>
                <c:pt idx="84">
                  <c:v>0</c:v>
                </c:pt>
                <c:pt idx="85">
                  <c:v>1</c:v>
                </c:pt>
                <c:pt idx="86">
                  <c:v>0</c:v>
                </c:pt>
                <c:pt idx="87">
                  <c:v>0</c:v>
                </c:pt>
                <c:pt idx="88">
                  <c:v>0</c:v>
                </c:pt>
                <c:pt idx="89">
                  <c:v>0</c:v>
                </c:pt>
                <c:pt idx="90">
                  <c:v>0</c:v>
                </c:pt>
                <c:pt idx="91">
                  <c:v>0</c:v>
                </c:pt>
                <c:pt idx="92">
                  <c:v>0</c:v>
                </c:pt>
                <c:pt idx="93">
                  <c:v>0</c:v>
                </c:pt>
                <c:pt idx="94">
                  <c:v>0</c:v>
                </c:pt>
                <c:pt idx="95">
                  <c:v>1</c:v>
                </c:pt>
                <c:pt idx="96">
                  <c:v>0</c:v>
                </c:pt>
                <c:pt idx="97">
                  <c:v>1</c:v>
                </c:pt>
                <c:pt idx="98">
                  <c:v>0</c:v>
                </c:pt>
                <c:pt idx="99">
                  <c:v>0</c:v>
                </c:pt>
                <c:pt idx="100">
                  <c:v>1</c:v>
                </c:pt>
                <c:pt idx="101">
                  <c:v>1</c:v>
                </c:pt>
                <c:pt idx="102">
                  <c:v>0</c:v>
                </c:pt>
                <c:pt idx="103">
                  <c:v>0</c:v>
                </c:pt>
                <c:pt idx="104">
                  <c:v>0</c:v>
                </c:pt>
                <c:pt idx="105">
                  <c:v>0</c:v>
                </c:pt>
                <c:pt idx="106">
                  <c:v>1</c:v>
                </c:pt>
                <c:pt idx="107">
                  <c:v>1</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Dummy!$P$34:$P$152</c:f>
              <c:numCache>
                <c:formatCode>General</c:formatCode>
                <c:ptCount val="119"/>
              </c:numCache>
            </c:numRef>
          </c:val>
        </c:ser>
        <c:axId val="145348480"/>
        <c:axId val="145379328"/>
      </c:barChart>
      <c:catAx>
        <c:axId val="145348480"/>
        <c:scaling>
          <c:orientation val="minMax"/>
        </c:scaling>
        <c:axPos val="b"/>
        <c:title>
          <c:tx>
            <c:rich>
              <a:bodyPr/>
              <a:lstStyle/>
              <a:p>
                <a:pPr>
                  <a:defRPr/>
                </a:pPr>
                <a:r>
                  <a:rPr lang="en-IN"/>
                  <a:t>z3</a:t>
                </a:r>
              </a:p>
            </c:rich>
          </c:tx>
        </c:title>
        <c:numFmt formatCode="General" sourceLinked="1"/>
        <c:tickLblPos val="nextTo"/>
        <c:crossAx val="145379328"/>
        <c:crosses val="autoZero"/>
        <c:auto val="1"/>
        <c:lblAlgn val="ctr"/>
        <c:lblOffset val="100"/>
      </c:catAx>
      <c:valAx>
        <c:axId val="145379328"/>
        <c:scaling>
          <c:orientation val="minMax"/>
        </c:scaling>
        <c:axPos val="l"/>
        <c:majorGridlines/>
        <c:title>
          <c:tx>
            <c:rich>
              <a:bodyPr/>
              <a:lstStyle/>
              <a:p>
                <a:pPr>
                  <a:defRPr/>
                </a:pPr>
                <a:r>
                  <a:rPr lang="en-IN"/>
                  <a:t>AVG SGPA</a:t>
                </a:r>
              </a:p>
            </c:rich>
          </c:tx>
        </c:title>
        <c:numFmt formatCode="0.000" sourceLinked="1"/>
        <c:tickLblPos val="nextTo"/>
        <c:crossAx val="145348480"/>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z4 Line Fit  Plot</a:t>
            </a:r>
          </a:p>
        </c:rich>
      </c:tx>
    </c:title>
    <c:plotArea>
      <c:layout/>
      <c:barChart>
        <c:barDir val="col"/>
        <c:grouping val="clustered"/>
        <c:ser>
          <c:idx val="0"/>
          <c:order val="0"/>
          <c:tx>
            <c:v>AVG SGPA</c:v>
          </c:tx>
          <c:cat>
            <c:numRef>
              <c:f>Dummy!$J$3:$J$121</c:f>
              <c:numCache>
                <c:formatCode>General</c:formatCode>
                <c:ptCount val="119"/>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1</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Dummy!$D$3:$D$121</c:f>
              <c:numCache>
                <c:formatCode>0.000</c:formatCode>
                <c:ptCount val="119"/>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numCache>
            </c:numRef>
          </c:val>
        </c:ser>
        <c:ser>
          <c:idx val="1"/>
          <c:order val="1"/>
          <c:tx>
            <c:v>Predicted AVG SGPA</c:v>
          </c:tx>
          <c:cat>
            <c:numRef>
              <c:f>Dummy!$J$3:$J$121</c:f>
              <c:numCache>
                <c:formatCode>General</c:formatCode>
                <c:ptCount val="119"/>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1</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Dummy!$P$34:$P$152</c:f>
              <c:numCache>
                <c:formatCode>General</c:formatCode>
                <c:ptCount val="119"/>
              </c:numCache>
            </c:numRef>
          </c:val>
        </c:ser>
        <c:axId val="145400576"/>
        <c:axId val="145402496"/>
      </c:barChart>
      <c:catAx>
        <c:axId val="145400576"/>
        <c:scaling>
          <c:orientation val="minMax"/>
        </c:scaling>
        <c:axPos val="b"/>
        <c:title>
          <c:tx>
            <c:rich>
              <a:bodyPr/>
              <a:lstStyle/>
              <a:p>
                <a:pPr>
                  <a:defRPr/>
                </a:pPr>
                <a:r>
                  <a:rPr lang="en-IN"/>
                  <a:t>z4</a:t>
                </a:r>
              </a:p>
            </c:rich>
          </c:tx>
        </c:title>
        <c:numFmt formatCode="General" sourceLinked="1"/>
        <c:tickLblPos val="nextTo"/>
        <c:crossAx val="145402496"/>
        <c:crosses val="autoZero"/>
        <c:auto val="1"/>
        <c:lblAlgn val="ctr"/>
        <c:lblOffset val="100"/>
      </c:catAx>
      <c:valAx>
        <c:axId val="145402496"/>
        <c:scaling>
          <c:orientation val="minMax"/>
        </c:scaling>
        <c:axPos val="l"/>
        <c:majorGridlines/>
        <c:title>
          <c:tx>
            <c:rich>
              <a:bodyPr/>
              <a:lstStyle/>
              <a:p>
                <a:pPr>
                  <a:defRPr/>
                </a:pPr>
                <a:r>
                  <a:rPr lang="en-IN"/>
                  <a:t>AVG SGPA</a:t>
                </a:r>
              </a:p>
            </c:rich>
          </c:tx>
        </c:title>
        <c:numFmt formatCode="0.000" sourceLinked="1"/>
        <c:tickLblPos val="nextTo"/>
        <c:crossAx val="145400576"/>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w1 Line Fit  Plot</a:t>
            </a:r>
          </a:p>
        </c:rich>
      </c:tx>
    </c:title>
    <c:plotArea>
      <c:layout/>
      <c:barChart>
        <c:barDir val="col"/>
        <c:grouping val="clustered"/>
        <c:ser>
          <c:idx val="0"/>
          <c:order val="0"/>
          <c:tx>
            <c:v>AVG SGPA</c:v>
          </c:tx>
          <c:cat>
            <c:numRef>
              <c:f>Dummy!$K$3:$K$121</c:f>
              <c:numCache>
                <c:formatCode>General</c:formatCode>
                <c:ptCount val="119"/>
                <c:pt idx="0">
                  <c:v>0</c:v>
                </c:pt>
                <c:pt idx="1">
                  <c:v>1</c:v>
                </c:pt>
                <c:pt idx="2">
                  <c:v>0</c:v>
                </c:pt>
                <c:pt idx="3">
                  <c:v>0</c:v>
                </c:pt>
                <c:pt idx="4">
                  <c:v>1</c:v>
                </c:pt>
                <c:pt idx="5">
                  <c:v>1</c:v>
                </c:pt>
                <c:pt idx="6">
                  <c:v>1</c:v>
                </c:pt>
                <c:pt idx="7">
                  <c:v>0</c:v>
                </c:pt>
                <c:pt idx="8">
                  <c:v>0</c:v>
                </c:pt>
                <c:pt idx="9">
                  <c:v>1</c:v>
                </c:pt>
                <c:pt idx="10">
                  <c:v>0</c:v>
                </c:pt>
                <c:pt idx="11">
                  <c:v>1</c:v>
                </c:pt>
                <c:pt idx="12">
                  <c:v>0</c:v>
                </c:pt>
                <c:pt idx="13">
                  <c:v>0</c:v>
                </c:pt>
                <c:pt idx="14">
                  <c:v>1</c:v>
                </c:pt>
                <c:pt idx="15">
                  <c:v>1</c:v>
                </c:pt>
                <c:pt idx="16">
                  <c:v>1</c:v>
                </c:pt>
                <c:pt idx="17">
                  <c:v>0</c:v>
                </c:pt>
                <c:pt idx="18">
                  <c:v>1</c:v>
                </c:pt>
                <c:pt idx="19">
                  <c:v>0</c:v>
                </c:pt>
                <c:pt idx="20">
                  <c:v>0</c:v>
                </c:pt>
                <c:pt idx="21">
                  <c:v>0</c:v>
                </c:pt>
                <c:pt idx="22">
                  <c:v>0</c:v>
                </c:pt>
                <c:pt idx="23">
                  <c:v>0</c:v>
                </c:pt>
                <c:pt idx="24">
                  <c:v>1</c:v>
                </c:pt>
                <c:pt idx="25">
                  <c:v>0</c:v>
                </c:pt>
                <c:pt idx="26">
                  <c:v>1</c:v>
                </c:pt>
                <c:pt idx="27">
                  <c:v>1</c:v>
                </c:pt>
                <c:pt idx="28">
                  <c:v>1</c:v>
                </c:pt>
                <c:pt idx="29">
                  <c:v>0</c:v>
                </c:pt>
                <c:pt idx="30">
                  <c:v>0</c:v>
                </c:pt>
                <c:pt idx="31">
                  <c:v>0</c:v>
                </c:pt>
                <c:pt idx="32">
                  <c:v>0</c:v>
                </c:pt>
                <c:pt idx="33">
                  <c:v>0</c:v>
                </c:pt>
                <c:pt idx="34">
                  <c:v>0</c:v>
                </c:pt>
                <c:pt idx="35">
                  <c:v>0</c:v>
                </c:pt>
                <c:pt idx="36">
                  <c:v>0</c:v>
                </c:pt>
                <c:pt idx="37">
                  <c:v>1</c:v>
                </c:pt>
                <c:pt idx="38">
                  <c:v>0</c:v>
                </c:pt>
                <c:pt idx="39">
                  <c:v>1</c:v>
                </c:pt>
                <c:pt idx="40">
                  <c:v>0</c:v>
                </c:pt>
                <c:pt idx="41">
                  <c:v>0</c:v>
                </c:pt>
                <c:pt idx="42">
                  <c:v>0</c:v>
                </c:pt>
                <c:pt idx="43">
                  <c:v>1</c:v>
                </c:pt>
                <c:pt idx="44">
                  <c:v>1</c:v>
                </c:pt>
                <c:pt idx="45">
                  <c:v>0</c:v>
                </c:pt>
                <c:pt idx="46">
                  <c:v>1</c:v>
                </c:pt>
                <c:pt idx="47">
                  <c:v>0</c:v>
                </c:pt>
                <c:pt idx="48">
                  <c:v>0</c:v>
                </c:pt>
                <c:pt idx="49">
                  <c:v>0</c:v>
                </c:pt>
                <c:pt idx="50">
                  <c:v>0</c:v>
                </c:pt>
                <c:pt idx="51">
                  <c:v>1</c:v>
                </c:pt>
                <c:pt idx="52">
                  <c:v>0</c:v>
                </c:pt>
                <c:pt idx="53">
                  <c:v>1</c:v>
                </c:pt>
                <c:pt idx="54">
                  <c:v>0</c:v>
                </c:pt>
                <c:pt idx="55">
                  <c:v>1</c:v>
                </c:pt>
                <c:pt idx="56">
                  <c:v>1</c:v>
                </c:pt>
                <c:pt idx="57">
                  <c:v>0</c:v>
                </c:pt>
                <c:pt idx="58">
                  <c:v>1</c:v>
                </c:pt>
                <c:pt idx="59">
                  <c:v>0</c:v>
                </c:pt>
                <c:pt idx="60">
                  <c:v>0</c:v>
                </c:pt>
                <c:pt idx="61">
                  <c:v>0</c:v>
                </c:pt>
                <c:pt idx="62">
                  <c:v>1</c:v>
                </c:pt>
                <c:pt idx="63">
                  <c:v>1</c:v>
                </c:pt>
                <c:pt idx="64">
                  <c:v>0</c:v>
                </c:pt>
                <c:pt idx="65">
                  <c:v>1</c:v>
                </c:pt>
                <c:pt idx="66">
                  <c:v>1</c:v>
                </c:pt>
                <c:pt idx="67">
                  <c:v>1</c:v>
                </c:pt>
                <c:pt idx="68">
                  <c:v>0</c:v>
                </c:pt>
                <c:pt idx="69">
                  <c:v>0</c:v>
                </c:pt>
                <c:pt idx="70">
                  <c:v>0</c:v>
                </c:pt>
                <c:pt idx="71">
                  <c:v>0</c:v>
                </c:pt>
                <c:pt idx="72">
                  <c:v>1</c:v>
                </c:pt>
                <c:pt idx="73">
                  <c:v>1</c:v>
                </c:pt>
                <c:pt idx="74">
                  <c:v>0</c:v>
                </c:pt>
                <c:pt idx="75">
                  <c:v>0</c:v>
                </c:pt>
                <c:pt idx="76">
                  <c:v>0</c:v>
                </c:pt>
                <c:pt idx="77">
                  <c:v>0</c:v>
                </c:pt>
                <c:pt idx="78">
                  <c:v>0</c:v>
                </c:pt>
                <c:pt idx="79">
                  <c:v>1</c:v>
                </c:pt>
                <c:pt idx="80">
                  <c:v>0</c:v>
                </c:pt>
                <c:pt idx="81">
                  <c:v>0</c:v>
                </c:pt>
                <c:pt idx="82">
                  <c:v>0</c:v>
                </c:pt>
                <c:pt idx="83">
                  <c:v>0</c:v>
                </c:pt>
                <c:pt idx="84">
                  <c:v>1</c:v>
                </c:pt>
                <c:pt idx="85">
                  <c:v>0</c:v>
                </c:pt>
                <c:pt idx="86">
                  <c:v>1</c:v>
                </c:pt>
                <c:pt idx="87">
                  <c:v>0</c:v>
                </c:pt>
                <c:pt idx="88">
                  <c:v>0</c:v>
                </c:pt>
                <c:pt idx="89">
                  <c:v>1</c:v>
                </c:pt>
                <c:pt idx="90">
                  <c:v>0</c:v>
                </c:pt>
                <c:pt idx="91">
                  <c:v>0</c:v>
                </c:pt>
                <c:pt idx="92">
                  <c:v>0</c:v>
                </c:pt>
                <c:pt idx="93">
                  <c:v>0</c:v>
                </c:pt>
                <c:pt idx="94">
                  <c:v>0</c:v>
                </c:pt>
                <c:pt idx="95">
                  <c:v>0</c:v>
                </c:pt>
                <c:pt idx="96">
                  <c:v>0</c:v>
                </c:pt>
                <c:pt idx="97">
                  <c:v>0</c:v>
                </c:pt>
                <c:pt idx="98">
                  <c:v>1</c:v>
                </c:pt>
                <c:pt idx="99">
                  <c:v>1</c:v>
                </c:pt>
                <c:pt idx="100">
                  <c:v>0</c:v>
                </c:pt>
                <c:pt idx="101">
                  <c:v>0</c:v>
                </c:pt>
                <c:pt idx="102">
                  <c:v>0</c:v>
                </c:pt>
                <c:pt idx="103">
                  <c:v>1</c:v>
                </c:pt>
                <c:pt idx="104">
                  <c:v>0</c:v>
                </c:pt>
                <c:pt idx="105">
                  <c:v>0</c:v>
                </c:pt>
                <c:pt idx="106">
                  <c:v>0</c:v>
                </c:pt>
                <c:pt idx="107">
                  <c:v>1</c:v>
                </c:pt>
                <c:pt idx="108">
                  <c:v>0</c:v>
                </c:pt>
                <c:pt idx="109">
                  <c:v>0</c:v>
                </c:pt>
                <c:pt idx="110">
                  <c:v>0</c:v>
                </c:pt>
                <c:pt idx="111">
                  <c:v>0</c:v>
                </c:pt>
                <c:pt idx="112">
                  <c:v>0</c:v>
                </c:pt>
                <c:pt idx="113">
                  <c:v>0</c:v>
                </c:pt>
                <c:pt idx="114">
                  <c:v>1</c:v>
                </c:pt>
                <c:pt idx="115">
                  <c:v>0</c:v>
                </c:pt>
                <c:pt idx="116">
                  <c:v>0</c:v>
                </c:pt>
                <c:pt idx="117">
                  <c:v>0</c:v>
                </c:pt>
                <c:pt idx="118">
                  <c:v>0</c:v>
                </c:pt>
              </c:numCache>
            </c:numRef>
          </c:cat>
          <c:val>
            <c:numRef>
              <c:f>Dummy!$D$3:$D$121</c:f>
              <c:numCache>
                <c:formatCode>0.000</c:formatCode>
                <c:ptCount val="119"/>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numCache>
            </c:numRef>
          </c:val>
        </c:ser>
        <c:ser>
          <c:idx val="1"/>
          <c:order val="1"/>
          <c:tx>
            <c:v>Predicted AVG SGPA</c:v>
          </c:tx>
          <c:cat>
            <c:numRef>
              <c:f>Dummy!$K$3:$K$121</c:f>
              <c:numCache>
                <c:formatCode>General</c:formatCode>
                <c:ptCount val="119"/>
                <c:pt idx="0">
                  <c:v>0</c:v>
                </c:pt>
                <c:pt idx="1">
                  <c:v>1</c:v>
                </c:pt>
                <c:pt idx="2">
                  <c:v>0</c:v>
                </c:pt>
                <c:pt idx="3">
                  <c:v>0</c:v>
                </c:pt>
                <c:pt idx="4">
                  <c:v>1</c:v>
                </c:pt>
                <c:pt idx="5">
                  <c:v>1</c:v>
                </c:pt>
                <c:pt idx="6">
                  <c:v>1</c:v>
                </c:pt>
                <c:pt idx="7">
                  <c:v>0</c:v>
                </c:pt>
                <c:pt idx="8">
                  <c:v>0</c:v>
                </c:pt>
                <c:pt idx="9">
                  <c:v>1</c:v>
                </c:pt>
                <c:pt idx="10">
                  <c:v>0</c:v>
                </c:pt>
                <c:pt idx="11">
                  <c:v>1</c:v>
                </c:pt>
                <c:pt idx="12">
                  <c:v>0</c:v>
                </c:pt>
                <c:pt idx="13">
                  <c:v>0</c:v>
                </c:pt>
                <c:pt idx="14">
                  <c:v>1</c:v>
                </c:pt>
                <c:pt idx="15">
                  <c:v>1</c:v>
                </c:pt>
                <c:pt idx="16">
                  <c:v>1</c:v>
                </c:pt>
                <c:pt idx="17">
                  <c:v>0</c:v>
                </c:pt>
                <c:pt idx="18">
                  <c:v>1</c:v>
                </c:pt>
                <c:pt idx="19">
                  <c:v>0</c:v>
                </c:pt>
                <c:pt idx="20">
                  <c:v>0</c:v>
                </c:pt>
                <c:pt idx="21">
                  <c:v>0</c:v>
                </c:pt>
                <c:pt idx="22">
                  <c:v>0</c:v>
                </c:pt>
                <c:pt idx="23">
                  <c:v>0</c:v>
                </c:pt>
                <c:pt idx="24">
                  <c:v>1</c:v>
                </c:pt>
                <c:pt idx="25">
                  <c:v>0</c:v>
                </c:pt>
                <c:pt idx="26">
                  <c:v>1</c:v>
                </c:pt>
                <c:pt idx="27">
                  <c:v>1</c:v>
                </c:pt>
                <c:pt idx="28">
                  <c:v>1</c:v>
                </c:pt>
                <c:pt idx="29">
                  <c:v>0</c:v>
                </c:pt>
                <c:pt idx="30">
                  <c:v>0</c:v>
                </c:pt>
                <c:pt idx="31">
                  <c:v>0</c:v>
                </c:pt>
                <c:pt idx="32">
                  <c:v>0</c:v>
                </c:pt>
                <c:pt idx="33">
                  <c:v>0</c:v>
                </c:pt>
                <c:pt idx="34">
                  <c:v>0</c:v>
                </c:pt>
                <c:pt idx="35">
                  <c:v>0</c:v>
                </c:pt>
                <c:pt idx="36">
                  <c:v>0</c:v>
                </c:pt>
                <c:pt idx="37">
                  <c:v>1</c:v>
                </c:pt>
                <c:pt idx="38">
                  <c:v>0</c:v>
                </c:pt>
                <c:pt idx="39">
                  <c:v>1</c:v>
                </c:pt>
                <c:pt idx="40">
                  <c:v>0</c:v>
                </c:pt>
                <c:pt idx="41">
                  <c:v>0</c:v>
                </c:pt>
                <c:pt idx="42">
                  <c:v>0</c:v>
                </c:pt>
                <c:pt idx="43">
                  <c:v>1</c:v>
                </c:pt>
                <c:pt idx="44">
                  <c:v>1</c:v>
                </c:pt>
                <c:pt idx="45">
                  <c:v>0</c:v>
                </c:pt>
                <c:pt idx="46">
                  <c:v>1</c:v>
                </c:pt>
                <c:pt idx="47">
                  <c:v>0</c:v>
                </c:pt>
                <c:pt idx="48">
                  <c:v>0</c:v>
                </c:pt>
                <c:pt idx="49">
                  <c:v>0</c:v>
                </c:pt>
                <c:pt idx="50">
                  <c:v>0</c:v>
                </c:pt>
                <c:pt idx="51">
                  <c:v>1</c:v>
                </c:pt>
                <c:pt idx="52">
                  <c:v>0</c:v>
                </c:pt>
                <c:pt idx="53">
                  <c:v>1</c:v>
                </c:pt>
                <c:pt idx="54">
                  <c:v>0</c:v>
                </c:pt>
                <c:pt idx="55">
                  <c:v>1</c:v>
                </c:pt>
                <c:pt idx="56">
                  <c:v>1</c:v>
                </c:pt>
                <c:pt idx="57">
                  <c:v>0</c:v>
                </c:pt>
                <c:pt idx="58">
                  <c:v>1</c:v>
                </c:pt>
                <c:pt idx="59">
                  <c:v>0</c:v>
                </c:pt>
                <c:pt idx="60">
                  <c:v>0</c:v>
                </c:pt>
                <c:pt idx="61">
                  <c:v>0</c:v>
                </c:pt>
                <c:pt idx="62">
                  <c:v>1</c:v>
                </c:pt>
                <c:pt idx="63">
                  <c:v>1</c:v>
                </c:pt>
                <c:pt idx="64">
                  <c:v>0</c:v>
                </c:pt>
                <c:pt idx="65">
                  <c:v>1</c:v>
                </c:pt>
                <c:pt idx="66">
                  <c:v>1</c:v>
                </c:pt>
                <c:pt idx="67">
                  <c:v>1</c:v>
                </c:pt>
                <c:pt idx="68">
                  <c:v>0</c:v>
                </c:pt>
                <c:pt idx="69">
                  <c:v>0</c:v>
                </c:pt>
                <c:pt idx="70">
                  <c:v>0</c:v>
                </c:pt>
                <c:pt idx="71">
                  <c:v>0</c:v>
                </c:pt>
                <c:pt idx="72">
                  <c:v>1</c:v>
                </c:pt>
                <c:pt idx="73">
                  <c:v>1</c:v>
                </c:pt>
                <c:pt idx="74">
                  <c:v>0</c:v>
                </c:pt>
                <c:pt idx="75">
                  <c:v>0</c:v>
                </c:pt>
                <c:pt idx="76">
                  <c:v>0</c:v>
                </c:pt>
                <c:pt idx="77">
                  <c:v>0</c:v>
                </c:pt>
                <c:pt idx="78">
                  <c:v>0</c:v>
                </c:pt>
                <c:pt idx="79">
                  <c:v>1</c:v>
                </c:pt>
                <c:pt idx="80">
                  <c:v>0</c:v>
                </c:pt>
                <c:pt idx="81">
                  <c:v>0</c:v>
                </c:pt>
                <c:pt idx="82">
                  <c:v>0</c:v>
                </c:pt>
                <c:pt idx="83">
                  <c:v>0</c:v>
                </c:pt>
                <c:pt idx="84">
                  <c:v>1</c:v>
                </c:pt>
                <c:pt idx="85">
                  <c:v>0</c:v>
                </c:pt>
                <c:pt idx="86">
                  <c:v>1</c:v>
                </c:pt>
                <c:pt idx="87">
                  <c:v>0</c:v>
                </c:pt>
                <c:pt idx="88">
                  <c:v>0</c:v>
                </c:pt>
                <c:pt idx="89">
                  <c:v>1</c:v>
                </c:pt>
                <c:pt idx="90">
                  <c:v>0</c:v>
                </c:pt>
                <c:pt idx="91">
                  <c:v>0</c:v>
                </c:pt>
                <c:pt idx="92">
                  <c:v>0</c:v>
                </c:pt>
                <c:pt idx="93">
                  <c:v>0</c:v>
                </c:pt>
                <c:pt idx="94">
                  <c:v>0</c:v>
                </c:pt>
                <c:pt idx="95">
                  <c:v>0</c:v>
                </c:pt>
                <c:pt idx="96">
                  <c:v>0</c:v>
                </c:pt>
                <c:pt idx="97">
                  <c:v>0</c:v>
                </c:pt>
                <c:pt idx="98">
                  <c:v>1</c:v>
                </c:pt>
                <c:pt idx="99">
                  <c:v>1</c:v>
                </c:pt>
                <c:pt idx="100">
                  <c:v>0</c:v>
                </c:pt>
                <c:pt idx="101">
                  <c:v>0</c:v>
                </c:pt>
                <c:pt idx="102">
                  <c:v>0</c:v>
                </c:pt>
                <c:pt idx="103">
                  <c:v>1</c:v>
                </c:pt>
                <c:pt idx="104">
                  <c:v>0</c:v>
                </c:pt>
                <c:pt idx="105">
                  <c:v>0</c:v>
                </c:pt>
                <c:pt idx="106">
                  <c:v>0</c:v>
                </c:pt>
                <c:pt idx="107">
                  <c:v>1</c:v>
                </c:pt>
                <c:pt idx="108">
                  <c:v>0</c:v>
                </c:pt>
                <c:pt idx="109">
                  <c:v>0</c:v>
                </c:pt>
                <c:pt idx="110">
                  <c:v>0</c:v>
                </c:pt>
                <c:pt idx="111">
                  <c:v>0</c:v>
                </c:pt>
                <c:pt idx="112">
                  <c:v>0</c:v>
                </c:pt>
                <c:pt idx="113">
                  <c:v>0</c:v>
                </c:pt>
                <c:pt idx="114">
                  <c:v>1</c:v>
                </c:pt>
                <c:pt idx="115">
                  <c:v>0</c:v>
                </c:pt>
                <c:pt idx="116">
                  <c:v>0</c:v>
                </c:pt>
                <c:pt idx="117">
                  <c:v>0</c:v>
                </c:pt>
                <c:pt idx="118">
                  <c:v>0</c:v>
                </c:pt>
              </c:numCache>
            </c:numRef>
          </c:cat>
          <c:val>
            <c:numRef>
              <c:f>Dummy!$P$34:$P$152</c:f>
              <c:numCache>
                <c:formatCode>General</c:formatCode>
                <c:ptCount val="119"/>
              </c:numCache>
            </c:numRef>
          </c:val>
        </c:ser>
        <c:axId val="144915840"/>
        <c:axId val="144938496"/>
      </c:barChart>
      <c:catAx>
        <c:axId val="144915840"/>
        <c:scaling>
          <c:orientation val="minMax"/>
        </c:scaling>
        <c:axPos val="b"/>
        <c:title>
          <c:tx>
            <c:rich>
              <a:bodyPr/>
              <a:lstStyle/>
              <a:p>
                <a:pPr>
                  <a:defRPr/>
                </a:pPr>
                <a:r>
                  <a:rPr lang="en-IN"/>
                  <a:t>w1</a:t>
                </a:r>
              </a:p>
            </c:rich>
          </c:tx>
        </c:title>
        <c:numFmt formatCode="General" sourceLinked="1"/>
        <c:tickLblPos val="nextTo"/>
        <c:crossAx val="144938496"/>
        <c:crosses val="autoZero"/>
        <c:auto val="1"/>
        <c:lblAlgn val="ctr"/>
        <c:lblOffset val="100"/>
      </c:catAx>
      <c:valAx>
        <c:axId val="144938496"/>
        <c:scaling>
          <c:orientation val="minMax"/>
        </c:scaling>
        <c:axPos val="l"/>
        <c:majorGridlines/>
        <c:title>
          <c:tx>
            <c:rich>
              <a:bodyPr/>
              <a:lstStyle/>
              <a:p>
                <a:pPr>
                  <a:defRPr/>
                </a:pPr>
                <a:r>
                  <a:rPr lang="en-IN"/>
                  <a:t>AVG SGPA</a:t>
                </a:r>
              </a:p>
            </c:rich>
          </c:tx>
        </c:title>
        <c:numFmt formatCode="0.000" sourceLinked="1"/>
        <c:tickLblPos val="nextTo"/>
        <c:crossAx val="144915840"/>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w3 Line Fit  Plot</a:t>
            </a:r>
          </a:p>
        </c:rich>
      </c:tx>
    </c:title>
    <c:plotArea>
      <c:layout/>
      <c:barChart>
        <c:barDir val="col"/>
        <c:grouping val="clustered"/>
        <c:ser>
          <c:idx val="0"/>
          <c:order val="0"/>
          <c:tx>
            <c:v>AVG SGPA</c:v>
          </c:tx>
          <c:cat>
            <c:numRef>
              <c:f>Dummy!$M$3:$M$121</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1</c:v>
                </c:pt>
                <c:pt idx="94">
                  <c:v>0</c:v>
                </c:pt>
                <c:pt idx="95">
                  <c:v>0</c:v>
                </c:pt>
                <c:pt idx="96">
                  <c:v>0</c:v>
                </c:pt>
                <c:pt idx="97">
                  <c:v>0</c:v>
                </c:pt>
                <c:pt idx="98">
                  <c:v>0</c:v>
                </c:pt>
                <c:pt idx="99">
                  <c:v>0</c:v>
                </c:pt>
                <c:pt idx="100">
                  <c:v>0</c:v>
                </c:pt>
                <c:pt idx="101">
                  <c:v>0</c:v>
                </c:pt>
                <c:pt idx="102">
                  <c:v>0</c:v>
                </c:pt>
                <c:pt idx="103">
                  <c:v>0</c:v>
                </c:pt>
                <c:pt idx="104">
                  <c:v>1</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Dummy!$D$3:$D$121</c:f>
              <c:numCache>
                <c:formatCode>0.000</c:formatCode>
                <c:ptCount val="119"/>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numCache>
            </c:numRef>
          </c:val>
        </c:ser>
        <c:ser>
          <c:idx val="1"/>
          <c:order val="1"/>
          <c:tx>
            <c:v>Predicted AVG SGPA</c:v>
          </c:tx>
          <c:cat>
            <c:numRef>
              <c:f>Dummy!$M$3:$M$121</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1</c:v>
                </c:pt>
                <c:pt idx="94">
                  <c:v>0</c:v>
                </c:pt>
                <c:pt idx="95">
                  <c:v>0</c:v>
                </c:pt>
                <c:pt idx="96">
                  <c:v>0</c:v>
                </c:pt>
                <c:pt idx="97">
                  <c:v>0</c:v>
                </c:pt>
                <c:pt idx="98">
                  <c:v>0</c:v>
                </c:pt>
                <c:pt idx="99">
                  <c:v>0</c:v>
                </c:pt>
                <c:pt idx="100">
                  <c:v>0</c:v>
                </c:pt>
                <c:pt idx="101">
                  <c:v>0</c:v>
                </c:pt>
                <c:pt idx="102">
                  <c:v>0</c:v>
                </c:pt>
                <c:pt idx="103">
                  <c:v>0</c:v>
                </c:pt>
                <c:pt idx="104">
                  <c:v>1</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Dummy!$P$34:$P$152</c:f>
              <c:numCache>
                <c:formatCode>General</c:formatCode>
                <c:ptCount val="119"/>
              </c:numCache>
            </c:numRef>
          </c:val>
        </c:ser>
        <c:axId val="144955648"/>
        <c:axId val="145457536"/>
      </c:barChart>
      <c:catAx>
        <c:axId val="144955648"/>
        <c:scaling>
          <c:orientation val="minMax"/>
        </c:scaling>
        <c:axPos val="b"/>
        <c:title>
          <c:tx>
            <c:rich>
              <a:bodyPr/>
              <a:lstStyle/>
              <a:p>
                <a:pPr>
                  <a:defRPr/>
                </a:pPr>
                <a:r>
                  <a:rPr lang="en-IN"/>
                  <a:t>w3</a:t>
                </a:r>
              </a:p>
            </c:rich>
          </c:tx>
        </c:title>
        <c:numFmt formatCode="General" sourceLinked="1"/>
        <c:tickLblPos val="nextTo"/>
        <c:crossAx val="145457536"/>
        <c:crosses val="autoZero"/>
        <c:auto val="1"/>
        <c:lblAlgn val="ctr"/>
        <c:lblOffset val="100"/>
      </c:catAx>
      <c:valAx>
        <c:axId val="145457536"/>
        <c:scaling>
          <c:orientation val="minMax"/>
        </c:scaling>
        <c:axPos val="l"/>
        <c:majorGridlines/>
        <c:title>
          <c:tx>
            <c:rich>
              <a:bodyPr/>
              <a:lstStyle/>
              <a:p>
                <a:pPr>
                  <a:defRPr/>
                </a:pPr>
                <a:r>
                  <a:rPr lang="en-IN"/>
                  <a:t>AVG SGPA</a:t>
                </a:r>
              </a:p>
            </c:rich>
          </c:tx>
        </c:title>
        <c:numFmt formatCode="0.000" sourceLinked="1"/>
        <c:tickLblPos val="nextTo"/>
        <c:crossAx val="144955648"/>
        <c:crosses val="autoZero"/>
        <c:crossBetween val="between"/>
      </c:valAx>
      <c:spPr>
        <a:noFill/>
        <a:ln w="25400">
          <a:noFill/>
        </a:ln>
      </c:spPr>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z1 Line Fit  Plot</a:t>
            </a:r>
          </a:p>
        </c:rich>
      </c:tx>
    </c:title>
    <c:plotArea>
      <c:layout/>
      <c:barChart>
        <c:barDir val="col"/>
        <c:grouping val="clustered"/>
        <c:ser>
          <c:idx val="0"/>
          <c:order val="0"/>
          <c:tx>
            <c:v>AVG SGPA</c:v>
          </c:tx>
          <c:cat>
            <c:numRef>
              <c:f>Dummy!$G$3:$G$122</c:f>
              <c:numCache>
                <c:formatCode>General</c:formatCode>
                <c:ptCount val="120"/>
                <c:pt idx="0">
                  <c:v>0</c:v>
                </c:pt>
                <c:pt idx="1">
                  <c:v>0</c:v>
                </c:pt>
                <c:pt idx="2">
                  <c:v>0</c:v>
                </c:pt>
                <c:pt idx="3">
                  <c:v>1</c:v>
                </c:pt>
                <c:pt idx="4">
                  <c:v>0</c:v>
                </c:pt>
                <c:pt idx="5">
                  <c:v>0</c:v>
                </c:pt>
                <c:pt idx="6">
                  <c:v>1</c:v>
                </c:pt>
                <c:pt idx="7">
                  <c:v>0</c:v>
                </c:pt>
                <c:pt idx="8">
                  <c:v>0</c:v>
                </c:pt>
                <c:pt idx="9">
                  <c:v>1</c:v>
                </c:pt>
                <c:pt idx="10">
                  <c:v>0</c:v>
                </c:pt>
                <c:pt idx="11">
                  <c:v>0</c:v>
                </c:pt>
                <c:pt idx="12">
                  <c:v>0</c:v>
                </c:pt>
                <c:pt idx="13">
                  <c:v>1</c:v>
                </c:pt>
                <c:pt idx="14">
                  <c:v>0</c:v>
                </c:pt>
                <c:pt idx="15">
                  <c:v>0</c:v>
                </c:pt>
                <c:pt idx="16">
                  <c:v>1</c:v>
                </c:pt>
                <c:pt idx="17">
                  <c:v>1</c:v>
                </c:pt>
                <c:pt idx="18">
                  <c:v>0</c:v>
                </c:pt>
                <c:pt idx="19">
                  <c:v>0</c:v>
                </c:pt>
                <c:pt idx="20">
                  <c:v>0</c:v>
                </c:pt>
                <c:pt idx="21">
                  <c:v>0</c:v>
                </c:pt>
                <c:pt idx="22">
                  <c:v>0</c:v>
                </c:pt>
                <c:pt idx="23">
                  <c:v>0</c:v>
                </c:pt>
                <c:pt idx="24">
                  <c:v>0</c:v>
                </c:pt>
                <c:pt idx="25">
                  <c:v>0</c:v>
                </c:pt>
                <c:pt idx="26">
                  <c:v>0</c:v>
                </c:pt>
                <c:pt idx="27">
                  <c:v>0</c:v>
                </c:pt>
                <c:pt idx="28">
                  <c:v>0</c:v>
                </c:pt>
                <c:pt idx="29">
                  <c:v>0</c:v>
                </c:pt>
                <c:pt idx="30">
                  <c:v>1</c:v>
                </c:pt>
                <c:pt idx="31">
                  <c:v>0</c:v>
                </c:pt>
                <c:pt idx="32">
                  <c:v>0</c:v>
                </c:pt>
                <c:pt idx="33">
                  <c:v>0</c:v>
                </c:pt>
                <c:pt idx="34">
                  <c:v>0</c:v>
                </c:pt>
                <c:pt idx="35">
                  <c:v>0</c:v>
                </c:pt>
                <c:pt idx="36">
                  <c:v>0</c:v>
                </c:pt>
                <c:pt idx="37">
                  <c:v>0</c:v>
                </c:pt>
                <c:pt idx="38">
                  <c:v>0</c:v>
                </c:pt>
                <c:pt idx="39">
                  <c:v>0</c:v>
                </c:pt>
                <c:pt idx="40">
                  <c:v>0</c:v>
                </c:pt>
                <c:pt idx="41">
                  <c:v>1</c:v>
                </c:pt>
                <c:pt idx="42">
                  <c:v>0</c:v>
                </c:pt>
                <c:pt idx="43">
                  <c:v>0</c:v>
                </c:pt>
                <c:pt idx="44">
                  <c:v>0</c:v>
                </c:pt>
                <c:pt idx="45">
                  <c:v>0</c:v>
                </c:pt>
                <c:pt idx="46">
                  <c:v>0</c:v>
                </c:pt>
                <c:pt idx="47">
                  <c:v>0</c:v>
                </c:pt>
                <c:pt idx="48">
                  <c:v>0</c:v>
                </c:pt>
                <c:pt idx="49">
                  <c:v>1</c:v>
                </c:pt>
                <c:pt idx="50">
                  <c:v>1</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1</c:v>
                </c:pt>
                <c:pt idx="66">
                  <c:v>0</c:v>
                </c:pt>
                <c:pt idx="67">
                  <c:v>0</c:v>
                </c:pt>
                <c:pt idx="68">
                  <c:v>0</c:v>
                </c:pt>
                <c:pt idx="69">
                  <c:v>1</c:v>
                </c:pt>
                <c:pt idx="70">
                  <c:v>0</c:v>
                </c:pt>
                <c:pt idx="71">
                  <c:v>0</c:v>
                </c:pt>
                <c:pt idx="72">
                  <c:v>1</c:v>
                </c:pt>
                <c:pt idx="73">
                  <c:v>0</c:v>
                </c:pt>
                <c:pt idx="74">
                  <c:v>0</c:v>
                </c:pt>
                <c:pt idx="75">
                  <c:v>0</c:v>
                </c:pt>
                <c:pt idx="76">
                  <c:v>0</c:v>
                </c:pt>
                <c:pt idx="77">
                  <c:v>0</c:v>
                </c:pt>
                <c:pt idx="78">
                  <c:v>0</c:v>
                </c:pt>
                <c:pt idx="79">
                  <c:v>0</c:v>
                </c:pt>
                <c:pt idx="80">
                  <c:v>0</c:v>
                </c:pt>
                <c:pt idx="81">
                  <c:v>1</c:v>
                </c:pt>
                <c:pt idx="82">
                  <c:v>1</c:v>
                </c:pt>
                <c:pt idx="83">
                  <c:v>0</c:v>
                </c:pt>
                <c:pt idx="84">
                  <c:v>1</c:v>
                </c:pt>
                <c:pt idx="85">
                  <c:v>0</c:v>
                </c:pt>
                <c:pt idx="86">
                  <c:v>1</c:v>
                </c:pt>
                <c:pt idx="87">
                  <c:v>0</c:v>
                </c:pt>
                <c:pt idx="88">
                  <c:v>0</c:v>
                </c:pt>
                <c:pt idx="89">
                  <c:v>0</c:v>
                </c:pt>
                <c:pt idx="90">
                  <c:v>1</c:v>
                </c:pt>
                <c:pt idx="91">
                  <c:v>0</c:v>
                </c:pt>
                <c:pt idx="92">
                  <c:v>0</c:v>
                </c:pt>
                <c:pt idx="93">
                  <c:v>0</c:v>
                </c:pt>
                <c:pt idx="94">
                  <c:v>1</c:v>
                </c:pt>
                <c:pt idx="95">
                  <c:v>0</c:v>
                </c:pt>
                <c:pt idx="96">
                  <c:v>0</c:v>
                </c:pt>
                <c:pt idx="97">
                  <c:v>0</c:v>
                </c:pt>
                <c:pt idx="98">
                  <c:v>0</c:v>
                </c:pt>
                <c:pt idx="99">
                  <c:v>0</c:v>
                </c:pt>
                <c:pt idx="100">
                  <c:v>0</c:v>
                </c:pt>
                <c:pt idx="101">
                  <c:v>0</c:v>
                </c:pt>
                <c:pt idx="102">
                  <c:v>0</c:v>
                </c:pt>
                <c:pt idx="103">
                  <c:v>1</c:v>
                </c:pt>
                <c:pt idx="104">
                  <c:v>1</c:v>
                </c:pt>
                <c:pt idx="105">
                  <c:v>1</c:v>
                </c:pt>
                <c:pt idx="106">
                  <c:v>0</c:v>
                </c:pt>
                <c:pt idx="107">
                  <c:v>0</c:v>
                </c:pt>
                <c:pt idx="108">
                  <c:v>1</c:v>
                </c:pt>
                <c:pt idx="109">
                  <c:v>0</c:v>
                </c:pt>
                <c:pt idx="110">
                  <c:v>0</c:v>
                </c:pt>
                <c:pt idx="111">
                  <c:v>1</c:v>
                </c:pt>
                <c:pt idx="112">
                  <c:v>1</c:v>
                </c:pt>
                <c:pt idx="113">
                  <c:v>1</c:v>
                </c:pt>
                <c:pt idx="114">
                  <c:v>0</c:v>
                </c:pt>
                <c:pt idx="115">
                  <c:v>0</c:v>
                </c:pt>
                <c:pt idx="116">
                  <c:v>0</c:v>
                </c:pt>
                <c:pt idx="117">
                  <c:v>1</c:v>
                </c:pt>
                <c:pt idx="118">
                  <c:v>0</c:v>
                </c:pt>
                <c:pt idx="119">
                  <c:v>1</c:v>
                </c:pt>
              </c:numCache>
            </c:numRef>
          </c:cat>
          <c:val>
            <c:numRef>
              <c:f>Dummy!$D$3:$D$122</c:f>
              <c:numCache>
                <c:formatCode>0.000</c:formatCode>
                <c:ptCount val="120"/>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pt idx="119">
                  <c:v>7.05</c:v>
                </c:pt>
              </c:numCache>
            </c:numRef>
          </c:val>
        </c:ser>
        <c:ser>
          <c:idx val="1"/>
          <c:order val="1"/>
          <c:tx>
            <c:v>Predicted AVG SGPA</c:v>
          </c:tx>
          <c:cat>
            <c:numRef>
              <c:f>Dummy!$G$3:$G$122</c:f>
              <c:numCache>
                <c:formatCode>General</c:formatCode>
                <c:ptCount val="120"/>
                <c:pt idx="0">
                  <c:v>0</c:v>
                </c:pt>
                <c:pt idx="1">
                  <c:v>0</c:v>
                </c:pt>
                <c:pt idx="2">
                  <c:v>0</c:v>
                </c:pt>
                <c:pt idx="3">
                  <c:v>1</c:v>
                </c:pt>
                <c:pt idx="4">
                  <c:v>0</c:v>
                </c:pt>
                <c:pt idx="5">
                  <c:v>0</c:v>
                </c:pt>
                <c:pt idx="6">
                  <c:v>1</c:v>
                </c:pt>
                <c:pt idx="7">
                  <c:v>0</c:v>
                </c:pt>
                <c:pt idx="8">
                  <c:v>0</c:v>
                </c:pt>
                <c:pt idx="9">
                  <c:v>1</c:v>
                </c:pt>
                <c:pt idx="10">
                  <c:v>0</c:v>
                </c:pt>
                <c:pt idx="11">
                  <c:v>0</c:v>
                </c:pt>
                <c:pt idx="12">
                  <c:v>0</c:v>
                </c:pt>
                <c:pt idx="13">
                  <c:v>1</c:v>
                </c:pt>
                <c:pt idx="14">
                  <c:v>0</c:v>
                </c:pt>
                <c:pt idx="15">
                  <c:v>0</c:v>
                </c:pt>
                <c:pt idx="16">
                  <c:v>1</c:v>
                </c:pt>
                <c:pt idx="17">
                  <c:v>1</c:v>
                </c:pt>
                <c:pt idx="18">
                  <c:v>0</c:v>
                </c:pt>
                <c:pt idx="19">
                  <c:v>0</c:v>
                </c:pt>
                <c:pt idx="20">
                  <c:v>0</c:v>
                </c:pt>
                <c:pt idx="21">
                  <c:v>0</c:v>
                </c:pt>
                <c:pt idx="22">
                  <c:v>0</c:v>
                </c:pt>
                <c:pt idx="23">
                  <c:v>0</c:v>
                </c:pt>
                <c:pt idx="24">
                  <c:v>0</c:v>
                </c:pt>
                <c:pt idx="25">
                  <c:v>0</c:v>
                </c:pt>
                <c:pt idx="26">
                  <c:v>0</c:v>
                </c:pt>
                <c:pt idx="27">
                  <c:v>0</c:v>
                </c:pt>
                <c:pt idx="28">
                  <c:v>0</c:v>
                </c:pt>
                <c:pt idx="29">
                  <c:v>0</c:v>
                </c:pt>
                <c:pt idx="30">
                  <c:v>1</c:v>
                </c:pt>
                <c:pt idx="31">
                  <c:v>0</c:v>
                </c:pt>
                <c:pt idx="32">
                  <c:v>0</c:v>
                </c:pt>
                <c:pt idx="33">
                  <c:v>0</c:v>
                </c:pt>
                <c:pt idx="34">
                  <c:v>0</c:v>
                </c:pt>
                <c:pt idx="35">
                  <c:v>0</c:v>
                </c:pt>
                <c:pt idx="36">
                  <c:v>0</c:v>
                </c:pt>
                <c:pt idx="37">
                  <c:v>0</c:v>
                </c:pt>
                <c:pt idx="38">
                  <c:v>0</c:v>
                </c:pt>
                <c:pt idx="39">
                  <c:v>0</c:v>
                </c:pt>
                <c:pt idx="40">
                  <c:v>0</c:v>
                </c:pt>
                <c:pt idx="41">
                  <c:v>1</c:v>
                </c:pt>
                <c:pt idx="42">
                  <c:v>0</c:v>
                </c:pt>
                <c:pt idx="43">
                  <c:v>0</c:v>
                </c:pt>
                <c:pt idx="44">
                  <c:v>0</c:v>
                </c:pt>
                <c:pt idx="45">
                  <c:v>0</c:v>
                </c:pt>
                <c:pt idx="46">
                  <c:v>0</c:v>
                </c:pt>
                <c:pt idx="47">
                  <c:v>0</c:v>
                </c:pt>
                <c:pt idx="48">
                  <c:v>0</c:v>
                </c:pt>
                <c:pt idx="49">
                  <c:v>1</c:v>
                </c:pt>
                <c:pt idx="50">
                  <c:v>1</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1</c:v>
                </c:pt>
                <c:pt idx="66">
                  <c:v>0</c:v>
                </c:pt>
                <c:pt idx="67">
                  <c:v>0</c:v>
                </c:pt>
                <c:pt idx="68">
                  <c:v>0</c:v>
                </c:pt>
                <c:pt idx="69">
                  <c:v>1</c:v>
                </c:pt>
                <c:pt idx="70">
                  <c:v>0</c:v>
                </c:pt>
                <c:pt idx="71">
                  <c:v>0</c:v>
                </c:pt>
                <c:pt idx="72">
                  <c:v>1</c:v>
                </c:pt>
                <c:pt idx="73">
                  <c:v>0</c:v>
                </c:pt>
                <c:pt idx="74">
                  <c:v>0</c:v>
                </c:pt>
                <c:pt idx="75">
                  <c:v>0</c:v>
                </c:pt>
                <c:pt idx="76">
                  <c:v>0</c:v>
                </c:pt>
                <c:pt idx="77">
                  <c:v>0</c:v>
                </c:pt>
                <c:pt idx="78">
                  <c:v>0</c:v>
                </c:pt>
                <c:pt idx="79">
                  <c:v>0</c:v>
                </c:pt>
                <c:pt idx="80">
                  <c:v>0</c:v>
                </c:pt>
                <c:pt idx="81">
                  <c:v>1</c:v>
                </c:pt>
                <c:pt idx="82">
                  <c:v>1</c:v>
                </c:pt>
                <c:pt idx="83">
                  <c:v>0</c:v>
                </c:pt>
                <c:pt idx="84">
                  <c:v>1</c:v>
                </c:pt>
                <c:pt idx="85">
                  <c:v>0</c:v>
                </c:pt>
                <c:pt idx="86">
                  <c:v>1</c:v>
                </c:pt>
                <c:pt idx="87">
                  <c:v>0</c:v>
                </c:pt>
                <c:pt idx="88">
                  <c:v>0</c:v>
                </c:pt>
                <c:pt idx="89">
                  <c:v>0</c:v>
                </c:pt>
                <c:pt idx="90">
                  <c:v>1</c:v>
                </c:pt>
                <c:pt idx="91">
                  <c:v>0</c:v>
                </c:pt>
                <c:pt idx="92">
                  <c:v>0</c:v>
                </c:pt>
                <c:pt idx="93">
                  <c:v>0</c:v>
                </c:pt>
                <c:pt idx="94">
                  <c:v>1</c:v>
                </c:pt>
                <c:pt idx="95">
                  <c:v>0</c:v>
                </c:pt>
                <c:pt idx="96">
                  <c:v>0</c:v>
                </c:pt>
                <c:pt idx="97">
                  <c:v>0</c:v>
                </c:pt>
                <c:pt idx="98">
                  <c:v>0</c:v>
                </c:pt>
                <c:pt idx="99">
                  <c:v>0</c:v>
                </c:pt>
                <c:pt idx="100">
                  <c:v>0</c:v>
                </c:pt>
                <c:pt idx="101">
                  <c:v>0</c:v>
                </c:pt>
                <c:pt idx="102">
                  <c:v>0</c:v>
                </c:pt>
                <c:pt idx="103">
                  <c:v>1</c:v>
                </c:pt>
                <c:pt idx="104">
                  <c:v>1</c:v>
                </c:pt>
                <c:pt idx="105">
                  <c:v>1</c:v>
                </c:pt>
                <c:pt idx="106">
                  <c:v>0</c:v>
                </c:pt>
                <c:pt idx="107">
                  <c:v>0</c:v>
                </c:pt>
                <c:pt idx="108">
                  <c:v>1</c:v>
                </c:pt>
                <c:pt idx="109">
                  <c:v>0</c:v>
                </c:pt>
                <c:pt idx="110">
                  <c:v>0</c:v>
                </c:pt>
                <c:pt idx="111">
                  <c:v>1</c:v>
                </c:pt>
                <c:pt idx="112">
                  <c:v>1</c:v>
                </c:pt>
                <c:pt idx="113">
                  <c:v>1</c:v>
                </c:pt>
                <c:pt idx="114">
                  <c:v>0</c:v>
                </c:pt>
                <c:pt idx="115">
                  <c:v>0</c:v>
                </c:pt>
                <c:pt idx="116">
                  <c:v>0</c:v>
                </c:pt>
                <c:pt idx="117">
                  <c:v>1</c:v>
                </c:pt>
                <c:pt idx="118">
                  <c:v>0</c:v>
                </c:pt>
                <c:pt idx="119">
                  <c:v>1</c:v>
                </c:pt>
              </c:numCache>
            </c:numRef>
          </c:cat>
          <c:val>
            <c:numRef>
              <c:f>Regression!$B$31:$B$150</c:f>
              <c:numCache>
                <c:formatCode>General</c:formatCode>
                <c:ptCount val="120"/>
                <c:pt idx="0">
                  <c:v>7.4849445579765872</c:v>
                </c:pt>
                <c:pt idx="1">
                  <c:v>8.474836149968505</c:v>
                </c:pt>
                <c:pt idx="2">
                  <c:v>7.4849445579765872</c:v>
                </c:pt>
                <c:pt idx="3">
                  <c:v>7.4412392390341271</c:v>
                </c:pt>
                <c:pt idx="4">
                  <c:v>7.9278491529989887</c:v>
                </c:pt>
                <c:pt idx="5">
                  <c:v>7.9278491529989887</c:v>
                </c:pt>
                <c:pt idx="6">
                  <c:v>7.8841438340565286</c:v>
                </c:pt>
                <c:pt idx="7">
                  <c:v>7.4849445579765872</c:v>
                </c:pt>
                <c:pt idx="8">
                  <c:v>8.0319315549461034</c:v>
                </c:pt>
                <c:pt idx="9">
                  <c:v>7.8841438340565286</c:v>
                </c:pt>
                <c:pt idx="10">
                  <c:v>7.4849445579765872</c:v>
                </c:pt>
                <c:pt idx="11">
                  <c:v>8.7789522975112053</c:v>
                </c:pt>
                <c:pt idx="12">
                  <c:v>7.6736633731001316</c:v>
                </c:pt>
                <c:pt idx="13">
                  <c:v>7.4412392390341271</c:v>
                </c:pt>
                <c:pt idx="14">
                  <c:v>8.2940474392612984</c:v>
                </c:pt>
                <c:pt idx="15">
                  <c:v>7.9278491529989887</c:v>
                </c:pt>
                <c:pt idx="16">
                  <c:v>7.8841438340565286</c:v>
                </c:pt>
                <c:pt idx="17">
                  <c:v>7.4412392390341271</c:v>
                </c:pt>
                <c:pt idx="18">
                  <c:v>8.2940474392612984</c:v>
                </c:pt>
                <c:pt idx="19">
                  <c:v>7.4849445579765872</c:v>
                </c:pt>
                <c:pt idx="20">
                  <c:v>7.851142844238896</c:v>
                </c:pt>
                <c:pt idx="21">
                  <c:v>7.4849445579765872</c:v>
                </c:pt>
                <c:pt idx="22">
                  <c:v>7.4849445579765872</c:v>
                </c:pt>
                <c:pt idx="23">
                  <c:v>8.0398616593624403</c:v>
                </c:pt>
                <c:pt idx="24">
                  <c:v>7.9278491529989887</c:v>
                </c:pt>
                <c:pt idx="25">
                  <c:v>7.851142844238896</c:v>
                </c:pt>
                <c:pt idx="26">
                  <c:v>7.9278491529989887</c:v>
                </c:pt>
                <c:pt idx="27">
                  <c:v>7.9278491529989887</c:v>
                </c:pt>
                <c:pt idx="28">
                  <c:v>8.2940474392612984</c:v>
                </c:pt>
                <c:pt idx="29">
                  <c:v>7.4849445579765872</c:v>
                </c:pt>
                <c:pt idx="30">
                  <c:v>7.4412392390341271</c:v>
                </c:pt>
                <c:pt idx="31">
                  <c:v>7.851142844238896</c:v>
                </c:pt>
                <c:pt idx="32">
                  <c:v>7.851142844238896</c:v>
                </c:pt>
                <c:pt idx="33">
                  <c:v>7.4849445579765872</c:v>
                </c:pt>
                <c:pt idx="34">
                  <c:v>7.851142844238896</c:v>
                </c:pt>
                <c:pt idx="35">
                  <c:v>7.851142844238896</c:v>
                </c:pt>
                <c:pt idx="36">
                  <c:v>8.2206503700696469</c:v>
                </c:pt>
                <c:pt idx="37">
                  <c:v>8.2940474392612984</c:v>
                </c:pt>
                <c:pt idx="38">
                  <c:v>7.4849445579765872</c:v>
                </c:pt>
                <c:pt idx="39">
                  <c:v>7.9278491529989887</c:v>
                </c:pt>
                <c:pt idx="40">
                  <c:v>7.4849445579765872</c:v>
                </c:pt>
                <c:pt idx="41">
                  <c:v>7.4412392390341271</c:v>
                </c:pt>
                <c:pt idx="42">
                  <c:v>7.6736633731001316</c:v>
                </c:pt>
                <c:pt idx="43">
                  <c:v>8.2940474392612984</c:v>
                </c:pt>
                <c:pt idx="44">
                  <c:v>8.2940474392612984</c:v>
                </c:pt>
                <c:pt idx="45">
                  <c:v>7.4849445579765872</c:v>
                </c:pt>
                <c:pt idx="46">
                  <c:v>7.9278491529989887</c:v>
                </c:pt>
                <c:pt idx="47">
                  <c:v>7.4849445579765872</c:v>
                </c:pt>
                <c:pt idx="48">
                  <c:v>8.0398616593624403</c:v>
                </c:pt>
                <c:pt idx="49">
                  <c:v>7.6299580541576715</c:v>
                </c:pt>
                <c:pt idx="50">
                  <c:v>7.4412392390341271</c:v>
                </c:pt>
                <c:pt idx="51">
                  <c:v>7.9278491529989887</c:v>
                </c:pt>
                <c:pt idx="52">
                  <c:v>7.4849445579765872</c:v>
                </c:pt>
                <c:pt idx="53">
                  <c:v>7.9278491529989887</c:v>
                </c:pt>
                <c:pt idx="54">
                  <c:v>8.0319315549461034</c:v>
                </c:pt>
                <c:pt idx="55">
                  <c:v>7.9278491529989887</c:v>
                </c:pt>
                <c:pt idx="56">
                  <c:v>7.9278491529989887</c:v>
                </c:pt>
                <c:pt idx="57">
                  <c:v>7.4849445579765872</c:v>
                </c:pt>
                <c:pt idx="58">
                  <c:v>7.9278491529989887</c:v>
                </c:pt>
                <c:pt idx="59">
                  <c:v>7.4849445579765872</c:v>
                </c:pt>
                <c:pt idx="60">
                  <c:v>7.4849445579765872</c:v>
                </c:pt>
                <c:pt idx="61">
                  <c:v>7.6736633731001316</c:v>
                </c:pt>
                <c:pt idx="62">
                  <c:v>7.9278491529989887</c:v>
                </c:pt>
                <c:pt idx="63">
                  <c:v>7.9278491529989887</c:v>
                </c:pt>
                <c:pt idx="64">
                  <c:v>7.4849445579765872</c:v>
                </c:pt>
                <c:pt idx="65">
                  <c:v>7.8841438340565286</c:v>
                </c:pt>
                <c:pt idx="66">
                  <c:v>8.2940474392612984</c:v>
                </c:pt>
                <c:pt idx="67">
                  <c:v>7.9278491529989887</c:v>
                </c:pt>
                <c:pt idx="68">
                  <c:v>7.4849445579765872</c:v>
                </c:pt>
                <c:pt idx="69">
                  <c:v>7.4412392390341271</c:v>
                </c:pt>
                <c:pt idx="70">
                  <c:v>7.4849445579765872</c:v>
                </c:pt>
                <c:pt idx="71">
                  <c:v>7.4849445579765872</c:v>
                </c:pt>
                <c:pt idx="72">
                  <c:v>7.8841438340565286</c:v>
                </c:pt>
                <c:pt idx="73">
                  <c:v>7.9278491529989887</c:v>
                </c:pt>
                <c:pt idx="74">
                  <c:v>7.4849445579765872</c:v>
                </c:pt>
                <c:pt idx="75">
                  <c:v>8.0398616593624403</c:v>
                </c:pt>
                <c:pt idx="76">
                  <c:v>7.851142844238896</c:v>
                </c:pt>
                <c:pt idx="77">
                  <c:v>7.851142844238896</c:v>
                </c:pt>
                <c:pt idx="78">
                  <c:v>7.851142844238896</c:v>
                </c:pt>
                <c:pt idx="79">
                  <c:v>7.9278491529989887</c:v>
                </c:pt>
                <c:pt idx="80">
                  <c:v>8.3360477024888038</c:v>
                </c:pt>
                <c:pt idx="81">
                  <c:v>7.4412392390341271</c:v>
                </c:pt>
                <c:pt idx="82">
                  <c:v>7.4412392390341271</c:v>
                </c:pt>
                <c:pt idx="83">
                  <c:v>7.851142844238896</c:v>
                </c:pt>
                <c:pt idx="84">
                  <c:v>7.8841438340565286</c:v>
                </c:pt>
                <c:pt idx="85">
                  <c:v>7.851142844238896</c:v>
                </c:pt>
                <c:pt idx="86">
                  <c:v>7.8841438340565286</c:v>
                </c:pt>
                <c:pt idx="87">
                  <c:v>7.4849445579765872</c:v>
                </c:pt>
                <c:pt idx="88">
                  <c:v>8.2206503700696469</c:v>
                </c:pt>
                <c:pt idx="89">
                  <c:v>7.9278491529989887</c:v>
                </c:pt>
                <c:pt idx="90">
                  <c:v>7.6299580541576715</c:v>
                </c:pt>
                <c:pt idx="91">
                  <c:v>7.4849445579765872</c:v>
                </c:pt>
                <c:pt idx="92">
                  <c:v>7.4849445579765872</c:v>
                </c:pt>
                <c:pt idx="93">
                  <c:v>9.3943526594712328</c:v>
                </c:pt>
                <c:pt idx="94">
                  <c:v>7.4412392390341271</c:v>
                </c:pt>
                <c:pt idx="95">
                  <c:v>7.851142844238896</c:v>
                </c:pt>
                <c:pt idx="96">
                  <c:v>7.4849445579765872</c:v>
                </c:pt>
                <c:pt idx="97">
                  <c:v>7.851142844238896</c:v>
                </c:pt>
                <c:pt idx="98">
                  <c:v>7.9278491529989887</c:v>
                </c:pt>
                <c:pt idx="99">
                  <c:v>7.9278491529989887</c:v>
                </c:pt>
                <c:pt idx="100">
                  <c:v>7.851142844238896</c:v>
                </c:pt>
                <c:pt idx="101">
                  <c:v>7.851142844238896</c:v>
                </c:pt>
                <c:pt idx="102">
                  <c:v>7.4849445579765872</c:v>
                </c:pt>
                <c:pt idx="103">
                  <c:v>7.8841438340565286</c:v>
                </c:pt>
                <c:pt idx="104">
                  <c:v>9.3506473405287736</c:v>
                </c:pt>
                <c:pt idx="105">
                  <c:v>7.6299580541576715</c:v>
                </c:pt>
                <c:pt idx="106">
                  <c:v>7.851142844238896</c:v>
                </c:pt>
                <c:pt idx="107">
                  <c:v>8.2940474392612984</c:v>
                </c:pt>
                <c:pt idx="108">
                  <c:v>7.4412392390341271</c:v>
                </c:pt>
                <c:pt idx="109">
                  <c:v>7.4849445579765872</c:v>
                </c:pt>
                <c:pt idx="110">
                  <c:v>7.4849445579765872</c:v>
                </c:pt>
                <c:pt idx="111">
                  <c:v>7.4412392390341271</c:v>
                </c:pt>
                <c:pt idx="112">
                  <c:v>7.4412392390341271</c:v>
                </c:pt>
                <c:pt idx="113">
                  <c:v>7.4412392390341271</c:v>
                </c:pt>
                <c:pt idx="114">
                  <c:v>7.9278491529989887</c:v>
                </c:pt>
                <c:pt idx="115">
                  <c:v>7.4849445579765872</c:v>
                </c:pt>
                <c:pt idx="116">
                  <c:v>7.4849445579765872</c:v>
                </c:pt>
                <c:pt idx="117">
                  <c:v>7.4412392390341271</c:v>
                </c:pt>
                <c:pt idx="118">
                  <c:v>7.4849445579765872</c:v>
                </c:pt>
                <c:pt idx="119">
                  <c:v>7.4412392390341271</c:v>
                </c:pt>
              </c:numCache>
            </c:numRef>
          </c:val>
        </c:ser>
        <c:axId val="145491456"/>
        <c:axId val="145493376"/>
      </c:barChart>
      <c:catAx>
        <c:axId val="145491456"/>
        <c:scaling>
          <c:orientation val="minMax"/>
        </c:scaling>
        <c:axPos val="b"/>
        <c:title>
          <c:tx>
            <c:rich>
              <a:bodyPr/>
              <a:lstStyle/>
              <a:p>
                <a:pPr>
                  <a:defRPr/>
                </a:pPr>
                <a:r>
                  <a:rPr lang="en-IN"/>
                  <a:t>z1</a:t>
                </a:r>
              </a:p>
            </c:rich>
          </c:tx>
        </c:title>
        <c:numFmt formatCode="General" sourceLinked="1"/>
        <c:tickLblPos val="nextTo"/>
        <c:crossAx val="145493376"/>
        <c:crosses val="autoZero"/>
        <c:auto val="1"/>
        <c:lblAlgn val="ctr"/>
        <c:lblOffset val="100"/>
      </c:catAx>
      <c:valAx>
        <c:axId val="145493376"/>
        <c:scaling>
          <c:orientation val="minMax"/>
        </c:scaling>
        <c:axPos val="l"/>
        <c:majorGridlines/>
        <c:title>
          <c:tx>
            <c:rich>
              <a:bodyPr/>
              <a:lstStyle/>
              <a:p>
                <a:pPr>
                  <a:defRPr/>
                </a:pPr>
                <a:r>
                  <a:rPr lang="en-IN"/>
                  <a:t>AVG SGPA</a:t>
                </a:r>
              </a:p>
            </c:rich>
          </c:tx>
        </c:title>
        <c:numFmt formatCode="0.000" sourceLinked="1"/>
        <c:tickLblPos val="nextTo"/>
        <c:crossAx val="145491456"/>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z2 Line Fit  Plot</a:t>
            </a:r>
          </a:p>
        </c:rich>
      </c:tx>
    </c:title>
    <c:plotArea>
      <c:layout/>
      <c:barChart>
        <c:barDir val="col"/>
        <c:grouping val="clustered"/>
        <c:ser>
          <c:idx val="0"/>
          <c:order val="0"/>
          <c:tx>
            <c:v>AVG SGPA</c:v>
          </c:tx>
          <c:cat>
            <c:numRef>
              <c:f>Dummy!$H$3:$H$122</c:f>
              <c:numCache>
                <c:formatCode>General</c:formatCode>
                <c:ptCount val="120"/>
                <c:pt idx="0">
                  <c:v>1</c:v>
                </c:pt>
                <c:pt idx="1">
                  <c:v>0</c:v>
                </c:pt>
                <c:pt idx="2">
                  <c:v>1</c:v>
                </c:pt>
                <c:pt idx="3">
                  <c:v>0</c:v>
                </c:pt>
                <c:pt idx="4">
                  <c:v>1</c:v>
                </c:pt>
                <c:pt idx="5">
                  <c:v>1</c:v>
                </c:pt>
                <c:pt idx="6">
                  <c:v>0</c:v>
                </c:pt>
                <c:pt idx="7">
                  <c:v>1</c:v>
                </c:pt>
                <c:pt idx="8">
                  <c:v>0</c:v>
                </c:pt>
                <c:pt idx="9">
                  <c:v>0</c:v>
                </c:pt>
                <c:pt idx="10">
                  <c:v>1</c:v>
                </c:pt>
                <c:pt idx="11">
                  <c:v>0</c:v>
                </c:pt>
                <c:pt idx="12">
                  <c:v>1</c:v>
                </c:pt>
                <c:pt idx="13">
                  <c:v>0</c:v>
                </c:pt>
                <c:pt idx="14">
                  <c:v>0</c:v>
                </c:pt>
                <c:pt idx="15">
                  <c:v>1</c:v>
                </c:pt>
                <c:pt idx="16">
                  <c:v>0</c:v>
                </c:pt>
                <c:pt idx="17">
                  <c:v>0</c:v>
                </c:pt>
                <c:pt idx="18">
                  <c:v>0</c:v>
                </c:pt>
                <c:pt idx="19">
                  <c:v>1</c:v>
                </c:pt>
                <c:pt idx="20">
                  <c:v>0</c:v>
                </c:pt>
                <c:pt idx="21">
                  <c:v>1</c:v>
                </c:pt>
                <c:pt idx="22">
                  <c:v>1</c:v>
                </c:pt>
                <c:pt idx="23">
                  <c:v>0</c:v>
                </c:pt>
                <c:pt idx="24">
                  <c:v>1</c:v>
                </c:pt>
                <c:pt idx="25">
                  <c:v>0</c:v>
                </c:pt>
                <c:pt idx="26">
                  <c:v>1</c:v>
                </c:pt>
                <c:pt idx="27">
                  <c:v>1</c:v>
                </c:pt>
                <c:pt idx="28">
                  <c:v>0</c:v>
                </c:pt>
                <c:pt idx="29">
                  <c:v>1</c:v>
                </c:pt>
                <c:pt idx="30">
                  <c:v>0</c:v>
                </c:pt>
                <c:pt idx="31">
                  <c:v>0</c:v>
                </c:pt>
                <c:pt idx="32">
                  <c:v>0</c:v>
                </c:pt>
                <c:pt idx="33">
                  <c:v>1</c:v>
                </c:pt>
                <c:pt idx="34">
                  <c:v>0</c:v>
                </c:pt>
                <c:pt idx="35">
                  <c:v>0</c:v>
                </c:pt>
                <c:pt idx="36">
                  <c:v>0</c:v>
                </c:pt>
                <c:pt idx="37">
                  <c:v>0</c:v>
                </c:pt>
                <c:pt idx="38">
                  <c:v>1</c:v>
                </c:pt>
                <c:pt idx="39">
                  <c:v>1</c:v>
                </c:pt>
                <c:pt idx="40">
                  <c:v>1</c:v>
                </c:pt>
                <c:pt idx="41">
                  <c:v>0</c:v>
                </c:pt>
                <c:pt idx="42">
                  <c:v>1</c:v>
                </c:pt>
                <c:pt idx="43">
                  <c:v>0</c:v>
                </c:pt>
                <c:pt idx="44">
                  <c:v>0</c:v>
                </c:pt>
                <c:pt idx="45">
                  <c:v>1</c:v>
                </c:pt>
                <c:pt idx="46">
                  <c:v>1</c:v>
                </c:pt>
                <c:pt idx="47">
                  <c:v>1</c:v>
                </c:pt>
                <c:pt idx="48">
                  <c:v>0</c:v>
                </c:pt>
                <c:pt idx="49">
                  <c:v>0</c:v>
                </c:pt>
                <c:pt idx="50">
                  <c:v>0</c:v>
                </c:pt>
                <c:pt idx="51">
                  <c:v>1</c:v>
                </c:pt>
                <c:pt idx="52">
                  <c:v>1</c:v>
                </c:pt>
                <c:pt idx="53">
                  <c:v>1</c:v>
                </c:pt>
                <c:pt idx="54">
                  <c:v>0</c:v>
                </c:pt>
                <c:pt idx="55">
                  <c:v>1</c:v>
                </c:pt>
                <c:pt idx="56">
                  <c:v>1</c:v>
                </c:pt>
                <c:pt idx="57">
                  <c:v>1</c:v>
                </c:pt>
                <c:pt idx="58">
                  <c:v>1</c:v>
                </c:pt>
                <c:pt idx="59">
                  <c:v>1</c:v>
                </c:pt>
                <c:pt idx="60">
                  <c:v>1</c:v>
                </c:pt>
                <c:pt idx="61">
                  <c:v>1</c:v>
                </c:pt>
                <c:pt idx="62">
                  <c:v>1</c:v>
                </c:pt>
                <c:pt idx="63">
                  <c:v>1</c:v>
                </c:pt>
                <c:pt idx="64">
                  <c:v>1</c:v>
                </c:pt>
                <c:pt idx="65">
                  <c:v>0</c:v>
                </c:pt>
                <c:pt idx="66">
                  <c:v>0</c:v>
                </c:pt>
                <c:pt idx="67">
                  <c:v>1</c:v>
                </c:pt>
                <c:pt idx="68">
                  <c:v>1</c:v>
                </c:pt>
                <c:pt idx="69">
                  <c:v>0</c:v>
                </c:pt>
                <c:pt idx="70">
                  <c:v>1</c:v>
                </c:pt>
                <c:pt idx="71">
                  <c:v>1</c:v>
                </c:pt>
                <c:pt idx="72">
                  <c:v>0</c:v>
                </c:pt>
                <c:pt idx="73">
                  <c:v>1</c:v>
                </c:pt>
                <c:pt idx="74">
                  <c:v>1</c:v>
                </c:pt>
                <c:pt idx="75">
                  <c:v>0</c:v>
                </c:pt>
                <c:pt idx="76">
                  <c:v>0</c:v>
                </c:pt>
                <c:pt idx="77">
                  <c:v>0</c:v>
                </c:pt>
                <c:pt idx="78">
                  <c:v>0</c:v>
                </c:pt>
                <c:pt idx="79">
                  <c:v>1</c:v>
                </c:pt>
                <c:pt idx="80">
                  <c:v>0</c:v>
                </c:pt>
                <c:pt idx="81">
                  <c:v>0</c:v>
                </c:pt>
                <c:pt idx="82">
                  <c:v>0</c:v>
                </c:pt>
                <c:pt idx="83">
                  <c:v>0</c:v>
                </c:pt>
                <c:pt idx="84">
                  <c:v>0</c:v>
                </c:pt>
                <c:pt idx="85">
                  <c:v>0</c:v>
                </c:pt>
                <c:pt idx="86">
                  <c:v>0</c:v>
                </c:pt>
                <c:pt idx="87">
                  <c:v>1</c:v>
                </c:pt>
                <c:pt idx="88">
                  <c:v>0</c:v>
                </c:pt>
                <c:pt idx="89">
                  <c:v>1</c:v>
                </c:pt>
                <c:pt idx="90">
                  <c:v>0</c:v>
                </c:pt>
                <c:pt idx="91">
                  <c:v>1</c:v>
                </c:pt>
                <c:pt idx="92">
                  <c:v>1</c:v>
                </c:pt>
                <c:pt idx="93">
                  <c:v>1</c:v>
                </c:pt>
                <c:pt idx="94">
                  <c:v>0</c:v>
                </c:pt>
                <c:pt idx="95">
                  <c:v>0</c:v>
                </c:pt>
                <c:pt idx="96">
                  <c:v>1</c:v>
                </c:pt>
                <c:pt idx="97">
                  <c:v>0</c:v>
                </c:pt>
                <c:pt idx="98">
                  <c:v>1</c:v>
                </c:pt>
                <c:pt idx="99">
                  <c:v>1</c:v>
                </c:pt>
                <c:pt idx="100">
                  <c:v>0</c:v>
                </c:pt>
                <c:pt idx="101">
                  <c:v>0</c:v>
                </c:pt>
                <c:pt idx="102">
                  <c:v>1</c:v>
                </c:pt>
                <c:pt idx="103">
                  <c:v>0</c:v>
                </c:pt>
                <c:pt idx="104">
                  <c:v>0</c:v>
                </c:pt>
                <c:pt idx="105">
                  <c:v>0</c:v>
                </c:pt>
                <c:pt idx="106">
                  <c:v>0</c:v>
                </c:pt>
                <c:pt idx="107">
                  <c:v>0</c:v>
                </c:pt>
                <c:pt idx="108">
                  <c:v>0</c:v>
                </c:pt>
                <c:pt idx="109">
                  <c:v>1</c:v>
                </c:pt>
                <c:pt idx="110">
                  <c:v>1</c:v>
                </c:pt>
                <c:pt idx="111">
                  <c:v>0</c:v>
                </c:pt>
                <c:pt idx="112">
                  <c:v>0</c:v>
                </c:pt>
                <c:pt idx="113">
                  <c:v>0</c:v>
                </c:pt>
                <c:pt idx="114">
                  <c:v>1</c:v>
                </c:pt>
                <c:pt idx="115">
                  <c:v>1</c:v>
                </c:pt>
                <c:pt idx="116">
                  <c:v>1</c:v>
                </c:pt>
                <c:pt idx="117">
                  <c:v>0</c:v>
                </c:pt>
                <c:pt idx="118">
                  <c:v>1</c:v>
                </c:pt>
                <c:pt idx="119">
                  <c:v>0</c:v>
                </c:pt>
              </c:numCache>
            </c:numRef>
          </c:cat>
          <c:val>
            <c:numRef>
              <c:f>Dummy!$D$3:$D$122</c:f>
              <c:numCache>
                <c:formatCode>0.000</c:formatCode>
                <c:ptCount val="120"/>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pt idx="119">
                  <c:v>7.05</c:v>
                </c:pt>
              </c:numCache>
            </c:numRef>
          </c:val>
        </c:ser>
        <c:ser>
          <c:idx val="1"/>
          <c:order val="1"/>
          <c:tx>
            <c:v>Predicted AVG SGPA</c:v>
          </c:tx>
          <c:cat>
            <c:numRef>
              <c:f>Dummy!$H$3:$H$122</c:f>
              <c:numCache>
                <c:formatCode>General</c:formatCode>
                <c:ptCount val="120"/>
                <c:pt idx="0">
                  <c:v>1</c:v>
                </c:pt>
                <c:pt idx="1">
                  <c:v>0</c:v>
                </c:pt>
                <c:pt idx="2">
                  <c:v>1</c:v>
                </c:pt>
                <c:pt idx="3">
                  <c:v>0</c:v>
                </c:pt>
                <c:pt idx="4">
                  <c:v>1</c:v>
                </c:pt>
                <c:pt idx="5">
                  <c:v>1</c:v>
                </c:pt>
                <c:pt idx="6">
                  <c:v>0</c:v>
                </c:pt>
                <c:pt idx="7">
                  <c:v>1</c:v>
                </c:pt>
                <c:pt idx="8">
                  <c:v>0</c:v>
                </c:pt>
                <c:pt idx="9">
                  <c:v>0</c:v>
                </c:pt>
                <c:pt idx="10">
                  <c:v>1</c:v>
                </c:pt>
                <c:pt idx="11">
                  <c:v>0</c:v>
                </c:pt>
                <c:pt idx="12">
                  <c:v>1</c:v>
                </c:pt>
                <c:pt idx="13">
                  <c:v>0</c:v>
                </c:pt>
                <c:pt idx="14">
                  <c:v>0</c:v>
                </c:pt>
                <c:pt idx="15">
                  <c:v>1</c:v>
                </c:pt>
                <c:pt idx="16">
                  <c:v>0</c:v>
                </c:pt>
                <c:pt idx="17">
                  <c:v>0</c:v>
                </c:pt>
                <c:pt idx="18">
                  <c:v>0</c:v>
                </c:pt>
                <c:pt idx="19">
                  <c:v>1</c:v>
                </c:pt>
                <c:pt idx="20">
                  <c:v>0</c:v>
                </c:pt>
                <c:pt idx="21">
                  <c:v>1</c:v>
                </c:pt>
                <c:pt idx="22">
                  <c:v>1</c:v>
                </c:pt>
                <c:pt idx="23">
                  <c:v>0</c:v>
                </c:pt>
                <c:pt idx="24">
                  <c:v>1</c:v>
                </c:pt>
                <c:pt idx="25">
                  <c:v>0</c:v>
                </c:pt>
                <c:pt idx="26">
                  <c:v>1</c:v>
                </c:pt>
                <c:pt idx="27">
                  <c:v>1</c:v>
                </c:pt>
                <c:pt idx="28">
                  <c:v>0</c:v>
                </c:pt>
                <c:pt idx="29">
                  <c:v>1</c:v>
                </c:pt>
                <c:pt idx="30">
                  <c:v>0</c:v>
                </c:pt>
                <c:pt idx="31">
                  <c:v>0</c:v>
                </c:pt>
                <c:pt idx="32">
                  <c:v>0</c:v>
                </c:pt>
                <c:pt idx="33">
                  <c:v>1</c:v>
                </c:pt>
                <c:pt idx="34">
                  <c:v>0</c:v>
                </c:pt>
                <c:pt idx="35">
                  <c:v>0</c:v>
                </c:pt>
                <c:pt idx="36">
                  <c:v>0</c:v>
                </c:pt>
                <c:pt idx="37">
                  <c:v>0</c:v>
                </c:pt>
                <c:pt idx="38">
                  <c:v>1</c:v>
                </c:pt>
                <c:pt idx="39">
                  <c:v>1</c:v>
                </c:pt>
                <c:pt idx="40">
                  <c:v>1</c:v>
                </c:pt>
                <c:pt idx="41">
                  <c:v>0</c:v>
                </c:pt>
                <c:pt idx="42">
                  <c:v>1</c:v>
                </c:pt>
                <c:pt idx="43">
                  <c:v>0</c:v>
                </c:pt>
                <c:pt idx="44">
                  <c:v>0</c:v>
                </c:pt>
                <c:pt idx="45">
                  <c:v>1</c:v>
                </c:pt>
                <c:pt idx="46">
                  <c:v>1</c:v>
                </c:pt>
                <c:pt idx="47">
                  <c:v>1</c:v>
                </c:pt>
                <c:pt idx="48">
                  <c:v>0</c:v>
                </c:pt>
                <c:pt idx="49">
                  <c:v>0</c:v>
                </c:pt>
                <c:pt idx="50">
                  <c:v>0</c:v>
                </c:pt>
                <c:pt idx="51">
                  <c:v>1</c:v>
                </c:pt>
                <c:pt idx="52">
                  <c:v>1</c:v>
                </c:pt>
                <c:pt idx="53">
                  <c:v>1</c:v>
                </c:pt>
                <c:pt idx="54">
                  <c:v>0</c:v>
                </c:pt>
                <c:pt idx="55">
                  <c:v>1</c:v>
                </c:pt>
                <c:pt idx="56">
                  <c:v>1</c:v>
                </c:pt>
                <c:pt idx="57">
                  <c:v>1</c:v>
                </c:pt>
                <c:pt idx="58">
                  <c:v>1</c:v>
                </c:pt>
                <c:pt idx="59">
                  <c:v>1</c:v>
                </c:pt>
                <c:pt idx="60">
                  <c:v>1</c:v>
                </c:pt>
                <c:pt idx="61">
                  <c:v>1</c:v>
                </c:pt>
                <c:pt idx="62">
                  <c:v>1</c:v>
                </c:pt>
                <c:pt idx="63">
                  <c:v>1</c:v>
                </c:pt>
                <c:pt idx="64">
                  <c:v>1</c:v>
                </c:pt>
                <c:pt idx="65">
                  <c:v>0</c:v>
                </c:pt>
                <c:pt idx="66">
                  <c:v>0</c:v>
                </c:pt>
                <c:pt idx="67">
                  <c:v>1</c:v>
                </c:pt>
                <c:pt idx="68">
                  <c:v>1</c:v>
                </c:pt>
                <c:pt idx="69">
                  <c:v>0</c:v>
                </c:pt>
                <c:pt idx="70">
                  <c:v>1</c:v>
                </c:pt>
                <c:pt idx="71">
                  <c:v>1</c:v>
                </c:pt>
                <c:pt idx="72">
                  <c:v>0</c:v>
                </c:pt>
                <c:pt idx="73">
                  <c:v>1</c:v>
                </c:pt>
                <c:pt idx="74">
                  <c:v>1</c:v>
                </c:pt>
                <c:pt idx="75">
                  <c:v>0</c:v>
                </c:pt>
                <c:pt idx="76">
                  <c:v>0</c:v>
                </c:pt>
                <c:pt idx="77">
                  <c:v>0</c:v>
                </c:pt>
                <c:pt idx="78">
                  <c:v>0</c:v>
                </c:pt>
                <c:pt idx="79">
                  <c:v>1</c:v>
                </c:pt>
                <c:pt idx="80">
                  <c:v>0</c:v>
                </c:pt>
                <c:pt idx="81">
                  <c:v>0</c:v>
                </c:pt>
                <c:pt idx="82">
                  <c:v>0</c:v>
                </c:pt>
                <c:pt idx="83">
                  <c:v>0</c:v>
                </c:pt>
                <c:pt idx="84">
                  <c:v>0</c:v>
                </c:pt>
                <c:pt idx="85">
                  <c:v>0</c:v>
                </c:pt>
                <c:pt idx="86">
                  <c:v>0</c:v>
                </c:pt>
                <c:pt idx="87">
                  <c:v>1</c:v>
                </c:pt>
                <c:pt idx="88">
                  <c:v>0</c:v>
                </c:pt>
                <c:pt idx="89">
                  <c:v>1</c:v>
                </c:pt>
                <c:pt idx="90">
                  <c:v>0</c:v>
                </c:pt>
                <c:pt idx="91">
                  <c:v>1</c:v>
                </c:pt>
                <c:pt idx="92">
                  <c:v>1</c:v>
                </c:pt>
                <c:pt idx="93">
                  <c:v>1</c:v>
                </c:pt>
                <c:pt idx="94">
                  <c:v>0</c:v>
                </c:pt>
                <c:pt idx="95">
                  <c:v>0</c:v>
                </c:pt>
                <c:pt idx="96">
                  <c:v>1</c:v>
                </c:pt>
                <c:pt idx="97">
                  <c:v>0</c:v>
                </c:pt>
                <c:pt idx="98">
                  <c:v>1</c:v>
                </c:pt>
                <c:pt idx="99">
                  <c:v>1</c:v>
                </c:pt>
                <c:pt idx="100">
                  <c:v>0</c:v>
                </c:pt>
                <c:pt idx="101">
                  <c:v>0</c:v>
                </c:pt>
                <c:pt idx="102">
                  <c:v>1</c:v>
                </c:pt>
                <c:pt idx="103">
                  <c:v>0</c:v>
                </c:pt>
                <c:pt idx="104">
                  <c:v>0</c:v>
                </c:pt>
                <c:pt idx="105">
                  <c:v>0</c:v>
                </c:pt>
                <c:pt idx="106">
                  <c:v>0</c:v>
                </c:pt>
                <c:pt idx="107">
                  <c:v>0</c:v>
                </c:pt>
                <c:pt idx="108">
                  <c:v>0</c:v>
                </c:pt>
                <c:pt idx="109">
                  <c:v>1</c:v>
                </c:pt>
                <c:pt idx="110">
                  <c:v>1</c:v>
                </c:pt>
                <c:pt idx="111">
                  <c:v>0</c:v>
                </c:pt>
                <c:pt idx="112">
                  <c:v>0</c:v>
                </c:pt>
                <c:pt idx="113">
                  <c:v>0</c:v>
                </c:pt>
                <c:pt idx="114">
                  <c:v>1</c:v>
                </c:pt>
                <c:pt idx="115">
                  <c:v>1</c:v>
                </c:pt>
                <c:pt idx="116">
                  <c:v>1</c:v>
                </c:pt>
                <c:pt idx="117">
                  <c:v>0</c:v>
                </c:pt>
                <c:pt idx="118">
                  <c:v>1</c:v>
                </c:pt>
                <c:pt idx="119">
                  <c:v>0</c:v>
                </c:pt>
              </c:numCache>
            </c:numRef>
          </c:cat>
          <c:val>
            <c:numRef>
              <c:f>Regression!$B$31:$B$150</c:f>
              <c:numCache>
                <c:formatCode>General</c:formatCode>
                <c:ptCount val="120"/>
                <c:pt idx="0">
                  <c:v>7.4849445579765872</c:v>
                </c:pt>
                <c:pt idx="1">
                  <c:v>8.474836149968505</c:v>
                </c:pt>
                <c:pt idx="2">
                  <c:v>7.4849445579765872</c:v>
                </c:pt>
                <c:pt idx="3">
                  <c:v>7.4412392390341271</c:v>
                </c:pt>
                <c:pt idx="4">
                  <c:v>7.9278491529989887</c:v>
                </c:pt>
                <c:pt idx="5">
                  <c:v>7.9278491529989887</c:v>
                </c:pt>
                <c:pt idx="6">
                  <c:v>7.8841438340565286</c:v>
                </c:pt>
                <c:pt idx="7">
                  <c:v>7.4849445579765872</c:v>
                </c:pt>
                <c:pt idx="8">
                  <c:v>8.0319315549461034</c:v>
                </c:pt>
                <c:pt idx="9">
                  <c:v>7.8841438340565286</c:v>
                </c:pt>
                <c:pt idx="10">
                  <c:v>7.4849445579765872</c:v>
                </c:pt>
                <c:pt idx="11">
                  <c:v>8.7789522975112053</c:v>
                </c:pt>
                <c:pt idx="12">
                  <c:v>7.6736633731001316</c:v>
                </c:pt>
                <c:pt idx="13">
                  <c:v>7.4412392390341271</c:v>
                </c:pt>
                <c:pt idx="14">
                  <c:v>8.2940474392612984</c:v>
                </c:pt>
                <c:pt idx="15">
                  <c:v>7.9278491529989887</c:v>
                </c:pt>
                <c:pt idx="16">
                  <c:v>7.8841438340565286</c:v>
                </c:pt>
                <c:pt idx="17">
                  <c:v>7.4412392390341271</c:v>
                </c:pt>
                <c:pt idx="18">
                  <c:v>8.2940474392612984</c:v>
                </c:pt>
                <c:pt idx="19">
                  <c:v>7.4849445579765872</c:v>
                </c:pt>
                <c:pt idx="20">
                  <c:v>7.851142844238896</c:v>
                </c:pt>
                <c:pt idx="21">
                  <c:v>7.4849445579765872</c:v>
                </c:pt>
                <c:pt idx="22">
                  <c:v>7.4849445579765872</c:v>
                </c:pt>
                <c:pt idx="23">
                  <c:v>8.0398616593624403</c:v>
                </c:pt>
                <c:pt idx="24">
                  <c:v>7.9278491529989887</c:v>
                </c:pt>
                <c:pt idx="25">
                  <c:v>7.851142844238896</c:v>
                </c:pt>
                <c:pt idx="26">
                  <c:v>7.9278491529989887</c:v>
                </c:pt>
                <c:pt idx="27">
                  <c:v>7.9278491529989887</c:v>
                </c:pt>
                <c:pt idx="28">
                  <c:v>8.2940474392612984</c:v>
                </c:pt>
                <c:pt idx="29">
                  <c:v>7.4849445579765872</c:v>
                </c:pt>
                <c:pt idx="30">
                  <c:v>7.4412392390341271</c:v>
                </c:pt>
                <c:pt idx="31">
                  <c:v>7.851142844238896</c:v>
                </c:pt>
                <c:pt idx="32">
                  <c:v>7.851142844238896</c:v>
                </c:pt>
                <c:pt idx="33">
                  <c:v>7.4849445579765872</c:v>
                </c:pt>
                <c:pt idx="34">
                  <c:v>7.851142844238896</c:v>
                </c:pt>
                <c:pt idx="35">
                  <c:v>7.851142844238896</c:v>
                </c:pt>
                <c:pt idx="36">
                  <c:v>8.2206503700696469</c:v>
                </c:pt>
                <c:pt idx="37">
                  <c:v>8.2940474392612984</c:v>
                </c:pt>
                <c:pt idx="38">
                  <c:v>7.4849445579765872</c:v>
                </c:pt>
                <c:pt idx="39">
                  <c:v>7.9278491529989887</c:v>
                </c:pt>
                <c:pt idx="40">
                  <c:v>7.4849445579765872</c:v>
                </c:pt>
                <c:pt idx="41">
                  <c:v>7.4412392390341271</c:v>
                </c:pt>
                <c:pt idx="42">
                  <c:v>7.6736633731001316</c:v>
                </c:pt>
                <c:pt idx="43">
                  <c:v>8.2940474392612984</c:v>
                </c:pt>
                <c:pt idx="44">
                  <c:v>8.2940474392612984</c:v>
                </c:pt>
                <c:pt idx="45">
                  <c:v>7.4849445579765872</c:v>
                </c:pt>
                <c:pt idx="46">
                  <c:v>7.9278491529989887</c:v>
                </c:pt>
                <c:pt idx="47">
                  <c:v>7.4849445579765872</c:v>
                </c:pt>
                <c:pt idx="48">
                  <c:v>8.0398616593624403</c:v>
                </c:pt>
                <c:pt idx="49">
                  <c:v>7.6299580541576715</c:v>
                </c:pt>
                <c:pt idx="50">
                  <c:v>7.4412392390341271</c:v>
                </c:pt>
                <c:pt idx="51">
                  <c:v>7.9278491529989887</c:v>
                </c:pt>
                <c:pt idx="52">
                  <c:v>7.4849445579765872</c:v>
                </c:pt>
                <c:pt idx="53">
                  <c:v>7.9278491529989887</c:v>
                </c:pt>
                <c:pt idx="54">
                  <c:v>8.0319315549461034</c:v>
                </c:pt>
                <c:pt idx="55">
                  <c:v>7.9278491529989887</c:v>
                </c:pt>
                <c:pt idx="56">
                  <c:v>7.9278491529989887</c:v>
                </c:pt>
                <c:pt idx="57">
                  <c:v>7.4849445579765872</c:v>
                </c:pt>
                <c:pt idx="58">
                  <c:v>7.9278491529989887</c:v>
                </c:pt>
                <c:pt idx="59">
                  <c:v>7.4849445579765872</c:v>
                </c:pt>
                <c:pt idx="60">
                  <c:v>7.4849445579765872</c:v>
                </c:pt>
                <c:pt idx="61">
                  <c:v>7.6736633731001316</c:v>
                </c:pt>
                <c:pt idx="62">
                  <c:v>7.9278491529989887</c:v>
                </c:pt>
                <c:pt idx="63">
                  <c:v>7.9278491529989887</c:v>
                </c:pt>
                <c:pt idx="64">
                  <c:v>7.4849445579765872</c:v>
                </c:pt>
                <c:pt idx="65">
                  <c:v>7.8841438340565286</c:v>
                </c:pt>
                <c:pt idx="66">
                  <c:v>8.2940474392612984</c:v>
                </c:pt>
                <c:pt idx="67">
                  <c:v>7.9278491529989887</c:v>
                </c:pt>
                <c:pt idx="68">
                  <c:v>7.4849445579765872</c:v>
                </c:pt>
                <c:pt idx="69">
                  <c:v>7.4412392390341271</c:v>
                </c:pt>
                <c:pt idx="70">
                  <c:v>7.4849445579765872</c:v>
                </c:pt>
                <c:pt idx="71">
                  <c:v>7.4849445579765872</c:v>
                </c:pt>
                <c:pt idx="72">
                  <c:v>7.8841438340565286</c:v>
                </c:pt>
                <c:pt idx="73">
                  <c:v>7.9278491529989887</c:v>
                </c:pt>
                <c:pt idx="74">
                  <c:v>7.4849445579765872</c:v>
                </c:pt>
                <c:pt idx="75">
                  <c:v>8.0398616593624403</c:v>
                </c:pt>
                <c:pt idx="76">
                  <c:v>7.851142844238896</c:v>
                </c:pt>
                <c:pt idx="77">
                  <c:v>7.851142844238896</c:v>
                </c:pt>
                <c:pt idx="78">
                  <c:v>7.851142844238896</c:v>
                </c:pt>
                <c:pt idx="79">
                  <c:v>7.9278491529989887</c:v>
                </c:pt>
                <c:pt idx="80">
                  <c:v>8.3360477024888038</c:v>
                </c:pt>
                <c:pt idx="81">
                  <c:v>7.4412392390341271</c:v>
                </c:pt>
                <c:pt idx="82">
                  <c:v>7.4412392390341271</c:v>
                </c:pt>
                <c:pt idx="83">
                  <c:v>7.851142844238896</c:v>
                </c:pt>
                <c:pt idx="84">
                  <c:v>7.8841438340565286</c:v>
                </c:pt>
                <c:pt idx="85">
                  <c:v>7.851142844238896</c:v>
                </c:pt>
                <c:pt idx="86">
                  <c:v>7.8841438340565286</c:v>
                </c:pt>
                <c:pt idx="87">
                  <c:v>7.4849445579765872</c:v>
                </c:pt>
                <c:pt idx="88">
                  <c:v>8.2206503700696469</c:v>
                </c:pt>
                <c:pt idx="89">
                  <c:v>7.9278491529989887</c:v>
                </c:pt>
                <c:pt idx="90">
                  <c:v>7.6299580541576715</c:v>
                </c:pt>
                <c:pt idx="91">
                  <c:v>7.4849445579765872</c:v>
                </c:pt>
                <c:pt idx="92">
                  <c:v>7.4849445579765872</c:v>
                </c:pt>
                <c:pt idx="93">
                  <c:v>9.3943526594712328</c:v>
                </c:pt>
                <c:pt idx="94">
                  <c:v>7.4412392390341271</c:v>
                </c:pt>
                <c:pt idx="95">
                  <c:v>7.851142844238896</c:v>
                </c:pt>
                <c:pt idx="96">
                  <c:v>7.4849445579765872</c:v>
                </c:pt>
                <c:pt idx="97">
                  <c:v>7.851142844238896</c:v>
                </c:pt>
                <c:pt idx="98">
                  <c:v>7.9278491529989887</c:v>
                </c:pt>
                <c:pt idx="99">
                  <c:v>7.9278491529989887</c:v>
                </c:pt>
                <c:pt idx="100">
                  <c:v>7.851142844238896</c:v>
                </c:pt>
                <c:pt idx="101">
                  <c:v>7.851142844238896</c:v>
                </c:pt>
                <c:pt idx="102">
                  <c:v>7.4849445579765872</c:v>
                </c:pt>
                <c:pt idx="103">
                  <c:v>7.8841438340565286</c:v>
                </c:pt>
                <c:pt idx="104">
                  <c:v>9.3506473405287736</c:v>
                </c:pt>
                <c:pt idx="105">
                  <c:v>7.6299580541576715</c:v>
                </c:pt>
                <c:pt idx="106">
                  <c:v>7.851142844238896</c:v>
                </c:pt>
                <c:pt idx="107">
                  <c:v>8.2940474392612984</c:v>
                </c:pt>
                <c:pt idx="108">
                  <c:v>7.4412392390341271</c:v>
                </c:pt>
                <c:pt idx="109">
                  <c:v>7.4849445579765872</c:v>
                </c:pt>
                <c:pt idx="110">
                  <c:v>7.4849445579765872</c:v>
                </c:pt>
                <c:pt idx="111">
                  <c:v>7.4412392390341271</c:v>
                </c:pt>
                <c:pt idx="112">
                  <c:v>7.4412392390341271</c:v>
                </c:pt>
                <c:pt idx="113">
                  <c:v>7.4412392390341271</c:v>
                </c:pt>
                <c:pt idx="114">
                  <c:v>7.9278491529989887</c:v>
                </c:pt>
                <c:pt idx="115">
                  <c:v>7.4849445579765872</c:v>
                </c:pt>
                <c:pt idx="116">
                  <c:v>7.4849445579765872</c:v>
                </c:pt>
                <c:pt idx="117">
                  <c:v>7.4412392390341271</c:v>
                </c:pt>
                <c:pt idx="118">
                  <c:v>7.4849445579765872</c:v>
                </c:pt>
                <c:pt idx="119">
                  <c:v>7.4412392390341271</c:v>
                </c:pt>
              </c:numCache>
            </c:numRef>
          </c:val>
        </c:ser>
        <c:axId val="145547648"/>
        <c:axId val="145549568"/>
      </c:barChart>
      <c:catAx>
        <c:axId val="145547648"/>
        <c:scaling>
          <c:orientation val="minMax"/>
        </c:scaling>
        <c:axPos val="b"/>
        <c:title>
          <c:tx>
            <c:rich>
              <a:bodyPr/>
              <a:lstStyle/>
              <a:p>
                <a:pPr>
                  <a:defRPr/>
                </a:pPr>
                <a:r>
                  <a:rPr lang="en-IN"/>
                  <a:t>z2</a:t>
                </a:r>
              </a:p>
            </c:rich>
          </c:tx>
        </c:title>
        <c:numFmt formatCode="General" sourceLinked="1"/>
        <c:tickLblPos val="nextTo"/>
        <c:crossAx val="145549568"/>
        <c:crosses val="autoZero"/>
        <c:auto val="1"/>
        <c:lblAlgn val="ctr"/>
        <c:lblOffset val="100"/>
      </c:catAx>
      <c:valAx>
        <c:axId val="145549568"/>
        <c:scaling>
          <c:orientation val="minMax"/>
        </c:scaling>
        <c:axPos val="l"/>
        <c:majorGridlines/>
        <c:title>
          <c:tx>
            <c:rich>
              <a:bodyPr/>
              <a:lstStyle/>
              <a:p>
                <a:pPr>
                  <a:defRPr/>
                </a:pPr>
                <a:r>
                  <a:rPr lang="en-IN"/>
                  <a:t>AVG SGPA</a:t>
                </a:r>
              </a:p>
            </c:rich>
          </c:tx>
        </c:title>
        <c:numFmt formatCode="0.000" sourceLinked="1"/>
        <c:tickLblPos val="nextTo"/>
        <c:crossAx val="145547648"/>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z3 Line Fit  Plot</a:t>
            </a:r>
          </a:p>
        </c:rich>
      </c:tx>
    </c:title>
    <c:plotArea>
      <c:layout/>
      <c:barChart>
        <c:barDir val="col"/>
        <c:grouping val="clustered"/>
        <c:ser>
          <c:idx val="0"/>
          <c:order val="0"/>
          <c:tx>
            <c:v>AVG SGPA</c:v>
          </c:tx>
          <c:cat>
            <c:numRef>
              <c:f>Dummy!$I$3:$I$122</c:f>
              <c:numCache>
                <c:formatCode>General</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1</c:v>
                </c:pt>
                <c:pt idx="19">
                  <c:v>0</c:v>
                </c:pt>
                <c:pt idx="20">
                  <c:v>1</c:v>
                </c:pt>
                <c:pt idx="21">
                  <c:v>0</c:v>
                </c:pt>
                <c:pt idx="22">
                  <c:v>0</c:v>
                </c:pt>
                <c:pt idx="23">
                  <c:v>1</c:v>
                </c:pt>
                <c:pt idx="24">
                  <c:v>0</c:v>
                </c:pt>
                <c:pt idx="25">
                  <c:v>1</c:v>
                </c:pt>
                <c:pt idx="26">
                  <c:v>0</c:v>
                </c:pt>
                <c:pt idx="27">
                  <c:v>0</c:v>
                </c:pt>
                <c:pt idx="28">
                  <c:v>1</c:v>
                </c:pt>
                <c:pt idx="29">
                  <c:v>0</c:v>
                </c:pt>
                <c:pt idx="30">
                  <c:v>0</c:v>
                </c:pt>
                <c:pt idx="31">
                  <c:v>1</c:v>
                </c:pt>
                <c:pt idx="32">
                  <c:v>1</c:v>
                </c:pt>
                <c:pt idx="33">
                  <c:v>0</c:v>
                </c:pt>
                <c:pt idx="34">
                  <c:v>1</c:v>
                </c:pt>
                <c:pt idx="35">
                  <c:v>1</c:v>
                </c:pt>
                <c:pt idx="36">
                  <c:v>0</c:v>
                </c:pt>
                <c:pt idx="37">
                  <c:v>1</c:v>
                </c:pt>
                <c:pt idx="38">
                  <c:v>0</c:v>
                </c:pt>
                <c:pt idx="39">
                  <c:v>0</c:v>
                </c:pt>
                <c:pt idx="40">
                  <c:v>0</c:v>
                </c:pt>
                <c:pt idx="41">
                  <c:v>0</c:v>
                </c:pt>
                <c:pt idx="42">
                  <c:v>0</c:v>
                </c:pt>
                <c:pt idx="43">
                  <c:v>1</c:v>
                </c:pt>
                <c:pt idx="44">
                  <c:v>1</c:v>
                </c:pt>
                <c:pt idx="45">
                  <c:v>0</c:v>
                </c:pt>
                <c:pt idx="46">
                  <c:v>0</c:v>
                </c:pt>
                <c:pt idx="47">
                  <c:v>0</c:v>
                </c:pt>
                <c:pt idx="48">
                  <c:v>1</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1</c:v>
                </c:pt>
                <c:pt idx="76">
                  <c:v>1</c:v>
                </c:pt>
                <c:pt idx="77">
                  <c:v>1</c:v>
                </c:pt>
                <c:pt idx="78">
                  <c:v>1</c:v>
                </c:pt>
                <c:pt idx="79">
                  <c:v>0</c:v>
                </c:pt>
                <c:pt idx="80">
                  <c:v>0</c:v>
                </c:pt>
                <c:pt idx="81">
                  <c:v>0</c:v>
                </c:pt>
                <c:pt idx="82">
                  <c:v>0</c:v>
                </c:pt>
                <c:pt idx="83">
                  <c:v>1</c:v>
                </c:pt>
                <c:pt idx="84">
                  <c:v>0</c:v>
                </c:pt>
                <c:pt idx="85">
                  <c:v>1</c:v>
                </c:pt>
                <c:pt idx="86">
                  <c:v>0</c:v>
                </c:pt>
                <c:pt idx="87">
                  <c:v>0</c:v>
                </c:pt>
                <c:pt idx="88">
                  <c:v>0</c:v>
                </c:pt>
                <c:pt idx="89">
                  <c:v>0</c:v>
                </c:pt>
                <c:pt idx="90">
                  <c:v>0</c:v>
                </c:pt>
                <c:pt idx="91">
                  <c:v>0</c:v>
                </c:pt>
                <c:pt idx="92">
                  <c:v>0</c:v>
                </c:pt>
                <c:pt idx="93">
                  <c:v>0</c:v>
                </c:pt>
                <c:pt idx="94">
                  <c:v>0</c:v>
                </c:pt>
                <c:pt idx="95">
                  <c:v>1</c:v>
                </c:pt>
                <c:pt idx="96">
                  <c:v>0</c:v>
                </c:pt>
                <c:pt idx="97">
                  <c:v>1</c:v>
                </c:pt>
                <c:pt idx="98">
                  <c:v>0</c:v>
                </c:pt>
                <c:pt idx="99">
                  <c:v>0</c:v>
                </c:pt>
                <c:pt idx="100">
                  <c:v>1</c:v>
                </c:pt>
                <c:pt idx="101">
                  <c:v>1</c:v>
                </c:pt>
                <c:pt idx="102">
                  <c:v>0</c:v>
                </c:pt>
                <c:pt idx="103">
                  <c:v>0</c:v>
                </c:pt>
                <c:pt idx="104">
                  <c:v>0</c:v>
                </c:pt>
                <c:pt idx="105">
                  <c:v>0</c:v>
                </c:pt>
                <c:pt idx="106">
                  <c:v>1</c:v>
                </c:pt>
                <c:pt idx="107">
                  <c:v>1</c:v>
                </c:pt>
                <c:pt idx="108">
                  <c:v>0</c:v>
                </c:pt>
                <c:pt idx="109">
                  <c:v>0</c:v>
                </c:pt>
                <c:pt idx="110">
                  <c:v>0</c:v>
                </c:pt>
                <c:pt idx="111">
                  <c:v>0</c:v>
                </c:pt>
                <c:pt idx="112">
                  <c:v>0</c:v>
                </c:pt>
                <c:pt idx="113">
                  <c:v>0</c:v>
                </c:pt>
                <c:pt idx="114">
                  <c:v>0</c:v>
                </c:pt>
                <c:pt idx="115">
                  <c:v>0</c:v>
                </c:pt>
                <c:pt idx="116">
                  <c:v>0</c:v>
                </c:pt>
                <c:pt idx="117">
                  <c:v>0</c:v>
                </c:pt>
                <c:pt idx="118">
                  <c:v>0</c:v>
                </c:pt>
                <c:pt idx="119">
                  <c:v>0</c:v>
                </c:pt>
              </c:numCache>
            </c:numRef>
          </c:cat>
          <c:val>
            <c:numRef>
              <c:f>Dummy!$D$3:$D$122</c:f>
              <c:numCache>
                <c:formatCode>0.000</c:formatCode>
                <c:ptCount val="120"/>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pt idx="119">
                  <c:v>7.05</c:v>
                </c:pt>
              </c:numCache>
            </c:numRef>
          </c:val>
        </c:ser>
        <c:ser>
          <c:idx val="1"/>
          <c:order val="1"/>
          <c:tx>
            <c:v>Predicted AVG SGPA</c:v>
          </c:tx>
          <c:cat>
            <c:numRef>
              <c:f>Dummy!$I$3:$I$122</c:f>
              <c:numCache>
                <c:formatCode>General</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1</c:v>
                </c:pt>
                <c:pt idx="19">
                  <c:v>0</c:v>
                </c:pt>
                <c:pt idx="20">
                  <c:v>1</c:v>
                </c:pt>
                <c:pt idx="21">
                  <c:v>0</c:v>
                </c:pt>
                <c:pt idx="22">
                  <c:v>0</c:v>
                </c:pt>
                <c:pt idx="23">
                  <c:v>1</c:v>
                </c:pt>
                <c:pt idx="24">
                  <c:v>0</c:v>
                </c:pt>
                <c:pt idx="25">
                  <c:v>1</c:v>
                </c:pt>
                <c:pt idx="26">
                  <c:v>0</c:v>
                </c:pt>
                <c:pt idx="27">
                  <c:v>0</c:v>
                </c:pt>
                <c:pt idx="28">
                  <c:v>1</c:v>
                </c:pt>
                <c:pt idx="29">
                  <c:v>0</c:v>
                </c:pt>
                <c:pt idx="30">
                  <c:v>0</c:v>
                </c:pt>
                <c:pt idx="31">
                  <c:v>1</c:v>
                </c:pt>
                <c:pt idx="32">
                  <c:v>1</c:v>
                </c:pt>
                <c:pt idx="33">
                  <c:v>0</c:v>
                </c:pt>
                <c:pt idx="34">
                  <c:v>1</c:v>
                </c:pt>
                <c:pt idx="35">
                  <c:v>1</c:v>
                </c:pt>
                <c:pt idx="36">
                  <c:v>0</c:v>
                </c:pt>
                <c:pt idx="37">
                  <c:v>1</c:v>
                </c:pt>
                <c:pt idx="38">
                  <c:v>0</c:v>
                </c:pt>
                <c:pt idx="39">
                  <c:v>0</c:v>
                </c:pt>
                <c:pt idx="40">
                  <c:v>0</c:v>
                </c:pt>
                <c:pt idx="41">
                  <c:v>0</c:v>
                </c:pt>
                <c:pt idx="42">
                  <c:v>0</c:v>
                </c:pt>
                <c:pt idx="43">
                  <c:v>1</c:v>
                </c:pt>
                <c:pt idx="44">
                  <c:v>1</c:v>
                </c:pt>
                <c:pt idx="45">
                  <c:v>0</c:v>
                </c:pt>
                <c:pt idx="46">
                  <c:v>0</c:v>
                </c:pt>
                <c:pt idx="47">
                  <c:v>0</c:v>
                </c:pt>
                <c:pt idx="48">
                  <c:v>1</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1</c:v>
                </c:pt>
                <c:pt idx="76">
                  <c:v>1</c:v>
                </c:pt>
                <c:pt idx="77">
                  <c:v>1</c:v>
                </c:pt>
                <c:pt idx="78">
                  <c:v>1</c:v>
                </c:pt>
                <c:pt idx="79">
                  <c:v>0</c:v>
                </c:pt>
                <c:pt idx="80">
                  <c:v>0</c:v>
                </c:pt>
                <c:pt idx="81">
                  <c:v>0</c:v>
                </c:pt>
                <c:pt idx="82">
                  <c:v>0</c:v>
                </c:pt>
                <c:pt idx="83">
                  <c:v>1</c:v>
                </c:pt>
                <c:pt idx="84">
                  <c:v>0</c:v>
                </c:pt>
                <c:pt idx="85">
                  <c:v>1</c:v>
                </c:pt>
                <c:pt idx="86">
                  <c:v>0</c:v>
                </c:pt>
                <c:pt idx="87">
                  <c:v>0</c:v>
                </c:pt>
                <c:pt idx="88">
                  <c:v>0</c:v>
                </c:pt>
                <c:pt idx="89">
                  <c:v>0</c:v>
                </c:pt>
                <c:pt idx="90">
                  <c:v>0</c:v>
                </c:pt>
                <c:pt idx="91">
                  <c:v>0</c:v>
                </c:pt>
                <c:pt idx="92">
                  <c:v>0</c:v>
                </c:pt>
                <c:pt idx="93">
                  <c:v>0</c:v>
                </c:pt>
                <c:pt idx="94">
                  <c:v>0</c:v>
                </c:pt>
                <c:pt idx="95">
                  <c:v>1</c:v>
                </c:pt>
                <c:pt idx="96">
                  <c:v>0</c:v>
                </c:pt>
                <c:pt idx="97">
                  <c:v>1</c:v>
                </c:pt>
                <c:pt idx="98">
                  <c:v>0</c:v>
                </c:pt>
                <c:pt idx="99">
                  <c:v>0</c:v>
                </c:pt>
                <c:pt idx="100">
                  <c:v>1</c:v>
                </c:pt>
                <c:pt idx="101">
                  <c:v>1</c:v>
                </c:pt>
                <c:pt idx="102">
                  <c:v>0</c:v>
                </c:pt>
                <c:pt idx="103">
                  <c:v>0</c:v>
                </c:pt>
                <c:pt idx="104">
                  <c:v>0</c:v>
                </c:pt>
                <c:pt idx="105">
                  <c:v>0</c:v>
                </c:pt>
                <c:pt idx="106">
                  <c:v>1</c:v>
                </c:pt>
                <c:pt idx="107">
                  <c:v>1</c:v>
                </c:pt>
                <c:pt idx="108">
                  <c:v>0</c:v>
                </c:pt>
                <c:pt idx="109">
                  <c:v>0</c:v>
                </c:pt>
                <c:pt idx="110">
                  <c:v>0</c:v>
                </c:pt>
                <c:pt idx="111">
                  <c:v>0</c:v>
                </c:pt>
                <c:pt idx="112">
                  <c:v>0</c:v>
                </c:pt>
                <c:pt idx="113">
                  <c:v>0</c:v>
                </c:pt>
                <c:pt idx="114">
                  <c:v>0</c:v>
                </c:pt>
                <c:pt idx="115">
                  <c:v>0</c:v>
                </c:pt>
                <c:pt idx="116">
                  <c:v>0</c:v>
                </c:pt>
                <c:pt idx="117">
                  <c:v>0</c:v>
                </c:pt>
                <c:pt idx="118">
                  <c:v>0</c:v>
                </c:pt>
                <c:pt idx="119">
                  <c:v>0</c:v>
                </c:pt>
              </c:numCache>
            </c:numRef>
          </c:cat>
          <c:val>
            <c:numRef>
              <c:f>Regression!$B$31:$B$150</c:f>
              <c:numCache>
                <c:formatCode>General</c:formatCode>
                <c:ptCount val="120"/>
                <c:pt idx="0">
                  <c:v>7.4849445579765872</c:v>
                </c:pt>
                <c:pt idx="1">
                  <c:v>8.474836149968505</c:v>
                </c:pt>
                <c:pt idx="2">
                  <c:v>7.4849445579765872</c:v>
                </c:pt>
                <c:pt idx="3">
                  <c:v>7.4412392390341271</c:v>
                </c:pt>
                <c:pt idx="4">
                  <c:v>7.9278491529989887</c:v>
                </c:pt>
                <c:pt idx="5">
                  <c:v>7.9278491529989887</c:v>
                </c:pt>
                <c:pt idx="6">
                  <c:v>7.8841438340565286</c:v>
                </c:pt>
                <c:pt idx="7">
                  <c:v>7.4849445579765872</c:v>
                </c:pt>
                <c:pt idx="8">
                  <c:v>8.0319315549461034</c:v>
                </c:pt>
                <c:pt idx="9">
                  <c:v>7.8841438340565286</c:v>
                </c:pt>
                <c:pt idx="10">
                  <c:v>7.4849445579765872</c:v>
                </c:pt>
                <c:pt idx="11">
                  <c:v>8.7789522975112053</c:v>
                </c:pt>
                <c:pt idx="12">
                  <c:v>7.6736633731001316</c:v>
                </c:pt>
                <c:pt idx="13">
                  <c:v>7.4412392390341271</c:v>
                </c:pt>
                <c:pt idx="14">
                  <c:v>8.2940474392612984</c:v>
                </c:pt>
                <c:pt idx="15">
                  <c:v>7.9278491529989887</c:v>
                </c:pt>
                <c:pt idx="16">
                  <c:v>7.8841438340565286</c:v>
                </c:pt>
                <c:pt idx="17">
                  <c:v>7.4412392390341271</c:v>
                </c:pt>
                <c:pt idx="18">
                  <c:v>8.2940474392612984</c:v>
                </c:pt>
                <c:pt idx="19">
                  <c:v>7.4849445579765872</c:v>
                </c:pt>
                <c:pt idx="20">
                  <c:v>7.851142844238896</c:v>
                </c:pt>
                <c:pt idx="21">
                  <c:v>7.4849445579765872</c:v>
                </c:pt>
                <c:pt idx="22">
                  <c:v>7.4849445579765872</c:v>
                </c:pt>
                <c:pt idx="23">
                  <c:v>8.0398616593624403</c:v>
                </c:pt>
                <c:pt idx="24">
                  <c:v>7.9278491529989887</c:v>
                </c:pt>
                <c:pt idx="25">
                  <c:v>7.851142844238896</c:v>
                </c:pt>
                <c:pt idx="26">
                  <c:v>7.9278491529989887</c:v>
                </c:pt>
                <c:pt idx="27">
                  <c:v>7.9278491529989887</c:v>
                </c:pt>
                <c:pt idx="28">
                  <c:v>8.2940474392612984</c:v>
                </c:pt>
                <c:pt idx="29">
                  <c:v>7.4849445579765872</c:v>
                </c:pt>
                <c:pt idx="30">
                  <c:v>7.4412392390341271</c:v>
                </c:pt>
                <c:pt idx="31">
                  <c:v>7.851142844238896</c:v>
                </c:pt>
                <c:pt idx="32">
                  <c:v>7.851142844238896</c:v>
                </c:pt>
                <c:pt idx="33">
                  <c:v>7.4849445579765872</c:v>
                </c:pt>
                <c:pt idx="34">
                  <c:v>7.851142844238896</c:v>
                </c:pt>
                <c:pt idx="35">
                  <c:v>7.851142844238896</c:v>
                </c:pt>
                <c:pt idx="36">
                  <c:v>8.2206503700696469</c:v>
                </c:pt>
                <c:pt idx="37">
                  <c:v>8.2940474392612984</c:v>
                </c:pt>
                <c:pt idx="38">
                  <c:v>7.4849445579765872</c:v>
                </c:pt>
                <c:pt idx="39">
                  <c:v>7.9278491529989887</c:v>
                </c:pt>
                <c:pt idx="40">
                  <c:v>7.4849445579765872</c:v>
                </c:pt>
                <c:pt idx="41">
                  <c:v>7.4412392390341271</c:v>
                </c:pt>
                <c:pt idx="42">
                  <c:v>7.6736633731001316</c:v>
                </c:pt>
                <c:pt idx="43">
                  <c:v>8.2940474392612984</c:v>
                </c:pt>
                <c:pt idx="44">
                  <c:v>8.2940474392612984</c:v>
                </c:pt>
                <c:pt idx="45">
                  <c:v>7.4849445579765872</c:v>
                </c:pt>
                <c:pt idx="46">
                  <c:v>7.9278491529989887</c:v>
                </c:pt>
                <c:pt idx="47">
                  <c:v>7.4849445579765872</c:v>
                </c:pt>
                <c:pt idx="48">
                  <c:v>8.0398616593624403</c:v>
                </c:pt>
                <c:pt idx="49">
                  <c:v>7.6299580541576715</c:v>
                </c:pt>
                <c:pt idx="50">
                  <c:v>7.4412392390341271</c:v>
                </c:pt>
                <c:pt idx="51">
                  <c:v>7.9278491529989887</c:v>
                </c:pt>
                <c:pt idx="52">
                  <c:v>7.4849445579765872</c:v>
                </c:pt>
                <c:pt idx="53">
                  <c:v>7.9278491529989887</c:v>
                </c:pt>
                <c:pt idx="54">
                  <c:v>8.0319315549461034</c:v>
                </c:pt>
                <c:pt idx="55">
                  <c:v>7.9278491529989887</c:v>
                </c:pt>
                <c:pt idx="56">
                  <c:v>7.9278491529989887</c:v>
                </c:pt>
                <c:pt idx="57">
                  <c:v>7.4849445579765872</c:v>
                </c:pt>
                <c:pt idx="58">
                  <c:v>7.9278491529989887</c:v>
                </c:pt>
                <c:pt idx="59">
                  <c:v>7.4849445579765872</c:v>
                </c:pt>
                <c:pt idx="60">
                  <c:v>7.4849445579765872</c:v>
                </c:pt>
                <c:pt idx="61">
                  <c:v>7.6736633731001316</c:v>
                </c:pt>
                <c:pt idx="62">
                  <c:v>7.9278491529989887</c:v>
                </c:pt>
                <c:pt idx="63">
                  <c:v>7.9278491529989887</c:v>
                </c:pt>
                <c:pt idx="64">
                  <c:v>7.4849445579765872</c:v>
                </c:pt>
                <c:pt idx="65">
                  <c:v>7.8841438340565286</c:v>
                </c:pt>
                <c:pt idx="66">
                  <c:v>8.2940474392612984</c:v>
                </c:pt>
                <c:pt idx="67">
                  <c:v>7.9278491529989887</c:v>
                </c:pt>
                <c:pt idx="68">
                  <c:v>7.4849445579765872</c:v>
                </c:pt>
                <c:pt idx="69">
                  <c:v>7.4412392390341271</c:v>
                </c:pt>
                <c:pt idx="70">
                  <c:v>7.4849445579765872</c:v>
                </c:pt>
                <c:pt idx="71">
                  <c:v>7.4849445579765872</c:v>
                </c:pt>
                <c:pt idx="72">
                  <c:v>7.8841438340565286</c:v>
                </c:pt>
                <c:pt idx="73">
                  <c:v>7.9278491529989887</c:v>
                </c:pt>
                <c:pt idx="74">
                  <c:v>7.4849445579765872</c:v>
                </c:pt>
                <c:pt idx="75">
                  <c:v>8.0398616593624403</c:v>
                </c:pt>
                <c:pt idx="76">
                  <c:v>7.851142844238896</c:v>
                </c:pt>
                <c:pt idx="77">
                  <c:v>7.851142844238896</c:v>
                </c:pt>
                <c:pt idx="78">
                  <c:v>7.851142844238896</c:v>
                </c:pt>
                <c:pt idx="79">
                  <c:v>7.9278491529989887</c:v>
                </c:pt>
                <c:pt idx="80">
                  <c:v>8.3360477024888038</c:v>
                </c:pt>
                <c:pt idx="81">
                  <c:v>7.4412392390341271</c:v>
                </c:pt>
                <c:pt idx="82">
                  <c:v>7.4412392390341271</c:v>
                </c:pt>
                <c:pt idx="83">
                  <c:v>7.851142844238896</c:v>
                </c:pt>
                <c:pt idx="84">
                  <c:v>7.8841438340565286</c:v>
                </c:pt>
                <c:pt idx="85">
                  <c:v>7.851142844238896</c:v>
                </c:pt>
                <c:pt idx="86">
                  <c:v>7.8841438340565286</c:v>
                </c:pt>
                <c:pt idx="87">
                  <c:v>7.4849445579765872</c:v>
                </c:pt>
                <c:pt idx="88">
                  <c:v>8.2206503700696469</c:v>
                </c:pt>
                <c:pt idx="89">
                  <c:v>7.9278491529989887</c:v>
                </c:pt>
                <c:pt idx="90">
                  <c:v>7.6299580541576715</c:v>
                </c:pt>
                <c:pt idx="91">
                  <c:v>7.4849445579765872</c:v>
                </c:pt>
                <c:pt idx="92">
                  <c:v>7.4849445579765872</c:v>
                </c:pt>
                <c:pt idx="93">
                  <c:v>9.3943526594712328</c:v>
                </c:pt>
                <c:pt idx="94">
                  <c:v>7.4412392390341271</c:v>
                </c:pt>
                <c:pt idx="95">
                  <c:v>7.851142844238896</c:v>
                </c:pt>
                <c:pt idx="96">
                  <c:v>7.4849445579765872</c:v>
                </c:pt>
                <c:pt idx="97">
                  <c:v>7.851142844238896</c:v>
                </c:pt>
                <c:pt idx="98">
                  <c:v>7.9278491529989887</c:v>
                </c:pt>
                <c:pt idx="99">
                  <c:v>7.9278491529989887</c:v>
                </c:pt>
                <c:pt idx="100">
                  <c:v>7.851142844238896</c:v>
                </c:pt>
                <c:pt idx="101">
                  <c:v>7.851142844238896</c:v>
                </c:pt>
                <c:pt idx="102">
                  <c:v>7.4849445579765872</c:v>
                </c:pt>
                <c:pt idx="103">
                  <c:v>7.8841438340565286</c:v>
                </c:pt>
                <c:pt idx="104">
                  <c:v>9.3506473405287736</c:v>
                </c:pt>
                <c:pt idx="105">
                  <c:v>7.6299580541576715</c:v>
                </c:pt>
                <c:pt idx="106">
                  <c:v>7.851142844238896</c:v>
                </c:pt>
                <c:pt idx="107">
                  <c:v>8.2940474392612984</c:v>
                </c:pt>
                <c:pt idx="108">
                  <c:v>7.4412392390341271</c:v>
                </c:pt>
                <c:pt idx="109">
                  <c:v>7.4849445579765872</c:v>
                </c:pt>
                <c:pt idx="110">
                  <c:v>7.4849445579765872</c:v>
                </c:pt>
                <c:pt idx="111">
                  <c:v>7.4412392390341271</c:v>
                </c:pt>
                <c:pt idx="112">
                  <c:v>7.4412392390341271</c:v>
                </c:pt>
                <c:pt idx="113">
                  <c:v>7.4412392390341271</c:v>
                </c:pt>
                <c:pt idx="114">
                  <c:v>7.9278491529989887</c:v>
                </c:pt>
                <c:pt idx="115">
                  <c:v>7.4849445579765872</c:v>
                </c:pt>
                <c:pt idx="116">
                  <c:v>7.4849445579765872</c:v>
                </c:pt>
                <c:pt idx="117">
                  <c:v>7.4412392390341271</c:v>
                </c:pt>
                <c:pt idx="118">
                  <c:v>7.4849445579765872</c:v>
                </c:pt>
                <c:pt idx="119">
                  <c:v>7.4412392390341271</c:v>
                </c:pt>
              </c:numCache>
            </c:numRef>
          </c:val>
        </c:ser>
        <c:axId val="145574912"/>
        <c:axId val="145609856"/>
      </c:barChart>
      <c:catAx>
        <c:axId val="145574912"/>
        <c:scaling>
          <c:orientation val="minMax"/>
        </c:scaling>
        <c:axPos val="b"/>
        <c:title>
          <c:tx>
            <c:rich>
              <a:bodyPr/>
              <a:lstStyle/>
              <a:p>
                <a:pPr>
                  <a:defRPr/>
                </a:pPr>
                <a:r>
                  <a:rPr lang="en-IN"/>
                  <a:t>z3</a:t>
                </a:r>
              </a:p>
            </c:rich>
          </c:tx>
        </c:title>
        <c:numFmt formatCode="General" sourceLinked="1"/>
        <c:tickLblPos val="nextTo"/>
        <c:crossAx val="145609856"/>
        <c:crosses val="autoZero"/>
        <c:auto val="1"/>
        <c:lblAlgn val="ctr"/>
        <c:lblOffset val="100"/>
      </c:catAx>
      <c:valAx>
        <c:axId val="145609856"/>
        <c:scaling>
          <c:orientation val="minMax"/>
        </c:scaling>
        <c:axPos val="l"/>
        <c:majorGridlines/>
        <c:title>
          <c:tx>
            <c:rich>
              <a:bodyPr/>
              <a:lstStyle/>
              <a:p>
                <a:pPr>
                  <a:defRPr/>
                </a:pPr>
                <a:r>
                  <a:rPr lang="en-IN"/>
                  <a:t>AVG SGPA</a:t>
                </a:r>
              </a:p>
            </c:rich>
          </c:tx>
        </c:title>
        <c:numFmt formatCode="0.000" sourceLinked="1"/>
        <c:tickLblPos val="nextTo"/>
        <c:crossAx val="145574912"/>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z4 Line Fit  Plot</a:t>
            </a:r>
          </a:p>
        </c:rich>
      </c:tx>
    </c:title>
    <c:plotArea>
      <c:layout/>
      <c:barChart>
        <c:barDir val="col"/>
        <c:grouping val="clustered"/>
        <c:ser>
          <c:idx val="0"/>
          <c:order val="0"/>
          <c:tx>
            <c:v>AVG SGPA</c:v>
          </c:tx>
          <c:cat>
            <c:numRef>
              <c:f>Dummy!$J$3:$J$122</c:f>
              <c:numCache>
                <c:formatCode>General</c:formatCode>
                <c:ptCount val="120"/>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1</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cat>
          <c:val>
            <c:numRef>
              <c:f>Dummy!$D$3:$D$122</c:f>
              <c:numCache>
                <c:formatCode>0.000</c:formatCode>
                <c:ptCount val="120"/>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pt idx="119">
                  <c:v>7.05</c:v>
                </c:pt>
              </c:numCache>
            </c:numRef>
          </c:val>
        </c:ser>
        <c:ser>
          <c:idx val="1"/>
          <c:order val="1"/>
          <c:tx>
            <c:v>Predicted AVG SGPA</c:v>
          </c:tx>
          <c:cat>
            <c:numRef>
              <c:f>Dummy!$J$3:$J$122</c:f>
              <c:numCache>
                <c:formatCode>General</c:formatCode>
                <c:ptCount val="120"/>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1</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cat>
          <c:val>
            <c:numRef>
              <c:f>Regression!$B$31:$B$150</c:f>
              <c:numCache>
                <c:formatCode>General</c:formatCode>
                <c:ptCount val="120"/>
                <c:pt idx="0">
                  <c:v>7.4849445579765872</c:v>
                </c:pt>
                <c:pt idx="1">
                  <c:v>8.474836149968505</c:v>
                </c:pt>
                <c:pt idx="2">
                  <c:v>7.4849445579765872</c:v>
                </c:pt>
                <c:pt idx="3">
                  <c:v>7.4412392390341271</c:v>
                </c:pt>
                <c:pt idx="4">
                  <c:v>7.9278491529989887</c:v>
                </c:pt>
                <c:pt idx="5">
                  <c:v>7.9278491529989887</c:v>
                </c:pt>
                <c:pt idx="6">
                  <c:v>7.8841438340565286</c:v>
                </c:pt>
                <c:pt idx="7">
                  <c:v>7.4849445579765872</c:v>
                </c:pt>
                <c:pt idx="8">
                  <c:v>8.0319315549461034</c:v>
                </c:pt>
                <c:pt idx="9">
                  <c:v>7.8841438340565286</c:v>
                </c:pt>
                <c:pt idx="10">
                  <c:v>7.4849445579765872</c:v>
                </c:pt>
                <c:pt idx="11">
                  <c:v>8.7789522975112053</c:v>
                </c:pt>
                <c:pt idx="12">
                  <c:v>7.6736633731001316</c:v>
                </c:pt>
                <c:pt idx="13">
                  <c:v>7.4412392390341271</c:v>
                </c:pt>
                <c:pt idx="14">
                  <c:v>8.2940474392612984</c:v>
                </c:pt>
                <c:pt idx="15">
                  <c:v>7.9278491529989887</c:v>
                </c:pt>
                <c:pt idx="16">
                  <c:v>7.8841438340565286</c:v>
                </c:pt>
                <c:pt idx="17">
                  <c:v>7.4412392390341271</c:v>
                </c:pt>
                <c:pt idx="18">
                  <c:v>8.2940474392612984</c:v>
                </c:pt>
                <c:pt idx="19">
                  <c:v>7.4849445579765872</c:v>
                </c:pt>
                <c:pt idx="20">
                  <c:v>7.851142844238896</c:v>
                </c:pt>
                <c:pt idx="21">
                  <c:v>7.4849445579765872</c:v>
                </c:pt>
                <c:pt idx="22">
                  <c:v>7.4849445579765872</c:v>
                </c:pt>
                <c:pt idx="23">
                  <c:v>8.0398616593624403</c:v>
                </c:pt>
                <c:pt idx="24">
                  <c:v>7.9278491529989887</c:v>
                </c:pt>
                <c:pt idx="25">
                  <c:v>7.851142844238896</c:v>
                </c:pt>
                <c:pt idx="26">
                  <c:v>7.9278491529989887</c:v>
                </c:pt>
                <c:pt idx="27">
                  <c:v>7.9278491529989887</c:v>
                </c:pt>
                <c:pt idx="28">
                  <c:v>8.2940474392612984</c:v>
                </c:pt>
                <c:pt idx="29">
                  <c:v>7.4849445579765872</c:v>
                </c:pt>
                <c:pt idx="30">
                  <c:v>7.4412392390341271</c:v>
                </c:pt>
                <c:pt idx="31">
                  <c:v>7.851142844238896</c:v>
                </c:pt>
                <c:pt idx="32">
                  <c:v>7.851142844238896</c:v>
                </c:pt>
                <c:pt idx="33">
                  <c:v>7.4849445579765872</c:v>
                </c:pt>
                <c:pt idx="34">
                  <c:v>7.851142844238896</c:v>
                </c:pt>
                <c:pt idx="35">
                  <c:v>7.851142844238896</c:v>
                </c:pt>
                <c:pt idx="36">
                  <c:v>8.2206503700696469</c:v>
                </c:pt>
                <c:pt idx="37">
                  <c:v>8.2940474392612984</c:v>
                </c:pt>
                <c:pt idx="38">
                  <c:v>7.4849445579765872</c:v>
                </c:pt>
                <c:pt idx="39">
                  <c:v>7.9278491529989887</c:v>
                </c:pt>
                <c:pt idx="40">
                  <c:v>7.4849445579765872</c:v>
                </c:pt>
                <c:pt idx="41">
                  <c:v>7.4412392390341271</c:v>
                </c:pt>
                <c:pt idx="42">
                  <c:v>7.6736633731001316</c:v>
                </c:pt>
                <c:pt idx="43">
                  <c:v>8.2940474392612984</c:v>
                </c:pt>
                <c:pt idx="44">
                  <c:v>8.2940474392612984</c:v>
                </c:pt>
                <c:pt idx="45">
                  <c:v>7.4849445579765872</c:v>
                </c:pt>
                <c:pt idx="46">
                  <c:v>7.9278491529989887</c:v>
                </c:pt>
                <c:pt idx="47">
                  <c:v>7.4849445579765872</c:v>
                </c:pt>
                <c:pt idx="48">
                  <c:v>8.0398616593624403</c:v>
                </c:pt>
                <c:pt idx="49">
                  <c:v>7.6299580541576715</c:v>
                </c:pt>
                <c:pt idx="50">
                  <c:v>7.4412392390341271</c:v>
                </c:pt>
                <c:pt idx="51">
                  <c:v>7.9278491529989887</c:v>
                </c:pt>
                <c:pt idx="52">
                  <c:v>7.4849445579765872</c:v>
                </c:pt>
                <c:pt idx="53">
                  <c:v>7.9278491529989887</c:v>
                </c:pt>
                <c:pt idx="54">
                  <c:v>8.0319315549461034</c:v>
                </c:pt>
                <c:pt idx="55">
                  <c:v>7.9278491529989887</c:v>
                </c:pt>
                <c:pt idx="56">
                  <c:v>7.9278491529989887</c:v>
                </c:pt>
                <c:pt idx="57">
                  <c:v>7.4849445579765872</c:v>
                </c:pt>
                <c:pt idx="58">
                  <c:v>7.9278491529989887</c:v>
                </c:pt>
                <c:pt idx="59">
                  <c:v>7.4849445579765872</c:v>
                </c:pt>
                <c:pt idx="60">
                  <c:v>7.4849445579765872</c:v>
                </c:pt>
                <c:pt idx="61">
                  <c:v>7.6736633731001316</c:v>
                </c:pt>
                <c:pt idx="62">
                  <c:v>7.9278491529989887</c:v>
                </c:pt>
                <c:pt idx="63">
                  <c:v>7.9278491529989887</c:v>
                </c:pt>
                <c:pt idx="64">
                  <c:v>7.4849445579765872</c:v>
                </c:pt>
                <c:pt idx="65">
                  <c:v>7.8841438340565286</c:v>
                </c:pt>
                <c:pt idx="66">
                  <c:v>8.2940474392612984</c:v>
                </c:pt>
                <c:pt idx="67">
                  <c:v>7.9278491529989887</c:v>
                </c:pt>
                <c:pt idx="68">
                  <c:v>7.4849445579765872</c:v>
                </c:pt>
                <c:pt idx="69">
                  <c:v>7.4412392390341271</c:v>
                </c:pt>
                <c:pt idx="70">
                  <c:v>7.4849445579765872</c:v>
                </c:pt>
                <c:pt idx="71">
                  <c:v>7.4849445579765872</c:v>
                </c:pt>
                <c:pt idx="72">
                  <c:v>7.8841438340565286</c:v>
                </c:pt>
                <c:pt idx="73">
                  <c:v>7.9278491529989887</c:v>
                </c:pt>
                <c:pt idx="74">
                  <c:v>7.4849445579765872</c:v>
                </c:pt>
                <c:pt idx="75">
                  <c:v>8.0398616593624403</c:v>
                </c:pt>
                <c:pt idx="76">
                  <c:v>7.851142844238896</c:v>
                </c:pt>
                <c:pt idx="77">
                  <c:v>7.851142844238896</c:v>
                </c:pt>
                <c:pt idx="78">
                  <c:v>7.851142844238896</c:v>
                </c:pt>
                <c:pt idx="79">
                  <c:v>7.9278491529989887</c:v>
                </c:pt>
                <c:pt idx="80">
                  <c:v>8.3360477024888038</c:v>
                </c:pt>
                <c:pt idx="81">
                  <c:v>7.4412392390341271</c:v>
                </c:pt>
                <c:pt idx="82">
                  <c:v>7.4412392390341271</c:v>
                </c:pt>
                <c:pt idx="83">
                  <c:v>7.851142844238896</c:v>
                </c:pt>
                <c:pt idx="84">
                  <c:v>7.8841438340565286</c:v>
                </c:pt>
                <c:pt idx="85">
                  <c:v>7.851142844238896</c:v>
                </c:pt>
                <c:pt idx="86">
                  <c:v>7.8841438340565286</c:v>
                </c:pt>
                <c:pt idx="87">
                  <c:v>7.4849445579765872</c:v>
                </c:pt>
                <c:pt idx="88">
                  <c:v>8.2206503700696469</c:v>
                </c:pt>
                <c:pt idx="89">
                  <c:v>7.9278491529989887</c:v>
                </c:pt>
                <c:pt idx="90">
                  <c:v>7.6299580541576715</c:v>
                </c:pt>
                <c:pt idx="91">
                  <c:v>7.4849445579765872</c:v>
                </c:pt>
                <c:pt idx="92">
                  <c:v>7.4849445579765872</c:v>
                </c:pt>
                <c:pt idx="93">
                  <c:v>9.3943526594712328</c:v>
                </c:pt>
                <c:pt idx="94">
                  <c:v>7.4412392390341271</c:v>
                </c:pt>
                <c:pt idx="95">
                  <c:v>7.851142844238896</c:v>
                </c:pt>
                <c:pt idx="96">
                  <c:v>7.4849445579765872</c:v>
                </c:pt>
                <c:pt idx="97">
                  <c:v>7.851142844238896</c:v>
                </c:pt>
                <c:pt idx="98">
                  <c:v>7.9278491529989887</c:v>
                </c:pt>
                <c:pt idx="99">
                  <c:v>7.9278491529989887</c:v>
                </c:pt>
                <c:pt idx="100">
                  <c:v>7.851142844238896</c:v>
                </c:pt>
                <c:pt idx="101">
                  <c:v>7.851142844238896</c:v>
                </c:pt>
                <c:pt idx="102">
                  <c:v>7.4849445579765872</c:v>
                </c:pt>
                <c:pt idx="103">
                  <c:v>7.8841438340565286</c:v>
                </c:pt>
                <c:pt idx="104">
                  <c:v>9.3506473405287736</c:v>
                </c:pt>
                <c:pt idx="105">
                  <c:v>7.6299580541576715</c:v>
                </c:pt>
                <c:pt idx="106">
                  <c:v>7.851142844238896</c:v>
                </c:pt>
                <c:pt idx="107">
                  <c:v>8.2940474392612984</c:v>
                </c:pt>
                <c:pt idx="108">
                  <c:v>7.4412392390341271</c:v>
                </c:pt>
                <c:pt idx="109">
                  <c:v>7.4849445579765872</c:v>
                </c:pt>
                <c:pt idx="110">
                  <c:v>7.4849445579765872</c:v>
                </c:pt>
                <c:pt idx="111">
                  <c:v>7.4412392390341271</c:v>
                </c:pt>
                <c:pt idx="112">
                  <c:v>7.4412392390341271</c:v>
                </c:pt>
                <c:pt idx="113">
                  <c:v>7.4412392390341271</c:v>
                </c:pt>
                <c:pt idx="114">
                  <c:v>7.9278491529989887</c:v>
                </c:pt>
                <c:pt idx="115">
                  <c:v>7.4849445579765872</c:v>
                </c:pt>
                <c:pt idx="116">
                  <c:v>7.4849445579765872</c:v>
                </c:pt>
                <c:pt idx="117">
                  <c:v>7.4412392390341271</c:v>
                </c:pt>
                <c:pt idx="118">
                  <c:v>7.4849445579765872</c:v>
                </c:pt>
                <c:pt idx="119">
                  <c:v>7.4412392390341271</c:v>
                </c:pt>
              </c:numCache>
            </c:numRef>
          </c:val>
        </c:ser>
        <c:axId val="145631104"/>
        <c:axId val="145645568"/>
      </c:barChart>
      <c:catAx>
        <c:axId val="145631104"/>
        <c:scaling>
          <c:orientation val="minMax"/>
        </c:scaling>
        <c:axPos val="b"/>
        <c:title>
          <c:tx>
            <c:rich>
              <a:bodyPr/>
              <a:lstStyle/>
              <a:p>
                <a:pPr>
                  <a:defRPr/>
                </a:pPr>
                <a:r>
                  <a:rPr lang="en-IN"/>
                  <a:t>z4</a:t>
                </a:r>
              </a:p>
            </c:rich>
          </c:tx>
        </c:title>
        <c:numFmt formatCode="General" sourceLinked="1"/>
        <c:tickLblPos val="nextTo"/>
        <c:crossAx val="145645568"/>
        <c:crosses val="autoZero"/>
        <c:auto val="1"/>
        <c:lblAlgn val="ctr"/>
        <c:lblOffset val="100"/>
      </c:catAx>
      <c:valAx>
        <c:axId val="145645568"/>
        <c:scaling>
          <c:orientation val="minMax"/>
        </c:scaling>
        <c:axPos val="l"/>
        <c:majorGridlines/>
        <c:title>
          <c:tx>
            <c:rich>
              <a:bodyPr/>
              <a:lstStyle/>
              <a:p>
                <a:pPr>
                  <a:defRPr/>
                </a:pPr>
                <a:r>
                  <a:rPr lang="en-IN"/>
                  <a:t>AVG SGPA</a:t>
                </a:r>
              </a:p>
            </c:rich>
          </c:tx>
        </c:title>
        <c:numFmt formatCode="0.000" sourceLinked="1"/>
        <c:tickLblPos val="nextTo"/>
        <c:crossAx val="145631104"/>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w1 Line Fit  Plot</a:t>
            </a:r>
          </a:p>
        </c:rich>
      </c:tx>
    </c:title>
    <c:plotArea>
      <c:layout/>
      <c:barChart>
        <c:barDir val="col"/>
        <c:grouping val="clustered"/>
        <c:ser>
          <c:idx val="0"/>
          <c:order val="0"/>
          <c:tx>
            <c:v>AVG SGPA</c:v>
          </c:tx>
          <c:cat>
            <c:numRef>
              <c:f>Dummy!$K$3:$K$122</c:f>
              <c:numCache>
                <c:formatCode>General</c:formatCode>
                <c:ptCount val="120"/>
                <c:pt idx="0">
                  <c:v>0</c:v>
                </c:pt>
                <c:pt idx="1">
                  <c:v>1</c:v>
                </c:pt>
                <c:pt idx="2">
                  <c:v>0</c:v>
                </c:pt>
                <c:pt idx="3">
                  <c:v>0</c:v>
                </c:pt>
                <c:pt idx="4">
                  <c:v>1</c:v>
                </c:pt>
                <c:pt idx="5">
                  <c:v>1</c:v>
                </c:pt>
                <c:pt idx="6">
                  <c:v>1</c:v>
                </c:pt>
                <c:pt idx="7">
                  <c:v>0</c:v>
                </c:pt>
                <c:pt idx="8">
                  <c:v>0</c:v>
                </c:pt>
                <c:pt idx="9">
                  <c:v>1</c:v>
                </c:pt>
                <c:pt idx="10">
                  <c:v>0</c:v>
                </c:pt>
                <c:pt idx="11">
                  <c:v>1</c:v>
                </c:pt>
                <c:pt idx="12">
                  <c:v>0</c:v>
                </c:pt>
                <c:pt idx="13">
                  <c:v>0</c:v>
                </c:pt>
                <c:pt idx="14">
                  <c:v>1</c:v>
                </c:pt>
                <c:pt idx="15">
                  <c:v>1</c:v>
                </c:pt>
                <c:pt idx="16">
                  <c:v>1</c:v>
                </c:pt>
                <c:pt idx="17">
                  <c:v>0</c:v>
                </c:pt>
                <c:pt idx="18">
                  <c:v>1</c:v>
                </c:pt>
                <c:pt idx="19">
                  <c:v>0</c:v>
                </c:pt>
                <c:pt idx="20">
                  <c:v>0</c:v>
                </c:pt>
                <c:pt idx="21">
                  <c:v>0</c:v>
                </c:pt>
                <c:pt idx="22">
                  <c:v>0</c:v>
                </c:pt>
                <c:pt idx="23">
                  <c:v>0</c:v>
                </c:pt>
                <c:pt idx="24">
                  <c:v>1</c:v>
                </c:pt>
                <c:pt idx="25">
                  <c:v>0</c:v>
                </c:pt>
                <c:pt idx="26">
                  <c:v>1</c:v>
                </c:pt>
                <c:pt idx="27">
                  <c:v>1</c:v>
                </c:pt>
                <c:pt idx="28">
                  <c:v>1</c:v>
                </c:pt>
                <c:pt idx="29">
                  <c:v>0</c:v>
                </c:pt>
                <c:pt idx="30">
                  <c:v>0</c:v>
                </c:pt>
                <c:pt idx="31">
                  <c:v>0</c:v>
                </c:pt>
                <c:pt idx="32">
                  <c:v>0</c:v>
                </c:pt>
                <c:pt idx="33">
                  <c:v>0</c:v>
                </c:pt>
                <c:pt idx="34">
                  <c:v>0</c:v>
                </c:pt>
                <c:pt idx="35">
                  <c:v>0</c:v>
                </c:pt>
                <c:pt idx="36">
                  <c:v>0</c:v>
                </c:pt>
                <c:pt idx="37">
                  <c:v>1</c:v>
                </c:pt>
                <c:pt idx="38">
                  <c:v>0</c:v>
                </c:pt>
                <c:pt idx="39">
                  <c:v>1</c:v>
                </c:pt>
                <c:pt idx="40">
                  <c:v>0</c:v>
                </c:pt>
                <c:pt idx="41">
                  <c:v>0</c:v>
                </c:pt>
                <c:pt idx="42">
                  <c:v>0</c:v>
                </c:pt>
                <c:pt idx="43">
                  <c:v>1</c:v>
                </c:pt>
                <c:pt idx="44">
                  <c:v>1</c:v>
                </c:pt>
                <c:pt idx="45">
                  <c:v>0</c:v>
                </c:pt>
                <c:pt idx="46">
                  <c:v>1</c:v>
                </c:pt>
                <c:pt idx="47">
                  <c:v>0</c:v>
                </c:pt>
                <c:pt idx="48">
                  <c:v>0</c:v>
                </c:pt>
                <c:pt idx="49">
                  <c:v>0</c:v>
                </c:pt>
                <c:pt idx="50">
                  <c:v>0</c:v>
                </c:pt>
                <c:pt idx="51">
                  <c:v>1</c:v>
                </c:pt>
                <c:pt idx="52">
                  <c:v>0</c:v>
                </c:pt>
                <c:pt idx="53">
                  <c:v>1</c:v>
                </c:pt>
                <c:pt idx="54">
                  <c:v>0</c:v>
                </c:pt>
                <c:pt idx="55">
                  <c:v>1</c:v>
                </c:pt>
                <c:pt idx="56">
                  <c:v>1</c:v>
                </c:pt>
                <c:pt idx="57">
                  <c:v>0</c:v>
                </c:pt>
                <c:pt idx="58">
                  <c:v>1</c:v>
                </c:pt>
                <c:pt idx="59">
                  <c:v>0</c:v>
                </c:pt>
                <c:pt idx="60">
                  <c:v>0</c:v>
                </c:pt>
                <c:pt idx="61">
                  <c:v>0</c:v>
                </c:pt>
                <c:pt idx="62">
                  <c:v>1</c:v>
                </c:pt>
                <c:pt idx="63">
                  <c:v>1</c:v>
                </c:pt>
                <c:pt idx="64">
                  <c:v>0</c:v>
                </c:pt>
                <c:pt idx="65">
                  <c:v>1</c:v>
                </c:pt>
                <c:pt idx="66">
                  <c:v>1</c:v>
                </c:pt>
                <c:pt idx="67">
                  <c:v>1</c:v>
                </c:pt>
                <c:pt idx="68">
                  <c:v>0</c:v>
                </c:pt>
                <c:pt idx="69">
                  <c:v>0</c:v>
                </c:pt>
                <c:pt idx="70">
                  <c:v>0</c:v>
                </c:pt>
                <c:pt idx="71">
                  <c:v>0</c:v>
                </c:pt>
                <c:pt idx="72">
                  <c:v>1</c:v>
                </c:pt>
                <c:pt idx="73">
                  <c:v>1</c:v>
                </c:pt>
                <c:pt idx="74">
                  <c:v>0</c:v>
                </c:pt>
                <c:pt idx="75">
                  <c:v>0</c:v>
                </c:pt>
                <c:pt idx="76">
                  <c:v>0</c:v>
                </c:pt>
                <c:pt idx="77">
                  <c:v>0</c:v>
                </c:pt>
                <c:pt idx="78">
                  <c:v>0</c:v>
                </c:pt>
                <c:pt idx="79">
                  <c:v>1</c:v>
                </c:pt>
                <c:pt idx="80">
                  <c:v>0</c:v>
                </c:pt>
                <c:pt idx="81">
                  <c:v>0</c:v>
                </c:pt>
                <c:pt idx="82">
                  <c:v>0</c:v>
                </c:pt>
                <c:pt idx="83">
                  <c:v>0</c:v>
                </c:pt>
                <c:pt idx="84">
                  <c:v>1</c:v>
                </c:pt>
                <c:pt idx="85">
                  <c:v>0</c:v>
                </c:pt>
                <c:pt idx="86">
                  <c:v>1</c:v>
                </c:pt>
                <c:pt idx="87">
                  <c:v>0</c:v>
                </c:pt>
                <c:pt idx="88">
                  <c:v>0</c:v>
                </c:pt>
                <c:pt idx="89">
                  <c:v>1</c:v>
                </c:pt>
                <c:pt idx="90">
                  <c:v>0</c:v>
                </c:pt>
                <c:pt idx="91">
                  <c:v>0</c:v>
                </c:pt>
                <c:pt idx="92">
                  <c:v>0</c:v>
                </c:pt>
                <c:pt idx="93">
                  <c:v>0</c:v>
                </c:pt>
                <c:pt idx="94">
                  <c:v>0</c:v>
                </c:pt>
                <c:pt idx="95">
                  <c:v>0</c:v>
                </c:pt>
                <c:pt idx="96">
                  <c:v>0</c:v>
                </c:pt>
                <c:pt idx="97">
                  <c:v>0</c:v>
                </c:pt>
                <c:pt idx="98">
                  <c:v>1</c:v>
                </c:pt>
                <c:pt idx="99">
                  <c:v>1</c:v>
                </c:pt>
                <c:pt idx="100">
                  <c:v>0</c:v>
                </c:pt>
                <c:pt idx="101">
                  <c:v>0</c:v>
                </c:pt>
                <c:pt idx="102">
                  <c:v>0</c:v>
                </c:pt>
                <c:pt idx="103">
                  <c:v>1</c:v>
                </c:pt>
                <c:pt idx="104">
                  <c:v>0</c:v>
                </c:pt>
                <c:pt idx="105">
                  <c:v>0</c:v>
                </c:pt>
                <c:pt idx="106">
                  <c:v>0</c:v>
                </c:pt>
                <c:pt idx="107">
                  <c:v>1</c:v>
                </c:pt>
                <c:pt idx="108">
                  <c:v>0</c:v>
                </c:pt>
                <c:pt idx="109">
                  <c:v>0</c:v>
                </c:pt>
                <c:pt idx="110">
                  <c:v>0</c:v>
                </c:pt>
                <c:pt idx="111">
                  <c:v>0</c:v>
                </c:pt>
                <c:pt idx="112">
                  <c:v>0</c:v>
                </c:pt>
                <c:pt idx="113">
                  <c:v>0</c:v>
                </c:pt>
                <c:pt idx="114">
                  <c:v>1</c:v>
                </c:pt>
                <c:pt idx="115">
                  <c:v>0</c:v>
                </c:pt>
                <c:pt idx="116">
                  <c:v>0</c:v>
                </c:pt>
                <c:pt idx="117">
                  <c:v>0</c:v>
                </c:pt>
                <c:pt idx="118">
                  <c:v>0</c:v>
                </c:pt>
                <c:pt idx="119">
                  <c:v>0</c:v>
                </c:pt>
              </c:numCache>
            </c:numRef>
          </c:cat>
          <c:val>
            <c:numRef>
              <c:f>Dummy!$D$3:$D$122</c:f>
              <c:numCache>
                <c:formatCode>0.000</c:formatCode>
                <c:ptCount val="120"/>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pt idx="119">
                  <c:v>7.05</c:v>
                </c:pt>
              </c:numCache>
            </c:numRef>
          </c:val>
        </c:ser>
        <c:ser>
          <c:idx val="1"/>
          <c:order val="1"/>
          <c:tx>
            <c:v>Predicted AVG SGPA</c:v>
          </c:tx>
          <c:cat>
            <c:numRef>
              <c:f>Dummy!$K$3:$K$122</c:f>
              <c:numCache>
                <c:formatCode>General</c:formatCode>
                <c:ptCount val="120"/>
                <c:pt idx="0">
                  <c:v>0</c:v>
                </c:pt>
                <c:pt idx="1">
                  <c:v>1</c:v>
                </c:pt>
                <c:pt idx="2">
                  <c:v>0</c:v>
                </c:pt>
                <c:pt idx="3">
                  <c:v>0</c:v>
                </c:pt>
                <c:pt idx="4">
                  <c:v>1</c:v>
                </c:pt>
                <c:pt idx="5">
                  <c:v>1</c:v>
                </c:pt>
                <c:pt idx="6">
                  <c:v>1</c:v>
                </c:pt>
                <c:pt idx="7">
                  <c:v>0</c:v>
                </c:pt>
                <c:pt idx="8">
                  <c:v>0</c:v>
                </c:pt>
                <c:pt idx="9">
                  <c:v>1</c:v>
                </c:pt>
                <c:pt idx="10">
                  <c:v>0</c:v>
                </c:pt>
                <c:pt idx="11">
                  <c:v>1</c:v>
                </c:pt>
                <c:pt idx="12">
                  <c:v>0</c:v>
                </c:pt>
                <c:pt idx="13">
                  <c:v>0</c:v>
                </c:pt>
                <c:pt idx="14">
                  <c:v>1</c:v>
                </c:pt>
                <c:pt idx="15">
                  <c:v>1</c:v>
                </c:pt>
                <c:pt idx="16">
                  <c:v>1</c:v>
                </c:pt>
                <c:pt idx="17">
                  <c:v>0</c:v>
                </c:pt>
                <c:pt idx="18">
                  <c:v>1</c:v>
                </c:pt>
                <c:pt idx="19">
                  <c:v>0</c:v>
                </c:pt>
                <c:pt idx="20">
                  <c:v>0</c:v>
                </c:pt>
                <c:pt idx="21">
                  <c:v>0</c:v>
                </c:pt>
                <c:pt idx="22">
                  <c:v>0</c:v>
                </c:pt>
                <c:pt idx="23">
                  <c:v>0</c:v>
                </c:pt>
                <c:pt idx="24">
                  <c:v>1</c:v>
                </c:pt>
                <c:pt idx="25">
                  <c:v>0</c:v>
                </c:pt>
                <c:pt idx="26">
                  <c:v>1</c:v>
                </c:pt>
                <c:pt idx="27">
                  <c:v>1</c:v>
                </c:pt>
                <c:pt idx="28">
                  <c:v>1</c:v>
                </c:pt>
                <c:pt idx="29">
                  <c:v>0</c:v>
                </c:pt>
                <c:pt idx="30">
                  <c:v>0</c:v>
                </c:pt>
                <c:pt idx="31">
                  <c:v>0</c:v>
                </c:pt>
                <c:pt idx="32">
                  <c:v>0</c:v>
                </c:pt>
                <c:pt idx="33">
                  <c:v>0</c:v>
                </c:pt>
                <c:pt idx="34">
                  <c:v>0</c:v>
                </c:pt>
                <c:pt idx="35">
                  <c:v>0</c:v>
                </c:pt>
                <c:pt idx="36">
                  <c:v>0</c:v>
                </c:pt>
                <c:pt idx="37">
                  <c:v>1</c:v>
                </c:pt>
                <c:pt idx="38">
                  <c:v>0</c:v>
                </c:pt>
                <c:pt idx="39">
                  <c:v>1</c:v>
                </c:pt>
                <c:pt idx="40">
                  <c:v>0</c:v>
                </c:pt>
                <c:pt idx="41">
                  <c:v>0</c:v>
                </c:pt>
                <c:pt idx="42">
                  <c:v>0</c:v>
                </c:pt>
                <c:pt idx="43">
                  <c:v>1</c:v>
                </c:pt>
                <c:pt idx="44">
                  <c:v>1</c:v>
                </c:pt>
                <c:pt idx="45">
                  <c:v>0</c:v>
                </c:pt>
                <c:pt idx="46">
                  <c:v>1</c:v>
                </c:pt>
                <c:pt idx="47">
                  <c:v>0</c:v>
                </c:pt>
                <c:pt idx="48">
                  <c:v>0</c:v>
                </c:pt>
                <c:pt idx="49">
                  <c:v>0</c:v>
                </c:pt>
                <c:pt idx="50">
                  <c:v>0</c:v>
                </c:pt>
                <c:pt idx="51">
                  <c:v>1</c:v>
                </c:pt>
                <c:pt idx="52">
                  <c:v>0</c:v>
                </c:pt>
                <c:pt idx="53">
                  <c:v>1</c:v>
                </c:pt>
                <c:pt idx="54">
                  <c:v>0</c:v>
                </c:pt>
                <c:pt idx="55">
                  <c:v>1</c:v>
                </c:pt>
                <c:pt idx="56">
                  <c:v>1</c:v>
                </c:pt>
                <c:pt idx="57">
                  <c:v>0</c:v>
                </c:pt>
                <c:pt idx="58">
                  <c:v>1</c:v>
                </c:pt>
                <c:pt idx="59">
                  <c:v>0</c:v>
                </c:pt>
                <c:pt idx="60">
                  <c:v>0</c:v>
                </c:pt>
                <c:pt idx="61">
                  <c:v>0</c:v>
                </c:pt>
                <c:pt idx="62">
                  <c:v>1</c:v>
                </c:pt>
                <c:pt idx="63">
                  <c:v>1</c:v>
                </c:pt>
                <c:pt idx="64">
                  <c:v>0</c:v>
                </c:pt>
                <c:pt idx="65">
                  <c:v>1</c:v>
                </c:pt>
                <c:pt idx="66">
                  <c:v>1</c:v>
                </c:pt>
                <c:pt idx="67">
                  <c:v>1</c:v>
                </c:pt>
                <c:pt idx="68">
                  <c:v>0</c:v>
                </c:pt>
                <c:pt idx="69">
                  <c:v>0</c:v>
                </c:pt>
                <c:pt idx="70">
                  <c:v>0</c:v>
                </c:pt>
                <c:pt idx="71">
                  <c:v>0</c:v>
                </c:pt>
                <c:pt idx="72">
                  <c:v>1</c:v>
                </c:pt>
                <c:pt idx="73">
                  <c:v>1</c:v>
                </c:pt>
                <c:pt idx="74">
                  <c:v>0</c:v>
                </c:pt>
                <c:pt idx="75">
                  <c:v>0</c:v>
                </c:pt>
                <c:pt idx="76">
                  <c:v>0</c:v>
                </c:pt>
                <c:pt idx="77">
                  <c:v>0</c:v>
                </c:pt>
                <c:pt idx="78">
                  <c:v>0</c:v>
                </c:pt>
                <c:pt idx="79">
                  <c:v>1</c:v>
                </c:pt>
                <c:pt idx="80">
                  <c:v>0</c:v>
                </c:pt>
                <c:pt idx="81">
                  <c:v>0</c:v>
                </c:pt>
                <c:pt idx="82">
                  <c:v>0</c:v>
                </c:pt>
                <c:pt idx="83">
                  <c:v>0</c:v>
                </c:pt>
                <c:pt idx="84">
                  <c:v>1</c:v>
                </c:pt>
                <c:pt idx="85">
                  <c:v>0</c:v>
                </c:pt>
                <c:pt idx="86">
                  <c:v>1</c:v>
                </c:pt>
                <c:pt idx="87">
                  <c:v>0</c:v>
                </c:pt>
                <c:pt idx="88">
                  <c:v>0</c:v>
                </c:pt>
                <c:pt idx="89">
                  <c:v>1</c:v>
                </c:pt>
                <c:pt idx="90">
                  <c:v>0</c:v>
                </c:pt>
                <c:pt idx="91">
                  <c:v>0</c:v>
                </c:pt>
                <c:pt idx="92">
                  <c:v>0</c:v>
                </c:pt>
                <c:pt idx="93">
                  <c:v>0</c:v>
                </c:pt>
                <c:pt idx="94">
                  <c:v>0</c:v>
                </c:pt>
                <c:pt idx="95">
                  <c:v>0</c:v>
                </c:pt>
                <c:pt idx="96">
                  <c:v>0</c:v>
                </c:pt>
                <c:pt idx="97">
                  <c:v>0</c:v>
                </c:pt>
                <c:pt idx="98">
                  <c:v>1</c:v>
                </c:pt>
                <c:pt idx="99">
                  <c:v>1</c:v>
                </c:pt>
                <c:pt idx="100">
                  <c:v>0</c:v>
                </c:pt>
                <c:pt idx="101">
                  <c:v>0</c:v>
                </c:pt>
                <c:pt idx="102">
                  <c:v>0</c:v>
                </c:pt>
                <c:pt idx="103">
                  <c:v>1</c:v>
                </c:pt>
                <c:pt idx="104">
                  <c:v>0</c:v>
                </c:pt>
                <c:pt idx="105">
                  <c:v>0</c:v>
                </c:pt>
                <c:pt idx="106">
                  <c:v>0</c:v>
                </c:pt>
                <c:pt idx="107">
                  <c:v>1</c:v>
                </c:pt>
                <c:pt idx="108">
                  <c:v>0</c:v>
                </c:pt>
                <c:pt idx="109">
                  <c:v>0</c:v>
                </c:pt>
                <c:pt idx="110">
                  <c:v>0</c:v>
                </c:pt>
                <c:pt idx="111">
                  <c:v>0</c:v>
                </c:pt>
                <c:pt idx="112">
                  <c:v>0</c:v>
                </c:pt>
                <c:pt idx="113">
                  <c:v>0</c:v>
                </c:pt>
                <c:pt idx="114">
                  <c:v>1</c:v>
                </c:pt>
                <c:pt idx="115">
                  <c:v>0</c:v>
                </c:pt>
                <c:pt idx="116">
                  <c:v>0</c:v>
                </c:pt>
                <c:pt idx="117">
                  <c:v>0</c:v>
                </c:pt>
                <c:pt idx="118">
                  <c:v>0</c:v>
                </c:pt>
                <c:pt idx="119">
                  <c:v>0</c:v>
                </c:pt>
              </c:numCache>
            </c:numRef>
          </c:cat>
          <c:val>
            <c:numRef>
              <c:f>Regression!$B$31:$B$150</c:f>
              <c:numCache>
                <c:formatCode>General</c:formatCode>
                <c:ptCount val="120"/>
                <c:pt idx="0">
                  <c:v>7.4849445579765872</c:v>
                </c:pt>
                <c:pt idx="1">
                  <c:v>8.474836149968505</c:v>
                </c:pt>
                <c:pt idx="2">
                  <c:v>7.4849445579765872</c:v>
                </c:pt>
                <c:pt idx="3">
                  <c:v>7.4412392390341271</c:v>
                </c:pt>
                <c:pt idx="4">
                  <c:v>7.9278491529989887</c:v>
                </c:pt>
                <c:pt idx="5">
                  <c:v>7.9278491529989887</c:v>
                </c:pt>
                <c:pt idx="6">
                  <c:v>7.8841438340565286</c:v>
                </c:pt>
                <c:pt idx="7">
                  <c:v>7.4849445579765872</c:v>
                </c:pt>
                <c:pt idx="8">
                  <c:v>8.0319315549461034</c:v>
                </c:pt>
                <c:pt idx="9">
                  <c:v>7.8841438340565286</c:v>
                </c:pt>
                <c:pt idx="10">
                  <c:v>7.4849445579765872</c:v>
                </c:pt>
                <c:pt idx="11">
                  <c:v>8.7789522975112053</c:v>
                </c:pt>
                <c:pt idx="12">
                  <c:v>7.6736633731001316</c:v>
                </c:pt>
                <c:pt idx="13">
                  <c:v>7.4412392390341271</c:v>
                </c:pt>
                <c:pt idx="14">
                  <c:v>8.2940474392612984</c:v>
                </c:pt>
                <c:pt idx="15">
                  <c:v>7.9278491529989887</c:v>
                </c:pt>
                <c:pt idx="16">
                  <c:v>7.8841438340565286</c:v>
                </c:pt>
                <c:pt idx="17">
                  <c:v>7.4412392390341271</c:v>
                </c:pt>
                <c:pt idx="18">
                  <c:v>8.2940474392612984</c:v>
                </c:pt>
                <c:pt idx="19">
                  <c:v>7.4849445579765872</c:v>
                </c:pt>
                <c:pt idx="20">
                  <c:v>7.851142844238896</c:v>
                </c:pt>
                <c:pt idx="21">
                  <c:v>7.4849445579765872</c:v>
                </c:pt>
                <c:pt idx="22">
                  <c:v>7.4849445579765872</c:v>
                </c:pt>
                <c:pt idx="23">
                  <c:v>8.0398616593624403</c:v>
                </c:pt>
                <c:pt idx="24">
                  <c:v>7.9278491529989887</c:v>
                </c:pt>
                <c:pt idx="25">
                  <c:v>7.851142844238896</c:v>
                </c:pt>
                <c:pt idx="26">
                  <c:v>7.9278491529989887</c:v>
                </c:pt>
                <c:pt idx="27">
                  <c:v>7.9278491529989887</c:v>
                </c:pt>
                <c:pt idx="28">
                  <c:v>8.2940474392612984</c:v>
                </c:pt>
                <c:pt idx="29">
                  <c:v>7.4849445579765872</c:v>
                </c:pt>
                <c:pt idx="30">
                  <c:v>7.4412392390341271</c:v>
                </c:pt>
                <c:pt idx="31">
                  <c:v>7.851142844238896</c:v>
                </c:pt>
                <c:pt idx="32">
                  <c:v>7.851142844238896</c:v>
                </c:pt>
                <c:pt idx="33">
                  <c:v>7.4849445579765872</c:v>
                </c:pt>
                <c:pt idx="34">
                  <c:v>7.851142844238896</c:v>
                </c:pt>
                <c:pt idx="35">
                  <c:v>7.851142844238896</c:v>
                </c:pt>
                <c:pt idx="36">
                  <c:v>8.2206503700696469</c:v>
                </c:pt>
                <c:pt idx="37">
                  <c:v>8.2940474392612984</c:v>
                </c:pt>
                <c:pt idx="38">
                  <c:v>7.4849445579765872</c:v>
                </c:pt>
                <c:pt idx="39">
                  <c:v>7.9278491529989887</c:v>
                </c:pt>
                <c:pt idx="40">
                  <c:v>7.4849445579765872</c:v>
                </c:pt>
                <c:pt idx="41">
                  <c:v>7.4412392390341271</c:v>
                </c:pt>
                <c:pt idx="42">
                  <c:v>7.6736633731001316</c:v>
                </c:pt>
                <c:pt idx="43">
                  <c:v>8.2940474392612984</c:v>
                </c:pt>
                <c:pt idx="44">
                  <c:v>8.2940474392612984</c:v>
                </c:pt>
                <c:pt idx="45">
                  <c:v>7.4849445579765872</c:v>
                </c:pt>
                <c:pt idx="46">
                  <c:v>7.9278491529989887</c:v>
                </c:pt>
                <c:pt idx="47">
                  <c:v>7.4849445579765872</c:v>
                </c:pt>
                <c:pt idx="48">
                  <c:v>8.0398616593624403</c:v>
                </c:pt>
                <c:pt idx="49">
                  <c:v>7.6299580541576715</c:v>
                </c:pt>
                <c:pt idx="50">
                  <c:v>7.4412392390341271</c:v>
                </c:pt>
                <c:pt idx="51">
                  <c:v>7.9278491529989887</c:v>
                </c:pt>
                <c:pt idx="52">
                  <c:v>7.4849445579765872</c:v>
                </c:pt>
                <c:pt idx="53">
                  <c:v>7.9278491529989887</c:v>
                </c:pt>
                <c:pt idx="54">
                  <c:v>8.0319315549461034</c:v>
                </c:pt>
                <c:pt idx="55">
                  <c:v>7.9278491529989887</c:v>
                </c:pt>
                <c:pt idx="56">
                  <c:v>7.9278491529989887</c:v>
                </c:pt>
                <c:pt idx="57">
                  <c:v>7.4849445579765872</c:v>
                </c:pt>
                <c:pt idx="58">
                  <c:v>7.9278491529989887</c:v>
                </c:pt>
                <c:pt idx="59">
                  <c:v>7.4849445579765872</c:v>
                </c:pt>
                <c:pt idx="60">
                  <c:v>7.4849445579765872</c:v>
                </c:pt>
                <c:pt idx="61">
                  <c:v>7.6736633731001316</c:v>
                </c:pt>
                <c:pt idx="62">
                  <c:v>7.9278491529989887</c:v>
                </c:pt>
                <c:pt idx="63">
                  <c:v>7.9278491529989887</c:v>
                </c:pt>
                <c:pt idx="64">
                  <c:v>7.4849445579765872</c:v>
                </c:pt>
                <c:pt idx="65">
                  <c:v>7.8841438340565286</c:v>
                </c:pt>
                <c:pt idx="66">
                  <c:v>8.2940474392612984</c:v>
                </c:pt>
                <c:pt idx="67">
                  <c:v>7.9278491529989887</c:v>
                </c:pt>
                <c:pt idx="68">
                  <c:v>7.4849445579765872</c:v>
                </c:pt>
                <c:pt idx="69">
                  <c:v>7.4412392390341271</c:v>
                </c:pt>
                <c:pt idx="70">
                  <c:v>7.4849445579765872</c:v>
                </c:pt>
                <c:pt idx="71">
                  <c:v>7.4849445579765872</c:v>
                </c:pt>
                <c:pt idx="72">
                  <c:v>7.8841438340565286</c:v>
                </c:pt>
                <c:pt idx="73">
                  <c:v>7.9278491529989887</c:v>
                </c:pt>
                <c:pt idx="74">
                  <c:v>7.4849445579765872</c:v>
                </c:pt>
                <c:pt idx="75">
                  <c:v>8.0398616593624403</c:v>
                </c:pt>
                <c:pt idx="76">
                  <c:v>7.851142844238896</c:v>
                </c:pt>
                <c:pt idx="77">
                  <c:v>7.851142844238896</c:v>
                </c:pt>
                <c:pt idx="78">
                  <c:v>7.851142844238896</c:v>
                </c:pt>
                <c:pt idx="79">
                  <c:v>7.9278491529989887</c:v>
                </c:pt>
                <c:pt idx="80">
                  <c:v>8.3360477024888038</c:v>
                </c:pt>
                <c:pt idx="81">
                  <c:v>7.4412392390341271</c:v>
                </c:pt>
                <c:pt idx="82">
                  <c:v>7.4412392390341271</c:v>
                </c:pt>
                <c:pt idx="83">
                  <c:v>7.851142844238896</c:v>
                </c:pt>
                <c:pt idx="84">
                  <c:v>7.8841438340565286</c:v>
                </c:pt>
                <c:pt idx="85">
                  <c:v>7.851142844238896</c:v>
                </c:pt>
                <c:pt idx="86">
                  <c:v>7.8841438340565286</c:v>
                </c:pt>
                <c:pt idx="87">
                  <c:v>7.4849445579765872</c:v>
                </c:pt>
                <c:pt idx="88">
                  <c:v>8.2206503700696469</c:v>
                </c:pt>
                <c:pt idx="89">
                  <c:v>7.9278491529989887</c:v>
                </c:pt>
                <c:pt idx="90">
                  <c:v>7.6299580541576715</c:v>
                </c:pt>
                <c:pt idx="91">
                  <c:v>7.4849445579765872</c:v>
                </c:pt>
                <c:pt idx="92">
                  <c:v>7.4849445579765872</c:v>
                </c:pt>
                <c:pt idx="93">
                  <c:v>9.3943526594712328</c:v>
                </c:pt>
                <c:pt idx="94">
                  <c:v>7.4412392390341271</c:v>
                </c:pt>
                <c:pt idx="95">
                  <c:v>7.851142844238896</c:v>
                </c:pt>
                <c:pt idx="96">
                  <c:v>7.4849445579765872</c:v>
                </c:pt>
                <c:pt idx="97">
                  <c:v>7.851142844238896</c:v>
                </c:pt>
                <c:pt idx="98">
                  <c:v>7.9278491529989887</c:v>
                </c:pt>
                <c:pt idx="99">
                  <c:v>7.9278491529989887</c:v>
                </c:pt>
                <c:pt idx="100">
                  <c:v>7.851142844238896</c:v>
                </c:pt>
                <c:pt idx="101">
                  <c:v>7.851142844238896</c:v>
                </c:pt>
                <c:pt idx="102">
                  <c:v>7.4849445579765872</c:v>
                </c:pt>
                <c:pt idx="103">
                  <c:v>7.8841438340565286</c:v>
                </c:pt>
                <c:pt idx="104">
                  <c:v>9.3506473405287736</c:v>
                </c:pt>
                <c:pt idx="105">
                  <c:v>7.6299580541576715</c:v>
                </c:pt>
                <c:pt idx="106">
                  <c:v>7.851142844238896</c:v>
                </c:pt>
                <c:pt idx="107">
                  <c:v>8.2940474392612984</c:v>
                </c:pt>
                <c:pt idx="108">
                  <c:v>7.4412392390341271</c:v>
                </c:pt>
                <c:pt idx="109">
                  <c:v>7.4849445579765872</c:v>
                </c:pt>
                <c:pt idx="110">
                  <c:v>7.4849445579765872</c:v>
                </c:pt>
                <c:pt idx="111">
                  <c:v>7.4412392390341271</c:v>
                </c:pt>
                <c:pt idx="112">
                  <c:v>7.4412392390341271</c:v>
                </c:pt>
                <c:pt idx="113">
                  <c:v>7.4412392390341271</c:v>
                </c:pt>
                <c:pt idx="114">
                  <c:v>7.9278491529989887</c:v>
                </c:pt>
                <c:pt idx="115">
                  <c:v>7.4849445579765872</c:v>
                </c:pt>
                <c:pt idx="116">
                  <c:v>7.4849445579765872</c:v>
                </c:pt>
                <c:pt idx="117">
                  <c:v>7.4412392390341271</c:v>
                </c:pt>
                <c:pt idx="118">
                  <c:v>7.4849445579765872</c:v>
                </c:pt>
                <c:pt idx="119">
                  <c:v>7.4412392390341271</c:v>
                </c:pt>
              </c:numCache>
            </c:numRef>
          </c:val>
        </c:ser>
        <c:axId val="145687296"/>
        <c:axId val="145689216"/>
      </c:barChart>
      <c:catAx>
        <c:axId val="145687296"/>
        <c:scaling>
          <c:orientation val="minMax"/>
        </c:scaling>
        <c:axPos val="b"/>
        <c:title>
          <c:tx>
            <c:rich>
              <a:bodyPr/>
              <a:lstStyle/>
              <a:p>
                <a:pPr>
                  <a:defRPr/>
                </a:pPr>
                <a:r>
                  <a:rPr lang="en-IN"/>
                  <a:t>w1</a:t>
                </a:r>
              </a:p>
            </c:rich>
          </c:tx>
        </c:title>
        <c:numFmt formatCode="General" sourceLinked="1"/>
        <c:tickLblPos val="nextTo"/>
        <c:crossAx val="145689216"/>
        <c:crosses val="autoZero"/>
        <c:auto val="1"/>
        <c:lblAlgn val="ctr"/>
        <c:lblOffset val="100"/>
      </c:catAx>
      <c:valAx>
        <c:axId val="145689216"/>
        <c:scaling>
          <c:orientation val="minMax"/>
        </c:scaling>
        <c:axPos val="l"/>
        <c:majorGridlines/>
        <c:title>
          <c:tx>
            <c:rich>
              <a:bodyPr/>
              <a:lstStyle/>
              <a:p>
                <a:pPr>
                  <a:defRPr/>
                </a:pPr>
                <a:r>
                  <a:rPr lang="en-IN"/>
                  <a:t>AVG SGPA</a:t>
                </a:r>
              </a:p>
            </c:rich>
          </c:tx>
        </c:title>
        <c:numFmt formatCode="0.000" sourceLinked="1"/>
        <c:tickLblPos val="nextTo"/>
        <c:crossAx val="145687296"/>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w2 Line Fit  Plot</a:t>
            </a:r>
          </a:p>
        </c:rich>
      </c:tx>
    </c:title>
    <c:plotArea>
      <c:layout/>
      <c:barChart>
        <c:barDir val="col"/>
        <c:grouping val="clustered"/>
        <c:ser>
          <c:idx val="0"/>
          <c:order val="0"/>
          <c:tx>
            <c:v>AVG SGPA</c:v>
          </c:tx>
          <c:cat>
            <c:numRef>
              <c:f>Dummy!$L$3:$L$122</c:f>
              <c:numCache>
                <c:formatCode>General</c:formatCode>
                <c:ptCount val="120"/>
                <c:pt idx="0">
                  <c:v>0</c:v>
                </c:pt>
                <c:pt idx="1">
                  <c:v>0</c:v>
                </c:pt>
                <c:pt idx="2">
                  <c:v>0</c:v>
                </c:pt>
                <c:pt idx="3">
                  <c:v>0</c:v>
                </c:pt>
                <c:pt idx="4">
                  <c:v>0</c:v>
                </c:pt>
                <c:pt idx="5">
                  <c:v>0</c:v>
                </c:pt>
                <c:pt idx="6">
                  <c:v>0</c:v>
                </c:pt>
                <c:pt idx="7">
                  <c:v>0</c:v>
                </c:pt>
                <c:pt idx="8">
                  <c:v>0</c:v>
                </c:pt>
                <c:pt idx="9">
                  <c:v>0</c:v>
                </c:pt>
                <c:pt idx="10">
                  <c:v>0</c:v>
                </c:pt>
                <c:pt idx="11">
                  <c:v>0</c:v>
                </c:pt>
                <c:pt idx="12">
                  <c:v>1</c:v>
                </c:pt>
                <c:pt idx="13">
                  <c:v>0</c:v>
                </c:pt>
                <c:pt idx="14">
                  <c:v>0</c:v>
                </c:pt>
                <c:pt idx="15">
                  <c:v>0</c:v>
                </c:pt>
                <c:pt idx="16">
                  <c:v>0</c:v>
                </c:pt>
                <c:pt idx="17">
                  <c:v>0</c:v>
                </c:pt>
                <c:pt idx="18">
                  <c:v>0</c:v>
                </c:pt>
                <c:pt idx="19">
                  <c:v>0</c:v>
                </c:pt>
                <c:pt idx="20">
                  <c:v>0</c:v>
                </c:pt>
                <c:pt idx="21">
                  <c:v>0</c:v>
                </c:pt>
                <c:pt idx="22">
                  <c:v>0</c:v>
                </c:pt>
                <c:pt idx="23">
                  <c:v>1</c:v>
                </c:pt>
                <c:pt idx="24">
                  <c:v>0</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1</c:v>
                </c:pt>
                <c:pt idx="43">
                  <c:v>0</c:v>
                </c:pt>
                <c:pt idx="44">
                  <c:v>0</c:v>
                </c:pt>
                <c:pt idx="45">
                  <c:v>0</c:v>
                </c:pt>
                <c:pt idx="46">
                  <c:v>0</c:v>
                </c:pt>
                <c:pt idx="47">
                  <c:v>0</c:v>
                </c:pt>
                <c:pt idx="48">
                  <c:v>1</c:v>
                </c:pt>
                <c:pt idx="49">
                  <c:v>1</c:v>
                </c:pt>
                <c:pt idx="50">
                  <c:v>0</c:v>
                </c:pt>
                <c:pt idx="51">
                  <c:v>0</c:v>
                </c:pt>
                <c:pt idx="52">
                  <c:v>0</c:v>
                </c:pt>
                <c:pt idx="53">
                  <c:v>0</c:v>
                </c:pt>
                <c:pt idx="54">
                  <c:v>0</c:v>
                </c:pt>
                <c:pt idx="55">
                  <c:v>0</c:v>
                </c:pt>
                <c:pt idx="56">
                  <c:v>0</c:v>
                </c:pt>
                <c:pt idx="57">
                  <c:v>0</c:v>
                </c:pt>
                <c:pt idx="58">
                  <c:v>0</c:v>
                </c:pt>
                <c:pt idx="59">
                  <c:v>0</c:v>
                </c:pt>
                <c:pt idx="60">
                  <c:v>0</c:v>
                </c:pt>
                <c:pt idx="61">
                  <c:v>1</c:v>
                </c:pt>
                <c:pt idx="62">
                  <c:v>0</c:v>
                </c:pt>
                <c:pt idx="63">
                  <c:v>0</c:v>
                </c:pt>
                <c:pt idx="64">
                  <c:v>0</c:v>
                </c:pt>
                <c:pt idx="65">
                  <c:v>0</c:v>
                </c:pt>
                <c:pt idx="66">
                  <c:v>0</c:v>
                </c:pt>
                <c:pt idx="67">
                  <c:v>0</c:v>
                </c:pt>
                <c:pt idx="68">
                  <c:v>0</c:v>
                </c:pt>
                <c:pt idx="69">
                  <c:v>0</c:v>
                </c:pt>
                <c:pt idx="70">
                  <c:v>0</c:v>
                </c:pt>
                <c:pt idx="71">
                  <c:v>0</c:v>
                </c:pt>
                <c:pt idx="72">
                  <c:v>0</c:v>
                </c:pt>
                <c:pt idx="73">
                  <c:v>0</c:v>
                </c:pt>
                <c:pt idx="74">
                  <c:v>0</c:v>
                </c:pt>
                <c:pt idx="75">
                  <c:v>1</c:v>
                </c:pt>
                <c:pt idx="76">
                  <c:v>0</c:v>
                </c:pt>
                <c:pt idx="77">
                  <c:v>0</c:v>
                </c:pt>
                <c:pt idx="78">
                  <c:v>0</c:v>
                </c:pt>
                <c:pt idx="79">
                  <c:v>0</c:v>
                </c:pt>
                <c:pt idx="80">
                  <c:v>0</c:v>
                </c:pt>
                <c:pt idx="81">
                  <c:v>0</c:v>
                </c:pt>
                <c:pt idx="82">
                  <c:v>0</c:v>
                </c:pt>
                <c:pt idx="83">
                  <c:v>0</c:v>
                </c:pt>
                <c:pt idx="84">
                  <c:v>0</c:v>
                </c:pt>
                <c:pt idx="85">
                  <c:v>0</c:v>
                </c:pt>
                <c:pt idx="86">
                  <c:v>0</c:v>
                </c:pt>
                <c:pt idx="87">
                  <c:v>0</c:v>
                </c:pt>
                <c:pt idx="88">
                  <c:v>1</c:v>
                </c:pt>
                <c:pt idx="89">
                  <c:v>0</c:v>
                </c:pt>
                <c:pt idx="90">
                  <c:v>1</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cat>
          <c:val>
            <c:numRef>
              <c:f>Dummy!$D$3:$D$122</c:f>
              <c:numCache>
                <c:formatCode>0.000</c:formatCode>
                <c:ptCount val="120"/>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pt idx="119">
                  <c:v>7.05</c:v>
                </c:pt>
              </c:numCache>
            </c:numRef>
          </c:val>
        </c:ser>
        <c:ser>
          <c:idx val="1"/>
          <c:order val="1"/>
          <c:tx>
            <c:v>Predicted AVG SGPA</c:v>
          </c:tx>
          <c:cat>
            <c:numRef>
              <c:f>Dummy!$L$3:$L$122</c:f>
              <c:numCache>
                <c:formatCode>General</c:formatCode>
                <c:ptCount val="120"/>
                <c:pt idx="0">
                  <c:v>0</c:v>
                </c:pt>
                <c:pt idx="1">
                  <c:v>0</c:v>
                </c:pt>
                <c:pt idx="2">
                  <c:v>0</c:v>
                </c:pt>
                <c:pt idx="3">
                  <c:v>0</c:v>
                </c:pt>
                <c:pt idx="4">
                  <c:v>0</c:v>
                </c:pt>
                <c:pt idx="5">
                  <c:v>0</c:v>
                </c:pt>
                <c:pt idx="6">
                  <c:v>0</c:v>
                </c:pt>
                <c:pt idx="7">
                  <c:v>0</c:v>
                </c:pt>
                <c:pt idx="8">
                  <c:v>0</c:v>
                </c:pt>
                <c:pt idx="9">
                  <c:v>0</c:v>
                </c:pt>
                <c:pt idx="10">
                  <c:v>0</c:v>
                </c:pt>
                <c:pt idx="11">
                  <c:v>0</c:v>
                </c:pt>
                <c:pt idx="12">
                  <c:v>1</c:v>
                </c:pt>
                <c:pt idx="13">
                  <c:v>0</c:v>
                </c:pt>
                <c:pt idx="14">
                  <c:v>0</c:v>
                </c:pt>
                <c:pt idx="15">
                  <c:v>0</c:v>
                </c:pt>
                <c:pt idx="16">
                  <c:v>0</c:v>
                </c:pt>
                <c:pt idx="17">
                  <c:v>0</c:v>
                </c:pt>
                <c:pt idx="18">
                  <c:v>0</c:v>
                </c:pt>
                <c:pt idx="19">
                  <c:v>0</c:v>
                </c:pt>
                <c:pt idx="20">
                  <c:v>0</c:v>
                </c:pt>
                <c:pt idx="21">
                  <c:v>0</c:v>
                </c:pt>
                <c:pt idx="22">
                  <c:v>0</c:v>
                </c:pt>
                <c:pt idx="23">
                  <c:v>1</c:v>
                </c:pt>
                <c:pt idx="24">
                  <c:v>0</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1</c:v>
                </c:pt>
                <c:pt idx="43">
                  <c:v>0</c:v>
                </c:pt>
                <c:pt idx="44">
                  <c:v>0</c:v>
                </c:pt>
                <c:pt idx="45">
                  <c:v>0</c:v>
                </c:pt>
                <c:pt idx="46">
                  <c:v>0</c:v>
                </c:pt>
                <c:pt idx="47">
                  <c:v>0</c:v>
                </c:pt>
                <c:pt idx="48">
                  <c:v>1</c:v>
                </c:pt>
                <c:pt idx="49">
                  <c:v>1</c:v>
                </c:pt>
                <c:pt idx="50">
                  <c:v>0</c:v>
                </c:pt>
                <c:pt idx="51">
                  <c:v>0</c:v>
                </c:pt>
                <c:pt idx="52">
                  <c:v>0</c:v>
                </c:pt>
                <c:pt idx="53">
                  <c:v>0</c:v>
                </c:pt>
                <c:pt idx="54">
                  <c:v>0</c:v>
                </c:pt>
                <c:pt idx="55">
                  <c:v>0</c:v>
                </c:pt>
                <c:pt idx="56">
                  <c:v>0</c:v>
                </c:pt>
                <c:pt idx="57">
                  <c:v>0</c:v>
                </c:pt>
                <c:pt idx="58">
                  <c:v>0</c:v>
                </c:pt>
                <c:pt idx="59">
                  <c:v>0</c:v>
                </c:pt>
                <c:pt idx="60">
                  <c:v>0</c:v>
                </c:pt>
                <c:pt idx="61">
                  <c:v>1</c:v>
                </c:pt>
                <c:pt idx="62">
                  <c:v>0</c:v>
                </c:pt>
                <c:pt idx="63">
                  <c:v>0</c:v>
                </c:pt>
                <c:pt idx="64">
                  <c:v>0</c:v>
                </c:pt>
                <c:pt idx="65">
                  <c:v>0</c:v>
                </c:pt>
                <c:pt idx="66">
                  <c:v>0</c:v>
                </c:pt>
                <c:pt idx="67">
                  <c:v>0</c:v>
                </c:pt>
                <c:pt idx="68">
                  <c:v>0</c:v>
                </c:pt>
                <c:pt idx="69">
                  <c:v>0</c:v>
                </c:pt>
                <c:pt idx="70">
                  <c:v>0</c:v>
                </c:pt>
                <c:pt idx="71">
                  <c:v>0</c:v>
                </c:pt>
                <c:pt idx="72">
                  <c:v>0</c:v>
                </c:pt>
                <c:pt idx="73">
                  <c:v>0</c:v>
                </c:pt>
                <c:pt idx="74">
                  <c:v>0</c:v>
                </c:pt>
                <c:pt idx="75">
                  <c:v>1</c:v>
                </c:pt>
                <c:pt idx="76">
                  <c:v>0</c:v>
                </c:pt>
                <c:pt idx="77">
                  <c:v>0</c:v>
                </c:pt>
                <c:pt idx="78">
                  <c:v>0</c:v>
                </c:pt>
                <c:pt idx="79">
                  <c:v>0</c:v>
                </c:pt>
                <c:pt idx="80">
                  <c:v>0</c:v>
                </c:pt>
                <c:pt idx="81">
                  <c:v>0</c:v>
                </c:pt>
                <c:pt idx="82">
                  <c:v>0</c:v>
                </c:pt>
                <c:pt idx="83">
                  <c:v>0</c:v>
                </c:pt>
                <c:pt idx="84">
                  <c:v>0</c:v>
                </c:pt>
                <c:pt idx="85">
                  <c:v>0</c:v>
                </c:pt>
                <c:pt idx="86">
                  <c:v>0</c:v>
                </c:pt>
                <c:pt idx="87">
                  <c:v>0</c:v>
                </c:pt>
                <c:pt idx="88">
                  <c:v>1</c:v>
                </c:pt>
                <c:pt idx="89">
                  <c:v>0</c:v>
                </c:pt>
                <c:pt idx="90">
                  <c:v>1</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cat>
          <c:val>
            <c:numRef>
              <c:f>Regression!$B$31:$B$150</c:f>
              <c:numCache>
                <c:formatCode>General</c:formatCode>
                <c:ptCount val="120"/>
                <c:pt idx="0">
                  <c:v>7.4849445579765872</c:v>
                </c:pt>
                <c:pt idx="1">
                  <c:v>8.474836149968505</c:v>
                </c:pt>
                <c:pt idx="2">
                  <c:v>7.4849445579765872</c:v>
                </c:pt>
                <c:pt idx="3">
                  <c:v>7.4412392390341271</c:v>
                </c:pt>
                <c:pt idx="4">
                  <c:v>7.9278491529989887</c:v>
                </c:pt>
                <c:pt idx="5">
                  <c:v>7.9278491529989887</c:v>
                </c:pt>
                <c:pt idx="6">
                  <c:v>7.8841438340565286</c:v>
                </c:pt>
                <c:pt idx="7">
                  <c:v>7.4849445579765872</c:v>
                </c:pt>
                <c:pt idx="8">
                  <c:v>8.0319315549461034</c:v>
                </c:pt>
                <c:pt idx="9">
                  <c:v>7.8841438340565286</c:v>
                </c:pt>
                <c:pt idx="10">
                  <c:v>7.4849445579765872</c:v>
                </c:pt>
                <c:pt idx="11">
                  <c:v>8.7789522975112053</c:v>
                </c:pt>
                <c:pt idx="12">
                  <c:v>7.6736633731001316</c:v>
                </c:pt>
                <c:pt idx="13">
                  <c:v>7.4412392390341271</c:v>
                </c:pt>
                <c:pt idx="14">
                  <c:v>8.2940474392612984</c:v>
                </c:pt>
                <c:pt idx="15">
                  <c:v>7.9278491529989887</c:v>
                </c:pt>
                <c:pt idx="16">
                  <c:v>7.8841438340565286</c:v>
                </c:pt>
                <c:pt idx="17">
                  <c:v>7.4412392390341271</c:v>
                </c:pt>
                <c:pt idx="18">
                  <c:v>8.2940474392612984</c:v>
                </c:pt>
                <c:pt idx="19">
                  <c:v>7.4849445579765872</c:v>
                </c:pt>
                <c:pt idx="20">
                  <c:v>7.851142844238896</c:v>
                </c:pt>
                <c:pt idx="21">
                  <c:v>7.4849445579765872</c:v>
                </c:pt>
                <c:pt idx="22">
                  <c:v>7.4849445579765872</c:v>
                </c:pt>
                <c:pt idx="23">
                  <c:v>8.0398616593624403</c:v>
                </c:pt>
                <c:pt idx="24">
                  <c:v>7.9278491529989887</c:v>
                </c:pt>
                <c:pt idx="25">
                  <c:v>7.851142844238896</c:v>
                </c:pt>
                <c:pt idx="26">
                  <c:v>7.9278491529989887</c:v>
                </c:pt>
                <c:pt idx="27">
                  <c:v>7.9278491529989887</c:v>
                </c:pt>
                <c:pt idx="28">
                  <c:v>8.2940474392612984</c:v>
                </c:pt>
                <c:pt idx="29">
                  <c:v>7.4849445579765872</c:v>
                </c:pt>
                <c:pt idx="30">
                  <c:v>7.4412392390341271</c:v>
                </c:pt>
                <c:pt idx="31">
                  <c:v>7.851142844238896</c:v>
                </c:pt>
                <c:pt idx="32">
                  <c:v>7.851142844238896</c:v>
                </c:pt>
                <c:pt idx="33">
                  <c:v>7.4849445579765872</c:v>
                </c:pt>
                <c:pt idx="34">
                  <c:v>7.851142844238896</c:v>
                </c:pt>
                <c:pt idx="35">
                  <c:v>7.851142844238896</c:v>
                </c:pt>
                <c:pt idx="36">
                  <c:v>8.2206503700696469</c:v>
                </c:pt>
                <c:pt idx="37">
                  <c:v>8.2940474392612984</c:v>
                </c:pt>
                <c:pt idx="38">
                  <c:v>7.4849445579765872</c:v>
                </c:pt>
                <c:pt idx="39">
                  <c:v>7.9278491529989887</c:v>
                </c:pt>
                <c:pt idx="40">
                  <c:v>7.4849445579765872</c:v>
                </c:pt>
                <c:pt idx="41">
                  <c:v>7.4412392390341271</c:v>
                </c:pt>
                <c:pt idx="42">
                  <c:v>7.6736633731001316</c:v>
                </c:pt>
                <c:pt idx="43">
                  <c:v>8.2940474392612984</c:v>
                </c:pt>
                <c:pt idx="44">
                  <c:v>8.2940474392612984</c:v>
                </c:pt>
                <c:pt idx="45">
                  <c:v>7.4849445579765872</c:v>
                </c:pt>
                <c:pt idx="46">
                  <c:v>7.9278491529989887</c:v>
                </c:pt>
                <c:pt idx="47">
                  <c:v>7.4849445579765872</c:v>
                </c:pt>
                <c:pt idx="48">
                  <c:v>8.0398616593624403</c:v>
                </c:pt>
                <c:pt idx="49">
                  <c:v>7.6299580541576715</c:v>
                </c:pt>
                <c:pt idx="50">
                  <c:v>7.4412392390341271</c:v>
                </c:pt>
                <c:pt idx="51">
                  <c:v>7.9278491529989887</c:v>
                </c:pt>
                <c:pt idx="52">
                  <c:v>7.4849445579765872</c:v>
                </c:pt>
                <c:pt idx="53">
                  <c:v>7.9278491529989887</c:v>
                </c:pt>
                <c:pt idx="54">
                  <c:v>8.0319315549461034</c:v>
                </c:pt>
                <c:pt idx="55">
                  <c:v>7.9278491529989887</c:v>
                </c:pt>
                <c:pt idx="56">
                  <c:v>7.9278491529989887</c:v>
                </c:pt>
                <c:pt idx="57">
                  <c:v>7.4849445579765872</c:v>
                </c:pt>
                <c:pt idx="58">
                  <c:v>7.9278491529989887</c:v>
                </c:pt>
                <c:pt idx="59">
                  <c:v>7.4849445579765872</c:v>
                </c:pt>
                <c:pt idx="60">
                  <c:v>7.4849445579765872</c:v>
                </c:pt>
                <c:pt idx="61">
                  <c:v>7.6736633731001316</c:v>
                </c:pt>
                <c:pt idx="62">
                  <c:v>7.9278491529989887</c:v>
                </c:pt>
                <c:pt idx="63">
                  <c:v>7.9278491529989887</c:v>
                </c:pt>
                <c:pt idx="64">
                  <c:v>7.4849445579765872</c:v>
                </c:pt>
                <c:pt idx="65">
                  <c:v>7.8841438340565286</c:v>
                </c:pt>
                <c:pt idx="66">
                  <c:v>8.2940474392612984</c:v>
                </c:pt>
                <c:pt idx="67">
                  <c:v>7.9278491529989887</c:v>
                </c:pt>
                <c:pt idx="68">
                  <c:v>7.4849445579765872</c:v>
                </c:pt>
                <c:pt idx="69">
                  <c:v>7.4412392390341271</c:v>
                </c:pt>
                <c:pt idx="70">
                  <c:v>7.4849445579765872</c:v>
                </c:pt>
                <c:pt idx="71">
                  <c:v>7.4849445579765872</c:v>
                </c:pt>
                <c:pt idx="72">
                  <c:v>7.8841438340565286</c:v>
                </c:pt>
                <c:pt idx="73">
                  <c:v>7.9278491529989887</c:v>
                </c:pt>
                <c:pt idx="74">
                  <c:v>7.4849445579765872</c:v>
                </c:pt>
                <c:pt idx="75">
                  <c:v>8.0398616593624403</c:v>
                </c:pt>
                <c:pt idx="76">
                  <c:v>7.851142844238896</c:v>
                </c:pt>
                <c:pt idx="77">
                  <c:v>7.851142844238896</c:v>
                </c:pt>
                <c:pt idx="78">
                  <c:v>7.851142844238896</c:v>
                </c:pt>
                <c:pt idx="79">
                  <c:v>7.9278491529989887</c:v>
                </c:pt>
                <c:pt idx="80">
                  <c:v>8.3360477024888038</c:v>
                </c:pt>
                <c:pt idx="81">
                  <c:v>7.4412392390341271</c:v>
                </c:pt>
                <c:pt idx="82">
                  <c:v>7.4412392390341271</c:v>
                </c:pt>
                <c:pt idx="83">
                  <c:v>7.851142844238896</c:v>
                </c:pt>
                <c:pt idx="84">
                  <c:v>7.8841438340565286</c:v>
                </c:pt>
                <c:pt idx="85">
                  <c:v>7.851142844238896</c:v>
                </c:pt>
                <c:pt idx="86">
                  <c:v>7.8841438340565286</c:v>
                </c:pt>
                <c:pt idx="87">
                  <c:v>7.4849445579765872</c:v>
                </c:pt>
                <c:pt idx="88">
                  <c:v>8.2206503700696469</c:v>
                </c:pt>
                <c:pt idx="89">
                  <c:v>7.9278491529989887</c:v>
                </c:pt>
                <c:pt idx="90">
                  <c:v>7.6299580541576715</c:v>
                </c:pt>
                <c:pt idx="91">
                  <c:v>7.4849445579765872</c:v>
                </c:pt>
                <c:pt idx="92">
                  <c:v>7.4849445579765872</c:v>
                </c:pt>
                <c:pt idx="93">
                  <c:v>9.3943526594712328</c:v>
                </c:pt>
                <c:pt idx="94">
                  <c:v>7.4412392390341271</c:v>
                </c:pt>
                <c:pt idx="95">
                  <c:v>7.851142844238896</c:v>
                </c:pt>
                <c:pt idx="96">
                  <c:v>7.4849445579765872</c:v>
                </c:pt>
                <c:pt idx="97">
                  <c:v>7.851142844238896</c:v>
                </c:pt>
                <c:pt idx="98">
                  <c:v>7.9278491529989887</c:v>
                </c:pt>
                <c:pt idx="99">
                  <c:v>7.9278491529989887</c:v>
                </c:pt>
                <c:pt idx="100">
                  <c:v>7.851142844238896</c:v>
                </c:pt>
                <c:pt idx="101">
                  <c:v>7.851142844238896</c:v>
                </c:pt>
                <c:pt idx="102">
                  <c:v>7.4849445579765872</c:v>
                </c:pt>
                <c:pt idx="103">
                  <c:v>7.8841438340565286</c:v>
                </c:pt>
                <c:pt idx="104">
                  <c:v>9.3506473405287736</c:v>
                </c:pt>
                <c:pt idx="105">
                  <c:v>7.6299580541576715</c:v>
                </c:pt>
                <c:pt idx="106">
                  <c:v>7.851142844238896</c:v>
                </c:pt>
                <c:pt idx="107">
                  <c:v>8.2940474392612984</c:v>
                </c:pt>
                <c:pt idx="108">
                  <c:v>7.4412392390341271</c:v>
                </c:pt>
                <c:pt idx="109">
                  <c:v>7.4849445579765872</c:v>
                </c:pt>
                <c:pt idx="110">
                  <c:v>7.4849445579765872</c:v>
                </c:pt>
                <c:pt idx="111">
                  <c:v>7.4412392390341271</c:v>
                </c:pt>
                <c:pt idx="112">
                  <c:v>7.4412392390341271</c:v>
                </c:pt>
                <c:pt idx="113">
                  <c:v>7.4412392390341271</c:v>
                </c:pt>
                <c:pt idx="114">
                  <c:v>7.9278491529989887</c:v>
                </c:pt>
                <c:pt idx="115">
                  <c:v>7.4849445579765872</c:v>
                </c:pt>
                <c:pt idx="116">
                  <c:v>7.4849445579765872</c:v>
                </c:pt>
                <c:pt idx="117">
                  <c:v>7.4412392390341271</c:v>
                </c:pt>
                <c:pt idx="118">
                  <c:v>7.4849445579765872</c:v>
                </c:pt>
                <c:pt idx="119">
                  <c:v>7.4412392390341271</c:v>
                </c:pt>
              </c:numCache>
            </c:numRef>
          </c:val>
        </c:ser>
        <c:axId val="145722752"/>
        <c:axId val="145753600"/>
      </c:barChart>
      <c:catAx>
        <c:axId val="145722752"/>
        <c:scaling>
          <c:orientation val="minMax"/>
        </c:scaling>
        <c:axPos val="b"/>
        <c:title>
          <c:tx>
            <c:rich>
              <a:bodyPr/>
              <a:lstStyle/>
              <a:p>
                <a:pPr>
                  <a:defRPr/>
                </a:pPr>
                <a:r>
                  <a:rPr lang="en-IN"/>
                  <a:t>w2</a:t>
                </a:r>
              </a:p>
            </c:rich>
          </c:tx>
        </c:title>
        <c:numFmt formatCode="General" sourceLinked="1"/>
        <c:tickLblPos val="nextTo"/>
        <c:crossAx val="145753600"/>
        <c:crosses val="autoZero"/>
        <c:auto val="1"/>
        <c:lblAlgn val="ctr"/>
        <c:lblOffset val="100"/>
      </c:catAx>
      <c:valAx>
        <c:axId val="145753600"/>
        <c:scaling>
          <c:orientation val="minMax"/>
        </c:scaling>
        <c:axPos val="l"/>
        <c:majorGridlines/>
        <c:title>
          <c:tx>
            <c:rich>
              <a:bodyPr/>
              <a:lstStyle/>
              <a:p>
                <a:pPr>
                  <a:defRPr/>
                </a:pPr>
                <a:r>
                  <a:rPr lang="en-IN"/>
                  <a:t>AVG SGPA</a:t>
                </a:r>
              </a:p>
            </c:rich>
          </c:tx>
        </c:title>
        <c:numFmt formatCode="0.000" sourceLinked="1"/>
        <c:tickLblPos val="nextTo"/>
        <c:crossAx val="145722752"/>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w3 Line Fit  Plot</a:t>
            </a:r>
          </a:p>
        </c:rich>
      </c:tx>
    </c:title>
    <c:plotArea>
      <c:layout/>
      <c:barChart>
        <c:barDir val="col"/>
        <c:grouping val="clustered"/>
        <c:ser>
          <c:idx val="0"/>
          <c:order val="0"/>
          <c:tx>
            <c:v>AVG SGPA</c:v>
          </c:tx>
          <c:cat>
            <c:numRef>
              <c:f>Dummy!$M$3:$M$122</c:f>
              <c:numCache>
                <c:formatCode>General</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1</c:v>
                </c:pt>
                <c:pt idx="94">
                  <c:v>0</c:v>
                </c:pt>
                <c:pt idx="95">
                  <c:v>0</c:v>
                </c:pt>
                <c:pt idx="96">
                  <c:v>0</c:v>
                </c:pt>
                <c:pt idx="97">
                  <c:v>0</c:v>
                </c:pt>
                <c:pt idx="98">
                  <c:v>0</c:v>
                </c:pt>
                <c:pt idx="99">
                  <c:v>0</c:v>
                </c:pt>
                <c:pt idx="100">
                  <c:v>0</c:v>
                </c:pt>
                <c:pt idx="101">
                  <c:v>0</c:v>
                </c:pt>
                <c:pt idx="102">
                  <c:v>0</c:v>
                </c:pt>
                <c:pt idx="103">
                  <c:v>0</c:v>
                </c:pt>
                <c:pt idx="104">
                  <c:v>1</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cat>
          <c:val>
            <c:numRef>
              <c:f>Dummy!$D$3:$D$122</c:f>
              <c:numCache>
                <c:formatCode>0.000</c:formatCode>
                <c:ptCount val="120"/>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pt idx="119">
                  <c:v>7.05</c:v>
                </c:pt>
              </c:numCache>
            </c:numRef>
          </c:val>
        </c:ser>
        <c:ser>
          <c:idx val="1"/>
          <c:order val="1"/>
          <c:tx>
            <c:v>Predicted AVG SGPA</c:v>
          </c:tx>
          <c:cat>
            <c:numRef>
              <c:f>Dummy!$M$3:$M$122</c:f>
              <c:numCache>
                <c:formatCode>General</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1</c:v>
                </c:pt>
                <c:pt idx="94">
                  <c:v>0</c:v>
                </c:pt>
                <c:pt idx="95">
                  <c:v>0</c:v>
                </c:pt>
                <c:pt idx="96">
                  <c:v>0</c:v>
                </c:pt>
                <c:pt idx="97">
                  <c:v>0</c:v>
                </c:pt>
                <c:pt idx="98">
                  <c:v>0</c:v>
                </c:pt>
                <c:pt idx="99">
                  <c:v>0</c:v>
                </c:pt>
                <c:pt idx="100">
                  <c:v>0</c:v>
                </c:pt>
                <c:pt idx="101">
                  <c:v>0</c:v>
                </c:pt>
                <c:pt idx="102">
                  <c:v>0</c:v>
                </c:pt>
                <c:pt idx="103">
                  <c:v>0</c:v>
                </c:pt>
                <c:pt idx="104">
                  <c:v>1</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cat>
          <c:val>
            <c:numRef>
              <c:f>Regression!$B$31:$B$150</c:f>
              <c:numCache>
                <c:formatCode>General</c:formatCode>
                <c:ptCount val="120"/>
                <c:pt idx="0">
                  <c:v>7.4849445579765872</c:v>
                </c:pt>
                <c:pt idx="1">
                  <c:v>8.474836149968505</c:v>
                </c:pt>
                <c:pt idx="2">
                  <c:v>7.4849445579765872</c:v>
                </c:pt>
                <c:pt idx="3">
                  <c:v>7.4412392390341271</c:v>
                </c:pt>
                <c:pt idx="4">
                  <c:v>7.9278491529989887</c:v>
                </c:pt>
                <c:pt idx="5">
                  <c:v>7.9278491529989887</c:v>
                </c:pt>
                <c:pt idx="6">
                  <c:v>7.8841438340565286</c:v>
                </c:pt>
                <c:pt idx="7">
                  <c:v>7.4849445579765872</c:v>
                </c:pt>
                <c:pt idx="8">
                  <c:v>8.0319315549461034</c:v>
                </c:pt>
                <c:pt idx="9">
                  <c:v>7.8841438340565286</c:v>
                </c:pt>
                <c:pt idx="10">
                  <c:v>7.4849445579765872</c:v>
                </c:pt>
                <c:pt idx="11">
                  <c:v>8.7789522975112053</c:v>
                </c:pt>
                <c:pt idx="12">
                  <c:v>7.6736633731001316</c:v>
                </c:pt>
                <c:pt idx="13">
                  <c:v>7.4412392390341271</c:v>
                </c:pt>
                <c:pt idx="14">
                  <c:v>8.2940474392612984</c:v>
                </c:pt>
                <c:pt idx="15">
                  <c:v>7.9278491529989887</c:v>
                </c:pt>
                <c:pt idx="16">
                  <c:v>7.8841438340565286</c:v>
                </c:pt>
                <c:pt idx="17">
                  <c:v>7.4412392390341271</c:v>
                </c:pt>
                <c:pt idx="18">
                  <c:v>8.2940474392612984</c:v>
                </c:pt>
                <c:pt idx="19">
                  <c:v>7.4849445579765872</c:v>
                </c:pt>
                <c:pt idx="20">
                  <c:v>7.851142844238896</c:v>
                </c:pt>
                <c:pt idx="21">
                  <c:v>7.4849445579765872</c:v>
                </c:pt>
                <c:pt idx="22">
                  <c:v>7.4849445579765872</c:v>
                </c:pt>
                <c:pt idx="23">
                  <c:v>8.0398616593624403</c:v>
                </c:pt>
                <c:pt idx="24">
                  <c:v>7.9278491529989887</c:v>
                </c:pt>
                <c:pt idx="25">
                  <c:v>7.851142844238896</c:v>
                </c:pt>
                <c:pt idx="26">
                  <c:v>7.9278491529989887</c:v>
                </c:pt>
                <c:pt idx="27">
                  <c:v>7.9278491529989887</c:v>
                </c:pt>
                <c:pt idx="28">
                  <c:v>8.2940474392612984</c:v>
                </c:pt>
                <c:pt idx="29">
                  <c:v>7.4849445579765872</c:v>
                </c:pt>
                <c:pt idx="30">
                  <c:v>7.4412392390341271</c:v>
                </c:pt>
                <c:pt idx="31">
                  <c:v>7.851142844238896</c:v>
                </c:pt>
                <c:pt idx="32">
                  <c:v>7.851142844238896</c:v>
                </c:pt>
                <c:pt idx="33">
                  <c:v>7.4849445579765872</c:v>
                </c:pt>
                <c:pt idx="34">
                  <c:v>7.851142844238896</c:v>
                </c:pt>
                <c:pt idx="35">
                  <c:v>7.851142844238896</c:v>
                </c:pt>
                <c:pt idx="36">
                  <c:v>8.2206503700696469</c:v>
                </c:pt>
                <c:pt idx="37">
                  <c:v>8.2940474392612984</c:v>
                </c:pt>
                <c:pt idx="38">
                  <c:v>7.4849445579765872</c:v>
                </c:pt>
                <c:pt idx="39">
                  <c:v>7.9278491529989887</c:v>
                </c:pt>
                <c:pt idx="40">
                  <c:v>7.4849445579765872</c:v>
                </c:pt>
                <c:pt idx="41">
                  <c:v>7.4412392390341271</c:v>
                </c:pt>
                <c:pt idx="42">
                  <c:v>7.6736633731001316</c:v>
                </c:pt>
                <c:pt idx="43">
                  <c:v>8.2940474392612984</c:v>
                </c:pt>
                <c:pt idx="44">
                  <c:v>8.2940474392612984</c:v>
                </c:pt>
                <c:pt idx="45">
                  <c:v>7.4849445579765872</c:v>
                </c:pt>
                <c:pt idx="46">
                  <c:v>7.9278491529989887</c:v>
                </c:pt>
                <c:pt idx="47">
                  <c:v>7.4849445579765872</c:v>
                </c:pt>
                <c:pt idx="48">
                  <c:v>8.0398616593624403</c:v>
                </c:pt>
                <c:pt idx="49">
                  <c:v>7.6299580541576715</c:v>
                </c:pt>
                <c:pt idx="50">
                  <c:v>7.4412392390341271</c:v>
                </c:pt>
                <c:pt idx="51">
                  <c:v>7.9278491529989887</c:v>
                </c:pt>
                <c:pt idx="52">
                  <c:v>7.4849445579765872</c:v>
                </c:pt>
                <c:pt idx="53">
                  <c:v>7.9278491529989887</c:v>
                </c:pt>
                <c:pt idx="54">
                  <c:v>8.0319315549461034</c:v>
                </c:pt>
                <c:pt idx="55">
                  <c:v>7.9278491529989887</c:v>
                </c:pt>
                <c:pt idx="56">
                  <c:v>7.9278491529989887</c:v>
                </c:pt>
                <c:pt idx="57">
                  <c:v>7.4849445579765872</c:v>
                </c:pt>
                <c:pt idx="58">
                  <c:v>7.9278491529989887</c:v>
                </c:pt>
                <c:pt idx="59">
                  <c:v>7.4849445579765872</c:v>
                </c:pt>
                <c:pt idx="60">
                  <c:v>7.4849445579765872</c:v>
                </c:pt>
                <c:pt idx="61">
                  <c:v>7.6736633731001316</c:v>
                </c:pt>
                <c:pt idx="62">
                  <c:v>7.9278491529989887</c:v>
                </c:pt>
                <c:pt idx="63">
                  <c:v>7.9278491529989887</c:v>
                </c:pt>
                <c:pt idx="64">
                  <c:v>7.4849445579765872</c:v>
                </c:pt>
                <c:pt idx="65">
                  <c:v>7.8841438340565286</c:v>
                </c:pt>
                <c:pt idx="66">
                  <c:v>8.2940474392612984</c:v>
                </c:pt>
                <c:pt idx="67">
                  <c:v>7.9278491529989887</c:v>
                </c:pt>
                <c:pt idx="68">
                  <c:v>7.4849445579765872</c:v>
                </c:pt>
                <c:pt idx="69">
                  <c:v>7.4412392390341271</c:v>
                </c:pt>
                <c:pt idx="70">
                  <c:v>7.4849445579765872</c:v>
                </c:pt>
                <c:pt idx="71">
                  <c:v>7.4849445579765872</c:v>
                </c:pt>
                <c:pt idx="72">
                  <c:v>7.8841438340565286</c:v>
                </c:pt>
                <c:pt idx="73">
                  <c:v>7.9278491529989887</c:v>
                </c:pt>
                <c:pt idx="74">
                  <c:v>7.4849445579765872</c:v>
                </c:pt>
                <c:pt idx="75">
                  <c:v>8.0398616593624403</c:v>
                </c:pt>
                <c:pt idx="76">
                  <c:v>7.851142844238896</c:v>
                </c:pt>
                <c:pt idx="77">
                  <c:v>7.851142844238896</c:v>
                </c:pt>
                <c:pt idx="78">
                  <c:v>7.851142844238896</c:v>
                </c:pt>
                <c:pt idx="79">
                  <c:v>7.9278491529989887</c:v>
                </c:pt>
                <c:pt idx="80">
                  <c:v>8.3360477024888038</c:v>
                </c:pt>
                <c:pt idx="81">
                  <c:v>7.4412392390341271</c:v>
                </c:pt>
                <c:pt idx="82">
                  <c:v>7.4412392390341271</c:v>
                </c:pt>
                <c:pt idx="83">
                  <c:v>7.851142844238896</c:v>
                </c:pt>
                <c:pt idx="84">
                  <c:v>7.8841438340565286</c:v>
                </c:pt>
                <c:pt idx="85">
                  <c:v>7.851142844238896</c:v>
                </c:pt>
                <c:pt idx="86">
                  <c:v>7.8841438340565286</c:v>
                </c:pt>
                <c:pt idx="87">
                  <c:v>7.4849445579765872</c:v>
                </c:pt>
                <c:pt idx="88">
                  <c:v>8.2206503700696469</c:v>
                </c:pt>
                <c:pt idx="89">
                  <c:v>7.9278491529989887</c:v>
                </c:pt>
                <c:pt idx="90">
                  <c:v>7.6299580541576715</c:v>
                </c:pt>
                <c:pt idx="91">
                  <c:v>7.4849445579765872</c:v>
                </c:pt>
                <c:pt idx="92">
                  <c:v>7.4849445579765872</c:v>
                </c:pt>
                <c:pt idx="93">
                  <c:v>9.3943526594712328</c:v>
                </c:pt>
                <c:pt idx="94">
                  <c:v>7.4412392390341271</c:v>
                </c:pt>
                <c:pt idx="95">
                  <c:v>7.851142844238896</c:v>
                </c:pt>
                <c:pt idx="96">
                  <c:v>7.4849445579765872</c:v>
                </c:pt>
                <c:pt idx="97">
                  <c:v>7.851142844238896</c:v>
                </c:pt>
                <c:pt idx="98">
                  <c:v>7.9278491529989887</c:v>
                </c:pt>
                <c:pt idx="99">
                  <c:v>7.9278491529989887</c:v>
                </c:pt>
                <c:pt idx="100">
                  <c:v>7.851142844238896</c:v>
                </c:pt>
                <c:pt idx="101">
                  <c:v>7.851142844238896</c:v>
                </c:pt>
                <c:pt idx="102">
                  <c:v>7.4849445579765872</c:v>
                </c:pt>
                <c:pt idx="103">
                  <c:v>7.8841438340565286</c:v>
                </c:pt>
                <c:pt idx="104">
                  <c:v>9.3506473405287736</c:v>
                </c:pt>
                <c:pt idx="105">
                  <c:v>7.6299580541576715</c:v>
                </c:pt>
                <c:pt idx="106">
                  <c:v>7.851142844238896</c:v>
                </c:pt>
                <c:pt idx="107">
                  <c:v>8.2940474392612984</c:v>
                </c:pt>
                <c:pt idx="108">
                  <c:v>7.4412392390341271</c:v>
                </c:pt>
                <c:pt idx="109">
                  <c:v>7.4849445579765872</c:v>
                </c:pt>
                <c:pt idx="110">
                  <c:v>7.4849445579765872</c:v>
                </c:pt>
                <c:pt idx="111">
                  <c:v>7.4412392390341271</c:v>
                </c:pt>
                <c:pt idx="112">
                  <c:v>7.4412392390341271</c:v>
                </c:pt>
                <c:pt idx="113">
                  <c:v>7.4412392390341271</c:v>
                </c:pt>
                <c:pt idx="114">
                  <c:v>7.9278491529989887</c:v>
                </c:pt>
                <c:pt idx="115">
                  <c:v>7.4849445579765872</c:v>
                </c:pt>
                <c:pt idx="116">
                  <c:v>7.4849445579765872</c:v>
                </c:pt>
                <c:pt idx="117">
                  <c:v>7.4412392390341271</c:v>
                </c:pt>
                <c:pt idx="118">
                  <c:v>7.4849445579765872</c:v>
                </c:pt>
                <c:pt idx="119">
                  <c:v>7.4412392390341271</c:v>
                </c:pt>
              </c:numCache>
            </c:numRef>
          </c:val>
        </c:ser>
        <c:axId val="145774848"/>
        <c:axId val="145789312"/>
      </c:barChart>
      <c:catAx>
        <c:axId val="145774848"/>
        <c:scaling>
          <c:orientation val="minMax"/>
        </c:scaling>
        <c:axPos val="b"/>
        <c:title>
          <c:tx>
            <c:rich>
              <a:bodyPr/>
              <a:lstStyle/>
              <a:p>
                <a:pPr>
                  <a:defRPr/>
                </a:pPr>
                <a:r>
                  <a:rPr lang="en-IN"/>
                  <a:t>w3</a:t>
                </a:r>
              </a:p>
            </c:rich>
          </c:tx>
        </c:title>
        <c:numFmt formatCode="General" sourceLinked="1"/>
        <c:tickLblPos val="nextTo"/>
        <c:crossAx val="145789312"/>
        <c:crosses val="autoZero"/>
        <c:auto val="1"/>
        <c:lblAlgn val="ctr"/>
        <c:lblOffset val="100"/>
      </c:catAx>
      <c:valAx>
        <c:axId val="145789312"/>
        <c:scaling>
          <c:orientation val="minMax"/>
        </c:scaling>
        <c:axPos val="l"/>
        <c:majorGridlines/>
        <c:title>
          <c:tx>
            <c:rich>
              <a:bodyPr/>
              <a:lstStyle/>
              <a:p>
                <a:pPr>
                  <a:defRPr/>
                </a:pPr>
                <a:r>
                  <a:rPr lang="en-IN"/>
                  <a:t>AVG SGPA</a:t>
                </a:r>
              </a:p>
            </c:rich>
          </c:tx>
        </c:title>
        <c:numFmt formatCode="0.000" sourceLinked="1"/>
        <c:tickLblPos val="nextTo"/>
        <c:crossAx val="145774848"/>
        <c:crosses val="autoZero"/>
        <c:crossBetween val="between"/>
      </c:valAx>
    </c:plotArea>
    <c:legend>
      <c:legendPos val="r"/>
    </c:legend>
    <c:plotVisOnly val="1"/>
  </c:chart>
  <c:printSettings>
    <c:headerFooter/>
    <c:pageMargins b="0.75000000000000078" l="0.70000000000000062" r="0.70000000000000062" t="0.75000000000000078"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1 Line Fit  Plot</a:t>
            </a:r>
          </a:p>
        </c:rich>
      </c:tx>
    </c:title>
    <c:plotArea>
      <c:layout/>
      <c:barChart>
        <c:barDir val="col"/>
        <c:grouping val="clustered"/>
        <c:ser>
          <c:idx val="0"/>
          <c:order val="0"/>
          <c:tx>
            <c:v>Y</c:v>
          </c:tx>
          <c:cat>
            <c:numRef>
              <c:f>'Dummy-II'!$I$3:$I$44</c:f>
              <c:numCache>
                <c:formatCode>General</c:formatCode>
                <c:ptCount val="42"/>
                <c:pt idx="0">
                  <c:v>0</c:v>
                </c:pt>
                <c:pt idx="1">
                  <c:v>0</c:v>
                </c:pt>
                <c:pt idx="2">
                  <c:v>0</c:v>
                </c:pt>
                <c:pt idx="3">
                  <c:v>1</c:v>
                </c:pt>
                <c:pt idx="4">
                  <c:v>0</c:v>
                </c:pt>
                <c:pt idx="5">
                  <c:v>0</c:v>
                </c:pt>
                <c:pt idx="6">
                  <c:v>1</c:v>
                </c:pt>
                <c:pt idx="7">
                  <c:v>0</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0</c:v>
                </c:pt>
                <c:pt idx="33">
                  <c:v>0</c:v>
                </c:pt>
                <c:pt idx="34">
                  <c:v>0</c:v>
                </c:pt>
                <c:pt idx="35">
                  <c:v>1</c:v>
                </c:pt>
                <c:pt idx="36">
                  <c:v>1</c:v>
                </c:pt>
                <c:pt idx="37">
                  <c:v>1</c:v>
                </c:pt>
                <c:pt idx="38">
                  <c:v>1</c:v>
                </c:pt>
                <c:pt idx="39">
                  <c:v>0</c:v>
                </c:pt>
                <c:pt idx="40">
                  <c:v>0</c:v>
                </c:pt>
                <c:pt idx="41">
                  <c:v>1</c:v>
                </c:pt>
              </c:numCache>
            </c:numRef>
          </c:cat>
          <c:val>
            <c:numRef>
              <c:f>'Dummy-II'!$D$3:$D$44</c:f>
              <c:numCache>
                <c:formatCode>0.000</c:formatCode>
                <c:ptCount val="42"/>
                <c:pt idx="0">
                  <c:v>7.3768000000000002</c:v>
                </c:pt>
                <c:pt idx="1">
                  <c:v>9.613999999999999</c:v>
                </c:pt>
                <c:pt idx="2">
                  <c:v>7.6019999999999994</c:v>
                </c:pt>
                <c:pt idx="3">
                  <c:v>8.0359999999999996</c:v>
                </c:pt>
                <c:pt idx="4">
                  <c:v>8.4477999999999991</c:v>
                </c:pt>
                <c:pt idx="5">
                  <c:v>8.120000000000001</c:v>
                </c:pt>
                <c:pt idx="6">
                  <c:v>8.3580000000000005</c:v>
                </c:pt>
                <c:pt idx="7">
                  <c:v>7.9320000000000004</c:v>
                </c:pt>
                <c:pt idx="8">
                  <c:v>8.2574000000000005</c:v>
                </c:pt>
                <c:pt idx="9">
                  <c:v>9.0220000000000002</c:v>
                </c:pt>
                <c:pt idx="10">
                  <c:v>9.1059999999999999</c:v>
                </c:pt>
                <c:pt idx="11">
                  <c:v>6.6597999999999997</c:v>
                </c:pt>
                <c:pt idx="12">
                  <c:v>7.7336</c:v>
                </c:pt>
                <c:pt idx="13">
                  <c:v>8.1001999999999992</c:v>
                </c:pt>
                <c:pt idx="14">
                  <c:v>7.94</c:v>
                </c:pt>
                <c:pt idx="15">
                  <c:v>8.6128000000000018</c:v>
                </c:pt>
                <c:pt idx="16">
                  <c:v>7.971000000000001</c:v>
                </c:pt>
                <c:pt idx="17">
                  <c:v>8.072000000000001</c:v>
                </c:pt>
                <c:pt idx="18">
                  <c:v>6.6482000000000001</c:v>
                </c:pt>
                <c:pt idx="19">
                  <c:v>7.2551999999999994</c:v>
                </c:pt>
                <c:pt idx="20">
                  <c:v>7.99</c:v>
                </c:pt>
                <c:pt idx="21">
                  <c:v>6.5489999999999995</c:v>
                </c:pt>
                <c:pt idx="22">
                  <c:v>7.7274000000000003</c:v>
                </c:pt>
                <c:pt idx="23">
                  <c:v>8.5597999999999992</c:v>
                </c:pt>
                <c:pt idx="24">
                  <c:v>7.7319999999999993</c:v>
                </c:pt>
                <c:pt idx="25">
                  <c:v>7.25</c:v>
                </c:pt>
                <c:pt idx="26">
                  <c:v>7.4595999999999991</c:v>
                </c:pt>
                <c:pt idx="27">
                  <c:v>7.18</c:v>
                </c:pt>
                <c:pt idx="28">
                  <c:v>6.8437999999999999</c:v>
                </c:pt>
                <c:pt idx="29">
                  <c:v>6.87</c:v>
                </c:pt>
                <c:pt idx="30">
                  <c:v>7.8849999999999998</c:v>
                </c:pt>
                <c:pt idx="31">
                  <c:v>8.8148000000000017</c:v>
                </c:pt>
                <c:pt idx="32">
                  <c:v>6.2720000000000002</c:v>
                </c:pt>
                <c:pt idx="33">
                  <c:v>7.9602000000000004</c:v>
                </c:pt>
                <c:pt idx="34">
                  <c:v>9.2519999999999989</c:v>
                </c:pt>
                <c:pt idx="35">
                  <c:v>7.4611999999999998</c:v>
                </c:pt>
                <c:pt idx="36">
                  <c:v>6.4567999999999994</c:v>
                </c:pt>
                <c:pt idx="37">
                  <c:v>7.3816000000000006</c:v>
                </c:pt>
                <c:pt idx="38">
                  <c:v>8.4719999999999995</c:v>
                </c:pt>
                <c:pt idx="39">
                  <c:v>7.2459999999999996</c:v>
                </c:pt>
                <c:pt idx="40">
                  <c:v>9.1340000000000003</c:v>
                </c:pt>
                <c:pt idx="41">
                  <c:v>8.0920000000000005</c:v>
                </c:pt>
              </c:numCache>
            </c:numRef>
          </c:val>
        </c:ser>
        <c:ser>
          <c:idx val="1"/>
          <c:order val="1"/>
          <c:tx>
            <c:v>Predicted Y</c:v>
          </c:tx>
          <c:cat>
            <c:numRef>
              <c:f>'Dummy-II'!$I$3:$I$44</c:f>
              <c:numCache>
                <c:formatCode>General</c:formatCode>
                <c:ptCount val="42"/>
                <c:pt idx="0">
                  <c:v>0</c:v>
                </c:pt>
                <c:pt idx="1">
                  <c:v>0</c:v>
                </c:pt>
                <c:pt idx="2">
                  <c:v>0</c:v>
                </c:pt>
                <c:pt idx="3">
                  <c:v>1</c:v>
                </c:pt>
                <c:pt idx="4">
                  <c:v>0</c:v>
                </c:pt>
                <c:pt idx="5">
                  <c:v>0</c:v>
                </c:pt>
                <c:pt idx="6">
                  <c:v>1</c:v>
                </c:pt>
                <c:pt idx="7">
                  <c:v>0</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0</c:v>
                </c:pt>
                <c:pt idx="33">
                  <c:v>0</c:v>
                </c:pt>
                <c:pt idx="34">
                  <c:v>0</c:v>
                </c:pt>
                <c:pt idx="35">
                  <c:v>1</c:v>
                </c:pt>
                <c:pt idx="36">
                  <c:v>1</c:v>
                </c:pt>
                <c:pt idx="37">
                  <c:v>1</c:v>
                </c:pt>
                <c:pt idx="38">
                  <c:v>1</c:v>
                </c:pt>
                <c:pt idx="39">
                  <c:v>0</c:v>
                </c:pt>
                <c:pt idx="40">
                  <c:v>0</c:v>
                </c:pt>
                <c:pt idx="41">
                  <c:v>1</c:v>
                </c:pt>
              </c:numCache>
            </c:numRef>
          </c:cat>
          <c:val>
            <c:numRef>
              <c:f>'Regression-II'!$B$31:$B$72</c:f>
              <c:numCache>
                <c:formatCode>General</c:formatCode>
                <c:ptCount val="42"/>
                <c:pt idx="0">
                  <c:v>7.540606289308176</c:v>
                </c:pt>
                <c:pt idx="1">
                  <c:v>9.0482046383647781</c:v>
                </c:pt>
                <c:pt idx="2">
                  <c:v>7.540606289308176</c:v>
                </c:pt>
                <c:pt idx="3">
                  <c:v>7.6889997248427662</c:v>
                </c:pt>
                <c:pt idx="4">
                  <c:v>7.7656155660377362</c:v>
                </c:pt>
                <c:pt idx="5">
                  <c:v>7.7656155660377362</c:v>
                </c:pt>
                <c:pt idx="6">
                  <c:v>7.9140090015723263</c:v>
                </c:pt>
                <c:pt idx="7">
                  <c:v>7.540606289308176</c:v>
                </c:pt>
                <c:pt idx="8">
                  <c:v>8.8231953616352179</c:v>
                </c:pt>
                <c:pt idx="9">
                  <c:v>7.9140090015723263</c:v>
                </c:pt>
                <c:pt idx="10">
                  <c:v>7.540606289308176</c:v>
                </c:pt>
                <c:pt idx="11">
                  <c:v>7.7656155660377362</c:v>
                </c:pt>
                <c:pt idx="12">
                  <c:v>8.0566752751572324</c:v>
                </c:pt>
                <c:pt idx="13">
                  <c:v>7.8316659984276722</c:v>
                </c:pt>
                <c:pt idx="14">
                  <c:v>7.540606289308176</c:v>
                </c:pt>
                <c:pt idx="15">
                  <c:v>7.9652220911949687</c:v>
                </c:pt>
                <c:pt idx="16">
                  <c:v>7.8316659984276722</c:v>
                </c:pt>
                <c:pt idx="17">
                  <c:v>7.7656155660377362</c:v>
                </c:pt>
                <c:pt idx="18">
                  <c:v>8.0566752751572324</c:v>
                </c:pt>
                <c:pt idx="19">
                  <c:v>7.540606289308176</c:v>
                </c:pt>
                <c:pt idx="20">
                  <c:v>7.8316659984276722</c:v>
                </c:pt>
                <c:pt idx="21">
                  <c:v>7.8316659984276722</c:v>
                </c:pt>
                <c:pt idx="22">
                  <c:v>7.7656155660377362</c:v>
                </c:pt>
                <c:pt idx="23">
                  <c:v>8.0566752751572324</c:v>
                </c:pt>
                <c:pt idx="24">
                  <c:v>7.540606289308176</c:v>
                </c:pt>
                <c:pt idx="25">
                  <c:v>7.7656155660377362</c:v>
                </c:pt>
                <c:pt idx="26">
                  <c:v>7.540606289308176</c:v>
                </c:pt>
                <c:pt idx="27">
                  <c:v>7.8225558176100627</c:v>
                </c:pt>
                <c:pt idx="28">
                  <c:v>7.540606289308176</c:v>
                </c:pt>
                <c:pt idx="29">
                  <c:v>7.7656155660377362</c:v>
                </c:pt>
                <c:pt idx="30">
                  <c:v>7.7656155660377362</c:v>
                </c:pt>
                <c:pt idx="31">
                  <c:v>7.540606289308176</c:v>
                </c:pt>
                <c:pt idx="32">
                  <c:v>7.540606289308176</c:v>
                </c:pt>
                <c:pt idx="33">
                  <c:v>7.9652220911949687</c:v>
                </c:pt>
                <c:pt idx="34">
                  <c:v>9.2519999999999989</c:v>
                </c:pt>
                <c:pt idx="35">
                  <c:v>7.6889997248427662</c:v>
                </c:pt>
                <c:pt idx="36">
                  <c:v>7.6889997248427662</c:v>
                </c:pt>
                <c:pt idx="37">
                  <c:v>7.9140090015723263</c:v>
                </c:pt>
                <c:pt idx="38">
                  <c:v>7.9140090015723263</c:v>
                </c:pt>
                <c:pt idx="39">
                  <c:v>7.540606289308176</c:v>
                </c:pt>
                <c:pt idx="40">
                  <c:v>7.8316659984276722</c:v>
                </c:pt>
                <c:pt idx="41">
                  <c:v>7.9140090015723263</c:v>
                </c:pt>
              </c:numCache>
            </c:numRef>
          </c:val>
        </c:ser>
        <c:axId val="145996800"/>
        <c:axId val="146003072"/>
      </c:barChart>
      <c:catAx>
        <c:axId val="145996800"/>
        <c:scaling>
          <c:orientation val="minMax"/>
        </c:scaling>
        <c:axPos val="b"/>
        <c:title>
          <c:tx>
            <c:rich>
              <a:bodyPr/>
              <a:lstStyle/>
              <a:p>
                <a:pPr>
                  <a:defRPr/>
                </a:pPr>
                <a:r>
                  <a:rPr lang="en-IN"/>
                  <a:t>X Variable 1</a:t>
                </a:r>
              </a:p>
            </c:rich>
          </c:tx>
        </c:title>
        <c:numFmt formatCode="General" sourceLinked="1"/>
        <c:tickLblPos val="nextTo"/>
        <c:crossAx val="146003072"/>
        <c:crosses val="autoZero"/>
        <c:auto val="1"/>
        <c:lblAlgn val="ctr"/>
        <c:lblOffset val="100"/>
      </c:catAx>
      <c:valAx>
        <c:axId val="146003072"/>
        <c:scaling>
          <c:orientation val="minMax"/>
        </c:scaling>
        <c:axPos val="l"/>
        <c:majorGridlines/>
        <c:title>
          <c:tx>
            <c:rich>
              <a:bodyPr/>
              <a:lstStyle/>
              <a:p>
                <a:pPr>
                  <a:defRPr/>
                </a:pPr>
                <a:r>
                  <a:rPr lang="en-IN"/>
                  <a:t>Y</a:t>
                </a:r>
              </a:p>
            </c:rich>
          </c:tx>
        </c:title>
        <c:numFmt formatCode="0.000" sourceLinked="1"/>
        <c:tickLblPos val="nextTo"/>
        <c:crossAx val="145996800"/>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2 Line Fit  Plot</a:t>
            </a:r>
          </a:p>
        </c:rich>
      </c:tx>
    </c:title>
    <c:plotArea>
      <c:layout/>
      <c:barChart>
        <c:barDir val="col"/>
        <c:grouping val="clustered"/>
        <c:ser>
          <c:idx val="0"/>
          <c:order val="0"/>
          <c:tx>
            <c:v>Y</c:v>
          </c:tx>
          <c:cat>
            <c:numRef>
              <c:f>'Dummy-II'!$J$3:$J$44</c:f>
              <c:numCache>
                <c:formatCode>General</c:formatCode>
                <c:ptCount val="42"/>
                <c:pt idx="0">
                  <c:v>1</c:v>
                </c:pt>
                <c:pt idx="1">
                  <c:v>0</c:v>
                </c:pt>
                <c:pt idx="2">
                  <c:v>1</c:v>
                </c:pt>
                <c:pt idx="3">
                  <c:v>0</c:v>
                </c:pt>
                <c:pt idx="4">
                  <c:v>1</c:v>
                </c:pt>
                <c:pt idx="5">
                  <c:v>1</c:v>
                </c:pt>
                <c:pt idx="6">
                  <c:v>0</c:v>
                </c:pt>
                <c:pt idx="7">
                  <c:v>1</c:v>
                </c:pt>
                <c:pt idx="8">
                  <c:v>0</c:v>
                </c:pt>
                <c:pt idx="9">
                  <c:v>0</c:v>
                </c:pt>
                <c:pt idx="10">
                  <c:v>1</c:v>
                </c:pt>
                <c:pt idx="11">
                  <c:v>1</c:v>
                </c:pt>
                <c:pt idx="12">
                  <c:v>0</c:v>
                </c:pt>
                <c:pt idx="13">
                  <c:v>0</c:v>
                </c:pt>
                <c:pt idx="14">
                  <c:v>1</c:v>
                </c:pt>
                <c:pt idx="15">
                  <c:v>0</c:v>
                </c:pt>
                <c:pt idx="16">
                  <c:v>0</c:v>
                </c:pt>
                <c:pt idx="17">
                  <c:v>1</c:v>
                </c:pt>
                <c:pt idx="18">
                  <c:v>0</c:v>
                </c:pt>
                <c:pt idx="19">
                  <c:v>1</c:v>
                </c:pt>
                <c:pt idx="20">
                  <c:v>0</c:v>
                </c:pt>
                <c:pt idx="21">
                  <c:v>0</c:v>
                </c:pt>
                <c:pt idx="22">
                  <c:v>1</c:v>
                </c:pt>
                <c:pt idx="23">
                  <c:v>0</c:v>
                </c:pt>
                <c:pt idx="24">
                  <c:v>1</c:v>
                </c:pt>
                <c:pt idx="25">
                  <c:v>1</c:v>
                </c:pt>
                <c:pt idx="26">
                  <c:v>1</c:v>
                </c:pt>
                <c:pt idx="27">
                  <c:v>0</c:v>
                </c:pt>
                <c:pt idx="28">
                  <c:v>1</c:v>
                </c:pt>
                <c:pt idx="29">
                  <c:v>1</c:v>
                </c:pt>
                <c:pt idx="30">
                  <c:v>1</c:v>
                </c:pt>
                <c:pt idx="31">
                  <c:v>1</c:v>
                </c:pt>
                <c:pt idx="32">
                  <c:v>1</c:v>
                </c:pt>
                <c:pt idx="33">
                  <c:v>0</c:v>
                </c:pt>
                <c:pt idx="34">
                  <c:v>0</c:v>
                </c:pt>
                <c:pt idx="35">
                  <c:v>0</c:v>
                </c:pt>
                <c:pt idx="36">
                  <c:v>0</c:v>
                </c:pt>
                <c:pt idx="37">
                  <c:v>0</c:v>
                </c:pt>
                <c:pt idx="38">
                  <c:v>0</c:v>
                </c:pt>
                <c:pt idx="39">
                  <c:v>1</c:v>
                </c:pt>
                <c:pt idx="40">
                  <c:v>0</c:v>
                </c:pt>
                <c:pt idx="41">
                  <c:v>0</c:v>
                </c:pt>
              </c:numCache>
            </c:numRef>
          </c:cat>
          <c:val>
            <c:numRef>
              <c:f>'Dummy-II'!$D$3:$D$44</c:f>
              <c:numCache>
                <c:formatCode>0.000</c:formatCode>
                <c:ptCount val="42"/>
                <c:pt idx="0">
                  <c:v>7.3768000000000002</c:v>
                </c:pt>
                <c:pt idx="1">
                  <c:v>9.613999999999999</c:v>
                </c:pt>
                <c:pt idx="2">
                  <c:v>7.6019999999999994</c:v>
                </c:pt>
                <c:pt idx="3">
                  <c:v>8.0359999999999996</c:v>
                </c:pt>
                <c:pt idx="4">
                  <c:v>8.4477999999999991</c:v>
                </c:pt>
                <c:pt idx="5">
                  <c:v>8.120000000000001</c:v>
                </c:pt>
                <c:pt idx="6">
                  <c:v>8.3580000000000005</c:v>
                </c:pt>
                <c:pt idx="7">
                  <c:v>7.9320000000000004</c:v>
                </c:pt>
                <c:pt idx="8">
                  <c:v>8.2574000000000005</c:v>
                </c:pt>
                <c:pt idx="9">
                  <c:v>9.0220000000000002</c:v>
                </c:pt>
                <c:pt idx="10">
                  <c:v>9.1059999999999999</c:v>
                </c:pt>
                <c:pt idx="11">
                  <c:v>6.6597999999999997</c:v>
                </c:pt>
                <c:pt idx="12">
                  <c:v>7.7336</c:v>
                </c:pt>
                <c:pt idx="13">
                  <c:v>8.1001999999999992</c:v>
                </c:pt>
                <c:pt idx="14">
                  <c:v>7.94</c:v>
                </c:pt>
                <c:pt idx="15">
                  <c:v>8.6128000000000018</c:v>
                </c:pt>
                <c:pt idx="16">
                  <c:v>7.971000000000001</c:v>
                </c:pt>
                <c:pt idx="17">
                  <c:v>8.072000000000001</c:v>
                </c:pt>
                <c:pt idx="18">
                  <c:v>6.6482000000000001</c:v>
                </c:pt>
                <c:pt idx="19">
                  <c:v>7.2551999999999994</c:v>
                </c:pt>
                <c:pt idx="20">
                  <c:v>7.99</c:v>
                </c:pt>
                <c:pt idx="21">
                  <c:v>6.5489999999999995</c:v>
                </c:pt>
                <c:pt idx="22">
                  <c:v>7.7274000000000003</c:v>
                </c:pt>
                <c:pt idx="23">
                  <c:v>8.5597999999999992</c:v>
                </c:pt>
                <c:pt idx="24">
                  <c:v>7.7319999999999993</c:v>
                </c:pt>
                <c:pt idx="25">
                  <c:v>7.25</c:v>
                </c:pt>
                <c:pt idx="26">
                  <c:v>7.4595999999999991</c:v>
                </c:pt>
                <c:pt idx="27">
                  <c:v>7.18</c:v>
                </c:pt>
                <c:pt idx="28">
                  <c:v>6.8437999999999999</c:v>
                </c:pt>
                <c:pt idx="29">
                  <c:v>6.87</c:v>
                </c:pt>
                <c:pt idx="30">
                  <c:v>7.8849999999999998</c:v>
                </c:pt>
                <c:pt idx="31">
                  <c:v>8.8148000000000017</c:v>
                </c:pt>
                <c:pt idx="32">
                  <c:v>6.2720000000000002</c:v>
                </c:pt>
                <c:pt idx="33">
                  <c:v>7.9602000000000004</c:v>
                </c:pt>
                <c:pt idx="34">
                  <c:v>9.2519999999999989</c:v>
                </c:pt>
                <c:pt idx="35">
                  <c:v>7.4611999999999998</c:v>
                </c:pt>
                <c:pt idx="36">
                  <c:v>6.4567999999999994</c:v>
                </c:pt>
                <c:pt idx="37">
                  <c:v>7.3816000000000006</c:v>
                </c:pt>
                <c:pt idx="38">
                  <c:v>8.4719999999999995</c:v>
                </c:pt>
                <c:pt idx="39">
                  <c:v>7.2459999999999996</c:v>
                </c:pt>
                <c:pt idx="40">
                  <c:v>9.1340000000000003</c:v>
                </c:pt>
                <c:pt idx="41">
                  <c:v>8.0920000000000005</c:v>
                </c:pt>
              </c:numCache>
            </c:numRef>
          </c:val>
        </c:ser>
        <c:ser>
          <c:idx val="1"/>
          <c:order val="1"/>
          <c:tx>
            <c:v>Predicted Y</c:v>
          </c:tx>
          <c:cat>
            <c:numRef>
              <c:f>'Dummy-II'!$J$3:$J$44</c:f>
              <c:numCache>
                <c:formatCode>General</c:formatCode>
                <c:ptCount val="42"/>
                <c:pt idx="0">
                  <c:v>1</c:v>
                </c:pt>
                <c:pt idx="1">
                  <c:v>0</c:v>
                </c:pt>
                <c:pt idx="2">
                  <c:v>1</c:v>
                </c:pt>
                <c:pt idx="3">
                  <c:v>0</c:v>
                </c:pt>
                <c:pt idx="4">
                  <c:v>1</c:v>
                </c:pt>
                <c:pt idx="5">
                  <c:v>1</c:v>
                </c:pt>
                <c:pt idx="6">
                  <c:v>0</c:v>
                </c:pt>
                <c:pt idx="7">
                  <c:v>1</c:v>
                </c:pt>
                <c:pt idx="8">
                  <c:v>0</c:v>
                </c:pt>
                <c:pt idx="9">
                  <c:v>0</c:v>
                </c:pt>
                <c:pt idx="10">
                  <c:v>1</c:v>
                </c:pt>
                <c:pt idx="11">
                  <c:v>1</c:v>
                </c:pt>
                <c:pt idx="12">
                  <c:v>0</c:v>
                </c:pt>
                <c:pt idx="13">
                  <c:v>0</c:v>
                </c:pt>
                <c:pt idx="14">
                  <c:v>1</c:v>
                </c:pt>
                <c:pt idx="15">
                  <c:v>0</c:v>
                </c:pt>
                <c:pt idx="16">
                  <c:v>0</c:v>
                </c:pt>
                <c:pt idx="17">
                  <c:v>1</c:v>
                </c:pt>
                <c:pt idx="18">
                  <c:v>0</c:v>
                </c:pt>
                <c:pt idx="19">
                  <c:v>1</c:v>
                </c:pt>
                <c:pt idx="20">
                  <c:v>0</c:v>
                </c:pt>
                <c:pt idx="21">
                  <c:v>0</c:v>
                </c:pt>
                <c:pt idx="22">
                  <c:v>1</c:v>
                </c:pt>
                <c:pt idx="23">
                  <c:v>0</c:v>
                </c:pt>
                <c:pt idx="24">
                  <c:v>1</c:v>
                </c:pt>
                <c:pt idx="25">
                  <c:v>1</c:v>
                </c:pt>
                <c:pt idx="26">
                  <c:v>1</c:v>
                </c:pt>
                <c:pt idx="27">
                  <c:v>0</c:v>
                </c:pt>
                <c:pt idx="28">
                  <c:v>1</c:v>
                </c:pt>
                <c:pt idx="29">
                  <c:v>1</c:v>
                </c:pt>
                <c:pt idx="30">
                  <c:v>1</c:v>
                </c:pt>
                <c:pt idx="31">
                  <c:v>1</c:v>
                </c:pt>
                <c:pt idx="32">
                  <c:v>1</c:v>
                </c:pt>
                <c:pt idx="33">
                  <c:v>0</c:v>
                </c:pt>
                <c:pt idx="34">
                  <c:v>0</c:v>
                </c:pt>
                <c:pt idx="35">
                  <c:v>0</c:v>
                </c:pt>
                <c:pt idx="36">
                  <c:v>0</c:v>
                </c:pt>
                <c:pt idx="37">
                  <c:v>0</c:v>
                </c:pt>
                <c:pt idx="38">
                  <c:v>0</c:v>
                </c:pt>
                <c:pt idx="39">
                  <c:v>1</c:v>
                </c:pt>
                <c:pt idx="40">
                  <c:v>0</c:v>
                </c:pt>
                <c:pt idx="41">
                  <c:v>0</c:v>
                </c:pt>
              </c:numCache>
            </c:numRef>
          </c:cat>
          <c:val>
            <c:numRef>
              <c:f>'Regression-II'!$B$31:$B$72</c:f>
              <c:numCache>
                <c:formatCode>General</c:formatCode>
                <c:ptCount val="42"/>
                <c:pt idx="0">
                  <c:v>7.540606289308176</c:v>
                </c:pt>
                <c:pt idx="1">
                  <c:v>9.0482046383647781</c:v>
                </c:pt>
                <c:pt idx="2">
                  <c:v>7.540606289308176</c:v>
                </c:pt>
                <c:pt idx="3">
                  <c:v>7.6889997248427662</c:v>
                </c:pt>
                <c:pt idx="4">
                  <c:v>7.7656155660377362</c:v>
                </c:pt>
                <c:pt idx="5">
                  <c:v>7.7656155660377362</c:v>
                </c:pt>
                <c:pt idx="6">
                  <c:v>7.9140090015723263</c:v>
                </c:pt>
                <c:pt idx="7">
                  <c:v>7.540606289308176</c:v>
                </c:pt>
                <c:pt idx="8">
                  <c:v>8.8231953616352179</c:v>
                </c:pt>
                <c:pt idx="9">
                  <c:v>7.9140090015723263</c:v>
                </c:pt>
                <c:pt idx="10">
                  <c:v>7.540606289308176</c:v>
                </c:pt>
                <c:pt idx="11">
                  <c:v>7.7656155660377362</c:v>
                </c:pt>
                <c:pt idx="12">
                  <c:v>8.0566752751572324</c:v>
                </c:pt>
                <c:pt idx="13">
                  <c:v>7.8316659984276722</c:v>
                </c:pt>
                <c:pt idx="14">
                  <c:v>7.540606289308176</c:v>
                </c:pt>
                <c:pt idx="15">
                  <c:v>7.9652220911949687</c:v>
                </c:pt>
                <c:pt idx="16">
                  <c:v>7.8316659984276722</c:v>
                </c:pt>
                <c:pt idx="17">
                  <c:v>7.7656155660377362</c:v>
                </c:pt>
                <c:pt idx="18">
                  <c:v>8.0566752751572324</c:v>
                </c:pt>
                <c:pt idx="19">
                  <c:v>7.540606289308176</c:v>
                </c:pt>
                <c:pt idx="20">
                  <c:v>7.8316659984276722</c:v>
                </c:pt>
                <c:pt idx="21">
                  <c:v>7.8316659984276722</c:v>
                </c:pt>
                <c:pt idx="22">
                  <c:v>7.7656155660377362</c:v>
                </c:pt>
                <c:pt idx="23">
                  <c:v>8.0566752751572324</c:v>
                </c:pt>
                <c:pt idx="24">
                  <c:v>7.540606289308176</c:v>
                </c:pt>
                <c:pt idx="25">
                  <c:v>7.7656155660377362</c:v>
                </c:pt>
                <c:pt idx="26">
                  <c:v>7.540606289308176</c:v>
                </c:pt>
                <c:pt idx="27">
                  <c:v>7.8225558176100627</c:v>
                </c:pt>
                <c:pt idx="28">
                  <c:v>7.540606289308176</c:v>
                </c:pt>
                <c:pt idx="29">
                  <c:v>7.7656155660377362</c:v>
                </c:pt>
                <c:pt idx="30">
                  <c:v>7.7656155660377362</c:v>
                </c:pt>
                <c:pt idx="31">
                  <c:v>7.540606289308176</c:v>
                </c:pt>
                <c:pt idx="32">
                  <c:v>7.540606289308176</c:v>
                </c:pt>
                <c:pt idx="33">
                  <c:v>7.9652220911949687</c:v>
                </c:pt>
                <c:pt idx="34">
                  <c:v>9.2519999999999989</c:v>
                </c:pt>
                <c:pt idx="35">
                  <c:v>7.6889997248427662</c:v>
                </c:pt>
                <c:pt idx="36">
                  <c:v>7.6889997248427662</c:v>
                </c:pt>
                <c:pt idx="37">
                  <c:v>7.9140090015723263</c:v>
                </c:pt>
                <c:pt idx="38">
                  <c:v>7.9140090015723263</c:v>
                </c:pt>
                <c:pt idx="39">
                  <c:v>7.540606289308176</c:v>
                </c:pt>
                <c:pt idx="40">
                  <c:v>7.8316659984276722</c:v>
                </c:pt>
                <c:pt idx="41">
                  <c:v>7.9140090015723263</c:v>
                </c:pt>
              </c:numCache>
            </c:numRef>
          </c:val>
        </c:ser>
        <c:axId val="146034048"/>
        <c:axId val="146036224"/>
      </c:barChart>
      <c:catAx>
        <c:axId val="146034048"/>
        <c:scaling>
          <c:orientation val="minMax"/>
        </c:scaling>
        <c:axPos val="b"/>
        <c:title>
          <c:tx>
            <c:rich>
              <a:bodyPr/>
              <a:lstStyle/>
              <a:p>
                <a:pPr>
                  <a:defRPr/>
                </a:pPr>
                <a:r>
                  <a:rPr lang="en-IN"/>
                  <a:t>X Variable 2</a:t>
                </a:r>
              </a:p>
            </c:rich>
          </c:tx>
        </c:title>
        <c:numFmt formatCode="General" sourceLinked="1"/>
        <c:tickLblPos val="nextTo"/>
        <c:crossAx val="146036224"/>
        <c:crosses val="autoZero"/>
        <c:auto val="1"/>
        <c:lblAlgn val="ctr"/>
        <c:lblOffset val="100"/>
      </c:catAx>
      <c:valAx>
        <c:axId val="146036224"/>
        <c:scaling>
          <c:orientation val="minMax"/>
        </c:scaling>
        <c:axPos val="l"/>
        <c:majorGridlines/>
        <c:title>
          <c:tx>
            <c:rich>
              <a:bodyPr/>
              <a:lstStyle/>
              <a:p>
                <a:pPr>
                  <a:defRPr/>
                </a:pPr>
                <a:r>
                  <a:rPr lang="en-IN"/>
                  <a:t>Y</a:t>
                </a:r>
              </a:p>
            </c:rich>
          </c:tx>
        </c:title>
        <c:numFmt formatCode="0.000" sourceLinked="1"/>
        <c:tickLblPos val="nextTo"/>
        <c:crossAx val="146034048"/>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3 Line Fit  Plot</a:t>
            </a:r>
          </a:p>
        </c:rich>
      </c:tx>
    </c:title>
    <c:plotArea>
      <c:layout/>
      <c:barChart>
        <c:barDir val="col"/>
        <c:grouping val="clustered"/>
        <c:ser>
          <c:idx val="0"/>
          <c:order val="0"/>
          <c:tx>
            <c:v>Y</c:v>
          </c:tx>
          <c:cat>
            <c:numRef>
              <c:f>'Dummy-II'!$K$3:$K$44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1</c:v>
                </c:pt>
                <c:pt idx="13">
                  <c:v>1</c:v>
                </c:pt>
                <c:pt idx="14">
                  <c:v>0</c:v>
                </c:pt>
                <c:pt idx="15">
                  <c:v>1</c:v>
                </c:pt>
                <c:pt idx="16">
                  <c:v>1</c:v>
                </c:pt>
                <c:pt idx="17">
                  <c:v>0</c:v>
                </c:pt>
                <c:pt idx="18">
                  <c:v>1</c:v>
                </c:pt>
                <c:pt idx="19">
                  <c:v>0</c:v>
                </c:pt>
                <c:pt idx="20">
                  <c:v>1</c:v>
                </c:pt>
                <c:pt idx="21">
                  <c:v>1</c:v>
                </c:pt>
                <c:pt idx="22">
                  <c:v>0</c:v>
                </c:pt>
                <c:pt idx="23">
                  <c:v>1</c:v>
                </c:pt>
                <c:pt idx="24">
                  <c:v>0</c:v>
                </c:pt>
                <c:pt idx="25">
                  <c:v>0</c:v>
                </c:pt>
                <c:pt idx="26">
                  <c:v>0</c:v>
                </c:pt>
                <c:pt idx="27">
                  <c:v>0</c:v>
                </c:pt>
                <c:pt idx="28">
                  <c:v>0</c:v>
                </c:pt>
                <c:pt idx="29">
                  <c:v>0</c:v>
                </c:pt>
                <c:pt idx="30">
                  <c:v>0</c:v>
                </c:pt>
                <c:pt idx="31">
                  <c:v>0</c:v>
                </c:pt>
                <c:pt idx="32">
                  <c:v>0</c:v>
                </c:pt>
                <c:pt idx="33">
                  <c:v>1</c:v>
                </c:pt>
                <c:pt idx="34">
                  <c:v>0</c:v>
                </c:pt>
                <c:pt idx="35">
                  <c:v>0</c:v>
                </c:pt>
                <c:pt idx="36">
                  <c:v>0</c:v>
                </c:pt>
                <c:pt idx="37">
                  <c:v>0</c:v>
                </c:pt>
                <c:pt idx="38">
                  <c:v>0</c:v>
                </c:pt>
                <c:pt idx="39">
                  <c:v>0</c:v>
                </c:pt>
                <c:pt idx="40">
                  <c:v>1</c:v>
                </c:pt>
                <c:pt idx="41">
                  <c:v>0</c:v>
                </c:pt>
              </c:numCache>
            </c:numRef>
          </c:cat>
          <c:val>
            <c:numRef>
              <c:f>'Dummy-II'!$D$3:$D$44</c:f>
              <c:numCache>
                <c:formatCode>0.000</c:formatCode>
                <c:ptCount val="42"/>
                <c:pt idx="0">
                  <c:v>7.3768000000000002</c:v>
                </c:pt>
                <c:pt idx="1">
                  <c:v>9.613999999999999</c:v>
                </c:pt>
                <c:pt idx="2">
                  <c:v>7.6019999999999994</c:v>
                </c:pt>
                <c:pt idx="3">
                  <c:v>8.0359999999999996</c:v>
                </c:pt>
                <c:pt idx="4">
                  <c:v>8.4477999999999991</c:v>
                </c:pt>
                <c:pt idx="5">
                  <c:v>8.120000000000001</c:v>
                </c:pt>
                <c:pt idx="6">
                  <c:v>8.3580000000000005</c:v>
                </c:pt>
                <c:pt idx="7">
                  <c:v>7.9320000000000004</c:v>
                </c:pt>
                <c:pt idx="8">
                  <c:v>8.2574000000000005</c:v>
                </c:pt>
                <c:pt idx="9">
                  <c:v>9.0220000000000002</c:v>
                </c:pt>
                <c:pt idx="10">
                  <c:v>9.1059999999999999</c:v>
                </c:pt>
                <c:pt idx="11">
                  <c:v>6.6597999999999997</c:v>
                </c:pt>
                <c:pt idx="12">
                  <c:v>7.7336</c:v>
                </c:pt>
                <c:pt idx="13">
                  <c:v>8.1001999999999992</c:v>
                </c:pt>
                <c:pt idx="14">
                  <c:v>7.94</c:v>
                </c:pt>
                <c:pt idx="15">
                  <c:v>8.6128000000000018</c:v>
                </c:pt>
                <c:pt idx="16">
                  <c:v>7.971000000000001</c:v>
                </c:pt>
                <c:pt idx="17">
                  <c:v>8.072000000000001</c:v>
                </c:pt>
                <c:pt idx="18">
                  <c:v>6.6482000000000001</c:v>
                </c:pt>
                <c:pt idx="19">
                  <c:v>7.2551999999999994</c:v>
                </c:pt>
                <c:pt idx="20">
                  <c:v>7.99</c:v>
                </c:pt>
                <c:pt idx="21">
                  <c:v>6.5489999999999995</c:v>
                </c:pt>
                <c:pt idx="22">
                  <c:v>7.7274000000000003</c:v>
                </c:pt>
                <c:pt idx="23">
                  <c:v>8.5597999999999992</c:v>
                </c:pt>
                <c:pt idx="24">
                  <c:v>7.7319999999999993</c:v>
                </c:pt>
                <c:pt idx="25">
                  <c:v>7.25</c:v>
                </c:pt>
                <c:pt idx="26">
                  <c:v>7.4595999999999991</c:v>
                </c:pt>
                <c:pt idx="27">
                  <c:v>7.18</c:v>
                </c:pt>
                <c:pt idx="28">
                  <c:v>6.8437999999999999</c:v>
                </c:pt>
                <c:pt idx="29">
                  <c:v>6.87</c:v>
                </c:pt>
                <c:pt idx="30">
                  <c:v>7.8849999999999998</c:v>
                </c:pt>
                <c:pt idx="31">
                  <c:v>8.8148000000000017</c:v>
                </c:pt>
                <c:pt idx="32">
                  <c:v>6.2720000000000002</c:v>
                </c:pt>
                <c:pt idx="33">
                  <c:v>7.9602000000000004</c:v>
                </c:pt>
                <c:pt idx="34">
                  <c:v>9.2519999999999989</c:v>
                </c:pt>
                <c:pt idx="35">
                  <c:v>7.4611999999999998</c:v>
                </c:pt>
                <c:pt idx="36">
                  <c:v>6.4567999999999994</c:v>
                </c:pt>
                <c:pt idx="37">
                  <c:v>7.3816000000000006</c:v>
                </c:pt>
                <c:pt idx="38">
                  <c:v>8.4719999999999995</c:v>
                </c:pt>
                <c:pt idx="39">
                  <c:v>7.2459999999999996</c:v>
                </c:pt>
                <c:pt idx="40">
                  <c:v>9.1340000000000003</c:v>
                </c:pt>
                <c:pt idx="41">
                  <c:v>8.0920000000000005</c:v>
                </c:pt>
              </c:numCache>
            </c:numRef>
          </c:val>
        </c:ser>
        <c:ser>
          <c:idx val="1"/>
          <c:order val="1"/>
          <c:tx>
            <c:v>Predicted Y</c:v>
          </c:tx>
          <c:cat>
            <c:numRef>
              <c:f>'Dummy-II'!$K$3:$K$44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1</c:v>
                </c:pt>
                <c:pt idx="13">
                  <c:v>1</c:v>
                </c:pt>
                <c:pt idx="14">
                  <c:v>0</c:v>
                </c:pt>
                <c:pt idx="15">
                  <c:v>1</c:v>
                </c:pt>
                <c:pt idx="16">
                  <c:v>1</c:v>
                </c:pt>
                <c:pt idx="17">
                  <c:v>0</c:v>
                </c:pt>
                <c:pt idx="18">
                  <c:v>1</c:v>
                </c:pt>
                <c:pt idx="19">
                  <c:v>0</c:v>
                </c:pt>
                <c:pt idx="20">
                  <c:v>1</c:v>
                </c:pt>
                <c:pt idx="21">
                  <c:v>1</c:v>
                </c:pt>
                <c:pt idx="22">
                  <c:v>0</c:v>
                </c:pt>
                <c:pt idx="23">
                  <c:v>1</c:v>
                </c:pt>
                <c:pt idx="24">
                  <c:v>0</c:v>
                </c:pt>
                <c:pt idx="25">
                  <c:v>0</c:v>
                </c:pt>
                <c:pt idx="26">
                  <c:v>0</c:v>
                </c:pt>
                <c:pt idx="27">
                  <c:v>0</c:v>
                </c:pt>
                <c:pt idx="28">
                  <c:v>0</c:v>
                </c:pt>
                <c:pt idx="29">
                  <c:v>0</c:v>
                </c:pt>
                <c:pt idx="30">
                  <c:v>0</c:v>
                </c:pt>
                <c:pt idx="31">
                  <c:v>0</c:v>
                </c:pt>
                <c:pt idx="32">
                  <c:v>0</c:v>
                </c:pt>
                <c:pt idx="33">
                  <c:v>1</c:v>
                </c:pt>
                <c:pt idx="34">
                  <c:v>0</c:v>
                </c:pt>
                <c:pt idx="35">
                  <c:v>0</c:v>
                </c:pt>
                <c:pt idx="36">
                  <c:v>0</c:v>
                </c:pt>
                <c:pt idx="37">
                  <c:v>0</c:v>
                </c:pt>
                <c:pt idx="38">
                  <c:v>0</c:v>
                </c:pt>
                <c:pt idx="39">
                  <c:v>0</c:v>
                </c:pt>
                <c:pt idx="40">
                  <c:v>1</c:v>
                </c:pt>
                <c:pt idx="41">
                  <c:v>0</c:v>
                </c:pt>
              </c:numCache>
            </c:numRef>
          </c:cat>
          <c:val>
            <c:numRef>
              <c:f>'Regression-II'!$B$31:$B$72</c:f>
              <c:numCache>
                <c:formatCode>General</c:formatCode>
                <c:ptCount val="42"/>
                <c:pt idx="0">
                  <c:v>7.540606289308176</c:v>
                </c:pt>
                <c:pt idx="1">
                  <c:v>9.0482046383647781</c:v>
                </c:pt>
                <c:pt idx="2">
                  <c:v>7.540606289308176</c:v>
                </c:pt>
                <c:pt idx="3">
                  <c:v>7.6889997248427662</c:v>
                </c:pt>
                <c:pt idx="4">
                  <c:v>7.7656155660377362</c:v>
                </c:pt>
                <c:pt idx="5">
                  <c:v>7.7656155660377362</c:v>
                </c:pt>
                <c:pt idx="6">
                  <c:v>7.9140090015723263</c:v>
                </c:pt>
                <c:pt idx="7">
                  <c:v>7.540606289308176</c:v>
                </c:pt>
                <c:pt idx="8">
                  <c:v>8.8231953616352179</c:v>
                </c:pt>
                <c:pt idx="9">
                  <c:v>7.9140090015723263</c:v>
                </c:pt>
                <c:pt idx="10">
                  <c:v>7.540606289308176</c:v>
                </c:pt>
                <c:pt idx="11">
                  <c:v>7.7656155660377362</c:v>
                </c:pt>
                <c:pt idx="12">
                  <c:v>8.0566752751572324</c:v>
                </c:pt>
                <c:pt idx="13">
                  <c:v>7.8316659984276722</c:v>
                </c:pt>
                <c:pt idx="14">
                  <c:v>7.540606289308176</c:v>
                </c:pt>
                <c:pt idx="15">
                  <c:v>7.9652220911949687</c:v>
                </c:pt>
                <c:pt idx="16">
                  <c:v>7.8316659984276722</c:v>
                </c:pt>
                <c:pt idx="17">
                  <c:v>7.7656155660377362</c:v>
                </c:pt>
                <c:pt idx="18">
                  <c:v>8.0566752751572324</c:v>
                </c:pt>
                <c:pt idx="19">
                  <c:v>7.540606289308176</c:v>
                </c:pt>
                <c:pt idx="20">
                  <c:v>7.8316659984276722</c:v>
                </c:pt>
                <c:pt idx="21">
                  <c:v>7.8316659984276722</c:v>
                </c:pt>
                <c:pt idx="22">
                  <c:v>7.7656155660377362</c:v>
                </c:pt>
                <c:pt idx="23">
                  <c:v>8.0566752751572324</c:v>
                </c:pt>
                <c:pt idx="24">
                  <c:v>7.540606289308176</c:v>
                </c:pt>
                <c:pt idx="25">
                  <c:v>7.7656155660377362</c:v>
                </c:pt>
                <c:pt idx="26">
                  <c:v>7.540606289308176</c:v>
                </c:pt>
                <c:pt idx="27">
                  <c:v>7.8225558176100627</c:v>
                </c:pt>
                <c:pt idx="28">
                  <c:v>7.540606289308176</c:v>
                </c:pt>
                <c:pt idx="29">
                  <c:v>7.7656155660377362</c:v>
                </c:pt>
                <c:pt idx="30">
                  <c:v>7.7656155660377362</c:v>
                </c:pt>
                <c:pt idx="31">
                  <c:v>7.540606289308176</c:v>
                </c:pt>
                <c:pt idx="32">
                  <c:v>7.540606289308176</c:v>
                </c:pt>
                <c:pt idx="33">
                  <c:v>7.9652220911949687</c:v>
                </c:pt>
                <c:pt idx="34">
                  <c:v>9.2519999999999989</c:v>
                </c:pt>
                <c:pt idx="35">
                  <c:v>7.6889997248427662</c:v>
                </c:pt>
                <c:pt idx="36">
                  <c:v>7.6889997248427662</c:v>
                </c:pt>
                <c:pt idx="37">
                  <c:v>7.9140090015723263</c:v>
                </c:pt>
                <c:pt idx="38">
                  <c:v>7.9140090015723263</c:v>
                </c:pt>
                <c:pt idx="39">
                  <c:v>7.540606289308176</c:v>
                </c:pt>
                <c:pt idx="40">
                  <c:v>7.8316659984276722</c:v>
                </c:pt>
                <c:pt idx="41">
                  <c:v>7.9140090015723263</c:v>
                </c:pt>
              </c:numCache>
            </c:numRef>
          </c:val>
        </c:ser>
        <c:axId val="146092032"/>
        <c:axId val="146093952"/>
      </c:barChart>
      <c:catAx>
        <c:axId val="146092032"/>
        <c:scaling>
          <c:orientation val="minMax"/>
        </c:scaling>
        <c:axPos val="b"/>
        <c:title>
          <c:tx>
            <c:rich>
              <a:bodyPr/>
              <a:lstStyle/>
              <a:p>
                <a:pPr>
                  <a:defRPr/>
                </a:pPr>
                <a:r>
                  <a:rPr lang="en-IN"/>
                  <a:t>X Variable 3</a:t>
                </a:r>
              </a:p>
            </c:rich>
          </c:tx>
        </c:title>
        <c:numFmt formatCode="General" sourceLinked="1"/>
        <c:tickLblPos val="nextTo"/>
        <c:crossAx val="146093952"/>
        <c:crosses val="autoZero"/>
        <c:auto val="1"/>
        <c:lblAlgn val="ctr"/>
        <c:lblOffset val="100"/>
      </c:catAx>
      <c:valAx>
        <c:axId val="146093952"/>
        <c:scaling>
          <c:orientation val="minMax"/>
        </c:scaling>
        <c:axPos val="l"/>
        <c:majorGridlines/>
        <c:title>
          <c:tx>
            <c:rich>
              <a:bodyPr/>
              <a:lstStyle/>
              <a:p>
                <a:pPr>
                  <a:defRPr/>
                </a:pPr>
                <a:r>
                  <a:rPr lang="en-IN"/>
                  <a:t>Y</a:t>
                </a:r>
              </a:p>
            </c:rich>
          </c:tx>
        </c:title>
        <c:numFmt formatCode="0.000" sourceLinked="1"/>
        <c:tickLblPos val="nextTo"/>
        <c:crossAx val="146092032"/>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4 Line Fit  Plot</a:t>
            </a:r>
          </a:p>
        </c:rich>
      </c:tx>
    </c:title>
    <c:plotArea>
      <c:layout/>
      <c:barChart>
        <c:barDir val="col"/>
        <c:grouping val="clustered"/>
        <c:ser>
          <c:idx val="0"/>
          <c:order val="0"/>
          <c:tx>
            <c:v>Y</c:v>
          </c:tx>
          <c:cat>
            <c:numRef>
              <c:f>'Dummy-II'!$L$3:$L$44</c:f>
              <c:numCache>
                <c:formatCode>General</c:formatCode>
                <c:ptCount val="42"/>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cat>
          <c:val>
            <c:numRef>
              <c:f>'Dummy-II'!$D$3:$D$44</c:f>
              <c:numCache>
                <c:formatCode>0.000</c:formatCode>
                <c:ptCount val="42"/>
                <c:pt idx="0">
                  <c:v>7.3768000000000002</c:v>
                </c:pt>
                <c:pt idx="1">
                  <c:v>9.613999999999999</c:v>
                </c:pt>
                <c:pt idx="2">
                  <c:v>7.6019999999999994</c:v>
                </c:pt>
                <c:pt idx="3">
                  <c:v>8.0359999999999996</c:v>
                </c:pt>
                <c:pt idx="4">
                  <c:v>8.4477999999999991</c:v>
                </c:pt>
                <c:pt idx="5">
                  <c:v>8.120000000000001</c:v>
                </c:pt>
                <c:pt idx="6">
                  <c:v>8.3580000000000005</c:v>
                </c:pt>
                <c:pt idx="7">
                  <c:v>7.9320000000000004</c:v>
                </c:pt>
                <c:pt idx="8">
                  <c:v>8.2574000000000005</c:v>
                </c:pt>
                <c:pt idx="9">
                  <c:v>9.0220000000000002</c:v>
                </c:pt>
                <c:pt idx="10">
                  <c:v>9.1059999999999999</c:v>
                </c:pt>
                <c:pt idx="11">
                  <c:v>6.6597999999999997</c:v>
                </c:pt>
                <c:pt idx="12">
                  <c:v>7.7336</c:v>
                </c:pt>
                <c:pt idx="13">
                  <c:v>8.1001999999999992</c:v>
                </c:pt>
                <c:pt idx="14">
                  <c:v>7.94</c:v>
                </c:pt>
                <c:pt idx="15">
                  <c:v>8.6128000000000018</c:v>
                </c:pt>
                <c:pt idx="16">
                  <c:v>7.971000000000001</c:v>
                </c:pt>
                <c:pt idx="17">
                  <c:v>8.072000000000001</c:v>
                </c:pt>
                <c:pt idx="18">
                  <c:v>6.6482000000000001</c:v>
                </c:pt>
                <c:pt idx="19">
                  <c:v>7.2551999999999994</c:v>
                </c:pt>
                <c:pt idx="20">
                  <c:v>7.99</c:v>
                </c:pt>
                <c:pt idx="21">
                  <c:v>6.5489999999999995</c:v>
                </c:pt>
                <c:pt idx="22">
                  <c:v>7.7274000000000003</c:v>
                </c:pt>
                <c:pt idx="23">
                  <c:v>8.5597999999999992</c:v>
                </c:pt>
                <c:pt idx="24">
                  <c:v>7.7319999999999993</c:v>
                </c:pt>
                <c:pt idx="25">
                  <c:v>7.25</c:v>
                </c:pt>
                <c:pt idx="26">
                  <c:v>7.4595999999999991</c:v>
                </c:pt>
                <c:pt idx="27">
                  <c:v>7.18</c:v>
                </c:pt>
                <c:pt idx="28">
                  <c:v>6.8437999999999999</c:v>
                </c:pt>
                <c:pt idx="29">
                  <c:v>6.87</c:v>
                </c:pt>
                <c:pt idx="30">
                  <c:v>7.8849999999999998</c:v>
                </c:pt>
                <c:pt idx="31">
                  <c:v>8.8148000000000017</c:v>
                </c:pt>
                <c:pt idx="32">
                  <c:v>6.2720000000000002</c:v>
                </c:pt>
                <c:pt idx="33">
                  <c:v>7.9602000000000004</c:v>
                </c:pt>
                <c:pt idx="34">
                  <c:v>9.2519999999999989</c:v>
                </c:pt>
                <c:pt idx="35">
                  <c:v>7.4611999999999998</c:v>
                </c:pt>
                <c:pt idx="36">
                  <c:v>6.4567999999999994</c:v>
                </c:pt>
                <c:pt idx="37">
                  <c:v>7.3816000000000006</c:v>
                </c:pt>
                <c:pt idx="38">
                  <c:v>8.4719999999999995</c:v>
                </c:pt>
                <c:pt idx="39">
                  <c:v>7.2459999999999996</c:v>
                </c:pt>
                <c:pt idx="40">
                  <c:v>9.1340000000000003</c:v>
                </c:pt>
                <c:pt idx="41">
                  <c:v>8.0920000000000005</c:v>
                </c:pt>
              </c:numCache>
            </c:numRef>
          </c:val>
        </c:ser>
        <c:ser>
          <c:idx val="1"/>
          <c:order val="1"/>
          <c:tx>
            <c:v>Predicted Y</c:v>
          </c:tx>
          <c:cat>
            <c:numRef>
              <c:f>'Dummy-II'!$L$3:$L$44</c:f>
              <c:numCache>
                <c:formatCode>General</c:formatCode>
                <c:ptCount val="42"/>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cat>
          <c:val>
            <c:numRef>
              <c:f>'Regression-II'!$B$31:$B$72</c:f>
              <c:numCache>
                <c:formatCode>General</c:formatCode>
                <c:ptCount val="42"/>
                <c:pt idx="0">
                  <c:v>7.540606289308176</c:v>
                </c:pt>
                <c:pt idx="1">
                  <c:v>9.0482046383647781</c:v>
                </c:pt>
                <c:pt idx="2">
                  <c:v>7.540606289308176</c:v>
                </c:pt>
                <c:pt idx="3">
                  <c:v>7.6889997248427662</c:v>
                </c:pt>
                <c:pt idx="4">
                  <c:v>7.7656155660377362</c:v>
                </c:pt>
                <c:pt idx="5">
                  <c:v>7.7656155660377362</c:v>
                </c:pt>
                <c:pt idx="6">
                  <c:v>7.9140090015723263</c:v>
                </c:pt>
                <c:pt idx="7">
                  <c:v>7.540606289308176</c:v>
                </c:pt>
                <c:pt idx="8">
                  <c:v>8.8231953616352179</c:v>
                </c:pt>
                <c:pt idx="9">
                  <c:v>7.9140090015723263</c:v>
                </c:pt>
                <c:pt idx="10">
                  <c:v>7.540606289308176</c:v>
                </c:pt>
                <c:pt idx="11">
                  <c:v>7.7656155660377362</c:v>
                </c:pt>
                <c:pt idx="12">
                  <c:v>8.0566752751572324</c:v>
                </c:pt>
                <c:pt idx="13">
                  <c:v>7.8316659984276722</c:v>
                </c:pt>
                <c:pt idx="14">
                  <c:v>7.540606289308176</c:v>
                </c:pt>
                <c:pt idx="15">
                  <c:v>7.9652220911949687</c:v>
                </c:pt>
                <c:pt idx="16">
                  <c:v>7.8316659984276722</c:v>
                </c:pt>
                <c:pt idx="17">
                  <c:v>7.7656155660377362</c:v>
                </c:pt>
                <c:pt idx="18">
                  <c:v>8.0566752751572324</c:v>
                </c:pt>
                <c:pt idx="19">
                  <c:v>7.540606289308176</c:v>
                </c:pt>
                <c:pt idx="20">
                  <c:v>7.8316659984276722</c:v>
                </c:pt>
                <c:pt idx="21">
                  <c:v>7.8316659984276722</c:v>
                </c:pt>
                <c:pt idx="22">
                  <c:v>7.7656155660377362</c:v>
                </c:pt>
                <c:pt idx="23">
                  <c:v>8.0566752751572324</c:v>
                </c:pt>
                <c:pt idx="24">
                  <c:v>7.540606289308176</c:v>
                </c:pt>
                <c:pt idx="25">
                  <c:v>7.7656155660377362</c:v>
                </c:pt>
                <c:pt idx="26">
                  <c:v>7.540606289308176</c:v>
                </c:pt>
                <c:pt idx="27">
                  <c:v>7.8225558176100627</c:v>
                </c:pt>
                <c:pt idx="28">
                  <c:v>7.540606289308176</c:v>
                </c:pt>
                <c:pt idx="29">
                  <c:v>7.7656155660377362</c:v>
                </c:pt>
                <c:pt idx="30">
                  <c:v>7.7656155660377362</c:v>
                </c:pt>
                <c:pt idx="31">
                  <c:v>7.540606289308176</c:v>
                </c:pt>
                <c:pt idx="32">
                  <c:v>7.540606289308176</c:v>
                </c:pt>
                <c:pt idx="33">
                  <c:v>7.9652220911949687</c:v>
                </c:pt>
                <c:pt idx="34">
                  <c:v>9.2519999999999989</c:v>
                </c:pt>
                <c:pt idx="35">
                  <c:v>7.6889997248427662</c:v>
                </c:pt>
                <c:pt idx="36">
                  <c:v>7.6889997248427662</c:v>
                </c:pt>
                <c:pt idx="37">
                  <c:v>7.9140090015723263</c:v>
                </c:pt>
                <c:pt idx="38">
                  <c:v>7.9140090015723263</c:v>
                </c:pt>
                <c:pt idx="39">
                  <c:v>7.540606289308176</c:v>
                </c:pt>
                <c:pt idx="40">
                  <c:v>7.8316659984276722</c:v>
                </c:pt>
                <c:pt idx="41">
                  <c:v>7.9140090015723263</c:v>
                </c:pt>
              </c:numCache>
            </c:numRef>
          </c:val>
        </c:ser>
        <c:axId val="146121088"/>
        <c:axId val="146123008"/>
      </c:barChart>
      <c:catAx>
        <c:axId val="146121088"/>
        <c:scaling>
          <c:orientation val="minMax"/>
        </c:scaling>
        <c:axPos val="b"/>
        <c:title>
          <c:tx>
            <c:rich>
              <a:bodyPr/>
              <a:lstStyle/>
              <a:p>
                <a:pPr>
                  <a:defRPr/>
                </a:pPr>
                <a:r>
                  <a:rPr lang="en-IN"/>
                  <a:t>X Variable 4</a:t>
                </a:r>
              </a:p>
            </c:rich>
          </c:tx>
        </c:title>
        <c:numFmt formatCode="General" sourceLinked="1"/>
        <c:tickLblPos val="nextTo"/>
        <c:crossAx val="146123008"/>
        <c:crosses val="autoZero"/>
        <c:auto val="1"/>
        <c:lblAlgn val="ctr"/>
        <c:lblOffset val="100"/>
      </c:catAx>
      <c:valAx>
        <c:axId val="146123008"/>
        <c:scaling>
          <c:orientation val="minMax"/>
        </c:scaling>
        <c:axPos val="l"/>
        <c:majorGridlines/>
        <c:title>
          <c:tx>
            <c:rich>
              <a:bodyPr/>
              <a:lstStyle/>
              <a:p>
                <a:pPr>
                  <a:defRPr/>
                </a:pPr>
                <a:r>
                  <a:rPr lang="en-IN"/>
                  <a:t>Y</a:t>
                </a:r>
              </a:p>
            </c:rich>
          </c:tx>
        </c:title>
        <c:numFmt formatCode="0.000" sourceLinked="1"/>
        <c:tickLblPos val="nextTo"/>
        <c:crossAx val="146121088"/>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5 Line Fit  Plot</a:t>
            </a:r>
          </a:p>
        </c:rich>
      </c:tx>
    </c:title>
    <c:plotArea>
      <c:layout/>
      <c:barChart>
        <c:barDir val="col"/>
        <c:grouping val="clustered"/>
        <c:ser>
          <c:idx val="0"/>
          <c:order val="0"/>
          <c:tx>
            <c:v>Y</c:v>
          </c:tx>
          <c:cat>
            <c:numRef>
              <c:f>'Dummy-II'!$M$3:$M$44</c:f>
              <c:numCache>
                <c:formatCode>General</c:formatCode>
                <c:ptCount val="42"/>
                <c:pt idx="0">
                  <c:v>0</c:v>
                </c:pt>
                <c:pt idx="1">
                  <c:v>1</c:v>
                </c:pt>
                <c:pt idx="2">
                  <c:v>0</c:v>
                </c:pt>
                <c:pt idx="3">
                  <c:v>0</c:v>
                </c:pt>
                <c:pt idx="4">
                  <c:v>1</c:v>
                </c:pt>
                <c:pt idx="5">
                  <c:v>1</c:v>
                </c:pt>
                <c:pt idx="6">
                  <c:v>1</c:v>
                </c:pt>
                <c:pt idx="7">
                  <c:v>0</c:v>
                </c:pt>
                <c:pt idx="8">
                  <c:v>0</c:v>
                </c:pt>
                <c:pt idx="9">
                  <c:v>1</c:v>
                </c:pt>
                <c:pt idx="10">
                  <c:v>0</c:v>
                </c:pt>
                <c:pt idx="11">
                  <c:v>1</c:v>
                </c:pt>
                <c:pt idx="12">
                  <c:v>1</c:v>
                </c:pt>
                <c:pt idx="13">
                  <c:v>0</c:v>
                </c:pt>
                <c:pt idx="14">
                  <c:v>0</c:v>
                </c:pt>
                <c:pt idx="15">
                  <c:v>0</c:v>
                </c:pt>
                <c:pt idx="16">
                  <c:v>0</c:v>
                </c:pt>
                <c:pt idx="17">
                  <c:v>1</c:v>
                </c:pt>
                <c:pt idx="18">
                  <c:v>1</c:v>
                </c:pt>
                <c:pt idx="19">
                  <c:v>0</c:v>
                </c:pt>
                <c:pt idx="20">
                  <c:v>0</c:v>
                </c:pt>
                <c:pt idx="21">
                  <c:v>0</c:v>
                </c:pt>
                <c:pt idx="22">
                  <c:v>1</c:v>
                </c:pt>
                <c:pt idx="23">
                  <c:v>1</c:v>
                </c:pt>
                <c:pt idx="24">
                  <c:v>0</c:v>
                </c:pt>
                <c:pt idx="25">
                  <c:v>1</c:v>
                </c:pt>
                <c:pt idx="26">
                  <c:v>0</c:v>
                </c:pt>
                <c:pt idx="27">
                  <c:v>0</c:v>
                </c:pt>
                <c:pt idx="28">
                  <c:v>0</c:v>
                </c:pt>
                <c:pt idx="29">
                  <c:v>1</c:v>
                </c:pt>
                <c:pt idx="30">
                  <c:v>1</c:v>
                </c:pt>
                <c:pt idx="31">
                  <c:v>0</c:v>
                </c:pt>
                <c:pt idx="32">
                  <c:v>0</c:v>
                </c:pt>
                <c:pt idx="33">
                  <c:v>0</c:v>
                </c:pt>
                <c:pt idx="34">
                  <c:v>0</c:v>
                </c:pt>
                <c:pt idx="35">
                  <c:v>0</c:v>
                </c:pt>
                <c:pt idx="36">
                  <c:v>0</c:v>
                </c:pt>
                <c:pt idx="37">
                  <c:v>1</c:v>
                </c:pt>
                <c:pt idx="38">
                  <c:v>1</c:v>
                </c:pt>
                <c:pt idx="39">
                  <c:v>0</c:v>
                </c:pt>
                <c:pt idx="40">
                  <c:v>0</c:v>
                </c:pt>
                <c:pt idx="41">
                  <c:v>1</c:v>
                </c:pt>
              </c:numCache>
            </c:numRef>
          </c:cat>
          <c:val>
            <c:numRef>
              <c:f>'Dummy-II'!$D$3:$D$44</c:f>
              <c:numCache>
                <c:formatCode>0.000</c:formatCode>
                <c:ptCount val="42"/>
                <c:pt idx="0">
                  <c:v>7.3768000000000002</c:v>
                </c:pt>
                <c:pt idx="1">
                  <c:v>9.613999999999999</c:v>
                </c:pt>
                <c:pt idx="2">
                  <c:v>7.6019999999999994</c:v>
                </c:pt>
                <c:pt idx="3">
                  <c:v>8.0359999999999996</c:v>
                </c:pt>
                <c:pt idx="4">
                  <c:v>8.4477999999999991</c:v>
                </c:pt>
                <c:pt idx="5">
                  <c:v>8.120000000000001</c:v>
                </c:pt>
                <c:pt idx="6">
                  <c:v>8.3580000000000005</c:v>
                </c:pt>
                <c:pt idx="7">
                  <c:v>7.9320000000000004</c:v>
                </c:pt>
                <c:pt idx="8">
                  <c:v>8.2574000000000005</c:v>
                </c:pt>
                <c:pt idx="9">
                  <c:v>9.0220000000000002</c:v>
                </c:pt>
                <c:pt idx="10">
                  <c:v>9.1059999999999999</c:v>
                </c:pt>
                <c:pt idx="11">
                  <c:v>6.6597999999999997</c:v>
                </c:pt>
                <c:pt idx="12">
                  <c:v>7.7336</c:v>
                </c:pt>
                <c:pt idx="13">
                  <c:v>8.1001999999999992</c:v>
                </c:pt>
                <c:pt idx="14">
                  <c:v>7.94</c:v>
                </c:pt>
                <c:pt idx="15">
                  <c:v>8.6128000000000018</c:v>
                </c:pt>
                <c:pt idx="16">
                  <c:v>7.971000000000001</c:v>
                </c:pt>
                <c:pt idx="17">
                  <c:v>8.072000000000001</c:v>
                </c:pt>
                <c:pt idx="18">
                  <c:v>6.6482000000000001</c:v>
                </c:pt>
                <c:pt idx="19">
                  <c:v>7.2551999999999994</c:v>
                </c:pt>
                <c:pt idx="20">
                  <c:v>7.99</c:v>
                </c:pt>
                <c:pt idx="21">
                  <c:v>6.5489999999999995</c:v>
                </c:pt>
                <c:pt idx="22">
                  <c:v>7.7274000000000003</c:v>
                </c:pt>
                <c:pt idx="23">
                  <c:v>8.5597999999999992</c:v>
                </c:pt>
                <c:pt idx="24">
                  <c:v>7.7319999999999993</c:v>
                </c:pt>
                <c:pt idx="25">
                  <c:v>7.25</c:v>
                </c:pt>
                <c:pt idx="26">
                  <c:v>7.4595999999999991</c:v>
                </c:pt>
                <c:pt idx="27">
                  <c:v>7.18</c:v>
                </c:pt>
                <c:pt idx="28">
                  <c:v>6.8437999999999999</c:v>
                </c:pt>
                <c:pt idx="29">
                  <c:v>6.87</c:v>
                </c:pt>
                <c:pt idx="30">
                  <c:v>7.8849999999999998</c:v>
                </c:pt>
                <c:pt idx="31">
                  <c:v>8.8148000000000017</c:v>
                </c:pt>
                <c:pt idx="32">
                  <c:v>6.2720000000000002</c:v>
                </c:pt>
                <c:pt idx="33">
                  <c:v>7.9602000000000004</c:v>
                </c:pt>
                <c:pt idx="34">
                  <c:v>9.2519999999999989</c:v>
                </c:pt>
                <c:pt idx="35">
                  <c:v>7.4611999999999998</c:v>
                </c:pt>
                <c:pt idx="36">
                  <c:v>6.4567999999999994</c:v>
                </c:pt>
                <c:pt idx="37">
                  <c:v>7.3816000000000006</c:v>
                </c:pt>
                <c:pt idx="38">
                  <c:v>8.4719999999999995</c:v>
                </c:pt>
                <c:pt idx="39">
                  <c:v>7.2459999999999996</c:v>
                </c:pt>
                <c:pt idx="40">
                  <c:v>9.1340000000000003</c:v>
                </c:pt>
                <c:pt idx="41">
                  <c:v>8.0920000000000005</c:v>
                </c:pt>
              </c:numCache>
            </c:numRef>
          </c:val>
        </c:ser>
        <c:ser>
          <c:idx val="1"/>
          <c:order val="1"/>
          <c:tx>
            <c:v>Predicted Y</c:v>
          </c:tx>
          <c:cat>
            <c:numRef>
              <c:f>'Dummy-II'!$M$3:$M$44</c:f>
              <c:numCache>
                <c:formatCode>General</c:formatCode>
                <c:ptCount val="42"/>
                <c:pt idx="0">
                  <c:v>0</c:v>
                </c:pt>
                <c:pt idx="1">
                  <c:v>1</c:v>
                </c:pt>
                <c:pt idx="2">
                  <c:v>0</c:v>
                </c:pt>
                <c:pt idx="3">
                  <c:v>0</c:v>
                </c:pt>
                <c:pt idx="4">
                  <c:v>1</c:v>
                </c:pt>
                <c:pt idx="5">
                  <c:v>1</c:v>
                </c:pt>
                <c:pt idx="6">
                  <c:v>1</c:v>
                </c:pt>
                <c:pt idx="7">
                  <c:v>0</c:v>
                </c:pt>
                <c:pt idx="8">
                  <c:v>0</c:v>
                </c:pt>
                <c:pt idx="9">
                  <c:v>1</c:v>
                </c:pt>
                <c:pt idx="10">
                  <c:v>0</c:v>
                </c:pt>
                <c:pt idx="11">
                  <c:v>1</c:v>
                </c:pt>
                <c:pt idx="12">
                  <c:v>1</c:v>
                </c:pt>
                <c:pt idx="13">
                  <c:v>0</c:v>
                </c:pt>
                <c:pt idx="14">
                  <c:v>0</c:v>
                </c:pt>
                <c:pt idx="15">
                  <c:v>0</c:v>
                </c:pt>
                <c:pt idx="16">
                  <c:v>0</c:v>
                </c:pt>
                <c:pt idx="17">
                  <c:v>1</c:v>
                </c:pt>
                <c:pt idx="18">
                  <c:v>1</c:v>
                </c:pt>
                <c:pt idx="19">
                  <c:v>0</c:v>
                </c:pt>
                <c:pt idx="20">
                  <c:v>0</c:v>
                </c:pt>
                <c:pt idx="21">
                  <c:v>0</c:v>
                </c:pt>
                <c:pt idx="22">
                  <c:v>1</c:v>
                </c:pt>
                <c:pt idx="23">
                  <c:v>1</c:v>
                </c:pt>
                <c:pt idx="24">
                  <c:v>0</c:v>
                </c:pt>
                <c:pt idx="25">
                  <c:v>1</c:v>
                </c:pt>
                <c:pt idx="26">
                  <c:v>0</c:v>
                </c:pt>
                <c:pt idx="27">
                  <c:v>0</c:v>
                </c:pt>
                <c:pt idx="28">
                  <c:v>0</c:v>
                </c:pt>
                <c:pt idx="29">
                  <c:v>1</c:v>
                </c:pt>
                <c:pt idx="30">
                  <c:v>1</c:v>
                </c:pt>
                <c:pt idx="31">
                  <c:v>0</c:v>
                </c:pt>
                <c:pt idx="32">
                  <c:v>0</c:v>
                </c:pt>
                <c:pt idx="33">
                  <c:v>0</c:v>
                </c:pt>
                <c:pt idx="34">
                  <c:v>0</c:v>
                </c:pt>
                <c:pt idx="35">
                  <c:v>0</c:v>
                </c:pt>
                <c:pt idx="36">
                  <c:v>0</c:v>
                </c:pt>
                <c:pt idx="37">
                  <c:v>1</c:v>
                </c:pt>
                <c:pt idx="38">
                  <c:v>1</c:v>
                </c:pt>
                <c:pt idx="39">
                  <c:v>0</c:v>
                </c:pt>
                <c:pt idx="40">
                  <c:v>0</c:v>
                </c:pt>
                <c:pt idx="41">
                  <c:v>1</c:v>
                </c:pt>
              </c:numCache>
            </c:numRef>
          </c:cat>
          <c:val>
            <c:numRef>
              <c:f>'Regression-II'!$B$31:$B$72</c:f>
              <c:numCache>
                <c:formatCode>General</c:formatCode>
                <c:ptCount val="42"/>
                <c:pt idx="0">
                  <c:v>7.540606289308176</c:v>
                </c:pt>
                <c:pt idx="1">
                  <c:v>9.0482046383647781</c:v>
                </c:pt>
                <c:pt idx="2">
                  <c:v>7.540606289308176</c:v>
                </c:pt>
                <c:pt idx="3">
                  <c:v>7.6889997248427662</c:v>
                </c:pt>
                <c:pt idx="4">
                  <c:v>7.7656155660377362</c:v>
                </c:pt>
                <c:pt idx="5">
                  <c:v>7.7656155660377362</c:v>
                </c:pt>
                <c:pt idx="6">
                  <c:v>7.9140090015723263</c:v>
                </c:pt>
                <c:pt idx="7">
                  <c:v>7.540606289308176</c:v>
                </c:pt>
                <c:pt idx="8">
                  <c:v>8.8231953616352179</c:v>
                </c:pt>
                <c:pt idx="9">
                  <c:v>7.9140090015723263</c:v>
                </c:pt>
                <c:pt idx="10">
                  <c:v>7.540606289308176</c:v>
                </c:pt>
                <c:pt idx="11">
                  <c:v>7.7656155660377362</c:v>
                </c:pt>
                <c:pt idx="12">
                  <c:v>8.0566752751572324</c:v>
                </c:pt>
                <c:pt idx="13">
                  <c:v>7.8316659984276722</c:v>
                </c:pt>
                <c:pt idx="14">
                  <c:v>7.540606289308176</c:v>
                </c:pt>
                <c:pt idx="15">
                  <c:v>7.9652220911949687</c:v>
                </c:pt>
                <c:pt idx="16">
                  <c:v>7.8316659984276722</c:v>
                </c:pt>
                <c:pt idx="17">
                  <c:v>7.7656155660377362</c:v>
                </c:pt>
                <c:pt idx="18">
                  <c:v>8.0566752751572324</c:v>
                </c:pt>
                <c:pt idx="19">
                  <c:v>7.540606289308176</c:v>
                </c:pt>
                <c:pt idx="20">
                  <c:v>7.8316659984276722</c:v>
                </c:pt>
                <c:pt idx="21">
                  <c:v>7.8316659984276722</c:v>
                </c:pt>
                <c:pt idx="22">
                  <c:v>7.7656155660377362</c:v>
                </c:pt>
                <c:pt idx="23">
                  <c:v>8.0566752751572324</c:v>
                </c:pt>
                <c:pt idx="24">
                  <c:v>7.540606289308176</c:v>
                </c:pt>
                <c:pt idx="25">
                  <c:v>7.7656155660377362</c:v>
                </c:pt>
                <c:pt idx="26">
                  <c:v>7.540606289308176</c:v>
                </c:pt>
                <c:pt idx="27">
                  <c:v>7.8225558176100627</c:v>
                </c:pt>
                <c:pt idx="28">
                  <c:v>7.540606289308176</c:v>
                </c:pt>
                <c:pt idx="29">
                  <c:v>7.7656155660377362</c:v>
                </c:pt>
                <c:pt idx="30">
                  <c:v>7.7656155660377362</c:v>
                </c:pt>
                <c:pt idx="31">
                  <c:v>7.540606289308176</c:v>
                </c:pt>
                <c:pt idx="32">
                  <c:v>7.540606289308176</c:v>
                </c:pt>
                <c:pt idx="33">
                  <c:v>7.9652220911949687</c:v>
                </c:pt>
                <c:pt idx="34">
                  <c:v>9.2519999999999989</c:v>
                </c:pt>
                <c:pt idx="35">
                  <c:v>7.6889997248427662</c:v>
                </c:pt>
                <c:pt idx="36">
                  <c:v>7.6889997248427662</c:v>
                </c:pt>
                <c:pt idx="37">
                  <c:v>7.9140090015723263</c:v>
                </c:pt>
                <c:pt idx="38">
                  <c:v>7.9140090015723263</c:v>
                </c:pt>
                <c:pt idx="39">
                  <c:v>7.540606289308176</c:v>
                </c:pt>
                <c:pt idx="40">
                  <c:v>7.8316659984276722</c:v>
                </c:pt>
                <c:pt idx="41">
                  <c:v>7.9140090015723263</c:v>
                </c:pt>
              </c:numCache>
            </c:numRef>
          </c:val>
        </c:ser>
        <c:axId val="146162432"/>
        <c:axId val="146164352"/>
      </c:barChart>
      <c:catAx>
        <c:axId val="146162432"/>
        <c:scaling>
          <c:orientation val="minMax"/>
        </c:scaling>
        <c:axPos val="b"/>
        <c:title>
          <c:tx>
            <c:rich>
              <a:bodyPr/>
              <a:lstStyle/>
              <a:p>
                <a:pPr>
                  <a:defRPr/>
                </a:pPr>
                <a:r>
                  <a:rPr lang="en-IN"/>
                  <a:t>X Variable 5</a:t>
                </a:r>
              </a:p>
            </c:rich>
          </c:tx>
        </c:title>
        <c:numFmt formatCode="General" sourceLinked="1"/>
        <c:tickLblPos val="nextTo"/>
        <c:crossAx val="146164352"/>
        <c:crosses val="autoZero"/>
        <c:auto val="1"/>
        <c:lblAlgn val="ctr"/>
        <c:lblOffset val="100"/>
      </c:catAx>
      <c:valAx>
        <c:axId val="146164352"/>
        <c:scaling>
          <c:orientation val="minMax"/>
        </c:scaling>
        <c:axPos val="l"/>
        <c:majorGridlines/>
        <c:title>
          <c:tx>
            <c:rich>
              <a:bodyPr/>
              <a:lstStyle/>
              <a:p>
                <a:pPr>
                  <a:defRPr/>
                </a:pPr>
                <a:r>
                  <a:rPr lang="en-IN"/>
                  <a:t>Y</a:t>
                </a:r>
              </a:p>
            </c:rich>
          </c:tx>
        </c:title>
        <c:numFmt formatCode="0.000" sourceLinked="1"/>
        <c:tickLblPos val="nextTo"/>
        <c:crossAx val="146162432"/>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6 Line Fit  Plot</a:t>
            </a:r>
          </a:p>
        </c:rich>
      </c:tx>
    </c:title>
    <c:plotArea>
      <c:layout/>
      <c:barChart>
        <c:barDir val="col"/>
        <c:grouping val="clustered"/>
        <c:ser>
          <c:idx val="0"/>
          <c:order val="0"/>
          <c:tx>
            <c:v>Y</c:v>
          </c:tx>
          <c:cat>
            <c:numRef>
              <c:f>'Dummy-II'!$N$3:$N$44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0</c:v>
                </c:pt>
                <c:pt idx="33">
                  <c:v>1</c:v>
                </c:pt>
                <c:pt idx="34">
                  <c:v>0</c:v>
                </c:pt>
                <c:pt idx="35">
                  <c:v>0</c:v>
                </c:pt>
                <c:pt idx="36">
                  <c:v>0</c:v>
                </c:pt>
                <c:pt idx="37">
                  <c:v>0</c:v>
                </c:pt>
                <c:pt idx="38">
                  <c:v>0</c:v>
                </c:pt>
                <c:pt idx="39">
                  <c:v>0</c:v>
                </c:pt>
                <c:pt idx="40">
                  <c:v>0</c:v>
                </c:pt>
                <c:pt idx="41">
                  <c:v>0</c:v>
                </c:pt>
              </c:numCache>
            </c:numRef>
          </c:cat>
          <c:val>
            <c:numRef>
              <c:f>'Dummy-II'!$D$3:$D$44</c:f>
              <c:numCache>
                <c:formatCode>0.000</c:formatCode>
                <c:ptCount val="42"/>
                <c:pt idx="0">
                  <c:v>7.3768000000000002</c:v>
                </c:pt>
                <c:pt idx="1">
                  <c:v>9.613999999999999</c:v>
                </c:pt>
                <c:pt idx="2">
                  <c:v>7.6019999999999994</c:v>
                </c:pt>
                <c:pt idx="3">
                  <c:v>8.0359999999999996</c:v>
                </c:pt>
                <c:pt idx="4">
                  <c:v>8.4477999999999991</c:v>
                </c:pt>
                <c:pt idx="5">
                  <c:v>8.120000000000001</c:v>
                </c:pt>
                <c:pt idx="6">
                  <c:v>8.3580000000000005</c:v>
                </c:pt>
                <c:pt idx="7">
                  <c:v>7.9320000000000004</c:v>
                </c:pt>
                <c:pt idx="8">
                  <c:v>8.2574000000000005</c:v>
                </c:pt>
                <c:pt idx="9">
                  <c:v>9.0220000000000002</c:v>
                </c:pt>
                <c:pt idx="10">
                  <c:v>9.1059999999999999</c:v>
                </c:pt>
                <c:pt idx="11">
                  <c:v>6.6597999999999997</c:v>
                </c:pt>
                <c:pt idx="12">
                  <c:v>7.7336</c:v>
                </c:pt>
                <c:pt idx="13">
                  <c:v>8.1001999999999992</c:v>
                </c:pt>
                <c:pt idx="14">
                  <c:v>7.94</c:v>
                </c:pt>
                <c:pt idx="15">
                  <c:v>8.6128000000000018</c:v>
                </c:pt>
                <c:pt idx="16">
                  <c:v>7.971000000000001</c:v>
                </c:pt>
                <c:pt idx="17">
                  <c:v>8.072000000000001</c:v>
                </c:pt>
                <c:pt idx="18">
                  <c:v>6.6482000000000001</c:v>
                </c:pt>
                <c:pt idx="19">
                  <c:v>7.2551999999999994</c:v>
                </c:pt>
                <c:pt idx="20">
                  <c:v>7.99</c:v>
                </c:pt>
                <c:pt idx="21">
                  <c:v>6.5489999999999995</c:v>
                </c:pt>
                <c:pt idx="22">
                  <c:v>7.7274000000000003</c:v>
                </c:pt>
                <c:pt idx="23">
                  <c:v>8.5597999999999992</c:v>
                </c:pt>
                <c:pt idx="24">
                  <c:v>7.7319999999999993</c:v>
                </c:pt>
                <c:pt idx="25">
                  <c:v>7.25</c:v>
                </c:pt>
                <c:pt idx="26">
                  <c:v>7.4595999999999991</c:v>
                </c:pt>
                <c:pt idx="27">
                  <c:v>7.18</c:v>
                </c:pt>
                <c:pt idx="28">
                  <c:v>6.8437999999999999</c:v>
                </c:pt>
                <c:pt idx="29">
                  <c:v>6.87</c:v>
                </c:pt>
                <c:pt idx="30">
                  <c:v>7.8849999999999998</c:v>
                </c:pt>
                <c:pt idx="31">
                  <c:v>8.8148000000000017</c:v>
                </c:pt>
                <c:pt idx="32">
                  <c:v>6.2720000000000002</c:v>
                </c:pt>
                <c:pt idx="33">
                  <c:v>7.9602000000000004</c:v>
                </c:pt>
                <c:pt idx="34">
                  <c:v>9.2519999999999989</c:v>
                </c:pt>
                <c:pt idx="35">
                  <c:v>7.4611999999999998</c:v>
                </c:pt>
                <c:pt idx="36">
                  <c:v>6.4567999999999994</c:v>
                </c:pt>
                <c:pt idx="37">
                  <c:v>7.3816000000000006</c:v>
                </c:pt>
                <c:pt idx="38">
                  <c:v>8.4719999999999995</c:v>
                </c:pt>
                <c:pt idx="39">
                  <c:v>7.2459999999999996</c:v>
                </c:pt>
                <c:pt idx="40">
                  <c:v>9.1340000000000003</c:v>
                </c:pt>
                <c:pt idx="41">
                  <c:v>8.0920000000000005</c:v>
                </c:pt>
              </c:numCache>
            </c:numRef>
          </c:val>
        </c:ser>
        <c:ser>
          <c:idx val="1"/>
          <c:order val="1"/>
          <c:tx>
            <c:v>Predicted Y</c:v>
          </c:tx>
          <c:cat>
            <c:numRef>
              <c:f>'Dummy-II'!$N$3:$N$44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0</c:v>
                </c:pt>
                <c:pt idx="33">
                  <c:v>1</c:v>
                </c:pt>
                <c:pt idx="34">
                  <c:v>0</c:v>
                </c:pt>
                <c:pt idx="35">
                  <c:v>0</c:v>
                </c:pt>
                <c:pt idx="36">
                  <c:v>0</c:v>
                </c:pt>
                <c:pt idx="37">
                  <c:v>0</c:v>
                </c:pt>
                <c:pt idx="38">
                  <c:v>0</c:v>
                </c:pt>
                <c:pt idx="39">
                  <c:v>0</c:v>
                </c:pt>
                <c:pt idx="40">
                  <c:v>0</c:v>
                </c:pt>
                <c:pt idx="41">
                  <c:v>0</c:v>
                </c:pt>
              </c:numCache>
            </c:numRef>
          </c:cat>
          <c:val>
            <c:numRef>
              <c:f>'Regression-II'!$B$31:$B$72</c:f>
              <c:numCache>
                <c:formatCode>General</c:formatCode>
                <c:ptCount val="42"/>
                <c:pt idx="0">
                  <c:v>7.540606289308176</c:v>
                </c:pt>
                <c:pt idx="1">
                  <c:v>9.0482046383647781</c:v>
                </c:pt>
                <c:pt idx="2">
                  <c:v>7.540606289308176</c:v>
                </c:pt>
                <c:pt idx="3">
                  <c:v>7.6889997248427662</c:v>
                </c:pt>
                <c:pt idx="4">
                  <c:v>7.7656155660377362</c:v>
                </c:pt>
                <c:pt idx="5">
                  <c:v>7.7656155660377362</c:v>
                </c:pt>
                <c:pt idx="6">
                  <c:v>7.9140090015723263</c:v>
                </c:pt>
                <c:pt idx="7">
                  <c:v>7.540606289308176</c:v>
                </c:pt>
                <c:pt idx="8">
                  <c:v>8.8231953616352179</c:v>
                </c:pt>
                <c:pt idx="9">
                  <c:v>7.9140090015723263</c:v>
                </c:pt>
                <c:pt idx="10">
                  <c:v>7.540606289308176</c:v>
                </c:pt>
                <c:pt idx="11">
                  <c:v>7.7656155660377362</c:v>
                </c:pt>
                <c:pt idx="12">
                  <c:v>8.0566752751572324</c:v>
                </c:pt>
                <c:pt idx="13">
                  <c:v>7.8316659984276722</c:v>
                </c:pt>
                <c:pt idx="14">
                  <c:v>7.540606289308176</c:v>
                </c:pt>
                <c:pt idx="15">
                  <c:v>7.9652220911949687</c:v>
                </c:pt>
                <c:pt idx="16">
                  <c:v>7.8316659984276722</c:v>
                </c:pt>
                <c:pt idx="17">
                  <c:v>7.7656155660377362</c:v>
                </c:pt>
                <c:pt idx="18">
                  <c:v>8.0566752751572324</c:v>
                </c:pt>
                <c:pt idx="19">
                  <c:v>7.540606289308176</c:v>
                </c:pt>
                <c:pt idx="20">
                  <c:v>7.8316659984276722</c:v>
                </c:pt>
                <c:pt idx="21">
                  <c:v>7.8316659984276722</c:v>
                </c:pt>
                <c:pt idx="22">
                  <c:v>7.7656155660377362</c:v>
                </c:pt>
                <c:pt idx="23">
                  <c:v>8.0566752751572324</c:v>
                </c:pt>
                <c:pt idx="24">
                  <c:v>7.540606289308176</c:v>
                </c:pt>
                <c:pt idx="25">
                  <c:v>7.7656155660377362</c:v>
                </c:pt>
                <c:pt idx="26">
                  <c:v>7.540606289308176</c:v>
                </c:pt>
                <c:pt idx="27">
                  <c:v>7.8225558176100627</c:v>
                </c:pt>
                <c:pt idx="28">
                  <c:v>7.540606289308176</c:v>
                </c:pt>
                <c:pt idx="29">
                  <c:v>7.7656155660377362</c:v>
                </c:pt>
                <c:pt idx="30">
                  <c:v>7.7656155660377362</c:v>
                </c:pt>
                <c:pt idx="31">
                  <c:v>7.540606289308176</c:v>
                </c:pt>
                <c:pt idx="32">
                  <c:v>7.540606289308176</c:v>
                </c:pt>
                <c:pt idx="33">
                  <c:v>7.9652220911949687</c:v>
                </c:pt>
                <c:pt idx="34">
                  <c:v>9.2519999999999989</c:v>
                </c:pt>
                <c:pt idx="35">
                  <c:v>7.6889997248427662</c:v>
                </c:pt>
                <c:pt idx="36">
                  <c:v>7.6889997248427662</c:v>
                </c:pt>
                <c:pt idx="37">
                  <c:v>7.9140090015723263</c:v>
                </c:pt>
                <c:pt idx="38">
                  <c:v>7.9140090015723263</c:v>
                </c:pt>
                <c:pt idx="39">
                  <c:v>7.540606289308176</c:v>
                </c:pt>
                <c:pt idx="40">
                  <c:v>7.8316659984276722</c:v>
                </c:pt>
                <c:pt idx="41">
                  <c:v>7.9140090015723263</c:v>
                </c:pt>
              </c:numCache>
            </c:numRef>
          </c:val>
        </c:ser>
        <c:axId val="146220160"/>
        <c:axId val="146222080"/>
      </c:barChart>
      <c:catAx>
        <c:axId val="146220160"/>
        <c:scaling>
          <c:orientation val="minMax"/>
        </c:scaling>
        <c:axPos val="b"/>
        <c:title>
          <c:tx>
            <c:rich>
              <a:bodyPr/>
              <a:lstStyle/>
              <a:p>
                <a:pPr>
                  <a:defRPr/>
                </a:pPr>
                <a:r>
                  <a:rPr lang="en-IN"/>
                  <a:t>X Variable 6</a:t>
                </a:r>
              </a:p>
            </c:rich>
          </c:tx>
        </c:title>
        <c:numFmt formatCode="General" sourceLinked="1"/>
        <c:tickLblPos val="nextTo"/>
        <c:crossAx val="146222080"/>
        <c:crosses val="autoZero"/>
        <c:auto val="1"/>
        <c:lblAlgn val="ctr"/>
        <c:lblOffset val="100"/>
      </c:catAx>
      <c:valAx>
        <c:axId val="146222080"/>
        <c:scaling>
          <c:orientation val="minMax"/>
        </c:scaling>
        <c:axPos val="l"/>
        <c:majorGridlines/>
        <c:title>
          <c:tx>
            <c:rich>
              <a:bodyPr/>
              <a:lstStyle/>
              <a:p>
                <a:pPr>
                  <a:defRPr/>
                </a:pPr>
                <a:r>
                  <a:rPr lang="en-IN"/>
                  <a:t>Y</a:t>
                </a:r>
              </a:p>
            </c:rich>
          </c:tx>
        </c:title>
        <c:numFmt formatCode="0.000" sourceLinked="1"/>
        <c:tickLblPos val="nextTo"/>
        <c:crossAx val="146220160"/>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7 Line Fit  Plot</a:t>
            </a:r>
          </a:p>
        </c:rich>
      </c:tx>
    </c:title>
    <c:plotArea>
      <c:layout/>
      <c:barChart>
        <c:barDir val="col"/>
        <c:grouping val="clustered"/>
        <c:ser>
          <c:idx val="0"/>
          <c:order val="0"/>
          <c:tx>
            <c:v>Y</c:v>
          </c:tx>
          <c:cat>
            <c:numRef>
              <c:f>'Dummy-II'!$O$3:$O$44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cat>
          <c:val>
            <c:numRef>
              <c:f>'Dummy-II'!$D$3:$D$44</c:f>
              <c:numCache>
                <c:formatCode>0.000</c:formatCode>
                <c:ptCount val="42"/>
                <c:pt idx="0">
                  <c:v>7.3768000000000002</c:v>
                </c:pt>
                <c:pt idx="1">
                  <c:v>9.613999999999999</c:v>
                </c:pt>
                <c:pt idx="2">
                  <c:v>7.6019999999999994</c:v>
                </c:pt>
                <c:pt idx="3">
                  <c:v>8.0359999999999996</c:v>
                </c:pt>
                <c:pt idx="4">
                  <c:v>8.4477999999999991</c:v>
                </c:pt>
                <c:pt idx="5">
                  <c:v>8.120000000000001</c:v>
                </c:pt>
                <c:pt idx="6">
                  <c:v>8.3580000000000005</c:v>
                </c:pt>
                <c:pt idx="7">
                  <c:v>7.9320000000000004</c:v>
                </c:pt>
                <c:pt idx="8">
                  <c:v>8.2574000000000005</c:v>
                </c:pt>
                <c:pt idx="9">
                  <c:v>9.0220000000000002</c:v>
                </c:pt>
                <c:pt idx="10">
                  <c:v>9.1059999999999999</c:v>
                </c:pt>
                <c:pt idx="11">
                  <c:v>6.6597999999999997</c:v>
                </c:pt>
                <c:pt idx="12">
                  <c:v>7.7336</c:v>
                </c:pt>
                <c:pt idx="13">
                  <c:v>8.1001999999999992</c:v>
                </c:pt>
                <c:pt idx="14">
                  <c:v>7.94</c:v>
                </c:pt>
                <c:pt idx="15">
                  <c:v>8.6128000000000018</c:v>
                </c:pt>
                <c:pt idx="16">
                  <c:v>7.971000000000001</c:v>
                </c:pt>
                <c:pt idx="17">
                  <c:v>8.072000000000001</c:v>
                </c:pt>
                <c:pt idx="18">
                  <c:v>6.6482000000000001</c:v>
                </c:pt>
                <c:pt idx="19">
                  <c:v>7.2551999999999994</c:v>
                </c:pt>
                <c:pt idx="20">
                  <c:v>7.99</c:v>
                </c:pt>
                <c:pt idx="21">
                  <c:v>6.5489999999999995</c:v>
                </c:pt>
                <c:pt idx="22">
                  <c:v>7.7274000000000003</c:v>
                </c:pt>
                <c:pt idx="23">
                  <c:v>8.5597999999999992</c:v>
                </c:pt>
                <c:pt idx="24">
                  <c:v>7.7319999999999993</c:v>
                </c:pt>
                <c:pt idx="25">
                  <c:v>7.25</c:v>
                </c:pt>
                <c:pt idx="26">
                  <c:v>7.4595999999999991</c:v>
                </c:pt>
                <c:pt idx="27">
                  <c:v>7.18</c:v>
                </c:pt>
                <c:pt idx="28">
                  <c:v>6.8437999999999999</c:v>
                </c:pt>
                <c:pt idx="29">
                  <c:v>6.87</c:v>
                </c:pt>
                <c:pt idx="30">
                  <c:v>7.8849999999999998</c:v>
                </c:pt>
                <c:pt idx="31">
                  <c:v>8.8148000000000017</c:v>
                </c:pt>
                <c:pt idx="32">
                  <c:v>6.2720000000000002</c:v>
                </c:pt>
                <c:pt idx="33">
                  <c:v>7.9602000000000004</c:v>
                </c:pt>
                <c:pt idx="34">
                  <c:v>9.2519999999999989</c:v>
                </c:pt>
                <c:pt idx="35">
                  <c:v>7.4611999999999998</c:v>
                </c:pt>
                <c:pt idx="36">
                  <c:v>6.4567999999999994</c:v>
                </c:pt>
                <c:pt idx="37">
                  <c:v>7.3816000000000006</c:v>
                </c:pt>
                <c:pt idx="38">
                  <c:v>8.4719999999999995</c:v>
                </c:pt>
                <c:pt idx="39">
                  <c:v>7.2459999999999996</c:v>
                </c:pt>
                <c:pt idx="40">
                  <c:v>9.1340000000000003</c:v>
                </c:pt>
                <c:pt idx="41">
                  <c:v>8.0920000000000005</c:v>
                </c:pt>
              </c:numCache>
            </c:numRef>
          </c:val>
        </c:ser>
        <c:ser>
          <c:idx val="1"/>
          <c:order val="1"/>
          <c:tx>
            <c:v>Predicted Y</c:v>
          </c:tx>
          <c:cat>
            <c:numRef>
              <c:f>'Dummy-II'!$O$3:$O$44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cat>
          <c:val>
            <c:numRef>
              <c:f>'Regression-II'!$B$31:$B$72</c:f>
              <c:numCache>
                <c:formatCode>General</c:formatCode>
                <c:ptCount val="42"/>
                <c:pt idx="0">
                  <c:v>7.540606289308176</c:v>
                </c:pt>
                <c:pt idx="1">
                  <c:v>9.0482046383647781</c:v>
                </c:pt>
                <c:pt idx="2">
                  <c:v>7.540606289308176</c:v>
                </c:pt>
                <c:pt idx="3">
                  <c:v>7.6889997248427662</c:v>
                </c:pt>
                <c:pt idx="4">
                  <c:v>7.7656155660377362</c:v>
                </c:pt>
                <c:pt idx="5">
                  <c:v>7.7656155660377362</c:v>
                </c:pt>
                <c:pt idx="6">
                  <c:v>7.9140090015723263</c:v>
                </c:pt>
                <c:pt idx="7">
                  <c:v>7.540606289308176</c:v>
                </c:pt>
                <c:pt idx="8">
                  <c:v>8.8231953616352179</c:v>
                </c:pt>
                <c:pt idx="9">
                  <c:v>7.9140090015723263</c:v>
                </c:pt>
                <c:pt idx="10">
                  <c:v>7.540606289308176</c:v>
                </c:pt>
                <c:pt idx="11">
                  <c:v>7.7656155660377362</c:v>
                </c:pt>
                <c:pt idx="12">
                  <c:v>8.0566752751572324</c:v>
                </c:pt>
                <c:pt idx="13">
                  <c:v>7.8316659984276722</c:v>
                </c:pt>
                <c:pt idx="14">
                  <c:v>7.540606289308176</c:v>
                </c:pt>
                <c:pt idx="15">
                  <c:v>7.9652220911949687</c:v>
                </c:pt>
                <c:pt idx="16">
                  <c:v>7.8316659984276722</c:v>
                </c:pt>
                <c:pt idx="17">
                  <c:v>7.7656155660377362</c:v>
                </c:pt>
                <c:pt idx="18">
                  <c:v>8.0566752751572324</c:v>
                </c:pt>
                <c:pt idx="19">
                  <c:v>7.540606289308176</c:v>
                </c:pt>
                <c:pt idx="20">
                  <c:v>7.8316659984276722</c:v>
                </c:pt>
                <c:pt idx="21">
                  <c:v>7.8316659984276722</c:v>
                </c:pt>
                <c:pt idx="22">
                  <c:v>7.7656155660377362</c:v>
                </c:pt>
                <c:pt idx="23">
                  <c:v>8.0566752751572324</c:v>
                </c:pt>
                <c:pt idx="24">
                  <c:v>7.540606289308176</c:v>
                </c:pt>
                <c:pt idx="25">
                  <c:v>7.7656155660377362</c:v>
                </c:pt>
                <c:pt idx="26">
                  <c:v>7.540606289308176</c:v>
                </c:pt>
                <c:pt idx="27">
                  <c:v>7.8225558176100627</c:v>
                </c:pt>
                <c:pt idx="28">
                  <c:v>7.540606289308176</c:v>
                </c:pt>
                <c:pt idx="29">
                  <c:v>7.7656155660377362</c:v>
                </c:pt>
                <c:pt idx="30">
                  <c:v>7.7656155660377362</c:v>
                </c:pt>
                <c:pt idx="31">
                  <c:v>7.540606289308176</c:v>
                </c:pt>
                <c:pt idx="32">
                  <c:v>7.540606289308176</c:v>
                </c:pt>
                <c:pt idx="33">
                  <c:v>7.9652220911949687</c:v>
                </c:pt>
                <c:pt idx="34">
                  <c:v>9.2519999999999989</c:v>
                </c:pt>
                <c:pt idx="35">
                  <c:v>7.6889997248427662</c:v>
                </c:pt>
                <c:pt idx="36">
                  <c:v>7.6889997248427662</c:v>
                </c:pt>
                <c:pt idx="37">
                  <c:v>7.9140090015723263</c:v>
                </c:pt>
                <c:pt idx="38">
                  <c:v>7.9140090015723263</c:v>
                </c:pt>
                <c:pt idx="39">
                  <c:v>7.540606289308176</c:v>
                </c:pt>
                <c:pt idx="40">
                  <c:v>7.8316659984276722</c:v>
                </c:pt>
                <c:pt idx="41">
                  <c:v>7.9140090015723263</c:v>
                </c:pt>
              </c:numCache>
            </c:numRef>
          </c:val>
        </c:ser>
        <c:axId val="146265600"/>
        <c:axId val="146267520"/>
      </c:barChart>
      <c:catAx>
        <c:axId val="146265600"/>
        <c:scaling>
          <c:orientation val="minMax"/>
        </c:scaling>
        <c:axPos val="b"/>
        <c:title>
          <c:tx>
            <c:rich>
              <a:bodyPr/>
              <a:lstStyle/>
              <a:p>
                <a:pPr>
                  <a:defRPr/>
                </a:pPr>
                <a:r>
                  <a:rPr lang="en-IN"/>
                  <a:t>X Variable 7</a:t>
                </a:r>
              </a:p>
            </c:rich>
          </c:tx>
        </c:title>
        <c:numFmt formatCode="General" sourceLinked="1"/>
        <c:tickLblPos val="nextTo"/>
        <c:crossAx val="146267520"/>
        <c:crosses val="autoZero"/>
        <c:auto val="1"/>
        <c:lblAlgn val="ctr"/>
        <c:lblOffset val="100"/>
      </c:catAx>
      <c:valAx>
        <c:axId val="146267520"/>
        <c:scaling>
          <c:orientation val="minMax"/>
        </c:scaling>
        <c:axPos val="l"/>
        <c:majorGridlines/>
        <c:title>
          <c:tx>
            <c:rich>
              <a:bodyPr/>
              <a:lstStyle/>
              <a:p>
                <a:pPr>
                  <a:defRPr/>
                </a:pPr>
                <a:r>
                  <a:rPr lang="en-IN"/>
                  <a:t>Y</a:t>
                </a:r>
              </a:p>
            </c:rich>
          </c:tx>
        </c:title>
        <c:numFmt formatCode="0.000" sourceLinked="1"/>
        <c:tickLblPos val="nextTo"/>
        <c:crossAx val="146265600"/>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1 Line Fit  Plot</a:t>
            </a:r>
          </a:p>
        </c:rich>
      </c:tx>
    </c:title>
    <c:plotArea>
      <c:layout/>
      <c:lineChart>
        <c:grouping val="standard"/>
        <c:ser>
          <c:idx val="0"/>
          <c:order val="0"/>
          <c:tx>
            <c:v>Y</c:v>
          </c:tx>
          <c:marker>
            <c:symbol val="none"/>
          </c:marker>
          <c:cat>
            <c:numRef>
              <c:f>'Dummy-II'!$H$3:$H$44</c:f>
              <c:numCache>
                <c:formatCode>General</c:formatCode>
                <c:ptCount val="42"/>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6.7750000000000004</c:v>
                </c:pt>
                <c:pt idx="12">
                  <c:v>7.7749999999999995</c:v>
                </c:pt>
                <c:pt idx="13">
                  <c:v>8.1</c:v>
                </c:pt>
                <c:pt idx="14">
                  <c:v>7.9125000000000005</c:v>
                </c:pt>
                <c:pt idx="15">
                  <c:v>8.5820000000000007</c:v>
                </c:pt>
                <c:pt idx="16">
                  <c:v>7.7887500000000003</c:v>
                </c:pt>
                <c:pt idx="17">
                  <c:v>8.0825000000000014</c:v>
                </c:pt>
                <c:pt idx="18">
                  <c:v>6.8500000000000005</c:v>
                </c:pt>
                <c:pt idx="19">
                  <c:v>7.2212499999999995</c:v>
                </c:pt>
                <c:pt idx="20">
                  <c:v>8.1875</c:v>
                </c:pt>
                <c:pt idx="21">
                  <c:v>6.5477499999999997</c:v>
                </c:pt>
                <c:pt idx="22">
                  <c:v>7.7</c:v>
                </c:pt>
                <c:pt idx="23">
                  <c:v>8.6524999999999999</c:v>
                </c:pt>
                <c:pt idx="24">
                  <c:v>7.7899999999999991</c:v>
                </c:pt>
                <c:pt idx="25">
                  <c:v>7.4124999999999996</c:v>
                </c:pt>
                <c:pt idx="26">
                  <c:v>7.544999999999999</c:v>
                </c:pt>
                <c:pt idx="27">
                  <c:v>7.2249999999999996</c:v>
                </c:pt>
                <c:pt idx="28">
                  <c:v>6.8847500000000004</c:v>
                </c:pt>
                <c:pt idx="29">
                  <c:v>6.7249999999999996</c:v>
                </c:pt>
                <c:pt idx="30">
                  <c:v>7.9249999999999998</c:v>
                </c:pt>
                <c:pt idx="31">
                  <c:v>8.8500000000000014</c:v>
                </c:pt>
                <c:pt idx="32">
                  <c:v>6.4375</c:v>
                </c:pt>
                <c:pt idx="33">
                  <c:v>8.2250000000000014</c:v>
                </c:pt>
                <c:pt idx="34">
                  <c:v>9.34</c:v>
                </c:pt>
                <c:pt idx="35">
                  <c:v>7.5625</c:v>
                </c:pt>
                <c:pt idx="36">
                  <c:v>6.5750000000000002</c:v>
                </c:pt>
                <c:pt idx="37">
                  <c:v>7.7349999999999994</c:v>
                </c:pt>
                <c:pt idx="38">
                  <c:v>8.34</c:v>
                </c:pt>
                <c:pt idx="39">
                  <c:v>7.4074999999999989</c:v>
                </c:pt>
                <c:pt idx="40">
                  <c:v>9.1875</c:v>
                </c:pt>
                <c:pt idx="41">
                  <c:v>8.24</c:v>
                </c:pt>
              </c:numCache>
            </c:numRef>
          </c:cat>
          <c:val>
            <c:numRef>
              <c:f>'Dummy-II'!$E$3:$E$44</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val>
          <c:smooth val="1"/>
        </c:ser>
        <c:ser>
          <c:idx val="1"/>
          <c:order val="1"/>
          <c:tx>
            <c:v>Predicted Y</c:v>
          </c:tx>
          <c:marker>
            <c:symbol val="none"/>
          </c:marker>
          <c:cat>
            <c:numRef>
              <c:f>'Dummy-II'!$H$3:$H$44</c:f>
              <c:numCache>
                <c:formatCode>General</c:formatCode>
                <c:ptCount val="42"/>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6.7750000000000004</c:v>
                </c:pt>
                <c:pt idx="12">
                  <c:v>7.7749999999999995</c:v>
                </c:pt>
                <c:pt idx="13">
                  <c:v>8.1</c:v>
                </c:pt>
                <c:pt idx="14">
                  <c:v>7.9125000000000005</c:v>
                </c:pt>
                <c:pt idx="15">
                  <c:v>8.5820000000000007</c:v>
                </c:pt>
                <c:pt idx="16">
                  <c:v>7.7887500000000003</c:v>
                </c:pt>
                <c:pt idx="17">
                  <c:v>8.0825000000000014</c:v>
                </c:pt>
                <c:pt idx="18">
                  <c:v>6.8500000000000005</c:v>
                </c:pt>
                <c:pt idx="19">
                  <c:v>7.2212499999999995</c:v>
                </c:pt>
                <c:pt idx="20">
                  <c:v>8.1875</c:v>
                </c:pt>
                <c:pt idx="21">
                  <c:v>6.5477499999999997</c:v>
                </c:pt>
                <c:pt idx="22">
                  <c:v>7.7</c:v>
                </c:pt>
                <c:pt idx="23">
                  <c:v>8.6524999999999999</c:v>
                </c:pt>
                <c:pt idx="24">
                  <c:v>7.7899999999999991</c:v>
                </c:pt>
                <c:pt idx="25">
                  <c:v>7.4124999999999996</c:v>
                </c:pt>
                <c:pt idx="26">
                  <c:v>7.544999999999999</c:v>
                </c:pt>
                <c:pt idx="27">
                  <c:v>7.2249999999999996</c:v>
                </c:pt>
                <c:pt idx="28">
                  <c:v>6.8847500000000004</c:v>
                </c:pt>
                <c:pt idx="29">
                  <c:v>6.7249999999999996</c:v>
                </c:pt>
                <c:pt idx="30">
                  <c:v>7.9249999999999998</c:v>
                </c:pt>
                <c:pt idx="31">
                  <c:v>8.8500000000000014</c:v>
                </c:pt>
                <c:pt idx="32">
                  <c:v>6.4375</c:v>
                </c:pt>
                <c:pt idx="33">
                  <c:v>8.2250000000000014</c:v>
                </c:pt>
                <c:pt idx="34">
                  <c:v>9.34</c:v>
                </c:pt>
                <c:pt idx="35">
                  <c:v>7.5625</c:v>
                </c:pt>
                <c:pt idx="36">
                  <c:v>6.5750000000000002</c:v>
                </c:pt>
                <c:pt idx="37">
                  <c:v>7.7349999999999994</c:v>
                </c:pt>
                <c:pt idx="38">
                  <c:v>8.34</c:v>
                </c:pt>
                <c:pt idx="39">
                  <c:v>7.4074999999999989</c:v>
                </c:pt>
                <c:pt idx="40">
                  <c:v>9.1875</c:v>
                </c:pt>
                <c:pt idx="41">
                  <c:v>8.24</c:v>
                </c:pt>
              </c:numCache>
            </c:numRef>
          </c:cat>
          <c:val>
            <c:numRef>
              <c:f>'Regression-III'!$B$32:$B$73</c:f>
              <c:numCache>
                <c:formatCode>General</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val>
          <c:smooth val="1"/>
        </c:ser>
        <c:marker val="1"/>
        <c:axId val="146307328"/>
        <c:axId val="146313600"/>
      </c:lineChart>
      <c:catAx>
        <c:axId val="146307328"/>
        <c:scaling>
          <c:orientation val="minMax"/>
        </c:scaling>
        <c:axPos val="b"/>
        <c:title>
          <c:tx>
            <c:rich>
              <a:bodyPr/>
              <a:lstStyle/>
              <a:p>
                <a:pPr>
                  <a:defRPr/>
                </a:pPr>
                <a:r>
                  <a:rPr lang="en-IN"/>
                  <a:t>X Variable 1</a:t>
                </a:r>
              </a:p>
            </c:rich>
          </c:tx>
        </c:title>
        <c:numFmt formatCode="General" sourceLinked="1"/>
        <c:tickLblPos val="nextTo"/>
        <c:crossAx val="146313600"/>
        <c:crosses val="autoZero"/>
        <c:auto val="1"/>
        <c:lblAlgn val="ctr"/>
        <c:lblOffset val="100"/>
      </c:catAx>
      <c:valAx>
        <c:axId val="146313600"/>
        <c:scaling>
          <c:orientation val="minMax"/>
        </c:scaling>
        <c:axPos val="l"/>
        <c:majorGridlines/>
        <c:title>
          <c:tx>
            <c:rich>
              <a:bodyPr/>
              <a:lstStyle/>
              <a:p>
                <a:pPr>
                  <a:defRPr/>
                </a:pPr>
                <a:r>
                  <a:rPr lang="en-IN"/>
                  <a:t>Y</a:t>
                </a:r>
              </a:p>
            </c:rich>
          </c:tx>
        </c:title>
        <c:numFmt formatCode="0.000" sourceLinked="1"/>
        <c:tickLblPos val="nextTo"/>
        <c:crossAx val="146307328"/>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2 Line Fit  Plot</a:t>
            </a:r>
          </a:p>
        </c:rich>
      </c:tx>
    </c:title>
    <c:plotArea>
      <c:layout/>
      <c:barChart>
        <c:barDir val="col"/>
        <c:grouping val="clustered"/>
        <c:ser>
          <c:idx val="0"/>
          <c:order val="0"/>
          <c:tx>
            <c:v>Y</c:v>
          </c:tx>
          <c:cat>
            <c:numRef>
              <c:f>'Dummy-II'!$I$3:$I$44</c:f>
              <c:numCache>
                <c:formatCode>General</c:formatCode>
                <c:ptCount val="42"/>
                <c:pt idx="0">
                  <c:v>0</c:v>
                </c:pt>
                <c:pt idx="1">
                  <c:v>0</c:v>
                </c:pt>
                <c:pt idx="2">
                  <c:v>0</c:v>
                </c:pt>
                <c:pt idx="3">
                  <c:v>1</c:v>
                </c:pt>
                <c:pt idx="4">
                  <c:v>0</c:v>
                </c:pt>
                <c:pt idx="5">
                  <c:v>0</c:v>
                </c:pt>
                <c:pt idx="6">
                  <c:v>1</c:v>
                </c:pt>
                <c:pt idx="7">
                  <c:v>0</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0</c:v>
                </c:pt>
                <c:pt idx="33">
                  <c:v>0</c:v>
                </c:pt>
                <c:pt idx="34">
                  <c:v>0</c:v>
                </c:pt>
                <c:pt idx="35">
                  <c:v>1</c:v>
                </c:pt>
                <c:pt idx="36">
                  <c:v>1</c:v>
                </c:pt>
                <c:pt idx="37">
                  <c:v>1</c:v>
                </c:pt>
                <c:pt idx="38">
                  <c:v>1</c:v>
                </c:pt>
                <c:pt idx="39">
                  <c:v>0</c:v>
                </c:pt>
                <c:pt idx="40">
                  <c:v>0</c:v>
                </c:pt>
                <c:pt idx="41">
                  <c:v>1</c:v>
                </c:pt>
              </c:numCache>
            </c:numRef>
          </c:cat>
          <c:val>
            <c:numRef>
              <c:f>'Dummy-II'!$E$3:$E$44</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val>
        </c:ser>
        <c:ser>
          <c:idx val="1"/>
          <c:order val="1"/>
          <c:tx>
            <c:v>Predicted Y</c:v>
          </c:tx>
          <c:cat>
            <c:numRef>
              <c:f>'Dummy-II'!$I$3:$I$44</c:f>
              <c:numCache>
                <c:formatCode>General</c:formatCode>
                <c:ptCount val="42"/>
                <c:pt idx="0">
                  <c:v>0</c:v>
                </c:pt>
                <c:pt idx="1">
                  <c:v>0</c:v>
                </c:pt>
                <c:pt idx="2">
                  <c:v>0</c:v>
                </c:pt>
                <c:pt idx="3">
                  <c:v>1</c:v>
                </c:pt>
                <c:pt idx="4">
                  <c:v>0</c:v>
                </c:pt>
                <c:pt idx="5">
                  <c:v>0</c:v>
                </c:pt>
                <c:pt idx="6">
                  <c:v>1</c:v>
                </c:pt>
                <c:pt idx="7">
                  <c:v>0</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0</c:v>
                </c:pt>
                <c:pt idx="33">
                  <c:v>0</c:v>
                </c:pt>
                <c:pt idx="34">
                  <c:v>0</c:v>
                </c:pt>
                <c:pt idx="35">
                  <c:v>1</c:v>
                </c:pt>
                <c:pt idx="36">
                  <c:v>1</c:v>
                </c:pt>
                <c:pt idx="37">
                  <c:v>1</c:v>
                </c:pt>
                <c:pt idx="38">
                  <c:v>1</c:v>
                </c:pt>
                <c:pt idx="39">
                  <c:v>0</c:v>
                </c:pt>
                <c:pt idx="40">
                  <c:v>0</c:v>
                </c:pt>
                <c:pt idx="41">
                  <c:v>1</c:v>
                </c:pt>
              </c:numCache>
            </c:numRef>
          </c:cat>
          <c:val>
            <c:numRef>
              <c:f>'Regression-III'!$B$32:$B$73</c:f>
              <c:numCache>
                <c:formatCode>General</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val>
        </c:ser>
        <c:axId val="146360960"/>
        <c:axId val="146371328"/>
      </c:barChart>
      <c:catAx>
        <c:axId val="146360960"/>
        <c:scaling>
          <c:orientation val="minMax"/>
        </c:scaling>
        <c:axPos val="b"/>
        <c:title>
          <c:tx>
            <c:rich>
              <a:bodyPr/>
              <a:lstStyle/>
              <a:p>
                <a:pPr>
                  <a:defRPr/>
                </a:pPr>
                <a:r>
                  <a:rPr lang="en-IN"/>
                  <a:t>X Variable 2</a:t>
                </a:r>
              </a:p>
            </c:rich>
          </c:tx>
        </c:title>
        <c:numFmt formatCode="General" sourceLinked="1"/>
        <c:tickLblPos val="nextTo"/>
        <c:crossAx val="146371328"/>
        <c:crosses val="autoZero"/>
        <c:auto val="1"/>
        <c:lblAlgn val="ctr"/>
        <c:lblOffset val="100"/>
      </c:catAx>
      <c:valAx>
        <c:axId val="146371328"/>
        <c:scaling>
          <c:orientation val="minMax"/>
        </c:scaling>
        <c:axPos val="l"/>
        <c:majorGridlines/>
        <c:title>
          <c:tx>
            <c:rich>
              <a:bodyPr/>
              <a:lstStyle/>
              <a:p>
                <a:pPr>
                  <a:defRPr/>
                </a:pPr>
                <a:r>
                  <a:rPr lang="en-IN"/>
                  <a:t>Y</a:t>
                </a:r>
              </a:p>
            </c:rich>
          </c:tx>
        </c:title>
        <c:numFmt formatCode="0.000" sourceLinked="1"/>
        <c:tickLblPos val="nextTo"/>
        <c:crossAx val="146360960"/>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3 Line Fit  Plot</a:t>
            </a:r>
          </a:p>
        </c:rich>
      </c:tx>
    </c:title>
    <c:plotArea>
      <c:layout/>
      <c:barChart>
        <c:barDir val="col"/>
        <c:grouping val="clustered"/>
        <c:ser>
          <c:idx val="0"/>
          <c:order val="0"/>
          <c:tx>
            <c:v>Y</c:v>
          </c:tx>
          <c:cat>
            <c:numRef>
              <c:f>'Dummy-II'!$J$3:$J$44</c:f>
              <c:numCache>
                <c:formatCode>General</c:formatCode>
                <c:ptCount val="42"/>
                <c:pt idx="0">
                  <c:v>1</c:v>
                </c:pt>
                <c:pt idx="1">
                  <c:v>0</c:v>
                </c:pt>
                <c:pt idx="2">
                  <c:v>1</c:v>
                </c:pt>
                <c:pt idx="3">
                  <c:v>0</c:v>
                </c:pt>
                <c:pt idx="4">
                  <c:v>1</c:v>
                </c:pt>
                <c:pt idx="5">
                  <c:v>1</c:v>
                </c:pt>
                <c:pt idx="6">
                  <c:v>0</c:v>
                </c:pt>
                <c:pt idx="7">
                  <c:v>1</c:v>
                </c:pt>
                <c:pt idx="8">
                  <c:v>0</c:v>
                </c:pt>
                <c:pt idx="9">
                  <c:v>0</c:v>
                </c:pt>
                <c:pt idx="10">
                  <c:v>1</c:v>
                </c:pt>
                <c:pt idx="11">
                  <c:v>1</c:v>
                </c:pt>
                <c:pt idx="12">
                  <c:v>0</c:v>
                </c:pt>
                <c:pt idx="13">
                  <c:v>0</c:v>
                </c:pt>
                <c:pt idx="14">
                  <c:v>1</c:v>
                </c:pt>
                <c:pt idx="15">
                  <c:v>0</c:v>
                </c:pt>
                <c:pt idx="16">
                  <c:v>0</c:v>
                </c:pt>
                <c:pt idx="17">
                  <c:v>1</c:v>
                </c:pt>
                <c:pt idx="18">
                  <c:v>0</c:v>
                </c:pt>
                <c:pt idx="19">
                  <c:v>1</c:v>
                </c:pt>
                <c:pt idx="20">
                  <c:v>0</c:v>
                </c:pt>
                <c:pt idx="21">
                  <c:v>0</c:v>
                </c:pt>
                <c:pt idx="22">
                  <c:v>1</c:v>
                </c:pt>
                <c:pt idx="23">
                  <c:v>0</c:v>
                </c:pt>
                <c:pt idx="24">
                  <c:v>1</c:v>
                </c:pt>
                <c:pt idx="25">
                  <c:v>1</c:v>
                </c:pt>
                <c:pt idx="26">
                  <c:v>1</c:v>
                </c:pt>
                <c:pt idx="27">
                  <c:v>0</c:v>
                </c:pt>
                <c:pt idx="28">
                  <c:v>1</c:v>
                </c:pt>
                <c:pt idx="29">
                  <c:v>1</c:v>
                </c:pt>
                <c:pt idx="30">
                  <c:v>1</c:v>
                </c:pt>
                <c:pt idx="31">
                  <c:v>1</c:v>
                </c:pt>
                <c:pt idx="32">
                  <c:v>1</c:v>
                </c:pt>
                <c:pt idx="33">
                  <c:v>0</c:v>
                </c:pt>
                <c:pt idx="34">
                  <c:v>0</c:v>
                </c:pt>
                <c:pt idx="35">
                  <c:v>0</c:v>
                </c:pt>
                <c:pt idx="36">
                  <c:v>0</c:v>
                </c:pt>
                <c:pt idx="37">
                  <c:v>0</c:v>
                </c:pt>
                <c:pt idx="38">
                  <c:v>0</c:v>
                </c:pt>
                <c:pt idx="39">
                  <c:v>1</c:v>
                </c:pt>
                <c:pt idx="40">
                  <c:v>0</c:v>
                </c:pt>
                <c:pt idx="41">
                  <c:v>0</c:v>
                </c:pt>
              </c:numCache>
            </c:numRef>
          </c:cat>
          <c:val>
            <c:numRef>
              <c:f>'Dummy-II'!$E$3:$E$44</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val>
        </c:ser>
        <c:ser>
          <c:idx val="1"/>
          <c:order val="1"/>
          <c:tx>
            <c:v>Predicted Y</c:v>
          </c:tx>
          <c:cat>
            <c:numRef>
              <c:f>'Dummy-II'!$J$3:$J$44</c:f>
              <c:numCache>
                <c:formatCode>General</c:formatCode>
                <c:ptCount val="42"/>
                <c:pt idx="0">
                  <c:v>1</c:v>
                </c:pt>
                <c:pt idx="1">
                  <c:v>0</c:v>
                </c:pt>
                <c:pt idx="2">
                  <c:v>1</c:v>
                </c:pt>
                <c:pt idx="3">
                  <c:v>0</c:v>
                </c:pt>
                <c:pt idx="4">
                  <c:v>1</c:v>
                </c:pt>
                <c:pt idx="5">
                  <c:v>1</c:v>
                </c:pt>
                <c:pt idx="6">
                  <c:v>0</c:v>
                </c:pt>
                <c:pt idx="7">
                  <c:v>1</c:v>
                </c:pt>
                <c:pt idx="8">
                  <c:v>0</c:v>
                </c:pt>
                <c:pt idx="9">
                  <c:v>0</c:v>
                </c:pt>
                <c:pt idx="10">
                  <c:v>1</c:v>
                </c:pt>
                <c:pt idx="11">
                  <c:v>1</c:v>
                </c:pt>
                <c:pt idx="12">
                  <c:v>0</c:v>
                </c:pt>
                <c:pt idx="13">
                  <c:v>0</c:v>
                </c:pt>
                <c:pt idx="14">
                  <c:v>1</c:v>
                </c:pt>
                <c:pt idx="15">
                  <c:v>0</c:v>
                </c:pt>
                <c:pt idx="16">
                  <c:v>0</c:v>
                </c:pt>
                <c:pt idx="17">
                  <c:v>1</c:v>
                </c:pt>
                <c:pt idx="18">
                  <c:v>0</c:v>
                </c:pt>
                <c:pt idx="19">
                  <c:v>1</c:v>
                </c:pt>
                <c:pt idx="20">
                  <c:v>0</c:v>
                </c:pt>
                <c:pt idx="21">
                  <c:v>0</c:v>
                </c:pt>
                <c:pt idx="22">
                  <c:v>1</c:v>
                </c:pt>
                <c:pt idx="23">
                  <c:v>0</c:v>
                </c:pt>
                <c:pt idx="24">
                  <c:v>1</c:v>
                </c:pt>
                <c:pt idx="25">
                  <c:v>1</c:v>
                </c:pt>
                <c:pt idx="26">
                  <c:v>1</c:v>
                </c:pt>
                <c:pt idx="27">
                  <c:v>0</c:v>
                </c:pt>
                <c:pt idx="28">
                  <c:v>1</c:v>
                </c:pt>
                <c:pt idx="29">
                  <c:v>1</c:v>
                </c:pt>
                <c:pt idx="30">
                  <c:v>1</c:v>
                </c:pt>
                <c:pt idx="31">
                  <c:v>1</c:v>
                </c:pt>
                <c:pt idx="32">
                  <c:v>1</c:v>
                </c:pt>
                <c:pt idx="33">
                  <c:v>0</c:v>
                </c:pt>
                <c:pt idx="34">
                  <c:v>0</c:v>
                </c:pt>
                <c:pt idx="35">
                  <c:v>0</c:v>
                </c:pt>
                <c:pt idx="36">
                  <c:v>0</c:v>
                </c:pt>
                <c:pt idx="37">
                  <c:v>0</c:v>
                </c:pt>
                <c:pt idx="38">
                  <c:v>0</c:v>
                </c:pt>
                <c:pt idx="39">
                  <c:v>1</c:v>
                </c:pt>
                <c:pt idx="40">
                  <c:v>0</c:v>
                </c:pt>
                <c:pt idx="41">
                  <c:v>0</c:v>
                </c:pt>
              </c:numCache>
            </c:numRef>
          </c:cat>
          <c:val>
            <c:numRef>
              <c:f>'Regression-III'!$B$32:$B$73</c:f>
              <c:numCache>
                <c:formatCode>General</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val>
        </c:ser>
        <c:axId val="146398208"/>
        <c:axId val="146400384"/>
      </c:barChart>
      <c:catAx>
        <c:axId val="146398208"/>
        <c:scaling>
          <c:orientation val="minMax"/>
        </c:scaling>
        <c:axPos val="b"/>
        <c:title>
          <c:tx>
            <c:rich>
              <a:bodyPr/>
              <a:lstStyle/>
              <a:p>
                <a:pPr>
                  <a:defRPr/>
                </a:pPr>
                <a:r>
                  <a:rPr lang="en-IN"/>
                  <a:t>X Variable 3</a:t>
                </a:r>
              </a:p>
            </c:rich>
          </c:tx>
        </c:title>
        <c:numFmt formatCode="General" sourceLinked="1"/>
        <c:tickLblPos val="nextTo"/>
        <c:crossAx val="146400384"/>
        <c:crosses val="autoZero"/>
        <c:auto val="1"/>
        <c:lblAlgn val="ctr"/>
        <c:lblOffset val="100"/>
      </c:catAx>
      <c:valAx>
        <c:axId val="146400384"/>
        <c:scaling>
          <c:orientation val="minMax"/>
        </c:scaling>
        <c:axPos val="l"/>
        <c:majorGridlines/>
        <c:title>
          <c:tx>
            <c:rich>
              <a:bodyPr/>
              <a:lstStyle/>
              <a:p>
                <a:pPr>
                  <a:defRPr/>
                </a:pPr>
                <a:r>
                  <a:rPr lang="en-IN"/>
                  <a:t>Y</a:t>
                </a:r>
              </a:p>
            </c:rich>
          </c:tx>
        </c:title>
        <c:numFmt formatCode="0.000" sourceLinked="1"/>
        <c:tickLblPos val="nextTo"/>
        <c:crossAx val="146398208"/>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4 Line Fit  Plot</a:t>
            </a:r>
          </a:p>
        </c:rich>
      </c:tx>
    </c:title>
    <c:plotArea>
      <c:layout/>
      <c:barChart>
        <c:barDir val="col"/>
        <c:grouping val="clustered"/>
        <c:ser>
          <c:idx val="0"/>
          <c:order val="0"/>
          <c:tx>
            <c:v>Y</c:v>
          </c:tx>
          <c:cat>
            <c:numRef>
              <c:f>'Dummy-II'!$K$3:$K$44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1</c:v>
                </c:pt>
                <c:pt idx="13">
                  <c:v>1</c:v>
                </c:pt>
                <c:pt idx="14">
                  <c:v>0</c:v>
                </c:pt>
                <c:pt idx="15">
                  <c:v>1</c:v>
                </c:pt>
                <c:pt idx="16">
                  <c:v>1</c:v>
                </c:pt>
                <c:pt idx="17">
                  <c:v>0</c:v>
                </c:pt>
                <c:pt idx="18">
                  <c:v>1</c:v>
                </c:pt>
                <c:pt idx="19">
                  <c:v>0</c:v>
                </c:pt>
                <c:pt idx="20">
                  <c:v>1</c:v>
                </c:pt>
                <c:pt idx="21">
                  <c:v>1</c:v>
                </c:pt>
                <c:pt idx="22">
                  <c:v>0</c:v>
                </c:pt>
                <c:pt idx="23">
                  <c:v>1</c:v>
                </c:pt>
                <c:pt idx="24">
                  <c:v>0</c:v>
                </c:pt>
                <c:pt idx="25">
                  <c:v>0</c:v>
                </c:pt>
                <c:pt idx="26">
                  <c:v>0</c:v>
                </c:pt>
                <c:pt idx="27">
                  <c:v>0</c:v>
                </c:pt>
                <c:pt idx="28">
                  <c:v>0</c:v>
                </c:pt>
                <c:pt idx="29">
                  <c:v>0</c:v>
                </c:pt>
                <c:pt idx="30">
                  <c:v>0</c:v>
                </c:pt>
                <c:pt idx="31">
                  <c:v>0</c:v>
                </c:pt>
                <c:pt idx="32">
                  <c:v>0</c:v>
                </c:pt>
                <c:pt idx="33">
                  <c:v>1</c:v>
                </c:pt>
                <c:pt idx="34">
                  <c:v>0</c:v>
                </c:pt>
                <c:pt idx="35">
                  <c:v>0</c:v>
                </c:pt>
                <c:pt idx="36">
                  <c:v>0</c:v>
                </c:pt>
                <c:pt idx="37">
                  <c:v>0</c:v>
                </c:pt>
                <c:pt idx="38">
                  <c:v>0</c:v>
                </c:pt>
                <c:pt idx="39">
                  <c:v>0</c:v>
                </c:pt>
                <c:pt idx="40">
                  <c:v>1</c:v>
                </c:pt>
                <c:pt idx="41">
                  <c:v>0</c:v>
                </c:pt>
              </c:numCache>
            </c:numRef>
          </c:cat>
          <c:val>
            <c:numRef>
              <c:f>'Dummy-II'!$E$3:$E$44</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val>
        </c:ser>
        <c:ser>
          <c:idx val="1"/>
          <c:order val="1"/>
          <c:tx>
            <c:v>Predicted Y</c:v>
          </c:tx>
          <c:cat>
            <c:numRef>
              <c:f>'Dummy-II'!$K$3:$K$44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1</c:v>
                </c:pt>
                <c:pt idx="13">
                  <c:v>1</c:v>
                </c:pt>
                <c:pt idx="14">
                  <c:v>0</c:v>
                </c:pt>
                <c:pt idx="15">
                  <c:v>1</c:v>
                </c:pt>
                <c:pt idx="16">
                  <c:v>1</c:v>
                </c:pt>
                <c:pt idx="17">
                  <c:v>0</c:v>
                </c:pt>
                <c:pt idx="18">
                  <c:v>1</c:v>
                </c:pt>
                <c:pt idx="19">
                  <c:v>0</c:v>
                </c:pt>
                <c:pt idx="20">
                  <c:v>1</c:v>
                </c:pt>
                <c:pt idx="21">
                  <c:v>1</c:v>
                </c:pt>
                <c:pt idx="22">
                  <c:v>0</c:v>
                </c:pt>
                <c:pt idx="23">
                  <c:v>1</c:v>
                </c:pt>
                <c:pt idx="24">
                  <c:v>0</c:v>
                </c:pt>
                <c:pt idx="25">
                  <c:v>0</c:v>
                </c:pt>
                <c:pt idx="26">
                  <c:v>0</c:v>
                </c:pt>
                <c:pt idx="27">
                  <c:v>0</c:v>
                </c:pt>
                <c:pt idx="28">
                  <c:v>0</c:v>
                </c:pt>
                <c:pt idx="29">
                  <c:v>0</c:v>
                </c:pt>
                <c:pt idx="30">
                  <c:v>0</c:v>
                </c:pt>
                <c:pt idx="31">
                  <c:v>0</c:v>
                </c:pt>
                <c:pt idx="32">
                  <c:v>0</c:v>
                </c:pt>
                <c:pt idx="33">
                  <c:v>1</c:v>
                </c:pt>
                <c:pt idx="34">
                  <c:v>0</c:v>
                </c:pt>
                <c:pt idx="35">
                  <c:v>0</c:v>
                </c:pt>
                <c:pt idx="36">
                  <c:v>0</c:v>
                </c:pt>
                <c:pt idx="37">
                  <c:v>0</c:v>
                </c:pt>
                <c:pt idx="38">
                  <c:v>0</c:v>
                </c:pt>
                <c:pt idx="39">
                  <c:v>0</c:v>
                </c:pt>
                <c:pt idx="40">
                  <c:v>1</c:v>
                </c:pt>
                <c:pt idx="41">
                  <c:v>0</c:v>
                </c:pt>
              </c:numCache>
            </c:numRef>
          </c:cat>
          <c:val>
            <c:numRef>
              <c:f>'Regression-III'!$B$32:$B$73</c:f>
              <c:numCache>
                <c:formatCode>General</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val>
        </c:ser>
        <c:axId val="146500992"/>
        <c:axId val="146511360"/>
      </c:barChart>
      <c:catAx>
        <c:axId val="146500992"/>
        <c:scaling>
          <c:orientation val="minMax"/>
        </c:scaling>
        <c:axPos val="b"/>
        <c:title>
          <c:tx>
            <c:rich>
              <a:bodyPr/>
              <a:lstStyle/>
              <a:p>
                <a:pPr>
                  <a:defRPr/>
                </a:pPr>
                <a:r>
                  <a:rPr lang="en-IN"/>
                  <a:t>X Variable 4</a:t>
                </a:r>
              </a:p>
            </c:rich>
          </c:tx>
        </c:title>
        <c:numFmt formatCode="General" sourceLinked="1"/>
        <c:tickLblPos val="nextTo"/>
        <c:crossAx val="146511360"/>
        <c:crosses val="autoZero"/>
        <c:auto val="1"/>
        <c:lblAlgn val="ctr"/>
        <c:lblOffset val="100"/>
      </c:catAx>
      <c:valAx>
        <c:axId val="146511360"/>
        <c:scaling>
          <c:orientation val="minMax"/>
        </c:scaling>
        <c:axPos val="l"/>
        <c:majorGridlines/>
        <c:title>
          <c:tx>
            <c:rich>
              <a:bodyPr/>
              <a:lstStyle/>
              <a:p>
                <a:pPr>
                  <a:defRPr/>
                </a:pPr>
                <a:r>
                  <a:rPr lang="en-IN"/>
                  <a:t>Y</a:t>
                </a:r>
              </a:p>
            </c:rich>
          </c:tx>
        </c:title>
        <c:numFmt formatCode="0.000" sourceLinked="1"/>
        <c:tickLblPos val="nextTo"/>
        <c:crossAx val="146500992"/>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5 Line Fit  Plot</a:t>
            </a:r>
          </a:p>
        </c:rich>
      </c:tx>
    </c:title>
    <c:plotArea>
      <c:layout/>
      <c:barChart>
        <c:barDir val="col"/>
        <c:grouping val="clustered"/>
        <c:ser>
          <c:idx val="0"/>
          <c:order val="0"/>
          <c:tx>
            <c:v>Y</c:v>
          </c:tx>
          <c:cat>
            <c:numRef>
              <c:f>'Dummy-II'!$L$3:$L$44</c:f>
              <c:numCache>
                <c:formatCode>General</c:formatCode>
                <c:ptCount val="42"/>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cat>
          <c:val>
            <c:numRef>
              <c:f>'Dummy-II'!$E$3:$E$44</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val>
        </c:ser>
        <c:ser>
          <c:idx val="1"/>
          <c:order val="1"/>
          <c:tx>
            <c:v>Predicted Y</c:v>
          </c:tx>
          <c:cat>
            <c:numRef>
              <c:f>'Dummy-II'!$L$3:$L$44</c:f>
              <c:numCache>
                <c:formatCode>General</c:formatCode>
                <c:ptCount val="42"/>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cat>
          <c:val>
            <c:numRef>
              <c:f>'Regression-III'!$B$32:$B$73</c:f>
              <c:numCache>
                <c:formatCode>General</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val>
        </c:ser>
        <c:axId val="146681856"/>
        <c:axId val="146683776"/>
      </c:barChart>
      <c:catAx>
        <c:axId val="146681856"/>
        <c:scaling>
          <c:orientation val="minMax"/>
        </c:scaling>
        <c:axPos val="b"/>
        <c:title>
          <c:tx>
            <c:rich>
              <a:bodyPr/>
              <a:lstStyle/>
              <a:p>
                <a:pPr>
                  <a:defRPr/>
                </a:pPr>
                <a:r>
                  <a:rPr lang="en-IN"/>
                  <a:t>X Variable 5</a:t>
                </a:r>
              </a:p>
            </c:rich>
          </c:tx>
        </c:title>
        <c:numFmt formatCode="General" sourceLinked="1"/>
        <c:tickLblPos val="nextTo"/>
        <c:crossAx val="146683776"/>
        <c:crosses val="autoZero"/>
        <c:auto val="1"/>
        <c:lblAlgn val="ctr"/>
        <c:lblOffset val="100"/>
      </c:catAx>
      <c:valAx>
        <c:axId val="146683776"/>
        <c:scaling>
          <c:orientation val="minMax"/>
        </c:scaling>
        <c:axPos val="l"/>
        <c:majorGridlines/>
        <c:title>
          <c:tx>
            <c:rich>
              <a:bodyPr/>
              <a:lstStyle/>
              <a:p>
                <a:pPr>
                  <a:defRPr/>
                </a:pPr>
                <a:r>
                  <a:rPr lang="en-IN"/>
                  <a:t>Y</a:t>
                </a:r>
              </a:p>
            </c:rich>
          </c:tx>
        </c:title>
        <c:numFmt formatCode="0.000" sourceLinked="1"/>
        <c:tickLblPos val="nextTo"/>
        <c:crossAx val="146681856"/>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6 Line Fit  Plot</a:t>
            </a:r>
          </a:p>
        </c:rich>
      </c:tx>
    </c:title>
    <c:plotArea>
      <c:layout/>
      <c:barChart>
        <c:barDir val="col"/>
        <c:grouping val="clustered"/>
        <c:ser>
          <c:idx val="0"/>
          <c:order val="0"/>
          <c:tx>
            <c:v>Y</c:v>
          </c:tx>
          <c:cat>
            <c:numRef>
              <c:f>'Dummy-II'!$M$3:$M$44</c:f>
              <c:numCache>
                <c:formatCode>General</c:formatCode>
                <c:ptCount val="42"/>
                <c:pt idx="0">
                  <c:v>0</c:v>
                </c:pt>
                <c:pt idx="1">
                  <c:v>1</c:v>
                </c:pt>
                <c:pt idx="2">
                  <c:v>0</c:v>
                </c:pt>
                <c:pt idx="3">
                  <c:v>0</c:v>
                </c:pt>
                <c:pt idx="4">
                  <c:v>1</c:v>
                </c:pt>
                <c:pt idx="5">
                  <c:v>1</c:v>
                </c:pt>
                <c:pt idx="6">
                  <c:v>1</c:v>
                </c:pt>
                <c:pt idx="7">
                  <c:v>0</c:v>
                </c:pt>
                <c:pt idx="8">
                  <c:v>0</c:v>
                </c:pt>
                <c:pt idx="9">
                  <c:v>1</c:v>
                </c:pt>
                <c:pt idx="10">
                  <c:v>0</c:v>
                </c:pt>
                <c:pt idx="11">
                  <c:v>1</c:v>
                </c:pt>
                <c:pt idx="12">
                  <c:v>1</c:v>
                </c:pt>
                <c:pt idx="13">
                  <c:v>0</c:v>
                </c:pt>
                <c:pt idx="14">
                  <c:v>0</c:v>
                </c:pt>
                <c:pt idx="15">
                  <c:v>0</c:v>
                </c:pt>
                <c:pt idx="16">
                  <c:v>0</c:v>
                </c:pt>
                <c:pt idx="17">
                  <c:v>1</c:v>
                </c:pt>
                <c:pt idx="18">
                  <c:v>1</c:v>
                </c:pt>
                <c:pt idx="19">
                  <c:v>0</c:v>
                </c:pt>
                <c:pt idx="20">
                  <c:v>0</c:v>
                </c:pt>
                <c:pt idx="21">
                  <c:v>0</c:v>
                </c:pt>
                <c:pt idx="22">
                  <c:v>1</c:v>
                </c:pt>
                <c:pt idx="23">
                  <c:v>1</c:v>
                </c:pt>
                <c:pt idx="24">
                  <c:v>0</c:v>
                </c:pt>
                <c:pt idx="25">
                  <c:v>1</c:v>
                </c:pt>
                <c:pt idx="26">
                  <c:v>0</c:v>
                </c:pt>
                <c:pt idx="27">
                  <c:v>0</c:v>
                </c:pt>
                <c:pt idx="28">
                  <c:v>0</c:v>
                </c:pt>
                <c:pt idx="29">
                  <c:v>1</c:v>
                </c:pt>
                <c:pt idx="30">
                  <c:v>1</c:v>
                </c:pt>
                <c:pt idx="31">
                  <c:v>0</c:v>
                </c:pt>
                <c:pt idx="32">
                  <c:v>0</c:v>
                </c:pt>
                <c:pt idx="33">
                  <c:v>0</c:v>
                </c:pt>
                <c:pt idx="34">
                  <c:v>0</c:v>
                </c:pt>
                <c:pt idx="35">
                  <c:v>0</c:v>
                </c:pt>
                <c:pt idx="36">
                  <c:v>0</c:v>
                </c:pt>
                <c:pt idx="37">
                  <c:v>1</c:v>
                </c:pt>
                <c:pt idx="38">
                  <c:v>1</c:v>
                </c:pt>
                <c:pt idx="39">
                  <c:v>0</c:v>
                </c:pt>
                <c:pt idx="40">
                  <c:v>0</c:v>
                </c:pt>
                <c:pt idx="41">
                  <c:v>1</c:v>
                </c:pt>
              </c:numCache>
            </c:numRef>
          </c:cat>
          <c:val>
            <c:numRef>
              <c:f>'Dummy-II'!$E$3:$E$44</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val>
        </c:ser>
        <c:ser>
          <c:idx val="1"/>
          <c:order val="1"/>
          <c:tx>
            <c:v>Predicted Y</c:v>
          </c:tx>
          <c:cat>
            <c:numRef>
              <c:f>'Dummy-II'!$M$3:$M$44</c:f>
              <c:numCache>
                <c:formatCode>General</c:formatCode>
                <c:ptCount val="42"/>
                <c:pt idx="0">
                  <c:v>0</c:v>
                </c:pt>
                <c:pt idx="1">
                  <c:v>1</c:v>
                </c:pt>
                <c:pt idx="2">
                  <c:v>0</c:v>
                </c:pt>
                <c:pt idx="3">
                  <c:v>0</c:v>
                </c:pt>
                <c:pt idx="4">
                  <c:v>1</c:v>
                </c:pt>
                <c:pt idx="5">
                  <c:v>1</c:v>
                </c:pt>
                <c:pt idx="6">
                  <c:v>1</c:v>
                </c:pt>
                <c:pt idx="7">
                  <c:v>0</c:v>
                </c:pt>
                <c:pt idx="8">
                  <c:v>0</c:v>
                </c:pt>
                <c:pt idx="9">
                  <c:v>1</c:v>
                </c:pt>
                <c:pt idx="10">
                  <c:v>0</c:v>
                </c:pt>
                <c:pt idx="11">
                  <c:v>1</c:v>
                </c:pt>
                <c:pt idx="12">
                  <c:v>1</c:v>
                </c:pt>
                <c:pt idx="13">
                  <c:v>0</c:v>
                </c:pt>
                <c:pt idx="14">
                  <c:v>0</c:v>
                </c:pt>
                <c:pt idx="15">
                  <c:v>0</c:v>
                </c:pt>
                <c:pt idx="16">
                  <c:v>0</c:v>
                </c:pt>
                <c:pt idx="17">
                  <c:v>1</c:v>
                </c:pt>
                <c:pt idx="18">
                  <c:v>1</c:v>
                </c:pt>
                <c:pt idx="19">
                  <c:v>0</c:v>
                </c:pt>
                <c:pt idx="20">
                  <c:v>0</c:v>
                </c:pt>
                <c:pt idx="21">
                  <c:v>0</c:v>
                </c:pt>
                <c:pt idx="22">
                  <c:v>1</c:v>
                </c:pt>
                <c:pt idx="23">
                  <c:v>1</c:v>
                </c:pt>
                <c:pt idx="24">
                  <c:v>0</c:v>
                </c:pt>
                <c:pt idx="25">
                  <c:v>1</c:v>
                </c:pt>
                <c:pt idx="26">
                  <c:v>0</c:v>
                </c:pt>
                <c:pt idx="27">
                  <c:v>0</c:v>
                </c:pt>
                <c:pt idx="28">
                  <c:v>0</c:v>
                </c:pt>
                <c:pt idx="29">
                  <c:v>1</c:v>
                </c:pt>
                <c:pt idx="30">
                  <c:v>1</c:v>
                </c:pt>
                <c:pt idx="31">
                  <c:v>0</c:v>
                </c:pt>
                <c:pt idx="32">
                  <c:v>0</c:v>
                </c:pt>
                <c:pt idx="33">
                  <c:v>0</c:v>
                </c:pt>
                <c:pt idx="34">
                  <c:v>0</c:v>
                </c:pt>
                <c:pt idx="35">
                  <c:v>0</c:v>
                </c:pt>
                <c:pt idx="36">
                  <c:v>0</c:v>
                </c:pt>
                <c:pt idx="37">
                  <c:v>1</c:v>
                </c:pt>
                <c:pt idx="38">
                  <c:v>1</c:v>
                </c:pt>
                <c:pt idx="39">
                  <c:v>0</c:v>
                </c:pt>
                <c:pt idx="40">
                  <c:v>0</c:v>
                </c:pt>
                <c:pt idx="41">
                  <c:v>1</c:v>
                </c:pt>
              </c:numCache>
            </c:numRef>
          </c:cat>
          <c:val>
            <c:numRef>
              <c:f>'Regression-III'!$B$32:$B$73</c:f>
              <c:numCache>
                <c:formatCode>General</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val>
        </c:ser>
        <c:axId val="146604416"/>
        <c:axId val="146606336"/>
      </c:barChart>
      <c:catAx>
        <c:axId val="146604416"/>
        <c:scaling>
          <c:orientation val="minMax"/>
        </c:scaling>
        <c:axPos val="b"/>
        <c:title>
          <c:tx>
            <c:rich>
              <a:bodyPr/>
              <a:lstStyle/>
              <a:p>
                <a:pPr>
                  <a:defRPr/>
                </a:pPr>
                <a:r>
                  <a:rPr lang="en-IN"/>
                  <a:t>X Variable 6</a:t>
                </a:r>
              </a:p>
            </c:rich>
          </c:tx>
        </c:title>
        <c:numFmt formatCode="General" sourceLinked="1"/>
        <c:tickLblPos val="nextTo"/>
        <c:crossAx val="146606336"/>
        <c:crosses val="autoZero"/>
        <c:auto val="1"/>
        <c:lblAlgn val="ctr"/>
        <c:lblOffset val="100"/>
      </c:catAx>
      <c:valAx>
        <c:axId val="146606336"/>
        <c:scaling>
          <c:orientation val="minMax"/>
        </c:scaling>
        <c:axPos val="l"/>
        <c:majorGridlines/>
        <c:title>
          <c:tx>
            <c:rich>
              <a:bodyPr/>
              <a:lstStyle/>
              <a:p>
                <a:pPr>
                  <a:defRPr/>
                </a:pPr>
                <a:r>
                  <a:rPr lang="en-IN"/>
                  <a:t>Y</a:t>
                </a:r>
              </a:p>
            </c:rich>
          </c:tx>
        </c:title>
        <c:numFmt formatCode="0.000" sourceLinked="1"/>
        <c:tickLblPos val="nextTo"/>
        <c:crossAx val="146604416"/>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7 Line Fit  Plot</a:t>
            </a:r>
          </a:p>
        </c:rich>
      </c:tx>
    </c:title>
    <c:plotArea>
      <c:layout/>
      <c:barChart>
        <c:barDir val="col"/>
        <c:grouping val="clustered"/>
        <c:ser>
          <c:idx val="0"/>
          <c:order val="0"/>
          <c:tx>
            <c:v>Y</c:v>
          </c:tx>
          <c:cat>
            <c:numRef>
              <c:f>'Dummy-II'!$N$3:$N$44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0</c:v>
                </c:pt>
                <c:pt idx="33">
                  <c:v>1</c:v>
                </c:pt>
                <c:pt idx="34">
                  <c:v>0</c:v>
                </c:pt>
                <c:pt idx="35">
                  <c:v>0</c:v>
                </c:pt>
                <c:pt idx="36">
                  <c:v>0</c:v>
                </c:pt>
                <c:pt idx="37">
                  <c:v>0</c:v>
                </c:pt>
                <c:pt idx="38">
                  <c:v>0</c:v>
                </c:pt>
                <c:pt idx="39">
                  <c:v>0</c:v>
                </c:pt>
                <c:pt idx="40">
                  <c:v>0</c:v>
                </c:pt>
                <c:pt idx="41">
                  <c:v>0</c:v>
                </c:pt>
              </c:numCache>
            </c:numRef>
          </c:cat>
          <c:val>
            <c:numRef>
              <c:f>'Dummy-II'!$E$3:$E$44</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val>
        </c:ser>
        <c:ser>
          <c:idx val="1"/>
          <c:order val="1"/>
          <c:tx>
            <c:v>Predicted Y</c:v>
          </c:tx>
          <c:cat>
            <c:numRef>
              <c:f>'Dummy-II'!$N$3:$N$44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1</c:v>
                </c:pt>
                <c:pt idx="28">
                  <c:v>0</c:v>
                </c:pt>
                <c:pt idx="29">
                  <c:v>0</c:v>
                </c:pt>
                <c:pt idx="30">
                  <c:v>0</c:v>
                </c:pt>
                <c:pt idx="31">
                  <c:v>0</c:v>
                </c:pt>
                <c:pt idx="32">
                  <c:v>0</c:v>
                </c:pt>
                <c:pt idx="33">
                  <c:v>1</c:v>
                </c:pt>
                <c:pt idx="34">
                  <c:v>0</c:v>
                </c:pt>
                <c:pt idx="35">
                  <c:v>0</c:v>
                </c:pt>
                <c:pt idx="36">
                  <c:v>0</c:v>
                </c:pt>
                <c:pt idx="37">
                  <c:v>0</c:v>
                </c:pt>
                <c:pt idx="38">
                  <c:v>0</c:v>
                </c:pt>
                <c:pt idx="39">
                  <c:v>0</c:v>
                </c:pt>
                <c:pt idx="40">
                  <c:v>0</c:v>
                </c:pt>
                <c:pt idx="41">
                  <c:v>0</c:v>
                </c:pt>
              </c:numCache>
            </c:numRef>
          </c:cat>
          <c:val>
            <c:numRef>
              <c:f>'Regression-III'!$B$32:$B$73</c:f>
              <c:numCache>
                <c:formatCode>General</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val>
        </c:ser>
        <c:axId val="146641664"/>
        <c:axId val="146643584"/>
      </c:barChart>
      <c:catAx>
        <c:axId val="146641664"/>
        <c:scaling>
          <c:orientation val="minMax"/>
        </c:scaling>
        <c:axPos val="b"/>
        <c:title>
          <c:tx>
            <c:rich>
              <a:bodyPr/>
              <a:lstStyle/>
              <a:p>
                <a:pPr>
                  <a:defRPr/>
                </a:pPr>
                <a:r>
                  <a:rPr lang="en-IN"/>
                  <a:t>X Variable 7</a:t>
                </a:r>
              </a:p>
            </c:rich>
          </c:tx>
        </c:title>
        <c:numFmt formatCode="General" sourceLinked="1"/>
        <c:tickLblPos val="nextTo"/>
        <c:crossAx val="146643584"/>
        <c:crosses val="autoZero"/>
        <c:auto val="1"/>
        <c:lblAlgn val="ctr"/>
        <c:lblOffset val="100"/>
      </c:catAx>
      <c:valAx>
        <c:axId val="146643584"/>
        <c:scaling>
          <c:orientation val="minMax"/>
        </c:scaling>
        <c:axPos val="l"/>
        <c:majorGridlines/>
        <c:title>
          <c:tx>
            <c:rich>
              <a:bodyPr/>
              <a:lstStyle/>
              <a:p>
                <a:pPr>
                  <a:defRPr/>
                </a:pPr>
                <a:r>
                  <a:rPr lang="en-IN"/>
                  <a:t>Y</a:t>
                </a:r>
              </a:p>
            </c:rich>
          </c:tx>
        </c:title>
        <c:numFmt formatCode="0.000" sourceLinked="1"/>
        <c:tickLblPos val="nextTo"/>
        <c:crossAx val="146641664"/>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X Variable 8 Line Fit  Plot</a:t>
            </a:r>
          </a:p>
        </c:rich>
      </c:tx>
    </c:title>
    <c:plotArea>
      <c:layout/>
      <c:barChart>
        <c:barDir val="col"/>
        <c:grouping val="clustered"/>
        <c:ser>
          <c:idx val="0"/>
          <c:order val="0"/>
          <c:tx>
            <c:v>Y</c:v>
          </c:tx>
          <c:cat>
            <c:numRef>
              <c:f>'Dummy-II'!$O$3:$O$44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cat>
          <c:val>
            <c:numRef>
              <c:f>'Dummy-II'!$E$3:$E$44</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val>
        </c:ser>
        <c:ser>
          <c:idx val="1"/>
          <c:order val="1"/>
          <c:tx>
            <c:v>Predicted Y</c:v>
          </c:tx>
          <c:cat>
            <c:numRef>
              <c:f>'Dummy-II'!$O$3:$O$44</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numCache>
            </c:numRef>
          </c:cat>
          <c:val>
            <c:numRef>
              <c:f>'Regression-III'!$B$32:$B$73</c:f>
              <c:numCache>
                <c:formatCode>General</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val>
        </c:ser>
        <c:axId val="146818176"/>
        <c:axId val="146820096"/>
      </c:barChart>
      <c:catAx>
        <c:axId val="146818176"/>
        <c:scaling>
          <c:orientation val="minMax"/>
        </c:scaling>
        <c:axPos val="b"/>
        <c:title>
          <c:tx>
            <c:rich>
              <a:bodyPr/>
              <a:lstStyle/>
              <a:p>
                <a:pPr>
                  <a:defRPr/>
                </a:pPr>
                <a:r>
                  <a:rPr lang="en-IN"/>
                  <a:t>X Variable 8</a:t>
                </a:r>
              </a:p>
            </c:rich>
          </c:tx>
        </c:title>
        <c:numFmt formatCode="General" sourceLinked="1"/>
        <c:tickLblPos val="nextTo"/>
        <c:crossAx val="146820096"/>
        <c:crosses val="autoZero"/>
        <c:auto val="1"/>
        <c:lblAlgn val="ctr"/>
        <c:lblOffset val="100"/>
      </c:catAx>
      <c:valAx>
        <c:axId val="146820096"/>
        <c:scaling>
          <c:orientation val="minMax"/>
        </c:scaling>
        <c:axPos val="l"/>
        <c:majorGridlines/>
        <c:title>
          <c:tx>
            <c:rich>
              <a:bodyPr/>
              <a:lstStyle/>
              <a:p>
                <a:pPr>
                  <a:defRPr/>
                </a:pPr>
                <a:r>
                  <a:rPr lang="en-IN"/>
                  <a:t>Y</a:t>
                </a:r>
              </a:p>
            </c:rich>
          </c:tx>
        </c:title>
        <c:numFmt formatCode="0.000" sourceLinked="1"/>
        <c:tickLblPos val="nextTo"/>
        <c:crossAx val="146818176"/>
        <c:crosses val="autoZero"/>
        <c:crossBetween val="between"/>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z3 Line Fit  Plot</a:t>
            </a:r>
          </a:p>
        </c:rich>
      </c:tx>
    </c:title>
    <c:plotArea>
      <c:layout/>
      <c:barChart>
        <c:barDir val="col"/>
        <c:grouping val="clustered"/>
        <c:ser>
          <c:idx val="0"/>
          <c:order val="0"/>
          <c:tx>
            <c:v>AVG SGPA</c:v>
          </c:tx>
          <c:cat>
            <c:numRef>
              <c:f>Dummy!$I$3:$I$121</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1</c:v>
                </c:pt>
                <c:pt idx="19">
                  <c:v>0</c:v>
                </c:pt>
                <c:pt idx="20">
                  <c:v>1</c:v>
                </c:pt>
                <c:pt idx="21">
                  <c:v>0</c:v>
                </c:pt>
                <c:pt idx="22">
                  <c:v>0</c:v>
                </c:pt>
                <c:pt idx="23">
                  <c:v>1</c:v>
                </c:pt>
                <c:pt idx="24">
                  <c:v>0</c:v>
                </c:pt>
                <c:pt idx="25">
                  <c:v>1</c:v>
                </c:pt>
                <c:pt idx="26">
                  <c:v>0</c:v>
                </c:pt>
                <c:pt idx="27">
                  <c:v>0</c:v>
                </c:pt>
                <c:pt idx="28">
                  <c:v>1</c:v>
                </c:pt>
                <c:pt idx="29">
                  <c:v>0</c:v>
                </c:pt>
                <c:pt idx="30">
                  <c:v>0</c:v>
                </c:pt>
                <c:pt idx="31">
                  <c:v>1</c:v>
                </c:pt>
                <c:pt idx="32">
                  <c:v>1</c:v>
                </c:pt>
                <c:pt idx="33">
                  <c:v>0</c:v>
                </c:pt>
                <c:pt idx="34">
                  <c:v>1</c:v>
                </c:pt>
                <c:pt idx="35">
                  <c:v>1</c:v>
                </c:pt>
                <c:pt idx="36">
                  <c:v>0</c:v>
                </c:pt>
                <c:pt idx="37">
                  <c:v>1</c:v>
                </c:pt>
                <c:pt idx="38">
                  <c:v>0</c:v>
                </c:pt>
                <c:pt idx="39">
                  <c:v>0</c:v>
                </c:pt>
                <c:pt idx="40">
                  <c:v>0</c:v>
                </c:pt>
                <c:pt idx="41">
                  <c:v>0</c:v>
                </c:pt>
                <c:pt idx="42">
                  <c:v>0</c:v>
                </c:pt>
                <c:pt idx="43">
                  <c:v>1</c:v>
                </c:pt>
                <c:pt idx="44">
                  <c:v>1</c:v>
                </c:pt>
                <c:pt idx="45">
                  <c:v>0</c:v>
                </c:pt>
                <c:pt idx="46">
                  <c:v>0</c:v>
                </c:pt>
                <c:pt idx="47">
                  <c:v>0</c:v>
                </c:pt>
                <c:pt idx="48">
                  <c:v>1</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1</c:v>
                </c:pt>
                <c:pt idx="76">
                  <c:v>1</c:v>
                </c:pt>
                <c:pt idx="77">
                  <c:v>1</c:v>
                </c:pt>
                <c:pt idx="78">
                  <c:v>1</c:v>
                </c:pt>
                <c:pt idx="79">
                  <c:v>0</c:v>
                </c:pt>
                <c:pt idx="80">
                  <c:v>0</c:v>
                </c:pt>
                <c:pt idx="81">
                  <c:v>0</c:v>
                </c:pt>
                <c:pt idx="82">
                  <c:v>0</c:v>
                </c:pt>
                <c:pt idx="83">
                  <c:v>1</c:v>
                </c:pt>
                <c:pt idx="84">
                  <c:v>0</c:v>
                </c:pt>
                <c:pt idx="85">
                  <c:v>1</c:v>
                </c:pt>
                <c:pt idx="86">
                  <c:v>0</c:v>
                </c:pt>
                <c:pt idx="87">
                  <c:v>0</c:v>
                </c:pt>
                <c:pt idx="88">
                  <c:v>0</c:v>
                </c:pt>
                <c:pt idx="89">
                  <c:v>0</c:v>
                </c:pt>
                <c:pt idx="90">
                  <c:v>0</c:v>
                </c:pt>
                <c:pt idx="91">
                  <c:v>0</c:v>
                </c:pt>
                <c:pt idx="92">
                  <c:v>0</c:v>
                </c:pt>
                <c:pt idx="93">
                  <c:v>0</c:v>
                </c:pt>
                <c:pt idx="94">
                  <c:v>0</c:v>
                </c:pt>
                <c:pt idx="95">
                  <c:v>1</c:v>
                </c:pt>
                <c:pt idx="96">
                  <c:v>0</c:v>
                </c:pt>
                <c:pt idx="97">
                  <c:v>1</c:v>
                </c:pt>
                <c:pt idx="98">
                  <c:v>0</c:v>
                </c:pt>
                <c:pt idx="99">
                  <c:v>0</c:v>
                </c:pt>
                <c:pt idx="100">
                  <c:v>1</c:v>
                </c:pt>
                <c:pt idx="101">
                  <c:v>1</c:v>
                </c:pt>
                <c:pt idx="102">
                  <c:v>0</c:v>
                </c:pt>
                <c:pt idx="103">
                  <c:v>0</c:v>
                </c:pt>
                <c:pt idx="104">
                  <c:v>0</c:v>
                </c:pt>
                <c:pt idx="105">
                  <c:v>0</c:v>
                </c:pt>
                <c:pt idx="106">
                  <c:v>1</c:v>
                </c:pt>
                <c:pt idx="107">
                  <c:v>1</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Dummy!$D$3:$D$121</c:f>
              <c:numCache>
                <c:formatCode>0.000</c:formatCode>
                <c:ptCount val="119"/>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numCache>
            </c:numRef>
          </c:val>
        </c:ser>
        <c:ser>
          <c:idx val="1"/>
          <c:order val="1"/>
          <c:tx>
            <c:v>Predicted AVG SGPA</c:v>
          </c:tx>
          <c:cat>
            <c:numRef>
              <c:f>Dummy!$I$3:$I$121</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1</c:v>
                </c:pt>
                <c:pt idx="19">
                  <c:v>0</c:v>
                </c:pt>
                <c:pt idx="20">
                  <c:v>1</c:v>
                </c:pt>
                <c:pt idx="21">
                  <c:v>0</c:v>
                </c:pt>
                <c:pt idx="22">
                  <c:v>0</c:v>
                </c:pt>
                <c:pt idx="23">
                  <c:v>1</c:v>
                </c:pt>
                <c:pt idx="24">
                  <c:v>0</c:v>
                </c:pt>
                <c:pt idx="25">
                  <c:v>1</c:v>
                </c:pt>
                <c:pt idx="26">
                  <c:v>0</c:v>
                </c:pt>
                <c:pt idx="27">
                  <c:v>0</c:v>
                </c:pt>
                <c:pt idx="28">
                  <c:v>1</c:v>
                </c:pt>
                <c:pt idx="29">
                  <c:v>0</c:v>
                </c:pt>
                <c:pt idx="30">
                  <c:v>0</c:v>
                </c:pt>
                <c:pt idx="31">
                  <c:v>1</c:v>
                </c:pt>
                <c:pt idx="32">
                  <c:v>1</c:v>
                </c:pt>
                <c:pt idx="33">
                  <c:v>0</c:v>
                </c:pt>
                <c:pt idx="34">
                  <c:v>1</c:v>
                </c:pt>
                <c:pt idx="35">
                  <c:v>1</c:v>
                </c:pt>
                <c:pt idx="36">
                  <c:v>0</c:v>
                </c:pt>
                <c:pt idx="37">
                  <c:v>1</c:v>
                </c:pt>
                <c:pt idx="38">
                  <c:v>0</c:v>
                </c:pt>
                <c:pt idx="39">
                  <c:v>0</c:v>
                </c:pt>
                <c:pt idx="40">
                  <c:v>0</c:v>
                </c:pt>
                <c:pt idx="41">
                  <c:v>0</c:v>
                </c:pt>
                <c:pt idx="42">
                  <c:v>0</c:v>
                </c:pt>
                <c:pt idx="43">
                  <c:v>1</c:v>
                </c:pt>
                <c:pt idx="44">
                  <c:v>1</c:v>
                </c:pt>
                <c:pt idx="45">
                  <c:v>0</c:v>
                </c:pt>
                <c:pt idx="46">
                  <c:v>0</c:v>
                </c:pt>
                <c:pt idx="47">
                  <c:v>0</c:v>
                </c:pt>
                <c:pt idx="48">
                  <c:v>1</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1</c:v>
                </c:pt>
                <c:pt idx="76">
                  <c:v>1</c:v>
                </c:pt>
                <c:pt idx="77">
                  <c:v>1</c:v>
                </c:pt>
                <c:pt idx="78">
                  <c:v>1</c:v>
                </c:pt>
                <c:pt idx="79">
                  <c:v>0</c:v>
                </c:pt>
                <c:pt idx="80">
                  <c:v>0</c:v>
                </c:pt>
                <c:pt idx="81">
                  <c:v>0</c:v>
                </c:pt>
                <c:pt idx="82">
                  <c:v>0</c:v>
                </c:pt>
                <c:pt idx="83">
                  <c:v>1</c:v>
                </c:pt>
                <c:pt idx="84">
                  <c:v>0</c:v>
                </c:pt>
                <c:pt idx="85">
                  <c:v>1</c:v>
                </c:pt>
                <c:pt idx="86">
                  <c:v>0</c:v>
                </c:pt>
                <c:pt idx="87">
                  <c:v>0</c:v>
                </c:pt>
                <c:pt idx="88">
                  <c:v>0</c:v>
                </c:pt>
                <c:pt idx="89">
                  <c:v>0</c:v>
                </c:pt>
                <c:pt idx="90">
                  <c:v>0</c:v>
                </c:pt>
                <c:pt idx="91">
                  <c:v>0</c:v>
                </c:pt>
                <c:pt idx="92">
                  <c:v>0</c:v>
                </c:pt>
                <c:pt idx="93">
                  <c:v>0</c:v>
                </c:pt>
                <c:pt idx="94">
                  <c:v>0</c:v>
                </c:pt>
                <c:pt idx="95">
                  <c:v>1</c:v>
                </c:pt>
                <c:pt idx="96">
                  <c:v>0</c:v>
                </c:pt>
                <c:pt idx="97">
                  <c:v>1</c:v>
                </c:pt>
                <c:pt idx="98">
                  <c:v>0</c:v>
                </c:pt>
                <c:pt idx="99">
                  <c:v>0</c:v>
                </c:pt>
                <c:pt idx="100">
                  <c:v>1</c:v>
                </c:pt>
                <c:pt idx="101">
                  <c:v>1</c:v>
                </c:pt>
                <c:pt idx="102">
                  <c:v>0</c:v>
                </c:pt>
                <c:pt idx="103">
                  <c:v>0</c:v>
                </c:pt>
                <c:pt idx="104">
                  <c:v>0</c:v>
                </c:pt>
                <c:pt idx="105">
                  <c:v>0</c:v>
                </c:pt>
                <c:pt idx="106">
                  <c:v>1</c:v>
                </c:pt>
                <c:pt idx="107">
                  <c:v>1</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Dummy!$P$34:$P$152</c:f>
              <c:numCache>
                <c:formatCode>General</c:formatCode>
                <c:ptCount val="119"/>
              </c:numCache>
            </c:numRef>
          </c:val>
        </c:ser>
        <c:axId val="146923904"/>
        <c:axId val="146925824"/>
      </c:barChart>
      <c:catAx>
        <c:axId val="146923904"/>
        <c:scaling>
          <c:orientation val="minMax"/>
        </c:scaling>
        <c:axPos val="b"/>
        <c:title>
          <c:tx>
            <c:rich>
              <a:bodyPr/>
              <a:lstStyle/>
              <a:p>
                <a:pPr>
                  <a:defRPr/>
                </a:pPr>
                <a:r>
                  <a:rPr lang="en-IN"/>
                  <a:t>z3</a:t>
                </a:r>
              </a:p>
            </c:rich>
          </c:tx>
        </c:title>
        <c:numFmt formatCode="General" sourceLinked="1"/>
        <c:tickLblPos val="nextTo"/>
        <c:crossAx val="146925824"/>
        <c:crosses val="autoZero"/>
        <c:auto val="1"/>
        <c:lblAlgn val="ctr"/>
        <c:lblOffset val="100"/>
      </c:catAx>
      <c:valAx>
        <c:axId val="146925824"/>
        <c:scaling>
          <c:orientation val="minMax"/>
        </c:scaling>
        <c:axPos val="l"/>
        <c:majorGridlines/>
        <c:title>
          <c:tx>
            <c:rich>
              <a:bodyPr/>
              <a:lstStyle/>
              <a:p>
                <a:pPr>
                  <a:defRPr/>
                </a:pPr>
                <a:r>
                  <a:rPr lang="en-IN"/>
                  <a:t>AVG SGPA</a:t>
                </a:r>
              </a:p>
            </c:rich>
          </c:tx>
        </c:title>
        <c:numFmt formatCode="0.000" sourceLinked="1"/>
        <c:tickLblPos val="nextTo"/>
        <c:crossAx val="146923904"/>
        <c:crosses val="autoZero"/>
        <c:crossBetween val="between"/>
      </c:valAx>
    </c:plotArea>
    <c:legend>
      <c:legendPos val="r"/>
    </c:legend>
    <c:plotVisOnly val="1"/>
  </c:chart>
  <c:printSettings>
    <c:headerFooter/>
    <c:pageMargins b="0.750000000000001" l="0.70000000000000062" r="0.70000000000000062" t="0.750000000000001"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z4 Line Fit  Plot</a:t>
            </a:r>
          </a:p>
        </c:rich>
      </c:tx>
    </c:title>
    <c:plotArea>
      <c:layout/>
      <c:barChart>
        <c:barDir val="col"/>
        <c:grouping val="clustered"/>
        <c:ser>
          <c:idx val="0"/>
          <c:order val="0"/>
          <c:tx>
            <c:v>AVG SGPA</c:v>
          </c:tx>
          <c:cat>
            <c:numRef>
              <c:f>Dummy!$J$3:$J$121</c:f>
              <c:numCache>
                <c:formatCode>General</c:formatCode>
                <c:ptCount val="119"/>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1</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Dummy!$D$3:$D$121</c:f>
              <c:numCache>
                <c:formatCode>0.000</c:formatCode>
                <c:ptCount val="119"/>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numCache>
            </c:numRef>
          </c:val>
        </c:ser>
        <c:ser>
          <c:idx val="1"/>
          <c:order val="1"/>
          <c:tx>
            <c:v>Predicted AVG SGPA</c:v>
          </c:tx>
          <c:cat>
            <c:numRef>
              <c:f>Dummy!$J$3:$J$121</c:f>
              <c:numCache>
                <c:formatCode>General</c:formatCode>
                <c:ptCount val="119"/>
                <c:pt idx="0">
                  <c:v>0</c:v>
                </c:pt>
                <c:pt idx="1">
                  <c:v>1</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1</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1</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Dummy!$P$34:$P$152</c:f>
              <c:numCache>
                <c:formatCode>General</c:formatCode>
                <c:ptCount val="119"/>
              </c:numCache>
            </c:numRef>
          </c:val>
        </c:ser>
        <c:axId val="146750464"/>
        <c:axId val="146760832"/>
      </c:barChart>
      <c:catAx>
        <c:axId val="146750464"/>
        <c:scaling>
          <c:orientation val="minMax"/>
        </c:scaling>
        <c:axPos val="b"/>
        <c:title>
          <c:tx>
            <c:rich>
              <a:bodyPr/>
              <a:lstStyle/>
              <a:p>
                <a:pPr>
                  <a:defRPr/>
                </a:pPr>
                <a:r>
                  <a:rPr lang="en-IN"/>
                  <a:t>z4</a:t>
                </a:r>
              </a:p>
            </c:rich>
          </c:tx>
        </c:title>
        <c:numFmt formatCode="General" sourceLinked="1"/>
        <c:tickLblPos val="nextTo"/>
        <c:crossAx val="146760832"/>
        <c:crosses val="autoZero"/>
        <c:auto val="1"/>
        <c:lblAlgn val="ctr"/>
        <c:lblOffset val="100"/>
      </c:catAx>
      <c:valAx>
        <c:axId val="146760832"/>
        <c:scaling>
          <c:orientation val="minMax"/>
        </c:scaling>
        <c:axPos val="l"/>
        <c:majorGridlines/>
        <c:title>
          <c:tx>
            <c:rich>
              <a:bodyPr/>
              <a:lstStyle/>
              <a:p>
                <a:pPr>
                  <a:defRPr/>
                </a:pPr>
                <a:r>
                  <a:rPr lang="en-IN"/>
                  <a:t>AVG SGPA</a:t>
                </a:r>
              </a:p>
            </c:rich>
          </c:tx>
        </c:title>
        <c:numFmt formatCode="0.000" sourceLinked="1"/>
        <c:tickLblPos val="nextTo"/>
        <c:crossAx val="146750464"/>
        <c:crosses val="autoZero"/>
        <c:crossBetween val="between"/>
      </c:valAx>
    </c:plotArea>
    <c:legend>
      <c:legendPos val="r"/>
    </c:legend>
    <c:plotVisOnly val="1"/>
  </c:chart>
  <c:printSettings>
    <c:headerFooter/>
    <c:pageMargins b="0.750000000000001" l="0.70000000000000062" r="0.70000000000000062" t="0.750000000000001" header="0.30000000000000032" footer="0.30000000000000032"/>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w1 Line Fit  Plot</a:t>
            </a:r>
          </a:p>
        </c:rich>
      </c:tx>
    </c:title>
    <c:plotArea>
      <c:layout/>
      <c:barChart>
        <c:barDir val="col"/>
        <c:grouping val="clustered"/>
        <c:ser>
          <c:idx val="0"/>
          <c:order val="0"/>
          <c:tx>
            <c:v>AVG SGPA</c:v>
          </c:tx>
          <c:cat>
            <c:numRef>
              <c:f>Dummy!$K$3:$K$121</c:f>
              <c:numCache>
                <c:formatCode>General</c:formatCode>
                <c:ptCount val="119"/>
                <c:pt idx="0">
                  <c:v>0</c:v>
                </c:pt>
                <c:pt idx="1">
                  <c:v>1</c:v>
                </c:pt>
                <c:pt idx="2">
                  <c:v>0</c:v>
                </c:pt>
                <c:pt idx="3">
                  <c:v>0</c:v>
                </c:pt>
                <c:pt idx="4">
                  <c:v>1</c:v>
                </c:pt>
                <c:pt idx="5">
                  <c:v>1</c:v>
                </c:pt>
                <c:pt idx="6">
                  <c:v>1</c:v>
                </c:pt>
                <c:pt idx="7">
                  <c:v>0</c:v>
                </c:pt>
                <c:pt idx="8">
                  <c:v>0</c:v>
                </c:pt>
                <c:pt idx="9">
                  <c:v>1</c:v>
                </c:pt>
                <c:pt idx="10">
                  <c:v>0</c:v>
                </c:pt>
                <c:pt idx="11">
                  <c:v>1</c:v>
                </c:pt>
                <c:pt idx="12">
                  <c:v>0</c:v>
                </c:pt>
                <c:pt idx="13">
                  <c:v>0</c:v>
                </c:pt>
                <c:pt idx="14">
                  <c:v>1</c:v>
                </c:pt>
                <c:pt idx="15">
                  <c:v>1</c:v>
                </c:pt>
                <c:pt idx="16">
                  <c:v>1</c:v>
                </c:pt>
                <c:pt idx="17">
                  <c:v>0</c:v>
                </c:pt>
                <c:pt idx="18">
                  <c:v>1</c:v>
                </c:pt>
                <c:pt idx="19">
                  <c:v>0</c:v>
                </c:pt>
                <c:pt idx="20">
                  <c:v>0</c:v>
                </c:pt>
                <c:pt idx="21">
                  <c:v>0</c:v>
                </c:pt>
                <c:pt idx="22">
                  <c:v>0</c:v>
                </c:pt>
                <c:pt idx="23">
                  <c:v>0</c:v>
                </c:pt>
                <c:pt idx="24">
                  <c:v>1</c:v>
                </c:pt>
                <c:pt idx="25">
                  <c:v>0</c:v>
                </c:pt>
                <c:pt idx="26">
                  <c:v>1</c:v>
                </c:pt>
                <c:pt idx="27">
                  <c:v>1</c:v>
                </c:pt>
                <c:pt idx="28">
                  <c:v>1</c:v>
                </c:pt>
                <c:pt idx="29">
                  <c:v>0</c:v>
                </c:pt>
                <c:pt idx="30">
                  <c:v>0</c:v>
                </c:pt>
                <c:pt idx="31">
                  <c:v>0</c:v>
                </c:pt>
                <c:pt idx="32">
                  <c:v>0</c:v>
                </c:pt>
                <c:pt idx="33">
                  <c:v>0</c:v>
                </c:pt>
                <c:pt idx="34">
                  <c:v>0</c:v>
                </c:pt>
                <c:pt idx="35">
                  <c:v>0</c:v>
                </c:pt>
                <c:pt idx="36">
                  <c:v>0</c:v>
                </c:pt>
                <c:pt idx="37">
                  <c:v>1</c:v>
                </c:pt>
                <c:pt idx="38">
                  <c:v>0</c:v>
                </c:pt>
                <c:pt idx="39">
                  <c:v>1</c:v>
                </c:pt>
                <c:pt idx="40">
                  <c:v>0</c:v>
                </c:pt>
                <c:pt idx="41">
                  <c:v>0</c:v>
                </c:pt>
                <c:pt idx="42">
                  <c:v>0</c:v>
                </c:pt>
                <c:pt idx="43">
                  <c:v>1</c:v>
                </c:pt>
                <c:pt idx="44">
                  <c:v>1</c:v>
                </c:pt>
                <c:pt idx="45">
                  <c:v>0</c:v>
                </c:pt>
                <c:pt idx="46">
                  <c:v>1</c:v>
                </c:pt>
                <c:pt idx="47">
                  <c:v>0</c:v>
                </c:pt>
                <c:pt idx="48">
                  <c:v>0</c:v>
                </c:pt>
                <c:pt idx="49">
                  <c:v>0</c:v>
                </c:pt>
                <c:pt idx="50">
                  <c:v>0</c:v>
                </c:pt>
                <c:pt idx="51">
                  <c:v>1</c:v>
                </c:pt>
                <c:pt idx="52">
                  <c:v>0</c:v>
                </c:pt>
                <c:pt idx="53">
                  <c:v>1</c:v>
                </c:pt>
                <c:pt idx="54">
                  <c:v>0</c:v>
                </c:pt>
                <c:pt idx="55">
                  <c:v>1</c:v>
                </c:pt>
                <c:pt idx="56">
                  <c:v>1</c:v>
                </c:pt>
                <c:pt idx="57">
                  <c:v>0</c:v>
                </c:pt>
                <c:pt idx="58">
                  <c:v>1</c:v>
                </c:pt>
                <c:pt idx="59">
                  <c:v>0</c:v>
                </c:pt>
                <c:pt idx="60">
                  <c:v>0</c:v>
                </c:pt>
                <c:pt idx="61">
                  <c:v>0</c:v>
                </c:pt>
                <c:pt idx="62">
                  <c:v>1</c:v>
                </c:pt>
                <c:pt idx="63">
                  <c:v>1</c:v>
                </c:pt>
                <c:pt idx="64">
                  <c:v>0</c:v>
                </c:pt>
                <c:pt idx="65">
                  <c:v>1</c:v>
                </c:pt>
                <c:pt idx="66">
                  <c:v>1</c:v>
                </c:pt>
                <c:pt idx="67">
                  <c:v>1</c:v>
                </c:pt>
                <c:pt idx="68">
                  <c:v>0</c:v>
                </c:pt>
                <c:pt idx="69">
                  <c:v>0</c:v>
                </c:pt>
                <c:pt idx="70">
                  <c:v>0</c:v>
                </c:pt>
                <c:pt idx="71">
                  <c:v>0</c:v>
                </c:pt>
                <c:pt idx="72">
                  <c:v>1</c:v>
                </c:pt>
                <c:pt idx="73">
                  <c:v>1</c:v>
                </c:pt>
                <c:pt idx="74">
                  <c:v>0</c:v>
                </c:pt>
                <c:pt idx="75">
                  <c:v>0</c:v>
                </c:pt>
                <c:pt idx="76">
                  <c:v>0</c:v>
                </c:pt>
                <c:pt idx="77">
                  <c:v>0</c:v>
                </c:pt>
                <c:pt idx="78">
                  <c:v>0</c:v>
                </c:pt>
                <c:pt idx="79">
                  <c:v>1</c:v>
                </c:pt>
                <c:pt idx="80">
                  <c:v>0</c:v>
                </c:pt>
                <c:pt idx="81">
                  <c:v>0</c:v>
                </c:pt>
                <c:pt idx="82">
                  <c:v>0</c:v>
                </c:pt>
                <c:pt idx="83">
                  <c:v>0</c:v>
                </c:pt>
                <c:pt idx="84">
                  <c:v>1</c:v>
                </c:pt>
                <c:pt idx="85">
                  <c:v>0</c:v>
                </c:pt>
                <c:pt idx="86">
                  <c:v>1</c:v>
                </c:pt>
                <c:pt idx="87">
                  <c:v>0</c:v>
                </c:pt>
                <c:pt idx="88">
                  <c:v>0</c:v>
                </c:pt>
                <c:pt idx="89">
                  <c:v>1</c:v>
                </c:pt>
                <c:pt idx="90">
                  <c:v>0</c:v>
                </c:pt>
                <c:pt idx="91">
                  <c:v>0</c:v>
                </c:pt>
                <c:pt idx="92">
                  <c:v>0</c:v>
                </c:pt>
                <c:pt idx="93">
                  <c:v>0</c:v>
                </c:pt>
                <c:pt idx="94">
                  <c:v>0</c:v>
                </c:pt>
                <c:pt idx="95">
                  <c:v>0</c:v>
                </c:pt>
                <c:pt idx="96">
                  <c:v>0</c:v>
                </c:pt>
                <c:pt idx="97">
                  <c:v>0</c:v>
                </c:pt>
                <c:pt idx="98">
                  <c:v>1</c:v>
                </c:pt>
                <c:pt idx="99">
                  <c:v>1</c:v>
                </c:pt>
                <c:pt idx="100">
                  <c:v>0</c:v>
                </c:pt>
                <c:pt idx="101">
                  <c:v>0</c:v>
                </c:pt>
                <c:pt idx="102">
                  <c:v>0</c:v>
                </c:pt>
                <c:pt idx="103">
                  <c:v>1</c:v>
                </c:pt>
                <c:pt idx="104">
                  <c:v>0</c:v>
                </c:pt>
                <c:pt idx="105">
                  <c:v>0</c:v>
                </c:pt>
                <c:pt idx="106">
                  <c:v>0</c:v>
                </c:pt>
                <c:pt idx="107">
                  <c:v>1</c:v>
                </c:pt>
                <c:pt idx="108">
                  <c:v>0</c:v>
                </c:pt>
                <c:pt idx="109">
                  <c:v>0</c:v>
                </c:pt>
                <c:pt idx="110">
                  <c:v>0</c:v>
                </c:pt>
                <c:pt idx="111">
                  <c:v>0</c:v>
                </c:pt>
                <c:pt idx="112">
                  <c:v>0</c:v>
                </c:pt>
                <c:pt idx="113">
                  <c:v>0</c:v>
                </c:pt>
                <c:pt idx="114">
                  <c:v>1</c:v>
                </c:pt>
                <c:pt idx="115">
                  <c:v>0</c:v>
                </c:pt>
                <c:pt idx="116">
                  <c:v>0</c:v>
                </c:pt>
                <c:pt idx="117">
                  <c:v>0</c:v>
                </c:pt>
                <c:pt idx="118">
                  <c:v>0</c:v>
                </c:pt>
              </c:numCache>
            </c:numRef>
          </c:cat>
          <c:val>
            <c:numRef>
              <c:f>Dummy!$D$3:$D$121</c:f>
              <c:numCache>
                <c:formatCode>0.000</c:formatCode>
                <c:ptCount val="119"/>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numCache>
            </c:numRef>
          </c:val>
        </c:ser>
        <c:ser>
          <c:idx val="1"/>
          <c:order val="1"/>
          <c:tx>
            <c:v>Predicted AVG SGPA</c:v>
          </c:tx>
          <c:cat>
            <c:numRef>
              <c:f>Dummy!$K$3:$K$121</c:f>
              <c:numCache>
                <c:formatCode>General</c:formatCode>
                <c:ptCount val="119"/>
                <c:pt idx="0">
                  <c:v>0</c:v>
                </c:pt>
                <c:pt idx="1">
                  <c:v>1</c:v>
                </c:pt>
                <c:pt idx="2">
                  <c:v>0</c:v>
                </c:pt>
                <c:pt idx="3">
                  <c:v>0</c:v>
                </c:pt>
                <c:pt idx="4">
                  <c:v>1</c:v>
                </c:pt>
                <c:pt idx="5">
                  <c:v>1</c:v>
                </c:pt>
                <c:pt idx="6">
                  <c:v>1</c:v>
                </c:pt>
                <c:pt idx="7">
                  <c:v>0</c:v>
                </c:pt>
                <c:pt idx="8">
                  <c:v>0</c:v>
                </c:pt>
                <c:pt idx="9">
                  <c:v>1</c:v>
                </c:pt>
                <c:pt idx="10">
                  <c:v>0</c:v>
                </c:pt>
                <c:pt idx="11">
                  <c:v>1</c:v>
                </c:pt>
                <c:pt idx="12">
                  <c:v>0</c:v>
                </c:pt>
                <c:pt idx="13">
                  <c:v>0</c:v>
                </c:pt>
                <c:pt idx="14">
                  <c:v>1</c:v>
                </c:pt>
                <c:pt idx="15">
                  <c:v>1</c:v>
                </c:pt>
                <c:pt idx="16">
                  <c:v>1</c:v>
                </c:pt>
                <c:pt idx="17">
                  <c:v>0</c:v>
                </c:pt>
                <c:pt idx="18">
                  <c:v>1</c:v>
                </c:pt>
                <c:pt idx="19">
                  <c:v>0</c:v>
                </c:pt>
                <c:pt idx="20">
                  <c:v>0</c:v>
                </c:pt>
                <c:pt idx="21">
                  <c:v>0</c:v>
                </c:pt>
                <c:pt idx="22">
                  <c:v>0</c:v>
                </c:pt>
                <c:pt idx="23">
                  <c:v>0</c:v>
                </c:pt>
                <c:pt idx="24">
                  <c:v>1</c:v>
                </c:pt>
                <c:pt idx="25">
                  <c:v>0</c:v>
                </c:pt>
                <c:pt idx="26">
                  <c:v>1</c:v>
                </c:pt>
                <c:pt idx="27">
                  <c:v>1</c:v>
                </c:pt>
                <c:pt idx="28">
                  <c:v>1</c:v>
                </c:pt>
                <c:pt idx="29">
                  <c:v>0</c:v>
                </c:pt>
                <c:pt idx="30">
                  <c:v>0</c:v>
                </c:pt>
                <c:pt idx="31">
                  <c:v>0</c:v>
                </c:pt>
                <c:pt idx="32">
                  <c:v>0</c:v>
                </c:pt>
                <c:pt idx="33">
                  <c:v>0</c:v>
                </c:pt>
                <c:pt idx="34">
                  <c:v>0</c:v>
                </c:pt>
                <c:pt idx="35">
                  <c:v>0</c:v>
                </c:pt>
                <c:pt idx="36">
                  <c:v>0</c:v>
                </c:pt>
                <c:pt idx="37">
                  <c:v>1</c:v>
                </c:pt>
                <c:pt idx="38">
                  <c:v>0</c:v>
                </c:pt>
                <c:pt idx="39">
                  <c:v>1</c:v>
                </c:pt>
                <c:pt idx="40">
                  <c:v>0</c:v>
                </c:pt>
                <c:pt idx="41">
                  <c:v>0</c:v>
                </c:pt>
                <c:pt idx="42">
                  <c:v>0</c:v>
                </c:pt>
                <c:pt idx="43">
                  <c:v>1</c:v>
                </c:pt>
                <c:pt idx="44">
                  <c:v>1</c:v>
                </c:pt>
                <c:pt idx="45">
                  <c:v>0</c:v>
                </c:pt>
                <c:pt idx="46">
                  <c:v>1</c:v>
                </c:pt>
                <c:pt idx="47">
                  <c:v>0</c:v>
                </c:pt>
                <c:pt idx="48">
                  <c:v>0</c:v>
                </c:pt>
                <c:pt idx="49">
                  <c:v>0</c:v>
                </c:pt>
                <c:pt idx="50">
                  <c:v>0</c:v>
                </c:pt>
                <c:pt idx="51">
                  <c:v>1</c:v>
                </c:pt>
                <c:pt idx="52">
                  <c:v>0</c:v>
                </c:pt>
                <c:pt idx="53">
                  <c:v>1</c:v>
                </c:pt>
                <c:pt idx="54">
                  <c:v>0</c:v>
                </c:pt>
                <c:pt idx="55">
                  <c:v>1</c:v>
                </c:pt>
                <c:pt idx="56">
                  <c:v>1</c:v>
                </c:pt>
                <c:pt idx="57">
                  <c:v>0</c:v>
                </c:pt>
                <c:pt idx="58">
                  <c:v>1</c:v>
                </c:pt>
                <c:pt idx="59">
                  <c:v>0</c:v>
                </c:pt>
                <c:pt idx="60">
                  <c:v>0</c:v>
                </c:pt>
                <c:pt idx="61">
                  <c:v>0</c:v>
                </c:pt>
                <c:pt idx="62">
                  <c:v>1</c:v>
                </c:pt>
                <c:pt idx="63">
                  <c:v>1</c:v>
                </c:pt>
                <c:pt idx="64">
                  <c:v>0</c:v>
                </c:pt>
                <c:pt idx="65">
                  <c:v>1</c:v>
                </c:pt>
                <c:pt idx="66">
                  <c:v>1</c:v>
                </c:pt>
                <c:pt idx="67">
                  <c:v>1</c:v>
                </c:pt>
                <c:pt idx="68">
                  <c:v>0</c:v>
                </c:pt>
                <c:pt idx="69">
                  <c:v>0</c:v>
                </c:pt>
                <c:pt idx="70">
                  <c:v>0</c:v>
                </c:pt>
                <c:pt idx="71">
                  <c:v>0</c:v>
                </c:pt>
                <c:pt idx="72">
                  <c:v>1</c:v>
                </c:pt>
                <c:pt idx="73">
                  <c:v>1</c:v>
                </c:pt>
                <c:pt idx="74">
                  <c:v>0</c:v>
                </c:pt>
                <c:pt idx="75">
                  <c:v>0</c:v>
                </c:pt>
                <c:pt idx="76">
                  <c:v>0</c:v>
                </c:pt>
                <c:pt idx="77">
                  <c:v>0</c:v>
                </c:pt>
                <c:pt idx="78">
                  <c:v>0</c:v>
                </c:pt>
                <c:pt idx="79">
                  <c:v>1</c:v>
                </c:pt>
                <c:pt idx="80">
                  <c:v>0</c:v>
                </c:pt>
                <c:pt idx="81">
                  <c:v>0</c:v>
                </c:pt>
                <c:pt idx="82">
                  <c:v>0</c:v>
                </c:pt>
                <c:pt idx="83">
                  <c:v>0</c:v>
                </c:pt>
                <c:pt idx="84">
                  <c:v>1</c:v>
                </c:pt>
                <c:pt idx="85">
                  <c:v>0</c:v>
                </c:pt>
                <c:pt idx="86">
                  <c:v>1</c:v>
                </c:pt>
                <c:pt idx="87">
                  <c:v>0</c:v>
                </c:pt>
                <c:pt idx="88">
                  <c:v>0</c:v>
                </c:pt>
                <c:pt idx="89">
                  <c:v>1</c:v>
                </c:pt>
                <c:pt idx="90">
                  <c:v>0</c:v>
                </c:pt>
                <c:pt idx="91">
                  <c:v>0</c:v>
                </c:pt>
                <c:pt idx="92">
                  <c:v>0</c:v>
                </c:pt>
                <c:pt idx="93">
                  <c:v>0</c:v>
                </c:pt>
                <c:pt idx="94">
                  <c:v>0</c:v>
                </c:pt>
                <c:pt idx="95">
                  <c:v>0</c:v>
                </c:pt>
                <c:pt idx="96">
                  <c:v>0</c:v>
                </c:pt>
                <c:pt idx="97">
                  <c:v>0</c:v>
                </c:pt>
                <c:pt idx="98">
                  <c:v>1</c:v>
                </c:pt>
                <c:pt idx="99">
                  <c:v>1</c:v>
                </c:pt>
                <c:pt idx="100">
                  <c:v>0</c:v>
                </c:pt>
                <c:pt idx="101">
                  <c:v>0</c:v>
                </c:pt>
                <c:pt idx="102">
                  <c:v>0</c:v>
                </c:pt>
                <c:pt idx="103">
                  <c:v>1</c:v>
                </c:pt>
                <c:pt idx="104">
                  <c:v>0</c:v>
                </c:pt>
                <c:pt idx="105">
                  <c:v>0</c:v>
                </c:pt>
                <c:pt idx="106">
                  <c:v>0</c:v>
                </c:pt>
                <c:pt idx="107">
                  <c:v>1</c:v>
                </c:pt>
                <c:pt idx="108">
                  <c:v>0</c:v>
                </c:pt>
                <c:pt idx="109">
                  <c:v>0</c:v>
                </c:pt>
                <c:pt idx="110">
                  <c:v>0</c:v>
                </c:pt>
                <c:pt idx="111">
                  <c:v>0</c:v>
                </c:pt>
                <c:pt idx="112">
                  <c:v>0</c:v>
                </c:pt>
                <c:pt idx="113">
                  <c:v>0</c:v>
                </c:pt>
                <c:pt idx="114">
                  <c:v>1</c:v>
                </c:pt>
                <c:pt idx="115">
                  <c:v>0</c:v>
                </c:pt>
                <c:pt idx="116">
                  <c:v>0</c:v>
                </c:pt>
                <c:pt idx="117">
                  <c:v>0</c:v>
                </c:pt>
                <c:pt idx="118">
                  <c:v>0</c:v>
                </c:pt>
              </c:numCache>
            </c:numRef>
          </c:cat>
          <c:val>
            <c:numRef>
              <c:f>Dummy!$P$34:$P$152</c:f>
              <c:numCache>
                <c:formatCode>General</c:formatCode>
                <c:ptCount val="119"/>
              </c:numCache>
            </c:numRef>
          </c:val>
        </c:ser>
        <c:axId val="147085184"/>
        <c:axId val="147095552"/>
      </c:barChart>
      <c:catAx>
        <c:axId val="147085184"/>
        <c:scaling>
          <c:orientation val="minMax"/>
        </c:scaling>
        <c:axPos val="b"/>
        <c:title>
          <c:tx>
            <c:rich>
              <a:bodyPr/>
              <a:lstStyle/>
              <a:p>
                <a:pPr>
                  <a:defRPr/>
                </a:pPr>
                <a:r>
                  <a:rPr lang="en-IN"/>
                  <a:t>w1</a:t>
                </a:r>
              </a:p>
            </c:rich>
          </c:tx>
        </c:title>
        <c:numFmt formatCode="General" sourceLinked="1"/>
        <c:tickLblPos val="nextTo"/>
        <c:crossAx val="147095552"/>
        <c:crosses val="autoZero"/>
        <c:auto val="1"/>
        <c:lblAlgn val="ctr"/>
        <c:lblOffset val="100"/>
      </c:catAx>
      <c:valAx>
        <c:axId val="147095552"/>
        <c:scaling>
          <c:orientation val="minMax"/>
        </c:scaling>
        <c:axPos val="l"/>
        <c:majorGridlines/>
        <c:title>
          <c:tx>
            <c:rich>
              <a:bodyPr/>
              <a:lstStyle/>
              <a:p>
                <a:pPr>
                  <a:defRPr/>
                </a:pPr>
                <a:r>
                  <a:rPr lang="en-IN"/>
                  <a:t>AVG SGPA</a:t>
                </a:r>
              </a:p>
            </c:rich>
          </c:tx>
        </c:title>
        <c:numFmt formatCode="0.000" sourceLinked="1"/>
        <c:tickLblPos val="nextTo"/>
        <c:crossAx val="147085184"/>
        <c:crosses val="autoZero"/>
        <c:crossBetween val="between"/>
      </c:valAx>
    </c:plotArea>
    <c:legend>
      <c:legendPos val="r"/>
    </c:legend>
    <c:plotVisOnly val="1"/>
  </c:chart>
  <c:printSettings>
    <c:headerFooter/>
    <c:pageMargins b="0.750000000000001" l="0.70000000000000062" r="0.70000000000000062" t="0.750000000000001" header="0.30000000000000032" footer="0.3000000000000003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a:pPr>
            <a:r>
              <a:rPr lang="en-IN"/>
              <a:t>w3 Line Fit  Plot</a:t>
            </a:r>
          </a:p>
        </c:rich>
      </c:tx>
    </c:title>
    <c:plotArea>
      <c:layout/>
      <c:barChart>
        <c:barDir val="col"/>
        <c:grouping val="clustered"/>
        <c:ser>
          <c:idx val="0"/>
          <c:order val="0"/>
          <c:tx>
            <c:v>AVG SGPA</c:v>
          </c:tx>
          <c:cat>
            <c:numRef>
              <c:f>Dummy!$M$3:$M$121</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1</c:v>
                </c:pt>
                <c:pt idx="94">
                  <c:v>0</c:v>
                </c:pt>
                <c:pt idx="95">
                  <c:v>0</c:v>
                </c:pt>
                <c:pt idx="96">
                  <c:v>0</c:v>
                </c:pt>
                <c:pt idx="97">
                  <c:v>0</c:v>
                </c:pt>
                <c:pt idx="98">
                  <c:v>0</c:v>
                </c:pt>
                <c:pt idx="99">
                  <c:v>0</c:v>
                </c:pt>
                <c:pt idx="100">
                  <c:v>0</c:v>
                </c:pt>
                <c:pt idx="101">
                  <c:v>0</c:v>
                </c:pt>
                <c:pt idx="102">
                  <c:v>0</c:v>
                </c:pt>
                <c:pt idx="103">
                  <c:v>0</c:v>
                </c:pt>
                <c:pt idx="104">
                  <c:v>1</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Dummy!$D$3:$D$121</c:f>
              <c:numCache>
                <c:formatCode>0.000</c:formatCode>
                <c:ptCount val="119"/>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numCache>
            </c:numRef>
          </c:val>
        </c:ser>
        <c:ser>
          <c:idx val="1"/>
          <c:order val="1"/>
          <c:tx>
            <c:v>Predicted AVG SGPA</c:v>
          </c:tx>
          <c:cat>
            <c:numRef>
              <c:f>Dummy!$M$3:$M$121</c:f>
              <c:numCache>
                <c:formatCode>General</c:formatCode>
                <c:ptCount val="1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1</c:v>
                </c:pt>
                <c:pt idx="94">
                  <c:v>0</c:v>
                </c:pt>
                <c:pt idx="95">
                  <c:v>0</c:v>
                </c:pt>
                <c:pt idx="96">
                  <c:v>0</c:v>
                </c:pt>
                <c:pt idx="97">
                  <c:v>0</c:v>
                </c:pt>
                <c:pt idx="98">
                  <c:v>0</c:v>
                </c:pt>
                <c:pt idx="99">
                  <c:v>0</c:v>
                </c:pt>
                <c:pt idx="100">
                  <c:v>0</c:v>
                </c:pt>
                <c:pt idx="101">
                  <c:v>0</c:v>
                </c:pt>
                <c:pt idx="102">
                  <c:v>0</c:v>
                </c:pt>
                <c:pt idx="103">
                  <c:v>0</c:v>
                </c:pt>
                <c:pt idx="104">
                  <c:v>1</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cat>
          <c:val>
            <c:numRef>
              <c:f>Dummy!$P$34:$P$152</c:f>
              <c:numCache>
                <c:formatCode>General</c:formatCode>
                <c:ptCount val="119"/>
              </c:numCache>
            </c:numRef>
          </c:val>
        </c:ser>
        <c:axId val="147120896"/>
        <c:axId val="147122816"/>
      </c:barChart>
      <c:catAx>
        <c:axId val="147120896"/>
        <c:scaling>
          <c:orientation val="minMax"/>
        </c:scaling>
        <c:axPos val="b"/>
        <c:title>
          <c:tx>
            <c:rich>
              <a:bodyPr/>
              <a:lstStyle/>
              <a:p>
                <a:pPr>
                  <a:defRPr/>
                </a:pPr>
                <a:r>
                  <a:rPr lang="en-IN"/>
                  <a:t>w3</a:t>
                </a:r>
              </a:p>
            </c:rich>
          </c:tx>
        </c:title>
        <c:numFmt formatCode="General" sourceLinked="1"/>
        <c:tickLblPos val="nextTo"/>
        <c:crossAx val="147122816"/>
        <c:crosses val="autoZero"/>
        <c:auto val="1"/>
        <c:lblAlgn val="ctr"/>
        <c:lblOffset val="100"/>
      </c:catAx>
      <c:valAx>
        <c:axId val="147122816"/>
        <c:scaling>
          <c:orientation val="minMax"/>
        </c:scaling>
        <c:axPos val="l"/>
        <c:majorGridlines/>
        <c:title>
          <c:tx>
            <c:rich>
              <a:bodyPr/>
              <a:lstStyle/>
              <a:p>
                <a:pPr>
                  <a:defRPr/>
                </a:pPr>
                <a:r>
                  <a:rPr lang="en-IN"/>
                  <a:t>AVG SGPA</a:t>
                </a:r>
              </a:p>
            </c:rich>
          </c:tx>
        </c:title>
        <c:numFmt formatCode="0.000" sourceLinked="1"/>
        <c:tickLblPos val="nextTo"/>
        <c:crossAx val="147120896"/>
        <c:crosses val="autoZero"/>
        <c:crossBetween val="between"/>
      </c:valAx>
      <c:spPr>
        <a:noFill/>
        <a:ln w="25400">
          <a:noFill/>
        </a:ln>
      </c:spPr>
    </c:plotArea>
    <c:legend>
      <c:legendPos val="r"/>
    </c:legend>
    <c:plotVisOnly val="1"/>
  </c:chart>
  <c:printSettings>
    <c:headerFooter/>
    <c:pageMargins b="0.750000000000001" l="0.70000000000000062" r="0.70000000000000062" t="0.750000000000001" header="0.30000000000000032" footer="0.30000000000000032"/>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lang val="en-IN"/>
  <c:chart>
    <c:autoTitleDeleted val="1"/>
    <c:plotArea>
      <c:layout/>
      <c:scatterChart>
        <c:scatterStyle val="lineMarker"/>
        <c:ser>
          <c:idx val="0"/>
          <c:order val="0"/>
          <c:tx>
            <c:v>Predicted SGPA</c:v>
          </c:tx>
          <c:spPr>
            <a:ln w="28575">
              <a:noFill/>
            </a:ln>
          </c:spPr>
          <c:marker>
            <c:symbol val="diamond"/>
            <c:size val="4"/>
          </c:marker>
          <c:xVal>
            <c:numRef>
              <c:f>'Predicting 5th SGPA'!$C$2:$C$43</c:f>
              <c:numCache>
                <c:formatCode>General</c:formatCode>
                <c:ptCount val="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numCache>
            </c:numRef>
          </c:xVal>
          <c:yVal>
            <c:numRef>
              <c:f>'Predicting 5th SGPA'!$D$2:$D$43</c:f>
              <c:numCache>
                <c:formatCode>0.000</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yVal>
        </c:ser>
        <c:ser>
          <c:idx val="1"/>
          <c:order val="1"/>
          <c:tx>
            <c:v>Actual SGPA</c:v>
          </c:tx>
          <c:spPr>
            <a:ln w="28575">
              <a:noFill/>
            </a:ln>
          </c:spPr>
          <c:marker>
            <c:symbol val="circle"/>
            <c:size val="4"/>
          </c:marker>
          <c:xVal>
            <c:numRef>
              <c:f>'Predicting 5th SGPA'!$C$2:$C$43</c:f>
              <c:numCache>
                <c:formatCode>General</c:formatCode>
                <c:ptCount val="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numCache>
            </c:numRef>
          </c:xVal>
          <c:yVal>
            <c:numRef>
              <c:f>'Predicting 5th SGPA'!$E$2:$E$43</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yVal>
        </c:ser>
        <c:axId val="147195392"/>
        <c:axId val="147197312"/>
      </c:scatterChart>
      <c:valAx>
        <c:axId val="147195392"/>
        <c:scaling>
          <c:orientation val="minMax"/>
        </c:scaling>
        <c:axPos val="b"/>
        <c:title>
          <c:tx>
            <c:rich>
              <a:bodyPr/>
              <a:lstStyle/>
              <a:p>
                <a:pPr>
                  <a:defRPr/>
                </a:pPr>
                <a:r>
                  <a:rPr lang="en-IN"/>
                  <a:t>Students</a:t>
                </a:r>
              </a:p>
            </c:rich>
          </c:tx>
        </c:title>
        <c:numFmt formatCode="General" sourceLinked="1"/>
        <c:tickLblPos val="nextTo"/>
        <c:crossAx val="147197312"/>
        <c:crosses val="autoZero"/>
        <c:crossBetween val="midCat"/>
      </c:valAx>
      <c:valAx>
        <c:axId val="147197312"/>
        <c:scaling>
          <c:orientation val="minMax"/>
          <c:max val="10"/>
          <c:min val="5"/>
        </c:scaling>
        <c:axPos val="l"/>
        <c:majorGridlines/>
        <c:title>
          <c:tx>
            <c:rich>
              <a:bodyPr rot="-5400000" vert="horz"/>
              <a:lstStyle/>
              <a:p>
                <a:pPr>
                  <a:defRPr/>
                </a:pPr>
                <a:r>
                  <a:rPr lang="en-IN"/>
                  <a:t>SGPA</a:t>
                </a:r>
              </a:p>
            </c:rich>
          </c:tx>
        </c:title>
        <c:numFmt formatCode="0.000" sourceLinked="1"/>
        <c:tickLblPos val="nextTo"/>
        <c:crossAx val="147195392"/>
        <c:crosses val="autoZero"/>
        <c:crossBetween val="midCat"/>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lang val="en-IN"/>
  <c:chart>
    <c:plotArea>
      <c:layout/>
      <c:scatterChart>
        <c:scatterStyle val="smoothMarker"/>
        <c:ser>
          <c:idx val="0"/>
          <c:order val="0"/>
          <c:tx>
            <c:v>Predicted SGPA</c:v>
          </c:tx>
          <c:dPt>
            <c:idx val="16"/>
            <c:marker>
              <c:symbol val="circle"/>
              <c:size val="4"/>
            </c:marker>
          </c:dPt>
          <c:xVal>
            <c:numRef>
              <c:f>'Predicting 5th SGPA'!$C$2:$C$43</c:f>
              <c:numCache>
                <c:formatCode>General</c:formatCode>
                <c:ptCount val="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numCache>
            </c:numRef>
          </c:xVal>
          <c:yVal>
            <c:numRef>
              <c:f>'Predicting 5th SGPA'!$D$2:$D$43</c:f>
              <c:numCache>
                <c:formatCode>0.000</c:formatCode>
                <c:ptCount val="42"/>
                <c:pt idx="0">
                  <c:v>7.1790805551513941</c:v>
                </c:pt>
                <c:pt idx="1">
                  <c:v>9.7240265597071023</c:v>
                </c:pt>
                <c:pt idx="2">
                  <c:v>7.4017329663708535</c:v>
                </c:pt>
                <c:pt idx="3">
                  <c:v>7.7376136009972711</c:v>
                </c:pt>
                <c:pt idx="4">
                  <c:v>8.3659162041591131</c:v>
                </c:pt>
                <c:pt idx="5">
                  <c:v>7.8711330681158707</c:v>
                </c:pt>
                <c:pt idx="6">
                  <c:v>8.0448347859281135</c:v>
                </c:pt>
                <c:pt idx="7">
                  <c:v>7.8937673072138574</c:v>
                </c:pt>
                <c:pt idx="8">
                  <c:v>8.4629734402928971</c:v>
                </c:pt>
                <c:pt idx="9">
                  <c:v>9.0398986484150825</c:v>
                </c:pt>
                <c:pt idx="10">
                  <c:v>9.0839956289178829</c:v>
                </c:pt>
                <c:pt idx="11">
                  <c:v>6.386783659986139</c:v>
                </c:pt>
                <c:pt idx="12">
                  <c:v>7.4221769241384461</c:v>
                </c:pt>
                <c:pt idx="13">
                  <c:v>7.8846183952748721</c:v>
                </c:pt>
                <c:pt idx="14">
                  <c:v>7.7425835712006439</c:v>
                </c:pt>
                <c:pt idx="15">
                  <c:v>8.1110752563776671</c:v>
                </c:pt>
                <c:pt idx="16">
                  <c:v>7.5423933928449625</c:v>
                </c:pt>
                <c:pt idx="17">
                  <c:v>7.8244035497117883</c:v>
                </c:pt>
                <c:pt idx="18">
                  <c:v>6.4051227000495574</c:v>
                </c:pt>
                <c:pt idx="19">
                  <c:v>6.9825416983342157</c:v>
                </c:pt>
                <c:pt idx="20">
                  <c:v>7.9808262272832806</c:v>
                </c:pt>
                <c:pt idx="21">
                  <c:v>6.1778914554457041</c:v>
                </c:pt>
                <c:pt idx="22">
                  <c:v>7.4038378840750294</c:v>
                </c:pt>
                <c:pt idx="23">
                  <c:v>8.3870040394227736</c:v>
                </c:pt>
                <c:pt idx="24">
                  <c:v>7.6078926063888703</c:v>
                </c:pt>
                <c:pt idx="25">
                  <c:v>7.0877264360474008</c:v>
                </c:pt>
                <c:pt idx="26">
                  <c:v>7.3385106767653268</c:v>
                </c:pt>
                <c:pt idx="27">
                  <c:v>6.8073774418389714</c:v>
                </c:pt>
                <c:pt idx="28">
                  <c:v>6.61255386438188</c:v>
                </c:pt>
                <c:pt idx="29">
                  <c:v>6.3318077559813331</c:v>
                </c:pt>
                <c:pt idx="30">
                  <c:v>7.6512294520966506</c:v>
                </c:pt>
                <c:pt idx="31">
                  <c:v>8.7733817712907367</c:v>
                </c:pt>
                <c:pt idx="32">
                  <c:v>6.1207944030588992</c:v>
                </c:pt>
                <c:pt idx="33">
                  <c:v>7.718547301783361</c:v>
                </c:pt>
                <c:pt idx="34">
                  <c:v>8.9000000000000021</c:v>
                </c:pt>
                <c:pt idx="35">
                  <c:v>7.481975647374929</c:v>
                </c:pt>
                <c:pt idx="36">
                  <c:v>6.3962015432800321</c:v>
                </c:pt>
                <c:pt idx="37">
                  <c:v>7.5665444210863111</c:v>
                </c:pt>
                <c:pt idx="38">
                  <c:v>8.23175285954445</c:v>
                </c:pt>
                <c:pt idx="39">
                  <c:v>7.1873269407521132</c:v>
                </c:pt>
                <c:pt idx="40">
                  <c:v>9.080344307379379</c:v>
                </c:pt>
                <c:pt idx="41">
                  <c:v>8.1218010515348418</c:v>
                </c:pt>
              </c:numCache>
            </c:numRef>
          </c:yVal>
          <c:smooth val="1"/>
        </c:ser>
        <c:ser>
          <c:idx val="1"/>
          <c:order val="1"/>
          <c:tx>
            <c:v>Actual SGPA</c:v>
          </c:tx>
          <c:marker>
            <c:symbol val="circle"/>
            <c:size val="4"/>
          </c:marker>
          <c:xVal>
            <c:numRef>
              <c:f>'Predicting 5th SGPA'!$C$2:$C$43</c:f>
              <c:numCache>
                <c:formatCode>General</c:formatCode>
                <c:ptCount val="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numCache>
            </c:numRef>
          </c:xVal>
          <c:yVal>
            <c:numRef>
              <c:f>'Predicting 5th SGPA'!$E$2:$E$43</c:f>
              <c:numCache>
                <c:formatCode>0.000</c:formatCode>
                <c:ptCount val="42"/>
                <c:pt idx="0">
                  <c:v>7.2839999999999998</c:v>
                </c:pt>
                <c:pt idx="1">
                  <c:v>10</c:v>
                </c:pt>
                <c:pt idx="2">
                  <c:v>7.6</c:v>
                </c:pt>
                <c:pt idx="3">
                  <c:v>9</c:v>
                </c:pt>
                <c:pt idx="4">
                  <c:v>7.9390000000000001</c:v>
                </c:pt>
                <c:pt idx="5">
                  <c:v>8.1</c:v>
                </c:pt>
                <c:pt idx="6">
                  <c:v>9.11</c:v>
                </c:pt>
                <c:pt idx="7">
                  <c:v>7.46</c:v>
                </c:pt>
                <c:pt idx="8">
                  <c:v>8.1869999999999994</c:v>
                </c:pt>
                <c:pt idx="9">
                  <c:v>8.81</c:v>
                </c:pt>
                <c:pt idx="10">
                  <c:v>9</c:v>
                </c:pt>
                <c:pt idx="11">
                  <c:v>6.1989999999999998</c:v>
                </c:pt>
                <c:pt idx="12">
                  <c:v>7.5679999999999996</c:v>
                </c:pt>
                <c:pt idx="13">
                  <c:v>8.1010000000000009</c:v>
                </c:pt>
                <c:pt idx="14">
                  <c:v>8.0500000000000007</c:v>
                </c:pt>
                <c:pt idx="15">
                  <c:v>8.7360000000000007</c:v>
                </c:pt>
                <c:pt idx="16">
                  <c:v>8.6999999999999993</c:v>
                </c:pt>
                <c:pt idx="17">
                  <c:v>8.0299999999999994</c:v>
                </c:pt>
                <c:pt idx="18">
                  <c:v>5.8410000000000002</c:v>
                </c:pt>
                <c:pt idx="19">
                  <c:v>7.391</c:v>
                </c:pt>
                <c:pt idx="20">
                  <c:v>7.2</c:v>
                </c:pt>
                <c:pt idx="21">
                  <c:v>6.5540000000000003</c:v>
                </c:pt>
                <c:pt idx="22">
                  <c:v>7.8369999999999997</c:v>
                </c:pt>
                <c:pt idx="23">
                  <c:v>8.1890000000000001</c:v>
                </c:pt>
                <c:pt idx="24">
                  <c:v>7.5</c:v>
                </c:pt>
                <c:pt idx="25">
                  <c:v>6.6</c:v>
                </c:pt>
                <c:pt idx="26">
                  <c:v>7.1180000000000003</c:v>
                </c:pt>
                <c:pt idx="27">
                  <c:v>7</c:v>
                </c:pt>
                <c:pt idx="28">
                  <c:v>6.68</c:v>
                </c:pt>
                <c:pt idx="29">
                  <c:v>7.45</c:v>
                </c:pt>
                <c:pt idx="30">
                  <c:v>7.7249999999999996</c:v>
                </c:pt>
                <c:pt idx="31">
                  <c:v>8.6739999999999995</c:v>
                </c:pt>
                <c:pt idx="32">
                  <c:v>5.61</c:v>
                </c:pt>
                <c:pt idx="33">
                  <c:v>6.9009999999999998</c:v>
                </c:pt>
                <c:pt idx="34">
                  <c:v>8.9</c:v>
                </c:pt>
                <c:pt idx="35">
                  <c:v>7.056</c:v>
                </c:pt>
                <c:pt idx="36">
                  <c:v>5.984</c:v>
                </c:pt>
                <c:pt idx="37">
                  <c:v>5.968</c:v>
                </c:pt>
                <c:pt idx="38">
                  <c:v>9</c:v>
                </c:pt>
                <c:pt idx="39">
                  <c:v>6.6</c:v>
                </c:pt>
                <c:pt idx="40">
                  <c:v>8.92</c:v>
                </c:pt>
                <c:pt idx="41">
                  <c:v>7.5</c:v>
                </c:pt>
              </c:numCache>
            </c:numRef>
          </c:yVal>
          <c:smooth val="1"/>
        </c:ser>
        <c:axId val="147207680"/>
        <c:axId val="147209600"/>
      </c:scatterChart>
      <c:valAx>
        <c:axId val="147207680"/>
        <c:scaling>
          <c:orientation val="minMax"/>
        </c:scaling>
        <c:axPos val="b"/>
        <c:title>
          <c:tx>
            <c:rich>
              <a:bodyPr/>
              <a:lstStyle/>
              <a:p>
                <a:pPr>
                  <a:defRPr/>
                </a:pPr>
                <a:r>
                  <a:rPr lang="en-US"/>
                  <a:t>Students</a:t>
                </a:r>
              </a:p>
            </c:rich>
          </c:tx>
        </c:title>
        <c:numFmt formatCode="General" sourceLinked="1"/>
        <c:tickLblPos val="nextTo"/>
        <c:crossAx val="147209600"/>
        <c:crosses val="autoZero"/>
        <c:crossBetween val="midCat"/>
      </c:valAx>
      <c:valAx>
        <c:axId val="147209600"/>
        <c:scaling>
          <c:orientation val="minMax"/>
          <c:max val="10"/>
          <c:min val="4"/>
        </c:scaling>
        <c:axPos val="l"/>
        <c:majorGridlines/>
        <c:title>
          <c:tx>
            <c:rich>
              <a:bodyPr rot="-5400000" vert="horz"/>
              <a:lstStyle/>
              <a:p>
                <a:pPr>
                  <a:defRPr/>
                </a:pPr>
                <a:r>
                  <a:rPr lang="en-US"/>
                  <a:t>SGPA</a:t>
                </a:r>
              </a:p>
            </c:rich>
          </c:tx>
        </c:title>
        <c:numFmt formatCode="0.000" sourceLinked="1"/>
        <c:tickLblPos val="nextTo"/>
        <c:crossAx val="147207680"/>
        <c:crosses val="autoZero"/>
        <c:crossBetween val="midCat"/>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lang val="en-IN"/>
  <c:chart>
    <c:plotArea>
      <c:layout/>
      <c:scatterChart>
        <c:scatterStyle val="smoothMarker"/>
        <c:ser>
          <c:idx val="0"/>
          <c:order val="0"/>
          <c:tx>
            <c:strRef>
              <c:f>Plot!$B$2</c:f>
              <c:strCache>
                <c:ptCount val="1"/>
                <c:pt idx="0">
                  <c:v>Predicted AVG SGPA</c:v>
                </c:pt>
              </c:strCache>
            </c:strRef>
          </c:tx>
          <c:marker>
            <c:symbol val="circle"/>
            <c:size val="4"/>
          </c:marker>
          <c:xVal>
            <c:numRef>
              <c:f>Plot!$A$3:$A$122</c:f>
              <c:numCache>
                <c:formatCode>General</c:formatCode>
                <c:ptCount val="1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numCache>
            </c:numRef>
          </c:xVal>
          <c:yVal>
            <c:numRef>
              <c:f>Plot!$B$3:$B$122</c:f>
              <c:numCache>
                <c:formatCode>0.000</c:formatCode>
                <c:ptCount val="120"/>
                <c:pt idx="0">
                  <c:v>7.4849445579765872</c:v>
                </c:pt>
                <c:pt idx="1">
                  <c:v>8.474836149968505</c:v>
                </c:pt>
                <c:pt idx="2">
                  <c:v>7.4849445579765872</c:v>
                </c:pt>
                <c:pt idx="3">
                  <c:v>7.4412392390341271</c:v>
                </c:pt>
                <c:pt idx="4">
                  <c:v>7.9278491529989887</c:v>
                </c:pt>
                <c:pt idx="5">
                  <c:v>7.9278491529989887</c:v>
                </c:pt>
                <c:pt idx="6">
                  <c:v>7.8841438340565286</c:v>
                </c:pt>
                <c:pt idx="7">
                  <c:v>7.4849445579765872</c:v>
                </c:pt>
                <c:pt idx="8">
                  <c:v>8.0319315549461034</c:v>
                </c:pt>
                <c:pt idx="9">
                  <c:v>7.8841438340565286</c:v>
                </c:pt>
                <c:pt idx="10">
                  <c:v>7.4849445579765872</c:v>
                </c:pt>
                <c:pt idx="11">
                  <c:v>8.7789522975112053</c:v>
                </c:pt>
                <c:pt idx="12">
                  <c:v>7.6736633731001316</c:v>
                </c:pt>
                <c:pt idx="13">
                  <c:v>7.4412392390341271</c:v>
                </c:pt>
                <c:pt idx="14">
                  <c:v>8.2940474392612984</c:v>
                </c:pt>
                <c:pt idx="15">
                  <c:v>7.9278491529989887</c:v>
                </c:pt>
                <c:pt idx="16">
                  <c:v>7.8841438340565286</c:v>
                </c:pt>
                <c:pt idx="17">
                  <c:v>7.4412392390341271</c:v>
                </c:pt>
                <c:pt idx="18">
                  <c:v>8.2940474392612984</c:v>
                </c:pt>
                <c:pt idx="19">
                  <c:v>7.4849445579765872</c:v>
                </c:pt>
                <c:pt idx="20">
                  <c:v>7.851142844238896</c:v>
                </c:pt>
                <c:pt idx="21">
                  <c:v>7.4849445579765872</c:v>
                </c:pt>
                <c:pt idx="22">
                  <c:v>7.4849445579765872</c:v>
                </c:pt>
                <c:pt idx="23">
                  <c:v>8.0398616593624403</c:v>
                </c:pt>
                <c:pt idx="24">
                  <c:v>7.9278491529989887</c:v>
                </c:pt>
                <c:pt idx="25">
                  <c:v>7.851142844238896</c:v>
                </c:pt>
                <c:pt idx="26">
                  <c:v>7.9278491529989887</c:v>
                </c:pt>
                <c:pt idx="27">
                  <c:v>7.9278491529989887</c:v>
                </c:pt>
                <c:pt idx="28">
                  <c:v>8.2940474392612984</c:v>
                </c:pt>
                <c:pt idx="29">
                  <c:v>7.4849445579765872</c:v>
                </c:pt>
                <c:pt idx="30">
                  <c:v>7.4412392390341271</c:v>
                </c:pt>
                <c:pt idx="31">
                  <c:v>7.851142844238896</c:v>
                </c:pt>
                <c:pt idx="32">
                  <c:v>7.851142844238896</c:v>
                </c:pt>
                <c:pt idx="33">
                  <c:v>7.4849445579765872</c:v>
                </c:pt>
                <c:pt idx="34">
                  <c:v>7.851142844238896</c:v>
                </c:pt>
                <c:pt idx="35">
                  <c:v>7.851142844238896</c:v>
                </c:pt>
                <c:pt idx="36">
                  <c:v>8.2206503700696469</c:v>
                </c:pt>
                <c:pt idx="37">
                  <c:v>8.2940474392612984</c:v>
                </c:pt>
                <c:pt idx="38">
                  <c:v>7.4849445579765872</c:v>
                </c:pt>
                <c:pt idx="39">
                  <c:v>7.9278491529989887</c:v>
                </c:pt>
                <c:pt idx="40">
                  <c:v>7.4849445579765872</c:v>
                </c:pt>
                <c:pt idx="41">
                  <c:v>7.4412392390341271</c:v>
                </c:pt>
                <c:pt idx="42">
                  <c:v>7.6736633731001316</c:v>
                </c:pt>
                <c:pt idx="43">
                  <c:v>8.2940474392612984</c:v>
                </c:pt>
                <c:pt idx="44">
                  <c:v>8.2940474392612984</c:v>
                </c:pt>
                <c:pt idx="45">
                  <c:v>7.4849445579765872</c:v>
                </c:pt>
                <c:pt idx="46">
                  <c:v>7.9278491529989887</c:v>
                </c:pt>
                <c:pt idx="47">
                  <c:v>7.4849445579765872</c:v>
                </c:pt>
                <c:pt idx="48">
                  <c:v>8.0398616593624403</c:v>
                </c:pt>
                <c:pt idx="49">
                  <c:v>7.6299580541576715</c:v>
                </c:pt>
                <c:pt idx="50">
                  <c:v>7.4412392390341271</c:v>
                </c:pt>
                <c:pt idx="51">
                  <c:v>7.9278491529989887</c:v>
                </c:pt>
                <c:pt idx="52">
                  <c:v>7.4849445579765872</c:v>
                </c:pt>
                <c:pt idx="53">
                  <c:v>7.9278491529989887</c:v>
                </c:pt>
                <c:pt idx="54">
                  <c:v>8.0319315549461034</c:v>
                </c:pt>
                <c:pt idx="55">
                  <c:v>7.9278491529989887</c:v>
                </c:pt>
                <c:pt idx="56">
                  <c:v>7.9278491529989887</c:v>
                </c:pt>
                <c:pt idx="57">
                  <c:v>7.4849445579765872</c:v>
                </c:pt>
                <c:pt idx="58">
                  <c:v>7.9278491529989887</c:v>
                </c:pt>
                <c:pt idx="59">
                  <c:v>7.4849445579765872</c:v>
                </c:pt>
                <c:pt idx="60">
                  <c:v>7.4849445579765872</c:v>
                </c:pt>
                <c:pt idx="61">
                  <c:v>7.6736633731001316</c:v>
                </c:pt>
                <c:pt idx="62">
                  <c:v>7.9278491529989887</c:v>
                </c:pt>
                <c:pt idx="63">
                  <c:v>7.9278491529989887</c:v>
                </c:pt>
                <c:pt idx="64">
                  <c:v>7.4849445579765872</c:v>
                </c:pt>
                <c:pt idx="65">
                  <c:v>7.8841438340565286</c:v>
                </c:pt>
                <c:pt idx="66">
                  <c:v>8.2940474392612984</c:v>
                </c:pt>
                <c:pt idx="67">
                  <c:v>7.9278491529989887</c:v>
                </c:pt>
                <c:pt idx="68">
                  <c:v>7.4849445579765872</c:v>
                </c:pt>
                <c:pt idx="69">
                  <c:v>7.4412392390341271</c:v>
                </c:pt>
                <c:pt idx="70">
                  <c:v>7.4849445579765872</c:v>
                </c:pt>
                <c:pt idx="71">
                  <c:v>7.4849445579765872</c:v>
                </c:pt>
                <c:pt idx="72">
                  <c:v>7.8841438340565286</c:v>
                </c:pt>
                <c:pt idx="73">
                  <c:v>7.9278491529989887</c:v>
                </c:pt>
                <c:pt idx="74">
                  <c:v>7.4849445579765872</c:v>
                </c:pt>
                <c:pt idx="75">
                  <c:v>8.0398616593624403</c:v>
                </c:pt>
                <c:pt idx="76">
                  <c:v>7.851142844238896</c:v>
                </c:pt>
                <c:pt idx="77">
                  <c:v>7.851142844238896</c:v>
                </c:pt>
                <c:pt idx="78">
                  <c:v>7.851142844238896</c:v>
                </c:pt>
                <c:pt idx="79">
                  <c:v>7.9278491529989887</c:v>
                </c:pt>
                <c:pt idx="80">
                  <c:v>8.3360477024888038</c:v>
                </c:pt>
                <c:pt idx="81">
                  <c:v>7.4412392390341271</c:v>
                </c:pt>
                <c:pt idx="82">
                  <c:v>7.4412392390341271</c:v>
                </c:pt>
                <c:pt idx="83">
                  <c:v>7.851142844238896</c:v>
                </c:pt>
                <c:pt idx="84">
                  <c:v>7.8841438340565286</c:v>
                </c:pt>
                <c:pt idx="85">
                  <c:v>7.851142844238896</c:v>
                </c:pt>
                <c:pt idx="86">
                  <c:v>7.8841438340565286</c:v>
                </c:pt>
                <c:pt idx="87">
                  <c:v>7.4849445579765872</c:v>
                </c:pt>
                <c:pt idx="88">
                  <c:v>8.2206503700696469</c:v>
                </c:pt>
                <c:pt idx="89">
                  <c:v>7.9278491529989887</c:v>
                </c:pt>
                <c:pt idx="90">
                  <c:v>7.6299580541576715</c:v>
                </c:pt>
                <c:pt idx="91">
                  <c:v>7.4849445579765872</c:v>
                </c:pt>
                <c:pt idx="92">
                  <c:v>7.4849445579765872</c:v>
                </c:pt>
                <c:pt idx="93">
                  <c:v>9.3943526594712328</c:v>
                </c:pt>
                <c:pt idx="94">
                  <c:v>7.4412392390341271</c:v>
                </c:pt>
                <c:pt idx="95">
                  <c:v>7.851142844238896</c:v>
                </c:pt>
                <c:pt idx="96">
                  <c:v>7.4849445579765872</c:v>
                </c:pt>
                <c:pt idx="97">
                  <c:v>7.851142844238896</c:v>
                </c:pt>
                <c:pt idx="98">
                  <c:v>7.9278491529989887</c:v>
                </c:pt>
                <c:pt idx="99">
                  <c:v>7.9278491529989887</c:v>
                </c:pt>
                <c:pt idx="100">
                  <c:v>7.851142844238896</c:v>
                </c:pt>
                <c:pt idx="101">
                  <c:v>7.851142844238896</c:v>
                </c:pt>
                <c:pt idx="102">
                  <c:v>7.4849445579765872</c:v>
                </c:pt>
                <c:pt idx="103">
                  <c:v>7.8841438340565286</c:v>
                </c:pt>
                <c:pt idx="104">
                  <c:v>9.3506473405287736</c:v>
                </c:pt>
                <c:pt idx="105">
                  <c:v>7.6299580541576715</c:v>
                </c:pt>
                <c:pt idx="106">
                  <c:v>7.851142844238896</c:v>
                </c:pt>
                <c:pt idx="107">
                  <c:v>8.2940474392612984</c:v>
                </c:pt>
                <c:pt idx="108">
                  <c:v>7.4412392390341271</c:v>
                </c:pt>
                <c:pt idx="109">
                  <c:v>7.4849445579765872</c:v>
                </c:pt>
                <c:pt idx="110">
                  <c:v>7.4849445579765872</c:v>
                </c:pt>
                <c:pt idx="111">
                  <c:v>7.4412392390341271</c:v>
                </c:pt>
                <c:pt idx="112">
                  <c:v>7.4412392390341271</c:v>
                </c:pt>
                <c:pt idx="113">
                  <c:v>7.4412392390341271</c:v>
                </c:pt>
                <c:pt idx="114">
                  <c:v>7.9278491529989887</c:v>
                </c:pt>
                <c:pt idx="115">
                  <c:v>7.4849445579765872</c:v>
                </c:pt>
                <c:pt idx="116">
                  <c:v>7.4849445579765872</c:v>
                </c:pt>
                <c:pt idx="117">
                  <c:v>7.4412392390341271</c:v>
                </c:pt>
                <c:pt idx="118">
                  <c:v>7.4849445579765872</c:v>
                </c:pt>
                <c:pt idx="119">
                  <c:v>7.4412392390341271</c:v>
                </c:pt>
              </c:numCache>
            </c:numRef>
          </c:yVal>
          <c:smooth val="1"/>
        </c:ser>
        <c:ser>
          <c:idx val="1"/>
          <c:order val="1"/>
          <c:tx>
            <c:strRef>
              <c:f>Plot!$C$2</c:f>
              <c:strCache>
                <c:ptCount val="1"/>
                <c:pt idx="0">
                  <c:v>Actual AVG SGPA</c:v>
                </c:pt>
              </c:strCache>
            </c:strRef>
          </c:tx>
          <c:marker>
            <c:symbol val="circle"/>
            <c:size val="4"/>
          </c:marker>
          <c:xVal>
            <c:numRef>
              <c:f>Plot!$A$3:$A$122</c:f>
              <c:numCache>
                <c:formatCode>General</c:formatCode>
                <c:ptCount val="1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numCache>
            </c:numRef>
          </c:xVal>
          <c:yVal>
            <c:numRef>
              <c:f>Plot!$C$3:$C$122</c:f>
              <c:numCache>
                <c:formatCode>0.000</c:formatCode>
                <c:ptCount val="120"/>
                <c:pt idx="0">
                  <c:v>7.4</c:v>
                </c:pt>
                <c:pt idx="1">
                  <c:v>9.5174999999999983</c:v>
                </c:pt>
                <c:pt idx="2">
                  <c:v>7.6025</c:v>
                </c:pt>
                <c:pt idx="3">
                  <c:v>7.7949999999999999</c:v>
                </c:pt>
                <c:pt idx="4">
                  <c:v>8.5749999999999993</c:v>
                </c:pt>
                <c:pt idx="5">
                  <c:v>8.125</c:v>
                </c:pt>
                <c:pt idx="6">
                  <c:v>8.17</c:v>
                </c:pt>
                <c:pt idx="7">
                  <c:v>8.0500000000000007</c:v>
                </c:pt>
                <c:pt idx="8">
                  <c:v>8.2750000000000004</c:v>
                </c:pt>
                <c:pt idx="9">
                  <c:v>9.0749999999999993</c:v>
                </c:pt>
                <c:pt idx="10">
                  <c:v>9.1325000000000003</c:v>
                </c:pt>
                <c:pt idx="11">
                  <c:v>7.7750000000000004</c:v>
                </c:pt>
                <c:pt idx="12">
                  <c:v>8.4499999999999993</c:v>
                </c:pt>
                <c:pt idx="13">
                  <c:v>5.97</c:v>
                </c:pt>
                <c:pt idx="14">
                  <c:v>7.0540000000000003</c:v>
                </c:pt>
                <c:pt idx="15">
                  <c:v>6.7750000000000004</c:v>
                </c:pt>
                <c:pt idx="16">
                  <c:v>8</c:v>
                </c:pt>
                <c:pt idx="17">
                  <c:v>7.3682500000000006</c:v>
                </c:pt>
                <c:pt idx="18">
                  <c:v>7.7749999999999995</c:v>
                </c:pt>
                <c:pt idx="19">
                  <c:v>7.2465000000000002</c:v>
                </c:pt>
                <c:pt idx="20">
                  <c:v>8.1</c:v>
                </c:pt>
                <c:pt idx="21">
                  <c:v>7.5307499999999994</c:v>
                </c:pt>
                <c:pt idx="22">
                  <c:v>7.9125000000000005</c:v>
                </c:pt>
                <c:pt idx="23">
                  <c:v>8.5820000000000007</c:v>
                </c:pt>
                <c:pt idx="24">
                  <c:v>9.2999999999999989</c:v>
                </c:pt>
                <c:pt idx="25">
                  <c:v>7.7887500000000003</c:v>
                </c:pt>
                <c:pt idx="26">
                  <c:v>8.0825000000000014</c:v>
                </c:pt>
                <c:pt idx="27">
                  <c:v>7.2</c:v>
                </c:pt>
                <c:pt idx="28">
                  <c:v>6.8500000000000005</c:v>
                </c:pt>
                <c:pt idx="29">
                  <c:v>7.2212499999999995</c:v>
                </c:pt>
                <c:pt idx="30">
                  <c:v>9.125</c:v>
                </c:pt>
                <c:pt idx="31">
                  <c:v>8.1875</c:v>
                </c:pt>
                <c:pt idx="32">
                  <c:v>8.125</c:v>
                </c:pt>
                <c:pt idx="33">
                  <c:v>6.2750000000000004</c:v>
                </c:pt>
                <c:pt idx="34">
                  <c:v>7.125</c:v>
                </c:pt>
                <c:pt idx="35">
                  <c:v>6.5477499999999997</c:v>
                </c:pt>
                <c:pt idx="36">
                  <c:v>7.7750000000000004</c:v>
                </c:pt>
                <c:pt idx="37">
                  <c:v>8.0250000000000004</c:v>
                </c:pt>
                <c:pt idx="38">
                  <c:v>7.2750000000000004</c:v>
                </c:pt>
                <c:pt idx="39">
                  <c:v>7.7</c:v>
                </c:pt>
                <c:pt idx="40">
                  <c:v>5.8405000000000005</c:v>
                </c:pt>
                <c:pt idx="41">
                  <c:v>9.8125</c:v>
                </c:pt>
                <c:pt idx="42">
                  <c:v>6.5749999999999993</c:v>
                </c:pt>
                <c:pt idx="43">
                  <c:v>8.85</c:v>
                </c:pt>
                <c:pt idx="44">
                  <c:v>8.6524999999999999</c:v>
                </c:pt>
                <c:pt idx="45">
                  <c:v>7.7899999999999991</c:v>
                </c:pt>
                <c:pt idx="46">
                  <c:v>7.4124999999999996</c:v>
                </c:pt>
                <c:pt idx="47">
                  <c:v>7.544999999999999</c:v>
                </c:pt>
                <c:pt idx="48">
                  <c:v>9.5650000000000013</c:v>
                </c:pt>
                <c:pt idx="49">
                  <c:v>7.2249999999999996</c:v>
                </c:pt>
                <c:pt idx="50">
                  <c:v>6.4675000000000002</c:v>
                </c:pt>
                <c:pt idx="51">
                  <c:v>7.0249999999999995</c:v>
                </c:pt>
                <c:pt idx="52">
                  <c:v>6.8847500000000004</c:v>
                </c:pt>
                <c:pt idx="53">
                  <c:v>7.2</c:v>
                </c:pt>
                <c:pt idx="54">
                  <c:v>7.625</c:v>
                </c:pt>
                <c:pt idx="55">
                  <c:v>7.2250000000000005</c:v>
                </c:pt>
                <c:pt idx="56">
                  <c:v>6.7249999999999996</c:v>
                </c:pt>
                <c:pt idx="57">
                  <c:v>7.3874999999999993</c:v>
                </c:pt>
                <c:pt idx="58">
                  <c:v>7.9249999999999998</c:v>
                </c:pt>
                <c:pt idx="59">
                  <c:v>8.5</c:v>
                </c:pt>
                <c:pt idx="60">
                  <c:v>7.2750000000000004</c:v>
                </c:pt>
                <c:pt idx="61">
                  <c:v>7.8872499999999999</c:v>
                </c:pt>
                <c:pt idx="62">
                  <c:v>9.8825000000000003</c:v>
                </c:pt>
                <c:pt idx="63">
                  <c:v>8.0749999999999993</c:v>
                </c:pt>
                <c:pt idx="64">
                  <c:v>8.0399999999999991</c:v>
                </c:pt>
                <c:pt idx="65">
                  <c:v>8.9975000000000005</c:v>
                </c:pt>
                <c:pt idx="66">
                  <c:v>8.5249999999999986</c:v>
                </c:pt>
                <c:pt idx="67">
                  <c:v>8.7124999999999986</c:v>
                </c:pt>
                <c:pt idx="68">
                  <c:v>8.0975000000000001</c:v>
                </c:pt>
                <c:pt idx="69">
                  <c:v>7.7694999999999999</c:v>
                </c:pt>
                <c:pt idx="70">
                  <c:v>8.8500000000000014</c:v>
                </c:pt>
                <c:pt idx="71">
                  <c:v>6.4375</c:v>
                </c:pt>
                <c:pt idx="72">
                  <c:v>5.5749999999999993</c:v>
                </c:pt>
                <c:pt idx="73">
                  <c:v>9.120000000000001</c:v>
                </c:pt>
                <c:pt idx="74">
                  <c:v>6.8249999999999993</c:v>
                </c:pt>
                <c:pt idx="75">
                  <c:v>8.2250000000000014</c:v>
                </c:pt>
                <c:pt idx="76">
                  <c:v>8.0749999999999993</c:v>
                </c:pt>
                <c:pt idx="77">
                  <c:v>8.9274999999999984</c:v>
                </c:pt>
                <c:pt idx="78">
                  <c:v>7.1250000000000009</c:v>
                </c:pt>
                <c:pt idx="79">
                  <c:v>7.0475000000000003</c:v>
                </c:pt>
                <c:pt idx="80">
                  <c:v>9.34</c:v>
                </c:pt>
                <c:pt idx="81">
                  <c:v>7.5625</c:v>
                </c:pt>
                <c:pt idx="82">
                  <c:v>6.5750000000000002</c:v>
                </c:pt>
                <c:pt idx="83">
                  <c:v>7.3249999999999993</c:v>
                </c:pt>
                <c:pt idx="84">
                  <c:v>7.7349999999999994</c:v>
                </c:pt>
                <c:pt idx="85">
                  <c:v>8.3049999999999997</c:v>
                </c:pt>
                <c:pt idx="86">
                  <c:v>8.34</c:v>
                </c:pt>
                <c:pt idx="87">
                  <c:v>7.4074999999999989</c:v>
                </c:pt>
                <c:pt idx="88">
                  <c:v>7.7874999999999996</c:v>
                </c:pt>
                <c:pt idx="89">
                  <c:v>7.6850000000000005</c:v>
                </c:pt>
                <c:pt idx="90">
                  <c:v>6.65</c:v>
                </c:pt>
                <c:pt idx="91">
                  <c:v>6.8549999999999995</c:v>
                </c:pt>
                <c:pt idx="92">
                  <c:v>7.669999999999999</c:v>
                </c:pt>
                <c:pt idx="93">
                  <c:v>9.4499999999999993</c:v>
                </c:pt>
                <c:pt idx="94">
                  <c:v>9.1475000000000009</c:v>
                </c:pt>
                <c:pt idx="95">
                  <c:v>7.1344999999999992</c:v>
                </c:pt>
                <c:pt idx="96">
                  <c:v>6.8000000000000007</c:v>
                </c:pt>
                <c:pt idx="97">
                  <c:v>8.0950000000000006</c:v>
                </c:pt>
                <c:pt idx="98">
                  <c:v>9.375</c:v>
                </c:pt>
                <c:pt idx="99">
                  <c:v>9.5</c:v>
                </c:pt>
                <c:pt idx="100">
                  <c:v>7.4750000000000005</c:v>
                </c:pt>
                <c:pt idx="101">
                  <c:v>9.1875</c:v>
                </c:pt>
                <c:pt idx="102">
                  <c:v>8.7575000000000003</c:v>
                </c:pt>
                <c:pt idx="103">
                  <c:v>8.24</c:v>
                </c:pt>
                <c:pt idx="104">
                  <c:v>9.2950000000000017</c:v>
                </c:pt>
                <c:pt idx="105">
                  <c:v>7.75</c:v>
                </c:pt>
                <c:pt idx="106">
                  <c:v>8.3535000000000004</c:v>
                </c:pt>
                <c:pt idx="107">
                  <c:v>8.10975</c:v>
                </c:pt>
                <c:pt idx="108">
                  <c:v>7.05</c:v>
                </c:pt>
                <c:pt idx="109">
                  <c:v>7.4057500000000003</c:v>
                </c:pt>
                <c:pt idx="110">
                  <c:v>7.3612500000000001</c:v>
                </c:pt>
                <c:pt idx="111">
                  <c:v>6.8</c:v>
                </c:pt>
                <c:pt idx="112">
                  <c:v>7.4750000000000005</c:v>
                </c:pt>
                <c:pt idx="113">
                  <c:v>7.1282499999999995</c:v>
                </c:pt>
                <c:pt idx="114">
                  <c:v>7.1582499999999998</c:v>
                </c:pt>
                <c:pt idx="115">
                  <c:v>6.8250000000000002</c:v>
                </c:pt>
                <c:pt idx="116">
                  <c:v>7.4325000000000001</c:v>
                </c:pt>
                <c:pt idx="117">
                  <c:v>6.2249999999999996</c:v>
                </c:pt>
                <c:pt idx="118">
                  <c:v>6.5250000000000004</c:v>
                </c:pt>
                <c:pt idx="119">
                  <c:v>7.05</c:v>
                </c:pt>
              </c:numCache>
            </c:numRef>
          </c:yVal>
          <c:smooth val="1"/>
        </c:ser>
        <c:axId val="147272064"/>
        <c:axId val="147273984"/>
      </c:scatterChart>
      <c:valAx>
        <c:axId val="147272064"/>
        <c:scaling>
          <c:orientation val="minMax"/>
        </c:scaling>
        <c:axPos val="b"/>
        <c:title>
          <c:tx>
            <c:rich>
              <a:bodyPr/>
              <a:lstStyle/>
              <a:p>
                <a:pPr>
                  <a:defRPr/>
                </a:pPr>
                <a:r>
                  <a:rPr lang="en-US"/>
                  <a:t>Students</a:t>
                </a:r>
              </a:p>
            </c:rich>
          </c:tx>
          <c:layout/>
        </c:title>
        <c:numFmt formatCode="General" sourceLinked="1"/>
        <c:tickLblPos val="nextTo"/>
        <c:crossAx val="147273984"/>
        <c:crosses val="autoZero"/>
        <c:crossBetween val="midCat"/>
      </c:valAx>
      <c:valAx>
        <c:axId val="147273984"/>
        <c:scaling>
          <c:orientation val="minMax"/>
          <c:max val="10"/>
          <c:min val="4"/>
        </c:scaling>
        <c:axPos val="l"/>
        <c:majorGridlines/>
        <c:title>
          <c:tx>
            <c:rich>
              <a:bodyPr rot="-5400000" vert="horz"/>
              <a:lstStyle/>
              <a:p>
                <a:pPr>
                  <a:defRPr/>
                </a:pPr>
                <a:r>
                  <a:rPr lang="en-US"/>
                  <a:t>Average SGPA</a:t>
                </a:r>
              </a:p>
            </c:rich>
          </c:tx>
          <c:layout/>
        </c:title>
        <c:numFmt formatCode="0.000" sourceLinked="1"/>
        <c:tickLblPos val="nextTo"/>
        <c:crossAx val="147272064"/>
        <c:crosses val="autoZero"/>
        <c:crossBetween val="midCat"/>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 Id="rId4" Type="http://schemas.openxmlformats.org/officeDocument/2006/relationships/chart" Target="../charts/chart3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3.xml"/></Relationships>
</file>

<file path=xl/drawings/drawing1.xml><?xml version="1.0" encoding="utf-8"?>
<xdr:wsDr xmlns:xdr="http://schemas.openxmlformats.org/drawingml/2006/spreadsheetDrawing" xmlns:a="http://schemas.openxmlformats.org/drawingml/2006/main">
  <xdr:twoCellAnchor>
    <xdr:from>
      <xdr:col>17</xdr:col>
      <xdr:colOff>571500</xdr:colOff>
      <xdr:row>1</xdr:row>
      <xdr:rowOff>238126</xdr:rowOff>
    </xdr:from>
    <xdr:to>
      <xdr:col>23</xdr:col>
      <xdr:colOff>285750</xdr:colOff>
      <xdr:row>9</xdr:row>
      <xdr:rowOff>66676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0</xdr:colOff>
      <xdr:row>9</xdr:row>
      <xdr:rowOff>0</xdr:rowOff>
    </xdr:from>
    <xdr:to>
      <xdr:col>32</xdr:col>
      <xdr:colOff>0</xdr:colOff>
      <xdr:row>19</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0</xdr:colOff>
      <xdr:row>11</xdr:row>
      <xdr:rowOff>1</xdr:rowOff>
    </xdr:from>
    <xdr:to>
      <xdr:col>33</xdr:col>
      <xdr:colOff>0</xdr:colOff>
      <xdr:row>21</xdr:row>
      <xdr:rowOff>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0</xdr:colOff>
      <xdr:row>15</xdr:row>
      <xdr:rowOff>0</xdr:rowOff>
    </xdr:from>
    <xdr:to>
      <xdr:col>35</xdr:col>
      <xdr:colOff>0</xdr:colOff>
      <xdr:row>25</xdr:row>
      <xdr:rowOff>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552450</xdr:colOff>
      <xdr:row>7</xdr:row>
      <xdr:rowOff>142875</xdr:rowOff>
    </xdr:from>
    <xdr:to>
      <xdr:col>18</xdr:col>
      <xdr:colOff>552450</xdr:colOff>
      <xdr:row>17</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0</xdr:row>
      <xdr:rowOff>1</xdr:rowOff>
    </xdr:from>
    <xdr:to>
      <xdr:col>15</xdr:col>
      <xdr:colOff>0</xdr:colOff>
      <xdr:row>10</xdr:row>
      <xdr:rowOff>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0</xdr:row>
      <xdr:rowOff>0</xdr:rowOff>
    </xdr:from>
    <xdr:to>
      <xdr:col>19</xdr:col>
      <xdr:colOff>342900</xdr:colOff>
      <xdr:row>21</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xdr:colOff>
      <xdr:row>0</xdr:row>
      <xdr:rowOff>1</xdr:rowOff>
    </xdr:from>
    <xdr:to>
      <xdr:col>0</xdr:col>
      <xdr:colOff>1588</xdr:colOff>
      <xdr:row>0</xdr:row>
      <xdr:rowOff>1588</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571500</xdr:colOff>
      <xdr:row>1</xdr:row>
      <xdr:rowOff>238126</xdr:rowOff>
    </xdr:from>
    <xdr:to>
      <xdr:col>25</xdr:col>
      <xdr:colOff>285750</xdr:colOff>
      <xdr:row>9</xdr:row>
      <xdr:rowOff>66676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0</xdr:colOff>
      <xdr:row>9</xdr:row>
      <xdr:rowOff>0</xdr:rowOff>
    </xdr:from>
    <xdr:to>
      <xdr:col>34</xdr:col>
      <xdr:colOff>0</xdr:colOff>
      <xdr:row>14</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0</xdr:colOff>
      <xdr:row>11</xdr:row>
      <xdr:rowOff>1</xdr:rowOff>
    </xdr:from>
    <xdr:to>
      <xdr:col>35</xdr:col>
      <xdr:colOff>0</xdr:colOff>
      <xdr:row>15</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0</xdr:colOff>
      <xdr:row>13</xdr:row>
      <xdr:rowOff>0</xdr:rowOff>
    </xdr:from>
    <xdr:to>
      <xdr:col>37</xdr:col>
      <xdr:colOff>0</xdr:colOff>
      <xdr:row>17</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847725</xdr:colOff>
      <xdr:row>1</xdr:row>
      <xdr:rowOff>123825</xdr:rowOff>
    </xdr:from>
    <xdr:to>
      <xdr:col>19</xdr:col>
      <xdr:colOff>428625</xdr:colOff>
      <xdr:row>22</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723900</xdr:colOff>
      <xdr:row>24</xdr:row>
      <xdr:rowOff>47624</xdr:rowOff>
    </xdr:from>
    <xdr:to>
      <xdr:col>20</xdr:col>
      <xdr:colOff>495300</xdr:colOff>
      <xdr:row>46</xdr:row>
      <xdr:rowOff>95249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476250</xdr:colOff>
      <xdr:row>5</xdr:row>
      <xdr:rowOff>161924</xdr:rowOff>
    </xdr:from>
    <xdr:to>
      <xdr:col>17</xdr:col>
      <xdr:colOff>0</xdr:colOff>
      <xdr:row>31</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AD121"/>
  <sheetViews>
    <sheetView tabSelected="1" workbookViewId="0">
      <selection activeCell="B13" sqref="B13"/>
    </sheetView>
  </sheetViews>
  <sheetFormatPr defaultRowHeight="15"/>
  <cols>
    <col min="1" max="1" width="37.140625" bestFit="1" customWidth="1"/>
    <col min="2" max="2" width="28.85546875" customWidth="1"/>
    <col min="3" max="3" width="10.5703125" bestFit="1" customWidth="1"/>
    <col min="4" max="4" width="71.5703125" bestFit="1" customWidth="1"/>
    <col min="5" max="5" width="52.42578125" bestFit="1" customWidth="1"/>
    <col min="6" max="6" width="63.5703125" bestFit="1" customWidth="1"/>
    <col min="7" max="9" width="64.140625" bestFit="1" customWidth="1"/>
    <col min="10" max="10" width="61.5703125" bestFit="1" customWidth="1"/>
    <col min="11" max="11" width="13.5703125" style="2" bestFit="1" customWidth="1"/>
    <col min="12" max="12" width="92.42578125" bestFit="1" customWidth="1"/>
    <col min="13" max="13" width="85.42578125" bestFit="1" customWidth="1"/>
    <col min="14" max="14" width="64.85546875" bestFit="1" customWidth="1"/>
    <col min="15" max="15" width="74" bestFit="1" customWidth="1"/>
    <col min="16" max="16" width="75.85546875" bestFit="1" customWidth="1"/>
    <col min="17" max="17" width="87.28515625" bestFit="1" customWidth="1"/>
    <col min="18" max="18" width="76.7109375" bestFit="1" customWidth="1"/>
    <col min="19" max="19" width="91.7109375" bestFit="1" customWidth="1"/>
    <col min="20" max="20" width="103.85546875" bestFit="1" customWidth="1"/>
    <col min="21" max="21" width="74.5703125" bestFit="1" customWidth="1"/>
    <col min="22" max="22" width="78.28515625" bestFit="1" customWidth="1"/>
    <col min="23" max="23" width="57.140625" bestFit="1" customWidth="1"/>
    <col min="24" max="24" width="127.42578125" bestFit="1" customWidth="1"/>
    <col min="25" max="25" width="64.85546875" bestFit="1" customWidth="1"/>
    <col min="26" max="26" width="127.42578125" bestFit="1" customWidth="1"/>
    <col min="27" max="27" width="82.140625" bestFit="1" customWidth="1"/>
    <col min="28" max="28" width="127.42578125" bestFit="1" customWidth="1"/>
    <col min="29" max="29" width="52.5703125" bestFit="1" customWidth="1"/>
    <col min="30" max="30" width="175.28515625" bestFit="1" customWidth="1"/>
  </cols>
  <sheetData>
    <row r="1" spans="1:30" ht="30">
      <c r="A1" t="s">
        <v>0</v>
      </c>
      <c r="B1" t="s">
        <v>1</v>
      </c>
      <c r="C1" t="s">
        <v>2</v>
      </c>
      <c r="D1" t="s">
        <v>3</v>
      </c>
      <c r="E1" t="s">
        <v>4</v>
      </c>
      <c r="F1" t="s">
        <v>5</v>
      </c>
      <c r="G1" s="1" t="s">
        <v>6</v>
      </c>
      <c r="H1" s="1" t="s">
        <v>7</v>
      </c>
      <c r="I1" s="1" t="s">
        <v>8</v>
      </c>
      <c r="J1" s="1" t="s">
        <v>9</v>
      </c>
      <c r="K1" s="10" t="s">
        <v>447</v>
      </c>
      <c r="L1" t="s">
        <v>10</v>
      </c>
      <c r="M1" t="s">
        <v>11</v>
      </c>
      <c r="N1" s="1" t="s">
        <v>12</v>
      </c>
      <c r="O1" t="s">
        <v>13</v>
      </c>
      <c r="P1" t="s">
        <v>14</v>
      </c>
      <c r="Q1" t="s">
        <v>15</v>
      </c>
      <c r="R1" t="s">
        <v>16</v>
      </c>
      <c r="S1" t="s">
        <v>17</v>
      </c>
      <c r="T1" t="s">
        <v>18</v>
      </c>
      <c r="U1" t="s">
        <v>19</v>
      </c>
      <c r="V1" t="s">
        <v>20</v>
      </c>
      <c r="W1" t="s">
        <v>21</v>
      </c>
      <c r="X1" s="1" t="s">
        <v>22</v>
      </c>
      <c r="Y1" s="1" t="s">
        <v>23</v>
      </c>
      <c r="Z1" s="1" t="s">
        <v>24</v>
      </c>
      <c r="AA1" s="1" t="s">
        <v>25</v>
      </c>
      <c r="AB1" s="1" t="s">
        <v>26</v>
      </c>
      <c r="AC1" t="s">
        <v>27</v>
      </c>
      <c r="AD1" t="s">
        <v>28</v>
      </c>
    </row>
    <row r="2" spans="1:30">
      <c r="A2" t="s">
        <v>29</v>
      </c>
      <c r="B2" t="s">
        <v>30</v>
      </c>
      <c r="C2" t="s">
        <v>31</v>
      </c>
      <c r="D2" t="s">
        <v>32</v>
      </c>
      <c r="E2" t="s">
        <v>33</v>
      </c>
      <c r="F2" t="s">
        <v>34</v>
      </c>
      <c r="G2">
        <v>9.1</v>
      </c>
      <c r="H2">
        <v>6.4</v>
      </c>
      <c r="I2">
        <v>6.8</v>
      </c>
      <c r="J2">
        <v>7.3</v>
      </c>
      <c r="K2" s="11">
        <f>AVERAGE(G2:J2)</f>
        <v>7.4</v>
      </c>
      <c r="L2" t="s">
        <v>35</v>
      </c>
      <c r="M2" t="s">
        <v>35</v>
      </c>
      <c r="N2" t="s">
        <v>36</v>
      </c>
      <c r="O2" t="s">
        <v>37</v>
      </c>
      <c r="P2" t="s">
        <v>37</v>
      </c>
      <c r="Q2" t="s">
        <v>38</v>
      </c>
      <c r="R2" t="s">
        <v>37</v>
      </c>
      <c r="S2" t="s">
        <v>39</v>
      </c>
      <c r="T2" t="s">
        <v>39</v>
      </c>
      <c r="U2" t="s">
        <v>40</v>
      </c>
      <c r="V2" t="s">
        <v>41</v>
      </c>
      <c r="W2" t="s">
        <v>42</v>
      </c>
      <c r="X2">
        <v>4</v>
      </c>
      <c r="Y2" t="s">
        <v>43</v>
      </c>
      <c r="Z2">
        <v>5</v>
      </c>
      <c r="AA2" t="s">
        <v>43</v>
      </c>
      <c r="AB2">
        <v>4</v>
      </c>
      <c r="AC2" t="s">
        <v>44</v>
      </c>
    </row>
    <row r="3" spans="1:30">
      <c r="A3" t="s">
        <v>45</v>
      </c>
      <c r="B3" t="s">
        <v>46</v>
      </c>
      <c r="C3" t="s">
        <v>31</v>
      </c>
      <c r="D3" t="s">
        <v>47</v>
      </c>
      <c r="E3" t="s">
        <v>47</v>
      </c>
      <c r="F3" t="s">
        <v>48</v>
      </c>
      <c r="G3">
        <v>9.33</v>
      </c>
      <c r="H3">
        <v>9.5399999999999991</v>
      </c>
      <c r="I3">
        <v>9.43</v>
      </c>
      <c r="J3">
        <v>9.77</v>
      </c>
      <c r="K3" s="11">
        <f t="shared" ref="K3:K66" si="0">AVERAGE(G3:J3)</f>
        <v>9.5174999999999983</v>
      </c>
      <c r="L3" t="s">
        <v>49</v>
      </c>
      <c r="M3" t="s">
        <v>50</v>
      </c>
      <c r="N3" t="s">
        <v>51</v>
      </c>
      <c r="O3" t="s">
        <v>39</v>
      </c>
      <c r="P3" t="s">
        <v>39</v>
      </c>
      <c r="Q3" t="s">
        <v>39</v>
      </c>
      <c r="R3" t="s">
        <v>39</v>
      </c>
      <c r="S3" t="s">
        <v>39</v>
      </c>
      <c r="T3" t="s">
        <v>39</v>
      </c>
      <c r="U3" t="s">
        <v>52</v>
      </c>
      <c r="V3" t="s">
        <v>53</v>
      </c>
      <c r="W3" t="s">
        <v>54</v>
      </c>
      <c r="X3">
        <v>4</v>
      </c>
      <c r="Y3" t="s">
        <v>51</v>
      </c>
      <c r="Z3">
        <v>5</v>
      </c>
      <c r="AA3" t="s">
        <v>43</v>
      </c>
      <c r="AB3">
        <v>4</v>
      </c>
      <c r="AC3" t="s">
        <v>44</v>
      </c>
      <c r="AD3" t="s">
        <v>55</v>
      </c>
    </row>
    <row r="4" spans="1:30">
      <c r="A4" t="s">
        <v>56</v>
      </c>
      <c r="B4" t="s">
        <v>57</v>
      </c>
      <c r="C4" t="s">
        <v>31</v>
      </c>
      <c r="D4" t="s">
        <v>58</v>
      </c>
      <c r="E4" t="s">
        <v>33</v>
      </c>
      <c r="F4" t="s">
        <v>34</v>
      </c>
      <c r="G4">
        <v>8.6</v>
      </c>
      <c r="H4">
        <v>8.1199999999999992</v>
      </c>
      <c r="I4">
        <v>6.19</v>
      </c>
      <c r="J4">
        <v>7.5</v>
      </c>
      <c r="K4" s="11">
        <f t="shared" si="0"/>
        <v>7.6025</v>
      </c>
      <c r="L4" t="s">
        <v>35</v>
      </c>
      <c r="M4" t="s">
        <v>35</v>
      </c>
      <c r="N4" t="s">
        <v>36</v>
      </c>
      <c r="O4" t="s">
        <v>37</v>
      </c>
      <c r="P4" t="s">
        <v>39</v>
      </c>
      <c r="Q4" t="s">
        <v>37</v>
      </c>
      <c r="R4" t="s">
        <v>38</v>
      </c>
      <c r="S4" t="s">
        <v>37</v>
      </c>
      <c r="T4" t="s">
        <v>38</v>
      </c>
      <c r="U4" t="s">
        <v>59</v>
      </c>
      <c r="V4" t="s">
        <v>60</v>
      </c>
      <c r="W4" t="s">
        <v>54</v>
      </c>
      <c r="X4">
        <v>3</v>
      </c>
      <c r="Y4" t="s">
        <v>43</v>
      </c>
      <c r="Z4">
        <v>3</v>
      </c>
      <c r="AA4" t="s">
        <v>61</v>
      </c>
      <c r="AB4">
        <v>5</v>
      </c>
      <c r="AC4" t="s">
        <v>62</v>
      </c>
    </row>
    <row r="5" spans="1:30">
      <c r="A5" t="s">
        <v>63</v>
      </c>
      <c r="B5" t="s">
        <v>64</v>
      </c>
      <c r="C5" t="s">
        <v>31</v>
      </c>
      <c r="D5" t="s">
        <v>65</v>
      </c>
      <c r="E5" t="s">
        <v>65</v>
      </c>
      <c r="F5" t="s">
        <v>66</v>
      </c>
      <c r="G5">
        <v>7.82</v>
      </c>
      <c r="H5">
        <v>7.91</v>
      </c>
      <c r="I5">
        <v>6.59</v>
      </c>
      <c r="J5">
        <v>8.86</v>
      </c>
      <c r="K5" s="11">
        <f t="shared" si="0"/>
        <v>7.7949999999999999</v>
      </c>
      <c r="L5" t="s">
        <v>67</v>
      </c>
      <c r="M5" t="s">
        <v>35</v>
      </c>
      <c r="N5" t="s">
        <v>68</v>
      </c>
      <c r="O5" t="s">
        <v>39</v>
      </c>
      <c r="P5" t="s">
        <v>39</v>
      </c>
      <c r="Q5" t="s">
        <v>38</v>
      </c>
      <c r="R5" t="s">
        <v>38</v>
      </c>
      <c r="S5" t="s">
        <v>39</v>
      </c>
      <c r="T5" t="s">
        <v>39</v>
      </c>
      <c r="U5" t="s">
        <v>40</v>
      </c>
      <c r="V5" t="s">
        <v>41</v>
      </c>
      <c r="W5" t="s">
        <v>42</v>
      </c>
      <c r="X5">
        <v>3</v>
      </c>
      <c r="Y5" t="s">
        <v>43</v>
      </c>
      <c r="Z5">
        <v>1</v>
      </c>
      <c r="AA5" t="s">
        <v>51</v>
      </c>
      <c r="AB5">
        <v>3</v>
      </c>
      <c r="AC5" t="s">
        <v>62</v>
      </c>
      <c r="AD5" t="s">
        <v>69</v>
      </c>
    </row>
    <row r="6" spans="1:30">
      <c r="A6" t="s">
        <v>70</v>
      </c>
      <c r="B6" t="s">
        <v>71</v>
      </c>
      <c r="C6" t="s">
        <v>31</v>
      </c>
      <c r="D6" t="s">
        <v>72</v>
      </c>
      <c r="E6" t="s">
        <v>33</v>
      </c>
      <c r="F6" t="s">
        <v>34</v>
      </c>
      <c r="G6">
        <v>9.3000000000000007</v>
      </c>
      <c r="H6">
        <v>8.6</v>
      </c>
      <c r="I6">
        <v>8.3000000000000007</v>
      </c>
      <c r="J6">
        <v>8.1</v>
      </c>
      <c r="K6" s="11">
        <f t="shared" si="0"/>
        <v>8.5749999999999993</v>
      </c>
      <c r="L6" t="s">
        <v>67</v>
      </c>
      <c r="M6" t="s">
        <v>67</v>
      </c>
      <c r="N6" t="s">
        <v>68</v>
      </c>
      <c r="O6" t="s">
        <v>39</v>
      </c>
      <c r="P6" t="s">
        <v>73</v>
      </c>
      <c r="Q6" t="s">
        <v>37</v>
      </c>
      <c r="R6" t="s">
        <v>73</v>
      </c>
      <c r="S6" t="s">
        <v>39</v>
      </c>
      <c r="T6" t="s">
        <v>39</v>
      </c>
      <c r="U6" t="s">
        <v>52</v>
      </c>
      <c r="V6" t="s">
        <v>60</v>
      </c>
      <c r="W6" t="s">
        <v>42</v>
      </c>
      <c r="X6">
        <v>1</v>
      </c>
      <c r="Y6" t="s">
        <v>51</v>
      </c>
      <c r="Z6">
        <v>4</v>
      </c>
      <c r="AA6" t="s">
        <v>51</v>
      </c>
      <c r="AB6">
        <v>3</v>
      </c>
      <c r="AC6" t="s">
        <v>74</v>
      </c>
    </row>
    <row r="7" spans="1:30">
      <c r="A7" t="s">
        <v>75</v>
      </c>
      <c r="B7" t="s">
        <v>76</v>
      </c>
      <c r="C7" t="s">
        <v>31</v>
      </c>
      <c r="D7" t="s">
        <v>77</v>
      </c>
      <c r="E7" t="s">
        <v>78</v>
      </c>
      <c r="F7" t="s">
        <v>34</v>
      </c>
      <c r="G7">
        <v>7.96</v>
      </c>
      <c r="H7">
        <v>8.34</v>
      </c>
      <c r="I7">
        <v>8.24</v>
      </c>
      <c r="J7">
        <v>7.96</v>
      </c>
      <c r="K7" s="11">
        <f t="shared" si="0"/>
        <v>8.125</v>
      </c>
      <c r="L7" t="s">
        <v>67</v>
      </c>
      <c r="M7" t="s">
        <v>67</v>
      </c>
      <c r="N7" t="s">
        <v>51</v>
      </c>
      <c r="O7" t="s">
        <v>39</v>
      </c>
      <c r="P7" t="s">
        <v>39</v>
      </c>
      <c r="Q7" t="s">
        <v>37</v>
      </c>
      <c r="R7" t="s">
        <v>39</v>
      </c>
      <c r="S7" t="s">
        <v>39</v>
      </c>
      <c r="T7" t="s">
        <v>39</v>
      </c>
      <c r="U7" t="s">
        <v>40</v>
      </c>
      <c r="V7" t="s">
        <v>79</v>
      </c>
      <c r="W7" t="s">
        <v>54</v>
      </c>
      <c r="X7">
        <v>2</v>
      </c>
      <c r="Y7" t="s">
        <v>51</v>
      </c>
      <c r="Z7">
        <v>5</v>
      </c>
      <c r="AA7" t="s">
        <v>51</v>
      </c>
      <c r="AB7">
        <v>3</v>
      </c>
      <c r="AC7" t="s">
        <v>62</v>
      </c>
    </row>
    <row r="8" spans="1:30">
      <c r="A8" t="s">
        <v>80</v>
      </c>
      <c r="B8" t="s">
        <v>81</v>
      </c>
      <c r="C8" t="s">
        <v>31</v>
      </c>
      <c r="D8" t="s">
        <v>82</v>
      </c>
      <c r="E8" t="s">
        <v>83</v>
      </c>
      <c r="F8" t="s">
        <v>66</v>
      </c>
      <c r="G8">
        <v>8.77</v>
      </c>
      <c r="H8">
        <v>7.5</v>
      </c>
      <c r="I8">
        <v>8.01</v>
      </c>
      <c r="J8">
        <v>8.4</v>
      </c>
      <c r="K8" s="11">
        <f t="shared" si="0"/>
        <v>8.17</v>
      </c>
      <c r="L8" t="s">
        <v>67</v>
      </c>
      <c r="M8" t="s">
        <v>50</v>
      </c>
      <c r="N8" t="s">
        <v>68</v>
      </c>
      <c r="O8" t="s">
        <v>38</v>
      </c>
      <c r="P8" t="s">
        <v>39</v>
      </c>
      <c r="Q8" t="s">
        <v>73</v>
      </c>
      <c r="R8" t="s">
        <v>73</v>
      </c>
      <c r="S8" t="s">
        <v>37</v>
      </c>
      <c r="T8" t="s">
        <v>39</v>
      </c>
      <c r="U8" t="s">
        <v>59</v>
      </c>
      <c r="V8" t="s">
        <v>41</v>
      </c>
      <c r="W8" t="s">
        <v>54</v>
      </c>
      <c r="X8">
        <v>3</v>
      </c>
      <c r="Y8" t="s">
        <v>51</v>
      </c>
      <c r="Z8">
        <v>5</v>
      </c>
      <c r="AA8" t="s">
        <v>61</v>
      </c>
      <c r="AB8">
        <v>5</v>
      </c>
      <c r="AC8" t="s">
        <v>62</v>
      </c>
    </row>
    <row r="9" spans="1:30">
      <c r="A9" t="s">
        <v>84</v>
      </c>
      <c r="B9" t="s">
        <v>85</v>
      </c>
      <c r="C9" t="s">
        <v>86</v>
      </c>
      <c r="D9" t="s">
        <v>87</v>
      </c>
      <c r="E9" t="s">
        <v>83</v>
      </c>
      <c r="F9" t="s">
        <v>34</v>
      </c>
      <c r="G9">
        <v>9.6999999999999993</v>
      </c>
      <c r="H9">
        <v>9.4</v>
      </c>
      <c r="I9">
        <v>6.7</v>
      </c>
      <c r="J9">
        <v>6.4</v>
      </c>
      <c r="K9" s="11">
        <f t="shared" si="0"/>
        <v>8.0500000000000007</v>
      </c>
      <c r="L9" t="s">
        <v>35</v>
      </c>
      <c r="M9" t="s">
        <v>35</v>
      </c>
      <c r="N9" t="s">
        <v>51</v>
      </c>
      <c r="O9" t="s">
        <v>73</v>
      </c>
      <c r="P9" t="s">
        <v>39</v>
      </c>
      <c r="Q9" t="s">
        <v>73</v>
      </c>
      <c r="R9" t="s">
        <v>37</v>
      </c>
      <c r="S9" t="s">
        <v>37</v>
      </c>
      <c r="T9" t="s">
        <v>37</v>
      </c>
      <c r="U9" t="s">
        <v>59</v>
      </c>
      <c r="V9" t="s">
        <v>41</v>
      </c>
      <c r="W9" t="s">
        <v>54</v>
      </c>
      <c r="X9">
        <v>1</v>
      </c>
      <c r="Y9" t="s">
        <v>43</v>
      </c>
      <c r="Z9">
        <v>4</v>
      </c>
      <c r="AA9" t="s">
        <v>51</v>
      </c>
      <c r="AB9">
        <v>5</v>
      </c>
      <c r="AC9" t="s">
        <v>62</v>
      </c>
    </row>
    <row r="10" spans="1:30">
      <c r="A10" t="s">
        <v>88</v>
      </c>
      <c r="B10" t="s">
        <v>89</v>
      </c>
      <c r="C10" t="s">
        <v>31</v>
      </c>
      <c r="D10" t="s">
        <v>90</v>
      </c>
      <c r="E10" t="s">
        <v>33</v>
      </c>
      <c r="F10" t="s">
        <v>48</v>
      </c>
      <c r="G10">
        <v>9.3989999999999991</v>
      </c>
      <c r="H10">
        <v>7.6079999999999997</v>
      </c>
      <c r="I10">
        <v>8.3800000000000008</v>
      </c>
      <c r="J10">
        <v>7.7130000000000001</v>
      </c>
      <c r="K10" s="11">
        <f t="shared" si="0"/>
        <v>8.2750000000000004</v>
      </c>
      <c r="L10" t="s">
        <v>35</v>
      </c>
      <c r="M10" t="s">
        <v>35</v>
      </c>
      <c r="N10" t="s">
        <v>68</v>
      </c>
      <c r="O10" t="s">
        <v>73</v>
      </c>
      <c r="P10" t="s">
        <v>73</v>
      </c>
      <c r="Q10" t="s">
        <v>73</v>
      </c>
      <c r="R10" t="s">
        <v>37</v>
      </c>
      <c r="S10" t="s">
        <v>37</v>
      </c>
      <c r="T10" t="s">
        <v>39</v>
      </c>
      <c r="U10" t="s">
        <v>59</v>
      </c>
      <c r="V10" t="s">
        <v>41</v>
      </c>
      <c r="W10" t="s">
        <v>54</v>
      </c>
      <c r="X10">
        <v>3</v>
      </c>
      <c r="Y10" t="s">
        <v>43</v>
      </c>
      <c r="Z10">
        <v>3</v>
      </c>
      <c r="AA10" t="s">
        <v>43</v>
      </c>
      <c r="AB10">
        <v>3</v>
      </c>
      <c r="AC10" t="s">
        <v>91</v>
      </c>
      <c r="AD10" t="s">
        <v>92</v>
      </c>
    </row>
    <row r="11" spans="1:30">
      <c r="A11" t="s">
        <v>93</v>
      </c>
      <c r="B11" t="s">
        <v>94</v>
      </c>
      <c r="C11" t="s">
        <v>86</v>
      </c>
      <c r="D11" t="s">
        <v>95</v>
      </c>
      <c r="E11" t="s">
        <v>83</v>
      </c>
      <c r="F11" t="s">
        <v>66</v>
      </c>
      <c r="G11">
        <v>9.4600000000000009</v>
      </c>
      <c r="H11">
        <v>9.44</v>
      </c>
      <c r="I11">
        <v>8.59</v>
      </c>
      <c r="J11">
        <v>8.81</v>
      </c>
      <c r="K11" s="11">
        <f t="shared" si="0"/>
        <v>9.0749999999999993</v>
      </c>
      <c r="L11" t="s">
        <v>67</v>
      </c>
      <c r="M11" t="s">
        <v>67</v>
      </c>
      <c r="N11" t="s">
        <v>36</v>
      </c>
      <c r="O11" t="s">
        <v>37</v>
      </c>
      <c r="P11" t="s">
        <v>37</v>
      </c>
      <c r="Q11" t="s">
        <v>37</v>
      </c>
      <c r="R11" t="s">
        <v>37</v>
      </c>
      <c r="S11" t="s">
        <v>73</v>
      </c>
      <c r="T11" t="s">
        <v>39</v>
      </c>
      <c r="U11" t="s">
        <v>59</v>
      </c>
      <c r="V11" t="s">
        <v>41</v>
      </c>
      <c r="W11" t="s">
        <v>54</v>
      </c>
      <c r="X11">
        <v>3</v>
      </c>
      <c r="Y11" t="s">
        <v>51</v>
      </c>
      <c r="Z11">
        <v>3</v>
      </c>
      <c r="AA11" t="s">
        <v>51</v>
      </c>
      <c r="AB11">
        <v>3</v>
      </c>
      <c r="AC11" t="s">
        <v>62</v>
      </c>
    </row>
    <row r="12" spans="1:30">
      <c r="A12" t="s">
        <v>96</v>
      </c>
      <c r="B12" t="s">
        <v>416</v>
      </c>
      <c r="C12" t="s">
        <v>31</v>
      </c>
      <c r="D12" t="s">
        <v>417</v>
      </c>
      <c r="E12" t="s">
        <v>97</v>
      </c>
      <c r="F12" t="s">
        <v>34</v>
      </c>
      <c r="G12">
        <v>9.1</v>
      </c>
      <c r="H12">
        <v>9.0299999999999994</v>
      </c>
      <c r="I12">
        <v>9.1</v>
      </c>
      <c r="J12">
        <v>9.3000000000000007</v>
      </c>
      <c r="K12" s="11">
        <f t="shared" si="0"/>
        <v>9.1325000000000003</v>
      </c>
      <c r="L12" t="s">
        <v>35</v>
      </c>
      <c r="M12" t="s">
        <v>67</v>
      </c>
      <c r="N12" t="s">
        <v>98</v>
      </c>
      <c r="O12" t="s">
        <v>39</v>
      </c>
      <c r="P12" t="s">
        <v>37</v>
      </c>
      <c r="Q12" t="s">
        <v>73</v>
      </c>
      <c r="R12" t="s">
        <v>38</v>
      </c>
      <c r="S12" t="s">
        <v>38</v>
      </c>
      <c r="T12" t="s">
        <v>39</v>
      </c>
      <c r="U12" t="s">
        <v>59</v>
      </c>
      <c r="V12" t="s">
        <v>41</v>
      </c>
      <c r="W12" t="s">
        <v>54</v>
      </c>
      <c r="X12">
        <v>1</v>
      </c>
      <c r="Y12" t="s">
        <v>43</v>
      </c>
      <c r="Z12">
        <v>5</v>
      </c>
      <c r="AA12" t="s">
        <v>43</v>
      </c>
      <c r="AB12">
        <v>1</v>
      </c>
      <c r="AC12" t="s">
        <v>99</v>
      </c>
      <c r="AD12" t="s">
        <v>100</v>
      </c>
    </row>
    <row r="13" spans="1:30">
      <c r="A13" t="s">
        <v>101</v>
      </c>
      <c r="B13" t="s">
        <v>102</v>
      </c>
      <c r="C13" t="s">
        <v>86</v>
      </c>
      <c r="D13" t="s">
        <v>103</v>
      </c>
      <c r="E13" t="s">
        <v>33</v>
      </c>
      <c r="F13" t="s">
        <v>104</v>
      </c>
      <c r="G13">
        <v>8.6</v>
      </c>
      <c r="H13">
        <v>7.5</v>
      </c>
      <c r="I13">
        <v>7.5</v>
      </c>
      <c r="J13">
        <v>7.5</v>
      </c>
      <c r="K13" s="11">
        <f t="shared" si="0"/>
        <v>7.7750000000000004</v>
      </c>
      <c r="L13" t="s">
        <v>67</v>
      </c>
      <c r="M13" t="s">
        <v>67</v>
      </c>
      <c r="N13" t="s">
        <v>51</v>
      </c>
      <c r="O13" t="s">
        <v>37</v>
      </c>
      <c r="P13" t="s">
        <v>39</v>
      </c>
      <c r="Q13" t="s">
        <v>39</v>
      </c>
      <c r="R13" t="s">
        <v>39</v>
      </c>
      <c r="S13" t="s">
        <v>39</v>
      </c>
      <c r="T13" t="s">
        <v>39</v>
      </c>
      <c r="U13" t="s">
        <v>59</v>
      </c>
      <c r="V13" t="s">
        <v>41</v>
      </c>
      <c r="W13" t="s">
        <v>54</v>
      </c>
      <c r="X13">
        <v>4</v>
      </c>
      <c r="Y13" t="s">
        <v>51</v>
      </c>
      <c r="Z13">
        <v>3</v>
      </c>
      <c r="AA13" t="s">
        <v>51</v>
      </c>
      <c r="AB13">
        <v>4</v>
      </c>
      <c r="AC13" t="s">
        <v>74</v>
      </c>
    </row>
    <row r="14" spans="1:30">
      <c r="A14" t="s">
        <v>105</v>
      </c>
      <c r="B14" t="s">
        <v>106</v>
      </c>
      <c r="C14" t="s">
        <v>31</v>
      </c>
      <c r="D14" t="s">
        <v>107</v>
      </c>
      <c r="E14" t="s">
        <v>108</v>
      </c>
      <c r="F14" t="s">
        <v>34</v>
      </c>
      <c r="G14">
        <v>8.6999999999999993</v>
      </c>
      <c r="H14">
        <v>8.5</v>
      </c>
      <c r="I14">
        <v>8.1999999999999993</v>
      </c>
      <c r="J14">
        <v>8.4</v>
      </c>
      <c r="K14" s="11">
        <f t="shared" si="0"/>
        <v>8.4499999999999993</v>
      </c>
      <c r="L14" t="s">
        <v>67</v>
      </c>
      <c r="M14" t="s">
        <v>67</v>
      </c>
      <c r="N14" t="s">
        <v>51</v>
      </c>
      <c r="O14" t="s">
        <v>39</v>
      </c>
      <c r="P14" t="s">
        <v>39</v>
      </c>
      <c r="Q14" t="s">
        <v>39</v>
      </c>
      <c r="R14" t="s">
        <v>39</v>
      </c>
      <c r="S14" t="s">
        <v>39</v>
      </c>
      <c r="T14" t="s">
        <v>39</v>
      </c>
      <c r="U14" t="s">
        <v>59</v>
      </c>
      <c r="V14" t="s">
        <v>53</v>
      </c>
      <c r="W14" t="s">
        <v>42</v>
      </c>
      <c r="X14">
        <v>1</v>
      </c>
      <c r="Y14" t="s">
        <v>61</v>
      </c>
      <c r="Z14">
        <v>1</v>
      </c>
      <c r="AA14" t="s">
        <v>61</v>
      </c>
      <c r="AB14">
        <v>2</v>
      </c>
      <c r="AC14" t="s">
        <v>62</v>
      </c>
    </row>
    <row r="15" spans="1:30">
      <c r="A15" t="s">
        <v>109</v>
      </c>
      <c r="B15" t="s">
        <v>110</v>
      </c>
      <c r="C15" t="s">
        <v>31</v>
      </c>
      <c r="D15" t="s">
        <v>65</v>
      </c>
      <c r="E15" t="s">
        <v>65</v>
      </c>
      <c r="F15" t="s">
        <v>66</v>
      </c>
      <c r="G15">
        <v>7</v>
      </c>
      <c r="H15">
        <v>6.09</v>
      </c>
      <c r="I15">
        <v>4.29</v>
      </c>
      <c r="J15">
        <v>6.5</v>
      </c>
      <c r="K15" s="11">
        <f t="shared" si="0"/>
        <v>5.97</v>
      </c>
      <c r="L15" t="s">
        <v>111</v>
      </c>
      <c r="M15" t="s">
        <v>112</v>
      </c>
      <c r="N15" t="s">
        <v>36</v>
      </c>
      <c r="O15" t="s">
        <v>37</v>
      </c>
      <c r="P15" t="s">
        <v>37</v>
      </c>
      <c r="Q15" t="s">
        <v>73</v>
      </c>
      <c r="R15" t="s">
        <v>37</v>
      </c>
      <c r="S15" t="s">
        <v>73</v>
      </c>
      <c r="T15" t="s">
        <v>39</v>
      </c>
      <c r="U15" t="s">
        <v>40</v>
      </c>
      <c r="V15" t="s">
        <v>79</v>
      </c>
      <c r="W15" t="s">
        <v>54</v>
      </c>
      <c r="X15">
        <v>5</v>
      </c>
      <c r="Y15" t="s">
        <v>43</v>
      </c>
      <c r="Z15">
        <v>4</v>
      </c>
      <c r="AA15" t="s">
        <v>43</v>
      </c>
      <c r="AB15">
        <v>2</v>
      </c>
      <c r="AC15" t="s">
        <v>62</v>
      </c>
      <c r="AD15" t="s">
        <v>113</v>
      </c>
    </row>
    <row r="16" spans="1:30">
      <c r="A16" t="s">
        <v>114</v>
      </c>
      <c r="B16" t="s">
        <v>115</v>
      </c>
      <c r="C16" t="s">
        <v>86</v>
      </c>
      <c r="D16" t="s">
        <v>116</v>
      </c>
      <c r="E16" t="s">
        <v>33</v>
      </c>
      <c r="F16" t="s">
        <v>117</v>
      </c>
      <c r="G16">
        <v>7.9130000000000003</v>
      </c>
      <c r="H16">
        <v>6.9809999999999999</v>
      </c>
      <c r="I16">
        <v>6.6719999999999997</v>
      </c>
      <c r="J16">
        <v>6.65</v>
      </c>
      <c r="K16" s="11">
        <f t="shared" si="0"/>
        <v>7.0540000000000003</v>
      </c>
      <c r="L16" t="s">
        <v>35</v>
      </c>
      <c r="M16" t="s">
        <v>112</v>
      </c>
      <c r="N16" t="s">
        <v>36</v>
      </c>
      <c r="O16" t="s">
        <v>37</v>
      </c>
      <c r="P16" t="s">
        <v>39</v>
      </c>
      <c r="Q16" t="s">
        <v>38</v>
      </c>
      <c r="R16" t="s">
        <v>37</v>
      </c>
      <c r="S16" t="s">
        <v>37</v>
      </c>
      <c r="T16" t="s">
        <v>39</v>
      </c>
      <c r="U16" t="s">
        <v>59</v>
      </c>
      <c r="V16" t="s">
        <v>60</v>
      </c>
      <c r="W16" t="s">
        <v>54</v>
      </c>
      <c r="X16">
        <v>3</v>
      </c>
      <c r="Y16" t="s">
        <v>51</v>
      </c>
      <c r="Z16">
        <v>4</v>
      </c>
      <c r="AA16" t="s">
        <v>51</v>
      </c>
      <c r="AB16">
        <v>3</v>
      </c>
      <c r="AC16" t="s">
        <v>44</v>
      </c>
    </row>
    <row r="17" spans="1:30" ht="13.5" customHeight="1">
      <c r="A17" t="s">
        <v>118</v>
      </c>
      <c r="B17" t="s">
        <v>119</v>
      </c>
      <c r="C17" t="s">
        <v>31</v>
      </c>
      <c r="D17" t="s">
        <v>32</v>
      </c>
      <c r="E17" t="s">
        <v>33</v>
      </c>
      <c r="F17" t="s">
        <v>34</v>
      </c>
      <c r="G17">
        <v>9.3000000000000007</v>
      </c>
      <c r="H17">
        <v>5.6</v>
      </c>
      <c r="I17">
        <v>6.2</v>
      </c>
      <c r="J17">
        <v>6</v>
      </c>
      <c r="K17" s="11">
        <f t="shared" si="0"/>
        <v>6.7750000000000004</v>
      </c>
      <c r="L17" t="s">
        <v>35</v>
      </c>
      <c r="M17" t="s">
        <v>35</v>
      </c>
      <c r="N17" t="s">
        <v>36</v>
      </c>
      <c r="O17" t="s">
        <v>37</v>
      </c>
      <c r="P17" t="s">
        <v>39</v>
      </c>
      <c r="Q17" t="s">
        <v>39</v>
      </c>
      <c r="R17" t="s">
        <v>37</v>
      </c>
      <c r="S17" t="s">
        <v>39</v>
      </c>
      <c r="T17" t="s">
        <v>39</v>
      </c>
      <c r="U17" t="s">
        <v>40</v>
      </c>
      <c r="V17" t="s">
        <v>41</v>
      </c>
      <c r="W17" t="s">
        <v>54</v>
      </c>
      <c r="X17">
        <v>2</v>
      </c>
      <c r="Y17" t="s">
        <v>51</v>
      </c>
      <c r="Z17">
        <v>4</v>
      </c>
      <c r="AA17" t="s">
        <v>51</v>
      </c>
      <c r="AB17">
        <v>4</v>
      </c>
      <c r="AC17" t="s">
        <v>62</v>
      </c>
      <c r="AD17" s="1" t="s">
        <v>120</v>
      </c>
    </row>
    <row r="18" spans="1:30">
      <c r="A18" t="s">
        <v>121</v>
      </c>
      <c r="B18" t="s">
        <v>122</v>
      </c>
      <c r="C18" t="s">
        <v>86</v>
      </c>
      <c r="D18" t="s">
        <v>123</v>
      </c>
      <c r="E18" t="s">
        <v>33</v>
      </c>
      <c r="F18" t="s">
        <v>66</v>
      </c>
      <c r="G18">
        <v>9.6</v>
      </c>
      <c r="H18">
        <v>7.4</v>
      </c>
      <c r="I18">
        <v>7.2</v>
      </c>
      <c r="J18">
        <v>7.8</v>
      </c>
      <c r="K18" s="11">
        <f t="shared" si="0"/>
        <v>8</v>
      </c>
      <c r="L18" t="s">
        <v>35</v>
      </c>
      <c r="M18" t="s">
        <v>35</v>
      </c>
      <c r="N18" t="s">
        <v>68</v>
      </c>
      <c r="O18" t="s">
        <v>39</v>
      </c>
      <c r="P18" t="s">
        <v>39</v>
      </c>
      <c r="Q18" t="s">
        <v>73</v>
      </c>
      <c r="R18" t="s">
        <v>39</v>
      </c>
      <c r="S18" t="s">
        <v>38</v>
      </c>
      <c r="T18" t="s">
        <v>38</v>
      </c>
      <c r="U18" t="s">
        <v>59</v>
      </c>
      <c r="V18" t="s">
        <v>79</v>
      </c>
      <c r="W18" t="s">
        <v>54</v>
      </c>
      <c r="X18">
        <v>3</v>
      </c>
      <c r="Y18" t="s">
        <v>51</v>
      </c>
      <c r="Z18">
        <v>4</v>
      </c>
      <c r="AA18" t="s">
        <v>51</v>
      </c>
      <c r="AB18">
        <v>3</v>
      </c>
      <c r="AC18" t="s">
        <v>62</v>
      </c>
    </row>
    <row r="19" spans="1:30">
      <c r="A19" t="s">
        <v>124</v>
      </c>
      <c r="B19" t="s">
        <v>125</v>
      </c>
      <c r="C19" t="s">
        <v>31</v>
      </c>
      <c r="D19" t="s">
        <v>32</v>
      </c>
      <c r="E19" t="s">
        <v>33</v>
      </c>
      <c r="F19" t="s">
        <v>66</v>
      </c>
      <c r="G19">
        <v>8.9920000000000009</v>
      </c>
      <c r="H19">
        <v>7.1239999999999997</v>
      </c>
      <c r="I19">
        <v>6.1820000000000004</v>
      </c>
      <c r="J19">
        <v>7.1749999999999998</v>
      </c>
      <c r="K19" s="11">
        <f t="shared" si="0"/>
        <v>7.3682500000000006</v>
      </c>
      <c r="L19" t="s">
        <v>111</v>
      </c>
      <c r="M19" t="s">
        <v>111</v>
      </c>
      <c r="N19" t="s">
        <v>126</v>
      </c>
      <c r="O19" t="s">
        <v>37</v>
      </c>
      <c r="P19" t="s">
        <v>39</v>
      </c>
      <c r="Q19" t="s">
        <v>127</v>
      </c>
      <c r="R19" t="s">
        <v>38</v>
      </c>
      <c r="S19" t="s">
        <v>38</v>
      </c>
      <c r="T19" t="s">
        <v>37</v>
      </c>
      <c r="U19" t="s">
        <v>40</v>
      </c>
      <c r="V19" t="s">
        <v>41</v>
      </c>
      <c r="W19" t="s">
        <v>54</v>
      </c>
      <c r="X19">
        <v>2</v>
      </c>
      <c r="Y19" t="s">
        <v>43</v>
      </c>
      <c r="Z19">
        <v>3</v>
      </c>
      <c r="AA19" t="s">
        <v>43</v>
      </c>
      <c r="AB19">
        <v>3</v>
      </c>
      <c r="AC19" t="s">
        <v>62</v>
      </c>
    </row>
    <row r="20" spans="1:30">
      <c r="A20" t="s">
        <v>128</v>
      </c>
      <c r="B20" t="s">
        <v>129</v>
      </c>
      <c r="C20" t="s">
        <v>31</v>
      </c>
      <c r="D20" t="s">
        <v>130</v>
      </c>
      <c r="E20" t="s">
        <v>33</v>
      </c>
      <c r="F20" t="s">
        <v>117</v>
      </c>
      <c r="G20">
        <v>9.1999999999999993</v>
      </c>
      <c r="H20">
        <v>7.1</v>
      </c>
      <c r="I20">
        <v>7.3</v>
      </c>
      <c r="J20">
        <v>7.5</v>
      </c>
      <c r="K20" s="11">
        <f t="shared" si="0"/>
        <v>7.7749999999999995</v>
      </c>
      <c r="L20" t="s">
        <v>35</v>
      </c>
      <c r="M20" t="s">
        <v>35</v>
      </c>
      <c r="N20" t="s">
        <v>68</v>
      </c>
      <c r="O20" t="s">
        <v>39</v>
      </c>
      <c r="P20" t="s">
        <v>39</v>
      </c>
      <c r="Q20" t="s">
        <v>39</v>
      </c>
      <c r="R20" t="s">
        <v>39</v>
      </c>
      <c r="S20" t="s">
        <v>37</v>
      </c>
      <c r="T20" t="s">
        <v>39</v>
      </c>
      <c r="U20" t="s">
        <v>52</v>
      </c>
      <c r="V20" t="s">
        <v>79</v>
      </c>
      <c r="W20" t="s">
        <v>54</v>
      </c>
      <c r="X20">
        <v>3</v>
      </c>
      <c r="Y20" t="s">
        <v>51</v>
      </c>
      <c r="Z20">
        <v>5</v>
      </c>
      <c r="AA20" t="s">
        <v>43</v>
      </c>
      <c r="AB20">
        <v>3</v>
      </c>
      <c r="AC20" t="s">
        <v>62</v>
      </c>
    </row>
    <row r="21" spans="1:30">
      <c r="A21" t="s">
        <v>131</v>
      </c>
      <c r="B21" t="s">
        <v>132</v>
      </c>
      <c r="C21" t="s">
        <v>31</v>
      </c>
      <c r="D21" t="s">
        <v>32</v>
      </c>
      <c r="E21" t="s">
        <v>33</v>
      </c>
      <c r="F21" t="s">
        <v>34</v>
      </c>
      <c r="G21">
        <v>8.125</v>
      </c>
      <c r="H21">
        <v>6.7190000000000003</v>
      </c>
      <c r="I21">
        <v>6.952</v>
      </c>
      <c r="J21">
        <v>7.19</v>
      </c>
      <c r="K21" s="11">
        <f t="shared" si="0"/>
        <v>7.2465000000000002</v>
      </c>
      <c r="L21" t="s">
        <v>112</v>
      </c>
      <c r="M21" t="s">
        <v>112</v>
      </c>
      <c r="N21" t="s">
        <v>126</v>
      </c>
      <c r="O21" t="s">
        <v>39</v>
      </c>
      <c r="P21" t="s">
        <v>39</v>
      </c>
      <c r="Q21" t="s">
        <v>37</v>
      </c>
      <c r="R21" t="s">
        <v>133</v>
      </c>
      <c r="S21" t="s">
        <v>37</v>
      </c>
      <c r="T21" t="s">
        <v>37</v>
      </c>
      <c r="U21" t="s">
        <v>59</v>
      </c>
      <c r="V21" t="s">
        <v>60</v>
      </c>
      <c r="W21" t="s">
        <v>42</v>
      </c>
      <c r="X21">
        <v>3</v>
      </c>
      <c r="Y21" t="s">
        <v>43</v>
      </c>
      <c r="Z21">
        <v>3</v>
      </c>
      <c r="AA21" t="s">
        <v>51</v>
      </c>
      <c r="AB21">
        <v>3</v>
      </c>
      <c r="AC21" t="s">
        <v>62</v>
      </c>
    </row>
    <row r="22" spans="1:30">
      <c r="A22" t="s">
        <v>134</v>
      </c>
      <c r="B22" t="s">
        <v>135</v>
      </c>
      <c r="C22" t="s">
        <v>31</v>
      </c>
      <c r="D22" t="s">
        <v>32</v>
      </c>
      <c r="E22" t="s">
        <v>33</v>
      </c>
      <c r="F22" t="s">
        <v>117</v>
      </c>
      <c r="G22">
        <v>9.6</v>
      </c>
      <c r="H22">
        <v>7.6</v>
      </c>
      <c r="I22">
        <v>7.2</v>
      </c>
      <c r="J22">
        <v>8</v>
      </c>
      <c r="K22" s="11">
        <f t="shared" si="0"/>
        <v>8.1</v>
      </c>
      <c r="L22" t="s">
        <v>67</v>
      </c>
      <c r="M22" t="s">
        <v>35</v>
      </c>
      <c r="N22" t="s">
        <v>51</v>
      </c>
      <c r="O22" t="s">
        <v>37</v>
      </c>
      <c r="P22" t="s">
        <v>39</v>
      </c>
      <c r="Q22" t="s">
        <v>39</v>
      </c>
      <c r="R22" t="s">
        <v>39</v>
      </c>
      <c r="S22" t="s">
        <v>39</v>
      </c>
      <c r="T22" t="s">
        <v>39</v>
      </c>
      <c r="U22" t="s">
        <v>59</v>
      </c>
      <c r="V22" t="s">
        <v>79</v>
      </c>
      <c r="W22" t="s">
        <v>54</v>
      </c>
      <c r="X22">
        <v>1</v>
      </c>
      <c r="Y22" t="s">
        <v>43</v>
      </c>
      <c r="Z22">
        <v>3</v>
      </c>
      <c r="AA22" t="s">
        <v>51</v>
      </c>
      <c r="AB22">
        <v>3</v>
      </c>
      <c r="AC22" t="s">
        <v>62</v>
      </c>
    </row>
    <row r="23" spans="1:30">
      <c r="A23" t="s">
        <v>136</v>
      </c>
      <c r="B23" t="s">
        <v>137</v>
      </c>
      <c r="C23" t="s">
        <v>86</v>
      </c>
      <c r="D23" t="s">
        <v>32</v>
      </c>
      <c r="E23" t="s">
        <v>33</v>
      </c>
      <c r="F23" t="s">
        <v>34</v>
      </c>
      <c r="G23">
        <v>9.2750000000000004</v>
      </c>
      <c r="H23">
        <v>6.69</v>
      </c>
      <c r="I23">
        <v>6.9089999999999998</v>
      </c>
      <c r="J23">
        <v>7.2489999999999997</v>
      </c>
      <c r="K23" s="11">
        <f t="shared" si="0"/>
        <v>7.5307499999999994</v>
      </c>
      <c r="L23" t="s">
        <v>35</v>
      </c>
      <c r="M23" t="s">
        <v>112</v>
      </c>
      <c r="N23" t="s">
        <v>36</v>
      </c>
      <c r="O23" t="s">
        <v>37</v>
      </c>
      <c r="P23" t="s">
        <v>39</v>
      </c>
      <c r="Q23" t="s">
        <v>37</v>
      </c>
      <c r="R23" t="s">
        <v>37</v>
      </c>
      <c r="S23" t="s">
        <v>39</v>
      </c>
      <c r="T23" t="s">
        <v>39</v>
      </c>
      <c r="U23" t="s">
        <v>52</v>
      </c>
      <c r="V23" t="s">
        <v>41</v>
      </c>
      <c r="W23" t="s">
        <v>54</v>
      </c>
      <c r="X23">
        <v>1</v>
      </c>
      <c r="Y23" t="s">
        <v>43</v>
      </c>
      <c r="Z23">
        <v>3</v>
      </c>
      <c r="AA23" t="s">
        <v>51</v>
      </c>
      <c r="AB23">
        <v>5</v>
      </c>
      <c r="AC23" t="s">
        <v>62</v>
      </c>
    </row>
    <row r="24" spans="1:30">
      <c r="A24" t="s">
        <v>138</v>
      </c>
      <c r="B24" t="s">
        <v>139</v>
      </c>
      <c r="C24" t="s">
        <v>31</v>
      </c>
      <c r="D24" t="s">
        <v>140</v>
      </c>
      <c r="E24" t="s">
        <v>33</v>
      </c>
      <c r="F24" t="s">
        <v>34</v>
      </c>
      <c r="G24">
        <v>8.66</v>
      </c>
      <c r="H24">
        <v>8.61</v>
      </c>
      <c r="I24">
        <v>6.94</v>
      </c>
      <c r="J24">
        <v>7.44</v>
      </c>
      <c r="K24" s="11">
        <f t="shared" si="0"/>
        <v>7.9125000000000005</v>
      </c>
      <c r="L24" t="s">
        <v>35</v>
      </c>
      <c r="M24" t="s">
        <v>67</v>
      </c>
      <c r="N24" t="s">
        <v>36</v>
      </c>
      <c r="O24" t="s">
        <v>37</v>
      </c>
      <c r="P24" t="s">
        <v>37</v>
      </c>
      <c r="Q24" t="s">
        <v>37</v>
      </c>
      <c r="R24" t="s">
        <v>39</v>
      </c>
      <c r="S24" t="s">
        <v>73</v>
      </c>
      <c r="T24" t="s">
        <v>39</v>
      </c>
      <c r="U24" t="s">
        <v>59</v>
      </c>
      <c r="V24" t="s">
        <v>79</v>
      </c>
      <c r="W24" t="s">
        <v>54</v>
      </c>
      <c r="X24">
        <v>2</v>
      </c>
      <c r="Y24" t="s">
        <v>43</v>
      </c>
      <c r="Z24">
        <v>3</v>
      </c>
      <c r="AA24" t="s">
        <v>61</v>
      </c>
      <c r="AB24">
        <v>4</v>
      </c>
      <c r="AC24" t="s">
        <v>62</v>
      </c>
    </row>
    <row r="25" spans="1:30">
      <c r="A25" t="s">
        <v>141</v>
      </c>
      <c r="B25" t="s">
        <v>142</v>
      </c>
      <c r="C25" t="s">
        <v>31</v>
      </c>
      <c r="D25" t="s">
        <v>32</v>
      </c>
      <c r="E25" t="s">
        <v>33</v>
      </c>
      <c r="F25" t="s">
        <v>117</v>
      </c>
      <c r="G25">
        <v>9.4359999999999999</v>
      </c>
      <c r="H25">
        <v>7.5759999999999996</v>
      </c>
      <c r="I25">
        <v>8.782</v>
      </c>
      <c r="J25">
        <v>8.5340000000000007</v>
      </c>
      <c r="K25" s="11">
        <f t="shared" si="0"/>
        <v>8.5820000000000007</v>
      </c>
      <c r="L25" t="s">
        <v>67</v>
      </c>
      <c r="M25" t="s">
        <v>67</v>
      </c>
      <c r="N25" t="s">
        <v>36</v>
      </c>
      <c r="O25" t="s">
        <v>37</v>
      </c>
      <c r="P25" t="s">
        <v>39</v>
      </c>
      <c r="Q25" t="s">
        <v>37</v>
      </c>
      <c r="R25" t="s">
        <v>37</v>
      </c>
      <c r="S25" t="s">
        <v>37</v>
      </c>
      <c r="T25" t="s">
        <v>39</v>
      </c>
      <c r="U25" t="s">
        <v>40</v>
      </c>
      <c r="V25" t="s">
        <v>41</v>
      </c>
      <c r="W25" t="s">
        <v>54</v>
      </c>
      <c r="X25">
        <v>4</v>
      </c>
      <c r="Y25" t="s">
        <v>61</v>
      </c>
      <c r="Z25">
        <v>5</v>
      </c>
      <c r="AA25" t="s">
        <v>51</v>
      </c>
      <c r="AB25">
        <v>4</v>
      </c>
      <c r="AC25" t="s">
        <v>44</v>
      </c>
      <c r="AD25" t="s">
        <v>143</v>
      </c>
    </row>
    <row r="26" spans="1:30">
      <c r="A26" t="s">
        <v>144</v>
      </c>
      <c r="B26" t="s">
        <v>145</v>
      </c>
      <c r="C26" t="s">
        <v>31</v>
      </c>
      <c r="D26" t="s">
        <v>146</v>
      </c>
      <c r="E26" t="s">
        <v>83</v>
      </c>
      <c r="F26" t="s">
        <v>34</v>
      </c>
      <c r="G26">
        <v>9.6999999999999993</v>
      </c>
      <c r="H26">
        <v>9.6</v>
      </c>
      <c r="I26">
        <v>9.2100000000000009</v>
      </c>
      <c r="J26">
        <v>8.69</v>
      </c>
      <c r="K26" s="11">
        <f t="shared" si="0"/>
        <v>9.2999999999999989</v>
      </c>
      <c r="L26" t="s">
        <v>49</v>
      </c>
      <c r="M26" t="s">
        <v>50</v>
      </c>
      <c r="N26" t="s">
        <v>61</v>
      </c>
      <c r="O26" t="s">
        <v>39</v>
      </c>
      <c r="P26" t="s">
        <v>39</v>
      </c>
      <c r="Q26" t="s">
        <v>39</v>
      </c>
      <c r="R26" t="s">
        <v>39</v>
      </c>
      <c r="S26" t="s">
        <v>73</v>
      </c>
      <c r="T26" t="s">
        <v>37</v>
      </c>
      <c r="U26" t="s">
        <v>52</v>
      </c>
      <c r="V26" t="s">
        <v>79</v>
      </c>
      <c r="W26" t="s">
        <v>42</v>
      </c>
      <c r="X26">
        <v>3</v>
      </c>
      <c r="Y26" t="s">
        <v>51</v>
      </c>
      <c r="Z26">
        <v>2</v>
      </c>
      <c r="AA26" t="s">
        <v>51</v>
      </c>
      <c r="AB26">
        <v>4</v>
      </c>
      <c r="AC26" t="s">
        <v>62</v>
      </c>
    </row>
    <row r="27" spans="1:30">
      <c r="A27" t="s">
        <v>147</v>
      </c>
      <c r="B27" t="s">
        <v>148</v>
      </c>
      <c r="C27" t="s">
        <v>31</v>
      </c>
      <c r="D27" t="s">
        <v>149</v>
      </c>
      <c r="E27" t="s">
        <v>33</v>
      </c>
      <c r="F27" t="s">
        <v>117</v>
      </c>
      <c r="G27">
        <v>8.7650000000000006</v>
      </c>
      <c r="H27">
        <v>6.8310000000000004</v>
      </c>
      <c r="I27">
        <v>7.7750000000000004</v>
      </c>
      <c r="J27">
        <v>7.7839999999999998</v>
      </c>
      <c r="K27" s="11">
        <f t="shared" si="0"/>
        <v>7.7887500000000003</v>
      </c>
      <c r="L27" t="s">
        <v>35</v>
      </c>
      <c r="M27" t="s">
        <v>67</v>
      </c>
      <c r="N27" t="s">
        <v>51</v>
      </c>
      <c r="O27" t="s">
        <v>37</v>
      </c>
      <c r="P27" t="s">
        <v>39</v>
      </c>
      <c r="Q27" t="s">
        <v>37</v>
      </c>
      <c r="R27" t="s">
        <v>37</v>
      </c>
      <c r="S27" t="s">
        <v>39</v>
      </c>
      <c r="T27" t="s">
        <v>39</v>
      </c>
      <c r="U27" t="s">
        <v>59</v>
      </c>
      <c r="V27" t="s">
        <v>79</v>
      </c>
      <c r="W27" t="s">
        <v>54</v>
      </c>
      <c r="X27">
        <v>2</v>
      </c>
      <c r="Y27" t="s">
        <v>43</v>
      </c>
      <c r="Z27">
        <v>4</v>
      </c>
      <c r="AA27" t="s">
        <v>43</v>
      </c>
      <c r="AB27">
        <v>2</v>
      </c>
      <c r="AC27" t="s">
        <v>44</v>
      </c>
    </row>
    <row r="28" spans="1:30">
      <c r="A28" t="s">
        <v>150</v>
      </c>
      <c r="B28" t="s">
        <v>151</v>
      </c>
      <c r="C28" t="s">
        <v>86</v>
      </c>
      <c r="D28" t="s">
        <v>152</v>
      </c>
      <c r="E28" t="s">
        <v>33</v>
      </c>
      <c r="F28" t="s">
        <v>34</v>
      </c>
      <c r="G28">
        <v>9.23</v>
      </c>
      <c r="H28">
        <v>6.9</v>
      </c>
      <c r="I28">
        <v>8.3000000000000007</v>
      </c>
      <c r="J28">
        <v>7.9</v>
      </c>
      <c r="K28" s="11">
        <f t="shared" si="0"/>
        <v>8.0825000000000014</v>
      </c>
      <c r="L28" t="s">
        <v>67</v>
      </c>
      <c r="M28" t="s">
        <v>67</v>
      </c>
      <c r="N28" t="s">
        <v>98</v>
      </c>
      <c r="O28" t="s">
        <v>38</v>
      </c>
      <c r="P28" t="s">
        <v>39</v>
      </c>
      <c r="Q28" t="s">
        <v>38</v>
      </c>
      <c r="R28" t="s">
        <v>39</v>
      </c>
      <c r="S28" t="s">
        <v>73</v>
      </c>
      <c r="T28" t="s">
        <v>37</v>
      </c>
      <c r="U28" t="s">
        <v>59</v>
      </c>
      <c r="V28" t="s">
        <v>79</v>
      </c>
      <c r="W28" t="s">
        <v>54</v>
      </c>
      <c r="X28">
        <v>3</v>
      </c>
      <c r="Y28" t="s">
        <v>51</v>
      </c>
      <c r="Z28">
        <v>4</v>
      </c>
      <c r="AA28" t="s">
        <v>51</v>
      </c>
      <c r="AB28">
        <v>4</v>
      </c>
      <c r="AC28" t="s">
        <v>62</v>
      </c>
    </row>
    <row r="29" spans="1:30">
      <c r="A29" t="s">
        <v>153</v>
      </c>
      <c r="B29" t="s">
        <v>154</v>
      </c>
      <c r="C29" t="s">
        <v>31</v>
      </c>
      <c r="D29" t="s">
        <v>82</v>
      </c>
      <c r="E29" t="s">
        <v>83</v>
      </c>
      <c r="F29" t="s">
        <v>34</v>
      </c>
      <c r="G29">
        <v>8.6999999999999993</v>
      </c>
      <c r="H29">
        <v>6.5</v>
      </c>
      <c r="I29">
        <v>6.9</v>
      </c>
      <c r="J29">
        <v>6.7</v>
      </c>
      <c r="K29" s="11">
        <f t="shared" si="0"/>
        <v>7.2</v>
      </c>
      <c r="L29" t="s">
        <v>112</v>
      </c>
      <c r="M29" t="s">
        <v>35</v>
      </c>
      <c r="N29" t="s">
        <v>61</v>
      </c>
      <c r="O29" t="s">
        <v>39</v>
      </c>
      <c r="P29" t="s">
        <v>39</v>
      </c>
      <c r="Q29" t="s">
        <v>37</v>
      </c>
      <c r="R29" t="s">
        <v>39</v>
      </c>
      <c r="S29" t="s">
        <v>39</v>
      </c>
      <c r="T29" t="s">
        <v>73</v>
      </c>
      <c r="U29" t="s">
        <v>59</v>
      </c>
      <c r="V29" t="s">
        <v>41</v>
      </c>
      <c r="W29" t="s">
        <v>42</v>
      </c>
      <c r="X29">
        <v>3</v>
      </c>
      <c r="Y29" t="s">
        <v>51</v>
      </c>
      <c r="Z29">
        <v>1</v>
      </c>
      <c r="AA29" t="s">
        <v>36</v>
      </c>
      <c r="AB29">
        <v>2</v>
      </c>
      <c r="AC29" t="s">
        <v>62</v>
      </c>
      <c r="AD29" t="s">
        <v>155</v>
      </c>
    </row>
    <row r="30" spans="1:30">
      <c r="A30" t="s">
        <v>156</v>
      </c>
      <c r="B30" t="s">
        <v>157</v>
      </c>
      <c r="C30" t="s">
        <v>31</v>
      </c>
      <c r="D30" t="s">
        <v>32</v>
      </c>
      <c r="E30" t="s">
        <v>33</v>
      </c>
      <c r="F30" t="s">
        <v>117</v>
      </c>
      <c r="G30">
        <v>8.9</v>
      </c>
      <c r="H30">
        <v>5.4</v>
      </c>
      <c r="I30">
        <v>6.4</v>
      </c>
      <c r="J30">
        <v>6.7</v>
      </c>
      <c r="K30" s="11">
        <f t="shared" si="0"/>
        <v>6.8500000000000005</v>
      </c>
      <c r="L30" t="s">
        <v>35</v>
      </c>
      <c r="M30" t="s">
        <v>112</v>
      </c>
      <c r="N30" t="s">
        <v>61</v>
      </c>
      <c r="O30" t="s">
        <v>37</v>
      </c>
      <c r="P30" t="s">
        <v>39</v>
      </c>
      <c r="Q30" t="s">
        <v>39</v>
      </c>
      <c r="R30" t="s">
        <v>39</v>
      </c>
      <c r="S30" t="s">
        <v>37</v>
      </c>
      <c r="T30" t="s">
        <v>39</v>
      </c>
      <c r="U30" t="s">
        <v>40</v>
      </c>
      <c r="V30" t="s">
        <v>79</v>
      </c>
      <c r="W30" t="s">
        <v>54</v>
      </c>
      <c r="X30">
        <v>4</v>
      </c>
      <c r="Y30" t="s">
        <v>51</v>
      </c>
      <c r="Z30">
        <v>4</v>
      </c>
      <c r="AA30" t="s">
        <v>51</v>
      </c>
      <c r="AB30">
        <v>3</v>
      </c>
      <c r="AC30" t="s">
        <v>99</v>
      </c>
    </row>
    <row r="31" spans="1:30">
      <c r="A31" t="s">
        <v>158</v>
      </c>
      <c r="B31" t="s">
        <v>159</v>
      </c>
      <c r="C31" t="s">
        <v>86</v>
      </c>
      <c r="D31" t="s">
        <v>160</v>
      </c>
      <c r="E31" t="s">
        <v>33</v>
      </c>
      <c r="F31" t="s">
        <v>34</v>
      </c>
      <c r="G31">
        <v>9.3089999999999993</v>
      </c>
      <c r="H31">
        <v>6.4779999999999998</v>
      </c>
      <c r="I31">
        <v>6.1020000000000003</v>
      </c>
      <c r="J31">
        <v>6.9960000000000004</v>
      </c>
      <c r="K31" s="11">
        <f t="shared" si="0"/>
        <v>7.2212499999999995</v>
      </c>
      <c r="L31" t="s">
        <v>35</v>
      </c>
      <c r="M31" t="s">
        <v>112</v>
      </c>
      <c r="N31" t="s">
        <v>61</v>
      </c>
      <c r="O31" t="s">
        <v>37</v>
      </c>
      <c r="P31" t="s">
        <v>39</v>
      </c>
      <c r="Q31" t="s">
        <v>37</v>
      </c>
      <c r="R31" t="s">
        <v>73</v>
      </c>
      <c r="S31" t="s">
        <v>39</v>
      </c>
      <c r="T31" t="s">
        <v>37</v>
      </c>
      <c r="U31" t="s">
        <v>59</v>
      </c>
      <c r="V31" t="s">
        <v>60</v>
      </c>
      <c r="W31" t="s">
        <v>54</v>
      </c>
      <c r="X31">
        <v>3</v>
      </c>
      <c r="Y31" t="s">
        <v>43</v>
      </c>
      <c r="Z31">
        <v>3</v>
      </c>
      <c r="AA31" t="s">
        <v>51</v>
      </c>
      <c r="AB31">
        <v>3</v>
      </c>
      <c r="AC31" t="s">
        <v>99</v>
      </c>
      <c r="AD31" t="s">
        <v>161</v>
      </c>
    </row>
    <row r="32" spans="1:30">
      <c r="A32" t="s">
        <v>162</v>
      </c>
      <c r="B32" t="s">
        <v>163</v>
      </c>
      <c r="C32" t="s">
        <v>31</v>
      </c>
      <c r="D32" t="s">
        <v>164</v>
      </c>
      <c r="E32" t="s">
        <v>33</v>
      </c>
      <c r="F32" t="s">
        <v>66</v>
      </c>
      <c r="G32">
        <v>9.39</v>
      </c>
      <c r="H32">
        <v>9.1300000000000008</v>
      </c>
      <c r="I32">
        <v>9.34</v>
      </c>
      <c r="J32">
        <v>8.64</v>
      </c>
      <c r="K32" s="11">
        <f t="shared" si="0"/>
        <v>9.125</v>
      </c>
      <c r="L32" t="s">
        <v>49</v>
      </c>
      <c r="M32" t="s">
        <v>50</v>
      </c>
      <c r="N32" t="s">
        <v>98</v>
      </c>
      <c r="O32" t="s">
        <v>39</v>
      </c>
      <c r="P32" t="s">
        <v>39</v>
      </c>
      <c r="Q32" t="s">
        <v>37</v>
      </c>
      <c r="R32" t="s">
        <v>37</v>
      </c>
      <c r="S32" t="s">
        <v>37</v>
      </c>
      <c r="T32" t="s">
        <v>37</v>
      </c>
      <c r="U32" t="s">
        <v>59</v>
      </c>
      <c r="V32" t="s">
        <v>41</v>
      </c>
      <c r="W32" t="s">
        <v>54</v>
      </c>
      <c r="X32">
        <v>2</v>
      </c>
      <c r="Y32" t="s">
        <v>43</v>
      </c>
      <c r="Z32">
        <v>4</v>
      </c>
      <c r="AA32" t="s">
        <v>36</v>
      </c>
      <c r="AB32">
        <v>4</v>
      </c>
      <c r="AC32" t="s">
        <v>62</v>
      </c>
    </row>
    <row r="33" spans="1:30">
      <c r="A33" t="s">
        <v>165</v>
      </c>
      <c r="B33" t="s">
        <v>166</v>
      </c>
      <c r="C33" t="s">
        <v>86</v>
      </c>
      <c r="D33" t="s">
        <v>167</v>
      </c>
      <c r="E33" t="s">
        <v>33</v>
      </c>
      <c r="F33" t="s">
        <v>117</v>
      </c>
      <c r="G33">
        <v>9.1</v>
      </c>
      <c r="H33">
        <v>8.23</v>
      </c>
      <c r="I33">
        <v>7.4</v>
      </c>
      <c r="J33">
        <v>8.02</v>
      </c>
      <c r="K33" s="11">
        <f t="shared" si="0"/>
        <v>8.1875</v>
      </c>
      <c r="L33" t="s">
        <v>67</v>
      </c>
      <c r="M33" t="s">
        <v>67</v>
      </c>
      <c r="N33" t="s">
        <v>51</v>
      </c>
      <c r="O33" t="s">
        <v>39</v>
      </c>
      <c r="P33" t="s">
        <v>39</v>
      </c>
      <c r="Q33" t="s">
        <v>39</v>
      </c>
      <c r="R33" t="s">
        <v>39</v>
      </c>
      <c r="S33" t="s">
        <v>39</v>
      </c>
      <c r="T33" t="s">
        <v>39</v>
      </c>
      <c r="U33" t="s">
        <v>52</v>
      </c>
      <c r="V33" t="s">
        <v>79</v>
      </c>
      <c r="W33" t="s">
        <v>54</v>
      </c>
      <c r="X33">
        <v>4</v>
      </c>
      <c r="Y33" t="s">
        <v>43</v>
      </c>
      <c r="Z33">
        <v>3</v>
      </c>
      <c r="AA33" t="s">
        <v>51</v>
      </c>
      <c r="AB33">
        <v>4</v>
      </c>
      <c r="AC33" t="s">
        <v>62</v>
      </c>
    </row>
    <row r="34" spans="1:30">
      <c r="A34" t="s">
        <v>168</v>
      </c>
      <c r="B34" t="s">
        <v>169</v>
      </c>
      <c r="C34" t="s">
        <v>86</v>
      </c>
      <c r="D34" t="s">
        <v>170</v>
      </c>
      <c r="E34" t="s">
        <v>33</v>
      </c>
      <c r="F34" t="s">
        <v>117</v>
      </c>
      <c r="G34">
        <v>9.6</v>
      </c>
      <c r="H34">
        <v>7.5</v>
      </c>
      <c r="I34">
        <v>7.9</v>
      </c>
      <c r="J34">
        <v>7.5</v>
      </c>
      <c r="K34" s="11">
        <f t="shared" si="0"/>
        <v>8.125</v>
      </c>
      <c r="L34" t="s">
        <v>67</v>
      </c>
      <c r="M34" t="s">
        <v>35</v>
      </c>
      <c r="N34" t="s">
        <v>61</v>
      </c>
      <c r="O34" t="s">
        <v>37</v>
      </c>
      <c r="P34" t="s">
        <v>39</v>
      </c>
      <c r="Q34" t="s">
        <v>39</v>
      </c>
      <c r="R34" t="s">
        <v>39</v>
      </c>
      <c r="S34" t="s">
        <v>37</v>
      </c>
      <c r="T34" t="s">
        <v>73</v>
      </c>
      <c r="U34" t="s">
        <v>52</v>
      </c>
      <c r="V34" t="s">
        <v>79</v>
      </c>
      <c r="W34" t="s">
        <v>54</v>
      </c>
      <c r="X34">
        <v>3</v>
      </c>
      <c r="Y34" t="s">
        <v>43</v>
      </c>
      <c r="Z34">
        <v>3</v>
      </c>
      <c r="AA34" t="s">
        <v>43</v>
      </c>
      <c r="AB34">
        <v>4</v>
      </c>
      <c r="AC34" t="s">
        <v>62</v>
      </c>
    </row>
    <row r="35" spans="1:30">
      <c r="A35" t="s">
        <v>171</v>
      </c>
      <c r="B35" t="s">
        <v>172</v>
      </c>
      <c r="C35" t="s">
        <v>86</v>
      </c>
      <c r="D35" t="s">
        <v>173</v>
      </c>
      <c r="E35" t="s">
        <v>33</v>
      </c>
      <c r="F35" t="s">
        <v>34</v>
      </c>
      <c r="G35">
        <v>7.1</v>
      </c>
      <c r="H35">
        <v>6.1</v>
      </c>
      <c r="I35">
        <v>6.5</v>
      </c>
      <c r="J35">
        <v>5.4</v>
      </c>
      <c r="K35" s="11">
        <f t="shared" si="0"/>
        <v>6.2750000000000004</v>
      </c>
      <c r="L35" t="s">
        <v>111</v>
      </c>
      <c r="M35" t="s">
        <v>111</v>
      </c>
      <c r="N35" t="s">
        <v>36</v>
      </c>
      <c r="O35" t="s">
        <v>73</v>
      </c>
      <c r="P35" t="s">
        <v>39</v>
      </c>
      <c r="Q35" t="s">
        <v>37</v>
      </c>
      <c r="R35" t="s">
        <v>37</v>
      </c>
      <c r="S35" t="s">
        <v>39</v>
      </c>
      <c r="T35" t="s">
        <v>73</v>
      </c>
      <c r="U35" t="s">
        <v>40</v>
      </c>
      <c r="V35" t="s">
        <v>60</v>
      </c>
      <c r="W35" t="s">
        <v>54</v>
      </c>
      <c r="X35">
        <v>4</v>
      </c>
      <c r="Y35" t="s">
        <v>43</v>
      </c>
      <c r="Z35">
        <v>4</v>
      </c>
      <c r="AA35" t="s">
        <v>36</v>
      </c>
      <c r="AB35">
        <v>5</v>
      </c>
      <c r="AC35" t="s">
        <v>62</v>
      </c>
      <c r="AD35" t="s">
        <v>174</v>
      </c>
    </row>
    <row r="36" spans="1:30">
      <c r="A36" t="s">
        <v>175</v>
      </c>
      <c r="B36" t="s">
        <v>176</v>
      </c>
      <c r="C36" t="s">
        <v>86</v>
      </c>
      <c r="D36" t="s">
        <v>177</v>
      </c>
      <c r="E36" t="s">
        <v>33</v>
      </c>
      <c r="F36" t="s">
        <v>117</v>
      </c>
      <c r="G36">
        <v>8.6</v>
      </c>
      <c r="H36">
        <v>6.3</v>
      </c>
      <c r="I36">
        <v>6.7</v>
      </c>
      <c r="J36">
        <v>6.9</v>
      </c>
      <c r="K36" s="11">
        <f t="shared" si="0"/>
        <v>7.125</v>
      </c>
      <c r="L36" t="s">
        <v>35</v>
      </c>
      <c r="M36" t="s">
        <v>35</v>
      </c>
      <c r="N36" t="s">
        <v>61</v>
      </c>
      <c r="O36" t="s">
        <v>38</v>
      </c>
      <c r="P36" t="s">
        <v>39</v>
      </c>
      <c r="Q36" t="s">
        <v>37</v>
      </c>
      <c r="R36" t="s">
        <v>37</v>
      </c>
      <c r="S36" t="s">
        <v>37</v>
      </c>
      <c r="T36" t="s">
        <v>37</v>
      </c>
      <c r="U36" t="s">
        <v>40</v>
      </c>
      <c r="V36" t="s">
        <v>60</v>
      </c>
      <c r="W36" t="s">
        <v>54</v>
      </c>
      <c r="X36">
        <v>3</v>
      </c>
      <c r="Y36" t="s">
        <v>43</v>
      </c>
      <c r="Z36">
        <v>3</v>
      </c>
      <c r="AA36" t="s">
        <v>51</v>
      </c>
      <c r="AB36">
        <v>4</v>
      </c>
      <c r="AC36" t="s">
        <v>62</v>
      </c>
    </row>
    <row r="37" spans="1:30">
      <c r="A37" t="s">
        <v>178</v>
      </c>
      <c r="B37" t="s">
        <v>179</v>
      </c>
      <c r="C37" t="s">
        <v>86</v>
      </c>
      <c r="D37" t="s">
        <v>180</v>
      </c>
      <c r="E37" t="s">
        <v>33</v>
      </c>
      <c r="F37" t="s">
        <v>117</v>
      </c>
      <c r="G37">
        <v>7.5940000000000003</v>
      </c>
      <c r="H37">
        <v>6.4080000000000004</v>
      </c>
      <c r="I37">
        <v>5.9039999999999999</v>
      </c>
      <c r="J37">
        <v>6.2850000000000001</v>
      </c>
      <c r="K37" s="11">
        <f t="shared" si="0"/>
        <v>6.5477499999999997</v>
      </c>
      <c r="L37" t="s">
        <v>35</v>
      </c>
      <c r="M37" t="s">
        <v>35</v>
      </c>
      <c r="N37" t="s">
        <v>61</v>
      </c>
      <c r="O37" t="s">
        <v>37</v>
      </c>
      <c r="P37" t="s">
        <v>39</v>
      </c>
      <c r="Q37" t="s">
        <v>73</v>
      </c>
      <c r="R37" t="s">
        <v>39</v>
      </c>
      <c r="S37" t="s">
        <v>39</v>
      </c>
      <c r="T37" t="s">
        <v>37</v>
      </c>
      <c r="U37" t="s">
        <v>59</v>
      </c>
      <c r="V37" t="s">
        <v>79</v>
      </c>
      <c r="W37" t="s">
        <v>54</v>
      </c>
      <c r="X37">
        <v>3</v>
      </c>
      <c r="Y37" t="s">
        <v>43</v>
      </c>
      <c r="Z37">
        <v>4</v>
      </c>
      <c r="AA37" t="s">
        <v>61</v>
      </c>
      <c r="AB37">
        <v>4</v>
      </c>
      <c r="AC37" t="s">
        <v>62</v>
      </c>
    </row>
    <row r="38" spans="1:30">
      <c r="A38" t="s">
        <v>181</v>
      </c>
      <c r="B38" t="s">
        <v>182</v>
      </c>
      <c r="C38" t="s">
        <v>86</v>
      </c>
      <c r="D38" t="s">
        <v>183</v>
      </c>
      <c r="E38" t="s">
        <v>33</v>
      </c>
      <c r="F38" t="s">
        <v>48</v>
      </c>
      <c r="G38">
        <v>8.5</v>
      </c>
      <c r="H38">
        <v>8.3000000000000007</v>
      </c>
      <c r="I38">
        <v>6.5</v>
      </c>
      <c r="J38">
        <v>7.8</v>
      </c>
      <c r="K38" s="11">
        <f t="shared" si="0"/>
        <v>7.7750000000000004</v>
      </c>
      <c r="L38" t="s">
        <v>67</v>
      </c>
      <c r="M38" t="s">
        <v>35</v>
      </c>
      <c r="N38" t="s">
        <v>36</v>
      </c>
      <c r="O38" t="s">
        <v>37</v>
      </c>
      <c r="P38" t="s">
        <v>39</v>
      </c>
      <c r="Q38" t="s">
        <v>39</v>
      </c>
      <c r="R38" t="s">
        <v>39</v>
      </c>
      <c r="S38" t="s">
        <v>37</v>
      </c>
      <c r="T38" t="s">
        <v>73</v>
      </c>
      <c r="U38" t="s">
        <v>40</v>
      </c>
      <c r="V38" t="s">
        <v>41</v>
      </c>
      <c r="W38" t="s">
        <v>54</v>
      </c>
      <c r="X38">
        <v>3</v>
      </c>
      <c r="Y38" t="s">
        <v>61</v>
      </c>
      <c r="Z38">
        <v>5</v>
      </c>
      <c r="AA38" t="s">
        <v>51</v>
      </c>
      <c r="AB38">
        <v>4</v>
      </c>
      <c r="AC38" t="s">
        <v>99</v>
      </c>
    </row>
    <row r="39" spans="1:30">
      <c r="A39" t="s">
        <v>184</v>
      </c>
      <c r="B39" t="s">
        <v>185</v>
      </c>
      <c r="C39" t="s">
        <v>86</v>
      </c>
      <c r="D39" t="s">
        <v>160</v>
      </c>
      <c r="E39" t="s">
        <v>33</v>
      </c>
      <c r="F39" t="s">
        <v>117</v>
      </c>
      <c r="G39">
        <v>9.4</v>
      </c>
      <c r="H39">
        <v>7.2</v>
      </c>
      <c r="I39">
        <v>8.1999999999999993</v>
      </c>
      <c r="J39">
        <v>7.3</v>
      </c>
      <c r="K39" s="11">
        <f t="shared" si="0"/>
        <v>8.0250000000000004</v>
      </c>
      <c r="L39" t="s">
        <v>35</v>
      </c>
      <c r="M39" t="s">
        <v>35</v>
      </c>
      <c r="N39" t="s">
        <v>61</v>
      </c>
      <c r="O39" t="s">
        <v>37</v>
      </c>
      <c r="P39" t="s">
        <v>39</v>
      </c>
      <c r="Q39" t="s">
        <v>39</v>
      </c>
      <c r="R39" t="s">
        <v>39</v>
      </c>
      <c r="S39" t="s">
        <v>37</v>
      </c>
      <c r="T39" t="s">
        <v>39</v>
      </c>
      <c r="U39" t="s">
        <v>59</v>
      </c>
      <c r="V39" t="s">
        <v>79</v>
      </c>
      <c r="W39" t="s">
        <v>54</v>
      </c>
      <c r="X39">
        <v>2</v>
      </c>
      <c r="Y39" t="s">
        <v>51</v>
      </c>
      <c r="Z39">
        <v>4</v>
      </c>
      <c r="AA39" t="s">
        <v>43</v>
      </c>
      <c r="AB39">
        <v>4</v>
      </c>
      <c r="AC39" t="s">
        <v>62</v>
      </c>
      <c r="AD39" t="s">
        <v>186</v>
      </c>
    </row>
    <row r="40" spans="1:30">
      <c r="A40" t="s">
        <v>187</v>
      </c>
      <c r="B40" t="s">
        <v>188</v>
      </c>
      <c r="C40" t="s">
        <v>86</v>
      </c>
      <c r="D40" t="s">
        <v>189</v>
      </c>
      <c r="E40" t="s">
        <v>33</v>
      </c>
      <c r="F40" t="s">
        <v>34</v>
      </c>
      <c r="G40">
        <v>8.3000000000000007</v>
      </c>
      <c r="H40">
        <v>6.9</v>
      </c>
      <c r="I40">
        <v>6.4</v>
      </c>
      <c r="J40">
        <v>7.5</v>
      </c>
      <c r="K40" s="11">
        <f t="shared" si="0"/>
        <v>7.2750000000000004</v>
      </c>
      <c r="L40" t="s">
        <v>35</v>
      </c>
      <c r="M40" t="s">
        <v>35</v>
      </c>
      <c r="N40" t="s">
        <v>98</v>
      </c>
      <c r="O40" t="s">
        <v>39</v>
      </c>
      <c r="P40" t="s">
        <v>37</v>
      </c>
      <c r="Q40" t="s">
        <v>73</v>
      </c>
      <c r="R40" t="s">
        <v>37</v>
      </c>
      <c r="S40" t="s">
        <v>73</v>
      </c>
      <c r="T40" t="s">
        <v>39</v>
      </c>
      <c r="U40" t="s">
        <v>40</v>
      </c>
      <c r="V40" t="s">
        <v>41</v>
      </c>
      <c r="W40" t="s">
        <v>42</v>
      </c>
      <c r="X40">
        <v>1</v>
      </c>
      <c r="Y40" t="s">
        <v>43</v>
      </c>
      <c r="Z40">
        <v>4</v>
      </c>
      <c r="AA40" t="s">
        <v>43</v>
      </c>
      <c r="AB40">
        <v>4</v>
      </c>
      <c r="AC40" t="s">
        <v>99</v>
      </c>
    </row>
    <row r="41" spans="1:30">
      <c r="A41" t="s">
        <v>190</v>
      </c>
      <c r="B41" t="s">
        <v>191</v>
      </c>
      <c r="C41" t="s">
        <v>31</v>
      </c>
      <c r="D41" t="s">
        <v>32</v>
      </c>
      <c r="E41" t="s">
        <v>33</v>
      </c>
      <c r="F41" t="s">
        <v>34</v>
      </c>
      <c r="G41">
        <v>9.1999999999999993</v>
      </c>
      <c r="H41">
        <v>6.8</v>
      </c>
      <c r="I41">
        <v>7.3</v>
      </c>
      <c r="J41">
        <v>7.5</v>
      </c>
      <c r="K41" s="11">
        <f t="shared" si="0"/>
        <v>7.7</v>
      </c>
      <c r="L41" t="s">
        <v>35</v>
      </c>
      <c r="M41" t="s">
        <v>67</v>
      </c>
      <c r="N41" t="s">
        <v>68</v>
      </c>
      <c r="O41" t="s">
        <v>73</v>
      </c>
      <c r="P41" t="s">
        <v>39</v>
      </c>
      <c r="Q41" t="s">
        <v>38</v>
      </c>
      <c r="R41" t="s">
        <v>38</v>
      </c>
      <c r="S41" t="s">
        <v>37</v>
      </c>
      <c r="T41" t="s">
        <v>39</v>
      </c>
      <c r="U41" t="s">
        <v>40</v>
      </c>
      <c r="V41" t="s">
        <v>41</v>
      </c>
      <c r="W41" t="s">
        <v>54</v>
      </c>
      <c r="X41">
        <v>2</v>
      </c>
      <c r="Y41" t="s">
        <v>51</v>
      </c>
      <c r="Z41">
        <v>4</v>
      </c>
      <c r="AA41" t="s">
        <v>61</v>
      </c>
      <c r="AB41">
        <v>4</v>
      </c>
      <c r="AC41" t="s">
        <v>62</v>
      </c>
    </row>
    <row r="42" spans="1:30">
      <c r="A42" t="s">
        <v>192</v>
      </c>
      <c r="B42" t="s">
        <v>193</v>
      </c>
      <c r="C42" t="s">
        <v>86</v>
      </c>
      <c r="D42" t="s">
        <v>194</v>
      </c>
      <c r="E42" t="s">
        <v>33</v>
      </c>
      <c r="F42" t="s">
        <v>34</v>
      </c>
      <c r="G42">
        <v>6.6619999999999999</v>
      </c>
      <c r="H42">
        <v>5.6</v>
      </c>
      <c r="I42">
        <v>5.8</v>
      </c>
      <c r="J42">
        <v>5.3</v>
      </c>
      <c r="K42" s="11">
        <f t="shared" si="0"/>
        <v>5.8405000000000005</v>
      </c>
      <c r="L42" t="s">
        <v>111</v>
      </c>
      <c r="M42" t="s">
        <v>112</v>
      </c>
      <c r="N42" t="s">
        <v>61</v>
      </c>
      <c r="O42" t="s">
        <v>37</v>
      </c>
      <c r="P42" t="s">
        <v>39</v>
      </c>
      <c r="Q42" t="s">
        <v>73</v>
      </c>
      <c r="R42" t="s">
        <v>37</v>
      </c>
      <c r="S42" t="s">
        <v>37</v>
      </c>
      <c r="T42" t="s">
        <v>37</v>
      </c>
      <c r="U42" t="s">
        <v>40</v>
      </c>
      <c r="V42" t="s">
        <v>41</v>
      </c>
      <c r="W42" t="s">
        <v>54</v>
      </c>
      <c r="X42">
        <v>3</v>
      </c>
      <c r="Y42" t="s">
        <v>43</v>
      </c>
      <c r="Z42">
        <v>3</v>
      </c>
      <c r="AA42" t="s">
        <v>61</v>
      </c>
      <c r="AB42">
        <v>4</v>
      </c>
      <c r="AC42" t="s">
        <v>91</v>
      </c>
    </row>
    <row r="43" spans="1:30">
      <c r="A43" t="s">
        <v>195</v>
      </c>
      <c r="B43" t="s">
        <v>57</v>
      </c>
      <c r="C43" t="s">
        <v>31</v>
      </c>
      <c r="D43" t="s">
        <v>196</v>
      </c>
      <c r="E43" t="s">
        <v>33</v>
      </c>
      <c r="F43" t="s">
        <v>66</v>
      </c>
      <c r="G43">
        <v>9.8000000000000007</v>
      </c>
      <c r="H43">
        <v>9.9499999999999993</v>
      </c>
      <c r="I43">
        <v>10</v>
      </c>
      <c r="J43">
        <v>9.5</v>
      </c>
      <c r="K43" s="11">
        <f t="shared" si="0"/>
        <v>9.8125</v>
      </c>
      <c r="L43" t="s">
        <v>49</v>
      </c>
      <c r="M43" t="s">
        <v>50</v>
      </c>
      <c r="N43" t="s">
        <v>36</v>
      </c>
      <c r="O43" t="s">
        <v>37</v>
      </c>
      <c r="P43" t="s">
        <v>39</v>
      </c>
      <c r="Q43" t="s">
        <v>37</v>
      </c>
      <c r="R43" t="s">
        <v>37</v>
      </c>
      <c r="S43" t="s">
        <v>37</v>
      </c>
      <c r="T43" t="s">
        <v>39</v>
      </c>
      <c r="U43" t="s">
        <v>59</v>
      </c>
      <c r="V43" t="s">
        <v>79</v>
      </c>
      <c r="W43" t="s">
        <v>54</v>
      </c>
      <c r="X43">
        <v>3</v>
      </c>
      <c r="Y43" t="s">
        <v>43</v>
      </c>
      <c r="Z43">
        <v>3</v>
      </c>
      <c r="AA43" t="s">
        <v>51</v>
      </c>
      <c r="AB43">
        <v>3</v>
      </c>
      <c r="AC43" t="s">
        <v>62</v>
      </c>
    </row>
    <row r="44" spans="1:30">
      <c r="A44" t="s">
        <v>197</v>
      </c>
      <c r="B44" t="s">
        <v>198</v>
      </c>
      <c r="C44" t="s">
        <v>31</v>
      </c>
      <c r="D44" t="s">
        <v>199</v>
      </c>
      <c r="E44" t="s">
        <v>33</v>
      </c>
      <c r="F44" t="s">
        <v>34</v>
      </c>
      <c r="G44">
        <v>7.6</v>
      </c>
      <c r="H44">
        <v>6.9</v>
      </c>
      <c r="I44">
        <v>5.4</v>
      </c>
      <c r="J44">
        <v>6.4</v>
      </c>
      <c r="K44" s="11">
        <f t="shared" si="0"/>
        <v>6.5749999999999993</v>
      </c>
      <c r="L44" t="s">
        <v>112</v>
      </c>
      <c r="M44" t="s">
        <v>112</v>
      </c>
      <c r="N44" t="s">
        <v>98</v>
      </c>
      <c r="O44" t="s">
        <v>73</v>
      </c>
      <c r="P44" t="s">
        <v>39</v>
      </c>
      <c r="Q44" t="s">
        <v>37</v>
      </c>
      <c r="R44" t="s">
        <v>37</v>
      </c>
      <c r="S44" t="s">
        <v>39</v>
      </c>
      <c r="T44" t="s">
        <v>37</v>
      </c>
      <c r="U44" t="s">
        <v>52</v>
      </c>
      <c r="V44" t="s">
        <v>60</v>
      </c>
      <c r="W44" t="s">
        <v>54</v>
      </c>
      <c r="X44">
        <v>3</v>
      </c>
      <c r="Y44" t="s">
        <v>61</v>
      </c>
      <c r="Z44">
        <v>3</v>
      </c>
      <c r="AA44" t="s">
        <v>61</v>
      </c>
      <c r="AB44">
        <v>3</v>
      </c>
      <c r="AC44" t="s">
        <v>99</v>
      </c>
    </row>
    <row r="45" spans="1:30">
      <c r="A45" t="s">
        <v>200</v>
      </c>
      <c r="B45" t="s">
        <v>201</v>
      </c>
      <c r="C45" t="s">
        <v>86</v>
      </c>
      <c r="D45" t="s">
        <v>170</v>
      </c>
      <c r="E45" t="s">
        <v>33</v>
      </c>
      <c r="F45" t="s">
        <v>117</v>
      </c>
      <c r="G45">
        <v>9.4499999999999993</v>
      </c>
      <c r="H45">
        <v>9.3000000000000007</v>
      </c>
      <c r="I45">
        <v>9.1999999999999993</v>
      </c>
      <c r="J45">
        <v>7.45</v>
      </c>
      <c r="K45" s="11">
        <f t="shared" si="0"/>
        <v>8.85</v>
      </c>
      <c r="L45" t="s">
        <v>35</v>
      </c>
      <c r="M45" t="s">
        <v>35</v>
      </c>
      <c r="N45" t="s">
        <v>51</v>
      </c>
      <c r="O45" t="s">
        <v>73</v>
      </c>
      <c r="P45" t="s">
        <v>39</v>
      </c>
      <c r="Q45" t="s">
        <v>37</v>
      </c>
      <c r="R45" t="s">
        <v>37</v>
      </c>
      <c r="S45" t="s">
        <v>73</v>
      </c>
      <c r="T45" t="s">
        <v>37</v>
      </c>
      <c r="U45" t="s">
        <v>52</v>
      </c>
      <c r="V45" t="s">
        <v>79</v>
      </c>
      <c r="W45" t="s">
        <v>54</v>
      </c>
      <c r="X45">
        <v>3</v>
      </c>
      <c r="Y45" t="s">
        <v>51</v>
      </c>
      <c r="Z45">
        <v>3</v>
      </c>
      <c r="AA45" t="s">
        <v>51</v>
      </c>
      <c r="AB45">
        <v>3</v>
      </c>
      <c r="AC45" t="s">
        <v>62</v>
      </c>
    </row>
    <row r="46" spans="1:30">
      <c r="A46" t="s">
        <v>202</v>
      </c>
      <c r="B46" t="s">
        <v>203</v>
      </c>
      <c r="C46" t="s">
        <v>31</v>
      </c>
      <c r="D46" t="s">
        <v>32</v>
      </c>
      <c r="E46" t="s">
        <v>33</v>
      </c>
      <c r="F46" t="s">
        <v>117</v>
      </c>
      <c r="G46">
        <v>9.5</v>
      </c>
      <c r="H46">
        <v>8.6999999999999993</v>
      </c>
      <c r="I46">
        <v>8.4</v>
      </c>
      <c r="J46">
        <v>8.01</v>
      </c>
      <c r="K46" s="11">
        <f t="shared" si="0"/>
        <v>8.6524999999999999</v>
      </c>
      <c r="L46" t="s">
        <v>67</v>
      </c>
      <c r="M46" t="s">
        <v>67</v>
      </c>
      <c r="N46" t="s">
        <v>61</v>
      </c>
      <c r="O46" t="s">
        <v>37</v>
      </c>
      <c r="P46" t="s">
        <v>39</v>
      </c>
      <c r="Q46" t="s">
        <v>37</v>
      </c>
      <c r="R46" t="s">
        <v>37</v>
      </c>
      <c r="S46" t="s">
        <v>37</v>
      </c>
      <c r="T46" t="s">
        <v>39</v>
      </c>
      <c r="U46" t="s">
        <v>52</v>
      </c>
      <c r="V46" t="s">
        <v>79</v>
      </c>
      <c r="W46" t="s">
        <v>54</v>
      </c>
      <c r="X46">
        <v>2</v>
      </c>
      <c r="Y46" t="s">
        <v>51</v>
      </c>
      <c r="Z46">
        <v>3</v>
      </c>
      <c r="AA46" t="s">
        <v>43</v>
      </c>
      <c r="AB46">
        <v>3</v>
      </c>
      <c r="AC46" t="s">
        <v>62</v>
      </c>
    </row>
    <row r="47" spans="1:30">
      <c r="A47" t="s">
        <v>204</v>
      </c>
      <c r="B47" t="s">
        <v>205</v>
      </c>
      <c r="C47" t="s">
        <v>86</v>
      </c>
      <c r="D47" t="s">
        <v>65</v>
      </c>
      <c r="E47" t="s">
        <v>65</v>
      </c>
      <c r="F47" t="s">
        <v>34</v>
      </c>
      <c r="G47">
        <v>7.88</v>
      </c>
      <c r="H47">
        <v>7.79</v>
      </c>
      <c r="I47">
        <v>7.73</v>
      </c>
      <c r="J47">
        <v>7.76</v>
      </c>
      <c r="K47" s="11">
        <f t="shared" si="0"/>
        <v>7.7899999999999991</v>
      </c>
      <c r="L47" t="s">
        <v>35</v>
      </c>
      <c r="M47" t="s">
        <v>35</v>
      </c>
      <c r="N47" t="s">
        <v>36</v>
      </c>
      <c r="O47" t="s">
        <v>37</v>
      </c>
      <c r="P47" t="s">
        <v>39</v>
      </c>
      <c r="Q47" t="s">
        <v>37</v>
      </c>
      <c r="R47" t="s">
        <v>37</v>
      </c>
      <c r="S47" t="s">
        <v>37</v>
      </c>
      <c r="T47" t="s">
        <v>37</v>
      </c>
      <c r="U47" t="s">
        <v>40</v>
      </c>
      <c r="V47" t="s">
        <v>41</v>
      </c>
      <c r="W47" t="s">
        <v>54</v>
      </c>
      <c r="X47">
        <v>2</v>
      </c>
      <c r="Y47" t="s">
        <v>43</v>
      </c>
      <c r="Z47">
        <v>3</v>
      </c>
      <c r="AA47" t="s">
        <v>43</v>
      </c>
      <c r="AB47">
        <v>4</v>
      </c>
      <c r="AC47" t="s">
        <v>99</v>
      </c>
    </row>
    <row r="48" spans="1:30">
      <c r="A48" t="s">
        <v>206</v>
      </c>
      <c r="B48" t="s">
        <v>207</v>
      </c>
      <c r="C48" t="s">
        <v>31</v>
      </c>
      <c r="D48" t="s">
        <v>208</v>
      </c>
      <c r="E48" t="s">
        <v>33</v>
      </c>
      <c r="F48" t="s">
        <v>34</v>
      </c>
      <c r="G48">
        <v>8.9</v>
      </c>
      <c r="H48">
        <v>6.8</v>
      </c>
      <c r="I48">
        <v>6.7</v>
      </c>
      <c r="J48">
        <v>7.25</v>
      </c>
      <c r="K48" s="11">
        <f t="shared" si="0"/>
        <v>7.4124999999999996</v>
      </c>
      <c r="L48" t="s">
        <v>35</v>
      </c>
      <c r="M48" t="s">
        <v>112</v>
      </c>
      <c r="N48" t="s">
        <v>51</v>
      </c>
      <c r="O48" t="s">
        <v>39</v>
      </c>
      <c r="P48" t="s">
        <v>39</v>
      </c>
      <c r="Q48" t="s">
        <v>38</v>
      </c>
      <c r="R48" t="s">
        <v>37</v>
      </c>
      <c r="S48" t="s">
        <v>38</v>
      </c>
      <c r="T48" t="s">
        <v>73</v>
      </c>
      <c r="U48" t="s">
        <v>40</v>
      </c>
      <c r="V48" t="s">
        <v>41</v>
      </c>
      <c r="W48" t="s">
        <v>54</v>
      </c>
      <c r="X48">
        <v>3</v>
      </c>
      <c r="Y48" t="s">
        <v>51</v>
      </c>
      <c r="Z48">
        <v>3</v>
      </c>
      <c r="AA48" t="s">
        <v>43</v>
      </c>
      <c r="AB48">
        <v>3</v>
      </c>
      <c r="AC48" t="s">
        <v>99</v>
      </c>
    </row>
    <row r="49" spans="1:30">
      <c r="A49" t="s">
        <v>209</v>
      </c>
      <c r="B49" t="s">
        <v>210</v>
      </c>
      <c r="C49" t="s">
        <v>86</v>
      </c>
      <c r="D49" t="s">
        <v>32</v>
      </c>
      <c r="E49" t="s">
        <v>33</v>
      </c>
      <c r="F49" t="s">
        <v>34</v>
      </c>
      <c r="G49">
        <v>8.7899999999999991</v>
      </c>
      <c r="H49">
        <v>7.13</v>
      </c>
      <c r="I49">
        <v>6.79</v>
      </c>
      <c r="J49">
        <v>7.47</v>
      </c>
      <c r="K49" s="11">
        <f t="shared" si="0"/>
        <v>7.544999999999999</v>
      </c>
      <c r="L49" t="s">
        <v>35</v>
      </c>
      <c r="M49" t="s">
        <v>35</v>
      </c>
      <c r="N49" t="s">
        <v>61</v>
      </c>
      <c r="O49" t="s">
        <v>39</v>
      </c>
      <c r="P49" t="s">
        <v>39</v>
      </c>
      <c r="Q49" t="s">
        <v>37</v>
      </c>
      <c r="R49" t="s">
        <v>39</v>
      </c>
      <c r="S49" t="s">
        <v>39</v>
      </c>
      <c r="T49" t="s">
        <v>39</v>
      </c>
      <c r="U49" t="s">
        <v>59</v>
      </c>
      <c r="V49" t="s">
        <v>79</v>
      </c>
      <c r="W49" t="s">
        <v>54</v>
      </c>
      <c r="X49">
        <v>3</v>
      </c>
      <c r="Y49" t="s">
        <v>43</v>
      </c>
      <c r="Z49">
        <v>3</v>
      </c>
      <c r="AA49" t="s">
        <v>51</v>
      </c>
      <c r="AB49">
        <v>4</v>
      </c>
      <c r="AC49" t="s">
        <v>62</v>
      </c>
    </row>
    <row r="50" spans="1:30">
      <c r="A50" t="s">
        <v>211</v>
      </c>
      <c r="B50" t="s">
        <v>212</v>
      </c>
      <c r="C50" t="s">
        <v>31</v>
      </c>
      <c r="D50" t="s">
        <v>213</v>
      </c>
      <c r="E50" t="s">
        <v>33</v>
      </c>
      <c r="F50" t="s">
        <v>117</v>
      </c>
      <c r="G50">
        <v>9.18</v>
      </c>
      <c r="H50">
        <v>9.56</v>
      </c>
      <c r="I50">
        <v>9.7200000000000006</v>
      </c>
      <c r="J50">
        <v>9.8000000000000007</v>
      </c>
      <c r="K50" s="11">
        <f t="shared" si="0"/>
        <v>9.5650000000000013</v>
      </c>
      <c r="L50" t="s">
        <v>49</v>
      </c>
      <c r="M50" t="s">
        <v>50</v>
      </c>
      <c r="N50" t="s">
        <v>98</v>
      </c>
      <c r="O50" t="s">
        <v>37</v>
      </c>
      <c r="P50" t="s">
        <v>37</v>
      </c>
      <c r="Q50" t="s">
        <v>37</v>
      </c>
      <c r="R50" t="s">
        <v>73</v>
      </c>
      <c r="S50" t="s">
        <v>37</v>
      </c>
      <c r="T50" t="s">
        <v>39</v>
      </c>
      <c r="U50" t="s">
        <v>40</v>
      </c>
      <c r="V50" t="s">
        <v>60</v>
      </c>
      <c r="W50" t="s">
        <v>54</v>
      </c>
      <c r="X50">
        <v>2</v>
      </c>
      <c r="Y50" t="s">
        <v>61</v>
      </c>
      <c r="Z50">
        <v>5</v>
      </c>
      <c r="AA50" t="s">
        <v>61</v>
      </c>
      <c r="AB50">
        <v>5</v>
      </c>
      <c r="AC50" t="s">
        <v>62</v>
      </c>
    </row>
    <row r="51" spans="1:30">
      <c r="A51" t="s">
        <v>214</v>
      </c>
      <c r="B51" t="s">
        <v>215</v>
      </c>
      <c r="C51" t="s">
        <v>31</v>
      </c>
      <c r="D51" t="s">
        <v>116</v>
      </c>
      <c r="E51" t="s">
        <v>33</v>
      </c>
      <c r="F51" t="s">
        <v>66</v>
      </c>
      <c r="G51">
        <v>8.6999999999999993</v>
      </c>
      <c r="H51">
        <v>7.2</v>
      </c>
      <c r="I51">
        <v>6.8</v>
      </c>
      <c r="J51">
        <v>6.2</v>
      </c>
      <c r="K51" s="11">
        <f t="shared" si="0"/>
        <v>7.2249999999999996</v>
      </c>
      <c r="L51" t="s">
        <v>112</v>
      </c>
      <c r="M51" t="s">
        <v>112</v>
      </c>
      <c r="N51" t="s">
        <v>51</v>
      </c>
      <c r="O51" t="s">
        <v>73</v>
      </c>
      <c r="P51" t="s">
        <v>73</v>
      </c>
      <c r="Q51" t="s">
        <v>73</v>
      </c>
      <c r="R51" t="s">
        <v>37</v>
      </c>
      <c r="S51" t="s">
        <v>37</v>
      </c>
      <c r="T51" t="s">
        <v>37</v>
      </c>
      <c r="U51" t="s">
        <v>59</v>
      </c>
      <c r="V51" t="s">
        <v>41</v>
      </c>
      <c r="W51" t="s">
        <v>54</v>
      </c>
      <c r="X51">
        <v>4</v>
      </c>
      <c r="Y51" t="s">
        <v>61</v>
      </c>
      <c r="Z51">
        <v>4</v>
      </c>
      <c r="AA51" t="s">
        <v>36</v>
      </c>
      <c r="AB51">
        <v>5</v>
      </c>
      <c r="AC51" t="s">
        <v>91</v>
      </c>
    </row>
    <row r="52" spans="1:30">
      <c r="A52" t="s">
        <v>216</v>
      </c>
      <c r="B52" t="s">
        <v>217</v>
      </c>
      <c r="C52" t="s">
        <v>86</v>
      </c>
      <c r="D52" t="s">
        <v>218</v>
      </c>
      <c r="E52" t="s">
        <v>219</v>
      </c>
      <c r="F52" t="s">
        <v>66</v>
      </c>
      <c r="G52">
        <v>7.01</v>
      </c>
      <c r="H52">
        <v>7.5</v>
      </c>
      <c r="I52">
        <v>6.36</v>
      </c>
      <c r="J52">
        <v>5</v>
      </c>
      <c r="K52" s="11">
        <f t="shared" si="0"/>
        <v>6.4675000000000002</v>
      </c>
      <c r="L52" t="s">
        <v>112</v>
      </c>
      <c r="M52" t="s">
        <v>112</v>
      </c>
      <c r="N52" t="s">
        <v>61</v>
      </c>
      <c r="O52" t="s">
        <v>37</v>
      </c>
      <c r="P52" t="s">
        <v>39</v>
      </c>
      <c r="Q52" t="s">
        <v>37</v>
      </c>
      <c r="R52" t="s">
        <v>39</v>
      </c>
      <c r="S52" t="s">
        <v>37</v>
      </c>
      <c r="T52" t="s">
        <v>39</v>
      </c>
      <c r="U52" t="s">
        <v>59</v>
      </c>
      <c r="V52" t="s">
        <v>79</v>
      </c>
      <c r="W52" t="s">
        <v>42</v>
      </c>
      <c r="X52">
        <v>3</v>
      </c>
      <c r="Y52" t="s">
        <v>43</v>
      </c>
      <c r="Z52">
        <v>3</v>
      </c>
      <c r="AA52" t="s">
        <v>51</v>
      </c>
      <c r="AB52">
        <v>3</v>
      </c>
      <c r="AC52" t="s">
        <v>44</v>
      </c>
    </row>
    <row r="53" spans="1:30">
      <c r="A53" t="s">
        <v>220</v>
      </c>
      <c r="B53" t="s">
        <v>221</v>
      </c>
      <c r="C53" t="s">
        <v>31</v>
      </c>
      <c r="D53" t="s">
        <v>32</v>
      </c>
      <c r="E53" t="s">
        <v>33</v>
      </c>
      <c r="F53" t="s">
        <v>34</v>
      </c>
      <c r="G53">
        <v>8.4</v>
      </c>
      <c r="H53">
        <v>6.9</v>
      </c>
      <c r="I53">
        <v>6.6</v>
      </c>
      <c r="J53">
        <v>6.2</v>
      </c>
      <c r="K53" s="11">
        <f t="shared" si="0"/>
        <v>7.0249999999999995</v>
      </c>
      <c r="L53" t="s">
        <v>112</v>
      </c>
      <c r="M53" t="s">
        <v>111</v>
      </c>
      <c r="N53" t="s">
        <v>98</v>
      </c>
      <c r="O53" t="s">
        <v>37</v>
      </c>
      <c r="P53" t="s">
        <v>39</v>
      </c>
      <c r="Q53" t="s">
        <v>73</v>
      </c>
      <c r="R53" t="s">
        <v>39</v>
      </c>
      <c r="S53" t="s">
        <v>37</v>
      </c>
      <c r="T53" t="s">
        <v>39</v>
      </c>
      <c r="U53" t="s">
        <v>40</v>
      </c>
      <c r="V53" t="s">
        <v>41</v>
      </c>
      <c r="W53" t="s">
        <v>54</v>
      </c>
      <c r="X53">
        <v>3</v>
      </c>
      <c r="Y53" t="s">
        <v>51</v>
      </c>
      <c r="Z53">
        <v>4</v>
      </c>
      <c r="AA53" t="s">
        <v>43</v>
      </c>
      <c r="AB53">
        <v>3</v>
      </c>
      <c r="AC53" t="s">
        <v>44</v>
      </c>
    </row>
    <row r="54" spans="1:30">
      <c r="A54" t="s">
        <v>222</v>
      </c>
      <c r="B54" t="s">
        <v>223</v>
      </c>
      <c r="C54" t="s">
        <v>31</v>
      </c>
      <c r="D54" t="s">
        <v>224</v>
      </c>
      <c r="E54" t="s">
        <v>33</v>
      </c>
      <c r="F54" t="s">
        <v>34</v>
      </c>
      <c r="G54">
        <v>8.5169999999999995</v>
      </c>
      <c r="H54">
        <v>6.665</v>
      </c>
      <c r="I54">
        <v>5.992</v>
      </c>
      <c r="J54">
        <v>6.3650000000000002</v>
      </c>
      <c r="K54" s="11">
        <f t="shared" si="0"/>
        <v>6.8847500000000004</v>
      </c>
      <c r="L54" t="s">
        <v>35</v>
      </c>
      <c r="M54" t="s">
        <v>35</v>
      </c>
      <c r="N54" t="s">
        <v>51</v>
      </c>
      <c r="O54" t="s">
        <v>37</v>
      </c>
      <c r="P54" t="s">
        <v>39</v>
      </c>
      <c r="Q54" t="s">
        <v>39</v>
      </c>
      <c r="R54" t="s">
        <v>39</v>
      </c>
      <c r="S54" t="s">
        <v>39</v>
      </c>
      <c r="T54" t="s">
        <v>39</v>
      </c>
      <c r="U54" t="s">
        <v>40</v>
      </c>
      <c r="V54" t="s">
        <v>60</v>
      </c>
      <c r="W54" t="s">
        <v>54</v>
      </c>
      <c r="X54">
        <v>1</v>
      </c>
      <c r="Y54" t="s">
        <v>43</v>
      </c>
      <c r="Z54">
        <v>3</v>
      </c>
      <c r="AA54" t="s">
        <v>51</v>
      </c>
      <c r="AB54">
        <v>4</v>
      </c>
      <c r="AC54" t="s">
        <v>99</v>
      </c>
      <c r="AD54" t="s">
        <v>225</v>
      </c>
    </row>
    <row r="55" spans="1:30">
      <c r="A55" t="s">
        <v>226</v>
      </c>
      <c r="B55" t="s">
        <v>227</v>
      </c>
      <c r="C55" t="s">
        <v>86</v>
      </c>
      <c r="D55" t="s">
        <v>149</v>
      </c>
      <c r="E55" t="s">
        <v>33</v>
      </c>
      <c r="F55" t="s">
        <v>34</v>
      </c>
      <c r="G55">
        <v>8.1999999999999993</v>
      </c>
      <c r="H55">
        <v>6.3</v>
      </c>
      <c r="I55">
        <v>7.3</v>
      </c>
      <c r="J55">
        <v>7</v>
      </c>
      <c r="K55" s="11">
        <f t="shared" si="0"/>
        <v>7.2</v>
      </c>
      <c r="L55" t="s">
        <v>35</v>
      </c>
      <c r="M55" t="s">
        <v>112</v>
      </c>
      <c r="N55" t="s">
        <v>61</v>
      </c>
      <c r="O55" t="s">
        <v>37</v>
      </c>
      <c r="P55" t="s">
        <v>39</v>
      </c>
      <c r="Q55" t="s">
        <v>37</v>
      </c>
      <c r="R55" t="s">
        <v>37</v>
      </c>
      <c r="S55" t="s">
        <v>37</v>
      </c>
      <c r="T55" t="s">
        <v>37</v>
      </c>
      <c r="U55" t="s">
        <v>40</v>
      </c>
      <c r="V55" t="s">
        <v>79</v>
      </c>
      <c r="W55" t="s">
        <v>54</v>
      </c>
      <c r="X55">
        <v>3</v>
      </c>
      <c r="Y55" t="s">
        <v>51</v>
      </c>
      <c r="Z55">
        <v>3</v>
      </c>
      <c r="AA55" t="s">
        <v>51</v>
      </c>
      <c r="AB55">
        <v>3</v>
      </c>
      <c r="AC55" t="s">
        <v>62</v>
      </c>
    </row>
    <row r="56" spans="1:30">
      <c r="A56" t="s">
        <v>228</v>
      </c>
      <c r="B56" t="s">
        <v>229</v>
      </c>
      <c r="C56" t="s">
        <v>86</v>
      </c>
      <c r="D56" t="s">
        <v>32</v>
      </c>
      <c r="E56" t="s">
        <v>33</v>
      </c>
      <c r="F56" t="s">
        <v>48</v>
      </c>
      <c r="G56">
        <v>9.8000000000000007</v>
      </c>
      <c r="H56">
        <v>6.7</v>
      </c>
      <c r="I56">
        <v>7</v>
      </c>
      <c r="J56">
        <v>7</v>
      </c>
      <c r="K56" s="11">
        <f t="shared" si="0"/>
        <v>7.625</v>
      </c>
      <c r="L56" t="s">
        <v>35</v>
      </c>
      <c r="M56" t="s">
        <v>112</v>
      </c>
      <c r="N56" t="s">
        <v>51</v>
      </c>
      <c r="O56" t="s">
        <v>73</v>
      </c>
      <c r="P56" t="s">
        <v>39</v>
      </c>
      <c r="Q56" t="s">
        <v>39</v>
      </c>
      <c r="R56" t="s">
        <v>39</v>
      </c>
      <c r="S56" t="s">
        <v>39</v>
      </c>
      <c r="T56" t="s">
        <v>39</v>
      </c>
      <c r="U56" t="s">
        <v>40</v>
      </c>
      <c r="V56" t="s">
        <v>41</v>
      </c>
      <c r="W56" t="s">
        <v>42</v>
      </c>
      <c r="X56">
        <v>3</v>
      </c>
      <c r="Y56" t="s">
        <v>43</v>
      </c>
      <c r="Z56">
        <v>3</v>
      </c>
      <c r="AA56" t="s">
        <v>43</v>
      </c>
      <c r="AB56">
        <v>3</v>
      </c>
      <c r="AC56" t="s">
        <v>62</v>
      </c>
    </row>
    <row r="57" spans="1:30">
      <c r="A57" t="s">
        <v>230</v>
      </c>
      <c r="B57" t="s">
        <v>231</v>
      </c>
      <c r="C57" t="s">
        <v>31</v>
      </c>
      <c r="D57" t="s">
        <v>213</v>
      </c>
      <c r="E57" t="s">
        <v>33</v>
      </c>
      <c r="F57" t="s">
        <v>34</v>
      </c>
      <c r="G57">
        <v>8.65</v>
      </c>
      <c r="H57">
        <v>6.57</v>
      </c>
      <c r="I57">
        <v>6.84</v>
      </c>
      <c r="J57">
        <v>6.84</v>
      </c>
      <c r="K57" s="11">
        <f t="shared" si="0"/>
        <v>7.2250000000000005</v>
      </c>
      <c r="L57" t="s">
        <v>35</v>
      </c>
      <c r="M57" t="s">
        <v>35</v>
      </c>
      <c r="N57" t="s">
        <v>98</v>
      </c>
      <c r="O57" t="s">
        <v>37</v>
      </c>
      <c r="P57" t="s">
        <v>39</v>
      </c>
      <c r="Q57" t="s">
        <v>37</v>
      </c>
      <c r="R57" t="s">
        <v>39</v>
      </c>
      <c r="S57" t="s">
        <v>37</v>
      </c>
      <c r="T57" t="s">
        <v>37</v>
      </c>
      <c r="U57" t="s">
        <v>40</v>
      </c>
      <c r="V57" t="s">
        <v>41</v>
      </c>
      <c r="W57" t="s">
        <v>54</v>
      </c>
      <c r="X57">
        <v>3</v>
      </c>
      <c r="Y57" t="s">
        <v>51</v>
      </c>
      <c r="Z57">
        <v>3</v>
      </c>
      <c r="AA57" t="s">
        <v>51</v>
      </c>
      <c r="AB57">
        <v>4</v>
      </c>
      <c r="AC57" t="s">
        <v>99</v>
      </c>
    </row>
    <row r="58" spans="1:30">
      <c r="A58" t="s">
        <v>232</v>
      </c>
      <c r="B58" t="s">
        <v>233</v>
      </c>
      <c r="C58" t="s">
        <v>31</v>
      </c>
      <c r="D58" t="s">
        <v>234</v>
      </c>
      <c r="E58" t="s">
        <v>33</v>
      </c>
      <c r="F58" t="s">
        <v>34</v>
      </c>
      <c r="G58">
        <v>8.9</v>
      </c>
      <c r="H58">
        <v>6.3</v>
      </c>
      <c r="I58">
        <v>6.2</v>
      </c>
      <c r="J58">
        <v>5.5</v>
      </c>
      <c r="K58" s="11">
        <f t="shared" si="0"/>
        <v>6.7249999999999996</v>
      </c>
      <c r="L58" t="s">
        <v>111</v>
      </c>
      <c r="M58" t="s">
        <v>111</v>
      </c>
      <c r="N58" t="s">
        <v>61</v>
      </c>
      <c r="O58" t="s">
        <v>73</v>
      </c>
      <c r="P58" t="s">
        <v>37</v>
      </c>
      <c r="Q58" t="s">
        <v>37</v>
      </c>
      <c r="R58" t="s">
        <v>37</v>
      </c>
      <c r="S58" t="s">
        <v>39</v>
      </c>
      <c r="T58" t="s">
        <v>73</v>
      </c>
      <c r="U58" t="s">
        <v>59</v>
      </c>
      <c r="V58" t="s">
        <v>79</v>
      </c>
      <c r="W58" t="s">
        <v>54</v>
      </c>
      <c r="X58">
        <v>3</v>
      </c>
      <c r="Y58" t="s">
        <v>51</v>
      </c>
      <c r="Z58">
        <v>2</v>
      </c>
      <c r="AA58" t="s">
        <v>61</v>
      </c>
      <c r="AB58">
        <v>1</v>
      </c>
      <c r="AC58" t="s">
        <v>99</v>
      </c>
    </row>
    <row r="59" spans="1:30">
      <c r="A59" t="s">
        <v>235</v>
      </c>
      <c r="B59" t="s">
        <v>236</v>
      </c>
      <c r="C59" t="s">
        <v>86</v>
      </c>
      <c r="D59" t="s">
        <v>116</v>
      </c>
      <c r="E59" t="s">
        <v>33</v>
      </c>
      <c r="F59" t="s">
        <v>34</v>
      </c>
      <c r="G59">
        <v>9.02</v>
      </c>
      <c r="H59">
        <v>6.45</v>
      </c>
      <c r="I59">
        <v>6.82</v>
      </c>
      <c r="J59">
        <v>7.26</v>
      </c>
      <c r="K59" s="11">
        <f t="shared" si="0"/>
        <v>7.3874999999999993</v>
      </c>
      <c r="L59" t="s">
        <v>112</v>
      </c>
      <c r="M59" t="s">
        <v>112</v>
      </c>
      <c r="N59" t="s">
        <v>61</v>
      </c>
      <c r="O59" t="s">
        <v>37</v>
      </c>
      <c r="P59" t="s">
        <v>39</v>
      </c>
      <c r="Q59" t="s">
        <v>37</v>
      </c>
      <c r="R59" t="s">
        <v>39</v>
      </c>
      <c r="S59" t="s">
        <v>39</v>
      </c>
      <c r="T59" t="s">
        <v>39</v>
      </c>
      <c r="U59" t="s">
        <v>40</v>
      </c>
      <c r="V59" t="s">
        <v>41</v>
      </c>
      <c r="W59" t="s">
        <v>54</v>
      </c>
      <c r="X59">
        <v>2</v>
      </c>
      <c r="Y59" t="s">
        <v>43</v>
      </c>
      <c r="Z59">
        <v>3</v>
      </c>
      <c r="AA59" t="s">
        <v>43</v>
      </c>
      <c r="AB59">
        <v>3</v>
      </c>
      <c r="AC59" t="s">
        <v>99</v>
      </c>
    </row>
    <row r="60" spans="1:30">
      <c r="A60" t="s">
        <v>237</v>
      </c>
      <c r="B60" t="s">
        <v>238</v>
      </c>
      <c r="C60" t="s">
        <v>86</v>
      </c>
      <c r="D60" t="s">
        <v>239</v>
      </c>
      <c r="E60" t="s">
        <v>33</v>
      </c>
      <c r="F60" t="s">
        <v>34</v>
      </c>
      <c r="G60">
        <v>9.1999999999999993</v>
      </c>
      <c r="H60">
        <v>6.8</v>
      </c>
      <c r="I60">
        <v>7.9</v>
      </c>
      <c r="J60">
        <v>7.8</v>
      </c>
      <c r="K60" s="11">
        <f t="shared" si="0"/>
        <v>7.9249999999999998</v>
      </c>
      <c r="L60" t="s">
        <v>35</v>
      </c>
      <c r="M60" t="s">
        <v>35</v>
      </c>
      <c r="N60" t="s">
        <v>36</v>
      </c>
      <c r="O60" t="s">
        <v>37</v>
      </c>
      <c r="P60" t="s">
        <v>39</v>
      </c>
      <c r="Q60" t="s">
        <v>39</v>
      </c>
      <c r="R60" t="s">
        <v>37</v>
      </c>
      <c r="S60" t="s">
        <v>37</v>
      </c>
      <c r="T60" t="s">
        <v>39</v>
      </c>
      <c r="U60" t="s">
        <v>52</v>
      </c>
      <c r="V60" t="s">
        <v>41</v>
      </c>
      <c r="W60" t="s">
        <v>54</v>
      </c>
      <c r="X60">
        <v>2</v>
      </c>
      <c r="Y60" t="s">
        <v>51</v>
      </c>
      <c r="Z60">
        <v>5</v>
      </c>
      <c r="AA60" t="s">
        <v>51</v>
      </c>
      <c r="AB60">
        <v>5</v>
      </c>
      <c r="AC60" t="s">
        <v>62</v>
      </c>
      <c r="AD60" t="s">
        <v>240</v>
      </c>
    </row>
    <row r="61" spans="1:30">
      <c r="A61" t="s">
        <v>241</v>
      </c>
      <c r="B61" t="s">
        <v>242</v>
      </c>
      <c r="C61" t="s">
        <v>86</v>
      </c>
      <c r="D61" t="s">
        <v>243</v>
      </c>
      <c r="E61" t="s">
        <v>33</v>
      </c>
      <c r="F61" t="s">
        <v>34</v>
      </c>
      <c r="G61">
        <v>9.1999999999999993</v>
      </c>
      <c r="H61">
        <v>8.4</v>
      </c>
      <c r="I61">
        <v>8.3000000000000007</v>
      </c>
      <c r="J61">
        <v>8.1</v>
      </c>
      <c r="K61" s="11">
        <f t="shared" si="0"/>
        <v>8.5</v>
      </c>
      <c r="L61" t="s">
        <v>67</v>
      </c>
      <c r="M61" t="s">
        <v>35</v>
      </c>
      <c r="N61" t="s">
        <v>61</v>
      </c>
      <c r="O61" t="s">
        <v>37</v>
      </c>
      <c r="P61" t="s">
        <v>39</v>
      </c>
      <c r="Q61" t="s">
        <v>37</v>
      </c>
      <c r="R61" t="s">
        <v>37</v>
      </c>
      <c r="S61" t="s">
        <v>37</v>
      </c>
      <c r="T61" t="s">
        <v>39</v>
      </c>
      <c r="U61" t="s">
        <v>52</v>
      </c>
      <c r="V61" t="s">
        <v>60</v>
      </c>
      <c r="W61" t="s">
        <v>54</v>
      </c>
      <c r="X61">
        <v>3</v>
      </c>
      <c r="Y61" t="s">
        <v>43</v>
      </c>
      <c r="Z61">
        <v>4</v>
      </c>
      <c r="AA61" t="s">
        <v>43</v>
      </c>
      <c r="AB61">
        <v>4</v>
      </c>
      <c r="AC61" t="s">
        <v>62</v>
      </c>
    </row>
    <row r="62" spans="1:30">
      <c r="A62" t="s">
        <v>244</v>
      </c>
      <c r="B62" t="s">
        <v>245</v>
      </c>
      <c r="C62" t="s">
        <v>86</v>
      </c>
      <c r="D62" t="s">
        <v>72</v>
      </c>
      <c r="E62" t="s">
        <v>33</v>
      </c>
      <c r="F62" t="s">
        <v>34</v>
      </c>
      <c r="G62">
        <v>8.3000000000000007</v>
      </c>
      <c r="H62">
        <v>7.2</v>
      </c>
      <c r="I62">
        <v>6.7</v>
      </c>
      <c r="J62">
        <v>6.9</v>
      </c>
      <c r="K62" s="11">
        <f t="shared" si="0"/>
        <v>7.2750000000000004</v>
      </c>
      <c r="L62" t="s">
        <v>112</v>
      </c>
      <c r="M62" t="s">
        <v>112</v>
      </c>
      <c r="N62" t="s">
        <v>61</v>
      </c>
      <c r="O62" t="s">
        <v>39</v>
      </c>
      <c r="P62" t="s">
        <v>39</v>
      </c>
      <c r="Q62" t="s">
        <v>39</v>
      </c>
      <c r="R62" t="s">
        <v>39</v>
      </c>
      <c r="S62" t="s">
        <v>39</v>
      </c>
      <c r="T62" t="s">
        <v>39</v>
      </c>
      <c r="U62" t="s">
        <v>40</v>
      </c>
      <c r="V62" t="s">
        <v>41</v>
      </c>
      <c r="W62" t="s">
        <v>54</v>
      </c>
      <c r="X62">
        <v>2</v>
      </c>
      <c r="Y62" t="s">
        <v>43</v>
      </c>
      <c r="Z62">
        <v>3</v>
      </c>
      <c r="AA62" t="s">
        <v>51</v>
      </c>
      <c r="AB62">
        <v>3</v>
      </c>
      <c r="AC62" t="s">
        <v>62</v>
      </c>
    </row>
    <row r="63" spans="1:30">
      <c r="A63" t="s">
        <v>246</v>
      </c>
      <c r="B63" t="s">
        <v>247</v>
      </c>
      <c r="C63" t="s">
        <v>31</v>
      </c>
      <c r="D63" t="s">
        <v>248</v>
      </c>
      <c r="E63" t="s">
        <v>33</v>
      </c>
      <c r="F63" t="s">
        <v>34</v>
      </c>
      <c r="G63">
        <v>8.9049999999999994</v>
      </c>
      <c r="H63">
        <v>6.9770000000000003</v>
      </c>
      <c r="I63">
        <v>7.8739999999999997</v>
      </c>
      <c r="J63">
        <v>7.7930000000000001</v>
      </c>
      <c r="K63" s="11">
        <f t="shared" si="0"/>
        <v>7.8872499999999999</v>
      </c>
      <c r="L63" t="s">
        <v>35</v>
      </c>
      <c r="M63" t="s">
        <v>35</v>
      </c>
      <c r="N63" t="s">
        <v>126</v>
      </c>
      <c r="O63" t="s">
        <v>38</v>
      </c>
      <c r="P63" t="s">
        <v>39</v>
      </c>
      <c r="Q63" t="s">
        <v>38</v>
      </c>
      <c r="R63" t="s">
        <v>127</v>
      </c>
      <c r="S63" t="s">
        <v>73</v>
      </c>
      <c r="T63" t="s">
        <v>37</v>
      </c>
      <c r="U63" t="s">
        <v>40</v>
      </c>
      <c r="V63" t="s">
        <v>41</v>
      </c>
      <c r="W63" t="s">
        <v>54</v>
      </c>
      <c r="X63">
        <v>3</v>
      </c>
      <c r="Y63" t="s">
        <v>61</v>
      </c>
      <c r="Z63">
        <v>5</v>
      </c>
      <c r="AA63" t="s">
        <v>61</v>
      </c>
      <c r="AB63">
        <v>4</v>
      </c>
      <c r="AC63" t="s">
        <v>62</v>
      </c>
    </row>
    <row r="64" spans="1:30">
      <c r="A64" t="s">
        <v>249</v>
      </c>
      <c r="B64" t="s">
        <v>250</v>
      </c>
      <c r="C64" t="s">
        <v>31</v>
      </c>
      <c r="D64" t="s">
        <v>251</v>
      </c>
      <c r="E64" t="s">
        <v>252</v>
      </c>
      <c r="F64" t="s">
        <v>34</v>
      </c>
      <c r="G64">
        <v>9.61</v>
      </c>
      <c r="H64">
        <v>10</v>
      </c>
      <c r="I64">
        <v>9.9600000000000009</v>
      </c>
      <c r="J64">
        <v>9.9600000000000009</v>
      </c>
      <c r="K64" s="11">
        <f t="shared" si="0"/>
        <v>9.8825000000000003</v>
      </c>
      <c r="L64" t="s">
        <v>49</v>
      </c>
      <c r="M64" t="s">
        <v>50</v>
      </c>
      <c r="N64" t="s">
        <v>61</v>
      </c>
      <c r="O64" t="s">
        <v>37</v>
      </c>
      <c r="P64" t="s">
        <v>39</v>
      </c>
      <c r="Q64" t="s">
        <v>37</v>
      </c>
      <c r="R64" t="s">
        <v>37</v>
      </c>
      <c r="S64" t="s">
        <v>39</v>
      </c>
      <c r="T64" t="s">
        <v>39</v>
      </c>
      <c r="U64" t="s">
        <v>59</v>
      </c>
      <c r="V64" t="s">
        <v>41</v>
      </c>
      <c r="W64" t="s">
        <v>54</v>
      </c>
      <c r="X64">
        <v>3</v>
      </c>
      <c r="Y64" t="s">
        <v>51</v>
      </c>
      <c r="Z64">
        <v>3</v>
      </c>
      <c r="AA64" t="s">
        <v>51</v>
      </c>
      <c r="AB64">
        <v>3</v>
      </c>
      <c r="AC64" t="s">
        <v>62</v>
      </c>
    </row>
    <row r="65" spans="1:30">
      <c r="A65" t="s">
        <v>253</v>
      </c>
      <c r="B65" t="s">
        <v>254</v>
      </c>
      <c r="C65" t="s">
        <v>31</v>
      </c>
      <c r="D65" t="s">
        <v>255</v>
      </c>
      <c r="E65" t="s">
        <v>255</v>
      </c>
      <c r="F65" t="s">
        <v>34</v>
      </c>
      <c r="G65">
        <v>8.91</v>
      </c>
      <c r="H65">
        <v>8</v>
      </c>
      <c r="I65">
        <v>6.52</v>
      </c>
      <c r="J65">
        <v>8.8699999999999992</v>
      </c>
      <c r="K65" s="11">
        <f t="shared" si="0"/>
        <v>8.0749999999999993</v>
      </c>
      <c r="L65" t="s">
        <v>67</v>
      </c>
      <c r="M65" t="s">
        <v>67</v>
      </c>
      <c r="N65" t="s">
        <v>36</v>
      </c>
      <c r="O65" t="s">
        <v>37</v>
      </c>
      <c r="P65" t="s">
        <v>39</v>
      </c>
      <c r="Q65" t="s">
        <v>37</v>
      </c>
      <c r="R65" t="s">
        <v>39</v>
      </c>
      <c r="S65" t="s">
        <v>39</v>
      </c>
      <c r="T65" t="s">
        <v>39</v>
      </c>
      <c r="U65" t="s">
        <v>52</v>
      </c>
      <c r="V65" t="s">
        <v>79</v>
      </c>
      <c r="W65" t="s">
        <v>54</v>
      </c>
      <c r="X65">
        <v>3</v>
      </c>
      <c r="Y65" t="s">
        <v>51</v>
      </c>
      <c r="Z65">
        <v>4</v>
      </c>
      <c r="AA65" t="s">
        <v>43</v>
      </c>
      <c r="AB65">
        <v>3</v>
      </c>
      <c r="AC65" t="s">
        <v>62</v>
      </c>
    </row>
    <row r="66" spans="1:30">
      <c r="A66" t="s">
        <v>256</v>
      </c>
      <c r="B66" t="s">
        <v>257</v>
      </c>
      <c r="C66" t="s">
        <v>31</v>
      </c>
      <c r="D66" t="s">
        <v>258</v>
      </c>
      <c r="E66" t="s">
        <v>83</v>
      </c>
      <c r="F66" t="s">
        <v>34</v>
      </c>
      <c r="G66">
        <v>7.76</v>
      </c>
      <c r="H66">
        <v>7.78</v>
      </c>
      <c r="I66">
        <v>8.3699999999999992</v>
      </c>
      <c r="J66">
        <v>8.25</v>
      </c>
      <c r="K66" s="11">
        <f t="shared" si="0"/>
        <v>8.0399999999999991</v>
      </c>
      <c r="L66" t="s">
        <v>67</v>
      </c>
      <c r="M66" t="s">
        <v>50</v>
      </c>
      <c r="N66" t="s">
        <v>61</v>
      </c>
      <c r="O66" t="s">
        <v>39</v>
      </c>
      <c r="P66" t="s">
        <v>39</v>
      </c>
      <c r="Q66" t="s">
        <v>37</v>
      </c>
      <c r="R66" t="s">
        <v>37</v>
      </c>
      <c r="S66" t="s">
        <v>37</v>
      </c>
      <c r="T66" t="s">
        <v>37</v>
      </c>
      <c r="U66" t="s">
        <v>59</v>
      </c>
      <c r="V66" t="s">
        <v>41</v>
      </c>
      <c r="W66" t="s">
        <v>54</v>
      </c>
      <c r="X66">
        <v>2</v>
      </c>
      <c r="Y66" t="s">
        <v>43</v>
      </c>
      <c r="Z66">
        <v>4</v>
      </c>
      <c r="AA66" t="s">
        <v>51</v>
      </c>
      <c r="AB66">
        <v>3</v>
      </c>
      <c r="AC66" t="s">
        <v>44</v>
      </c>
      <c r="AD66" t="s">
        <v>259</v>
      </c>
    </row>
    <row r="67" spans="1:30">
      <c r="A67" t="s">
        <v>260</v>
      </c>
      <c r="B67" t="s">
        <v>261</v>
      </c>
      <c r="C67" t="s">
        <v>31</v>
      </c>
      <c r="D67" t="s">
        <v>262</v>
      </c>
      <c r="E67" t="s">
        <v>83</v>
      </c>
      <c r="F67" t="s">
        <v>66</v>
      </c>
      <c r="G67">
        <v>9.77</v>
      </c>
      <c r="H67">
        <v>9.69</v>
      </c>
      <c r="I67">
        <v>8.64</v>
      </c>
      <c r="J67">
        <v>7.89</v>
      </c>
      <c r="K67" s="11">
        <f t="shared" ref="K67:K121" si="1">AVERAGE(G67:J67)</f>
        <v>8.9975000000000005</v>
      </c>
      <c r="L67" t="s">
        <v>67</v>
      </c>
      <c r="M67" t="s">
        <v>67</v>
      </c>
      <c r="N67" t="s">
        <v>98</v>
      </c>
      <c r="O67" t="s">
        <v>37</v>
      </c>
      <c r="P67" t="s">
        <v>73</v>
      </c>
      <c r="Q67" t="s">
        <v>38</v>
      </c>
      <c r="R67" t="s">
        <v>38</v>
      </c>
      <c r="S67" t="s">
        <v>38</v>
      </c>
      <c r="T67" t="s">
        <v>37</v>
      </c>
      <c r="U67" t="s">
        <v>59</v>
      </c>
      <c r="V67" t="s">
        <v>263</v>
      </c>
      <c r="W67" t="s">
        <v>54</v>
      </c>
      <c r="X67">
        <v>2</v>
      </c>
      <c r="Y67" t="s">
        <v>51</v>
      </c>
      <c r="Z67">
        <v>4</v>
      </c>
      <c r="AA67" t="s">
        <v>61</v>
      </c>
      <c r="AB67">
        <v>4</v>
      </c>
      <c r="AC67" t="s">
        <v>74</v>
      </c>
    </row>
    <row r="68" spans="1:30">
      <c r="A68" t="s">
        <v>264</v>
      </c>
      <c r="B68" t="s">
        <v>265</v>
      </c>
      <c r="C68" t="s">
        <v>31</v>
      </c>
      <c r="D68" t="s">
        <v>266</v>
      </c>
      <c r="E68" t="s">
        <v>33</v>
      </c>
      <c r="F68" t="s">
        <v>117</v>
      </c>
      <c r="G68">
        <v>9.02</v>
      </c>
      <c r="H68">
        <v>7.52</v>
      </c>
      <c r="I68">
        <v>8.36</v>
      </c>
      <c r="J68">
        <v>9.1999999999999993</v>
      </c>
      <c r="K68" s="11">
        <f t="shared" si="1"/>
        <v>8.5249999999999986</v>
      </c>
      <c r="L68" t="s">
        <v>49</v>
      </c>
      <c r="M68" t="s">
        <v>50</v>
      </c>
      <c r="N68" t="s">
        <v>98</v>
      </c>
      <c r="O68" t="s">
        <v>73</v>
      </c>
      <c r="P68" t="s">
        <v>39</v>
      </c>
      <c r="Q68" t="s">
        <v>37</v>
      </c>
      <c r="R68" t="s">
        <v>39</v>
      </c>
      <c r="S68" t="s">
        <v>37</v>
      </c>
      <c r="T68" t="s">
        <v>37</v>
      </c>
      <c r="U68" t="s">
        <v>40</v>
      </c>
      <c r="V68" t="s">
        <v>79</v>
      </c>
      <c r="W68" t="s">
        <v>42</v>
      </c>
      <c r="X68">
        <v>4</v>
      </c>
      <c r="Y68" t="s">
        <v>51</v>
      </c>
      <c r="Z68">
        <v>3</v>
      </c>
      <c r="AA68" t="s">
        <v>51</v>
      </c>
      <c r="AB68">
        <v>3</v>
      </c>
      <c r="AC68" t="s">
        <v>62</v>
      </c>
    </row>
    <row r="69" spans="1:30">
      <c r="A69" t="s">
        <v>267</v>
      </c>
      <c r="B69" t="s">
        <v>268</v>
      </c>
      <c r="C69" t="s">
        <v>31</v>
      </c>
      <c r="D69" t="s">
        <v>213</v>
      </c>
      <c r="E69" t="s">
        <v>33</v>
      </c>
      <c r="F69" t="s">
        <v>34</v>
      </c>
      <c r="G69">
        <v>9.09</v>
      </c>
      <c r="H69">
        <v>8.8000000000000007</v>
      </c>
      <c r="I69">
        <v>8.1199999999999992</v>
      </c>
      <c r="J69">
        <v>8.84</v>
      </c>
      <c r="K69" s="11">
        <f t="shared" si="1"/>
        <v>8.7124999999999986</v>
      </c>
      <c r="L69" t="s">
        <v>49</v>
      </c>
      <c r="M69" t="s">
        <v>67</v>
      </c>
      <c r="N69" t="s">
        <v>36</v>
      </c>
      <c r="O69" t="s">
        <v>37</v>
      </c>
      <c r="P69" t="s">
        <v>73</v>
      </c>
      <c r="Q69" t="s">
        <v>39</v>
      </c>
      <c r="R69" t="s">
        <v>37</v>
      </c>
      <c r="S69" t="s">
        <v>37</v>
      </c>
      <c r="T69" t="s">
        <v>39</v>
      </c>
      <c r="U69" t="s">
        <v>40</v>
      </c>
      <c r="V69" t="s">
        <v>79</v>
      </c>
      <c r="W69" t="s">
        <v>54</v>
      </c>
      <c r="X69">
        <v>1</v>
      </c>
      <c r="Y69" t="s">
        <v>51</v>
      </c>
      <c r="Z69">
        <v>2</v>
      </c>
      <c r="AA69" t="s">
        <v>51</v>
      </c>
      <c r="AB69">
        <v>1</v>
      </c>
      <c r="AC69" t="s">
        <v>99</v>
      </c>
    </row>
    <row r="70" spans="1:30">
      <c r="A70" t="s">
        <v>269</v>
      </c>
      <c r="B70" t="s">
        <v>270</v>
      </c>
      <c r="C70" t="s">
        <v>86</v>
      </c>
      <c r="D70" t="s">
        <v>271</v>
      </c>
      <c r="E70" t="s">
        <v>33</v>
      </c>
      <c r="F70" t="s">
        <v>34</v>
      </c>
      <c r="G70">
        <v>9.01</v>
      </c>
      <c r="H70">
        <v>7.07</v>
      </c>
      <c r="I70">
        <v>8.08</v>
      </c>
      <c r="J70">
        <v>8.23</v>
      </c>
      <c r="K70" s="11">
        <f t="shared" si="1"/>
        <v>8.0975000000000001</v>
      </c>
      <c r="L70" t="s">
        <v>67</v>
      </c>
      <c r="M70" t="s">
        <v>67</v>
      </c>
      <c r="N70" t="s">
        <v>61</v>
      </c>
      <c r="O70" t="s">
        <v>37</v>
      </c>
      <c r="P70" t="s">
        <v>39</v>
      </c>
      <c r="Q70" t="s">
        <v>39</v>
      </c>
      <c r="R70" t="s">
        <v>39</v>
      </c>
      <c r="S70" t="s">
        <v>39</v>
      </c>
      <c r="T70" t="s">
        <v>39</v>
      </c>
      <c r="U70" t="s">
        <v>40</v>
      </c>
      <c r="V70" t="s">
        <v>41</v>
      </c>
      <c r="W70" t="s">
        <v>54</v>
      </c>
      <c r="X70">
        <v>3</v>
      </c>
      <c r="Y70" t="s">
        <v>43</v>
      </c>
      <c r="Z70">
        <v>3</v>
      </c>
      <c r="AA70" t="s">
        <v>43</v>
      </c>
      <c r="AB70">
        <v>3</v>
      </c>
      <c r="AC70" t="s">
        <v>62</v>
      </c>
    </row>
    <row r="71" spans="1:30">
      <c r="A71" t="s">
        <v>272</v>
      </c>
      <c r="B71" t="s">
        <v>273</v>
      </c>
      <c r="C71" t="s">
        <v>86</v>
      </c>
      <c r="D71" t="s">
        <v>32</v>
      </c>
      <c r="E71" t="s">
        <v>33</v>
      </c>
      <c r="F71" t="s">
        <v>66</v>
      </c>
      <c r="G71">
        <v>8.98</v>
      </c>
      <c r="H71">
        <v>7.1</v>
      </c>
      <c r="I71">
        <v>6.6</v>
      </c>
      <c r="J71">
        <v>8.3979999999999997</v>
      </c>
      <c r="K71" s="11">
        <f t="shared" si="1"/>
        <v>7.7694999999999999</v>
      </c>
      <c r="L71" t="s">
        <v>67</v>
      </c>
      <c r="M71" t="s">
        <v>35</v>
      </c>
      <c r="N71" t="s">
        <v>61</v>
      </c>
      <c r="O71" t="s">
        <v>73</v>
      </c>
      <c r="P71" t="s">
        <v>39</v>
      </c>
      <c r="Q71" t="s">
        <v>73</v>
      </c>
      <c r="R71" t="s">
        <v>73</v>
      </c>
      <c r="S71" t="s">
        <v>73</v>
      </c>
      <c r="T71" t="s">
        <v>37</v>
      </c>
      <c r="U71" t="s">
        <v>52</v>
      </c>
      <c r="V71" t="s">
        <v>79</v>
      </c>
      <c r="W71" t="s">
        <v>54</v>
      </c>
      <c r="X71">
        <v>3</v>
      </c>
      <c r="Y71" t="s">
        <v>43</v>
      </c>
      <c r="Z71">
        <v>3</v>
      </c>
      <c r="AA71" t="s">
        <v>51</v>
      </c>
      <c r="AB71">
        <v>3</v>
      </c>
      <c r="AC71" t="s">
        <v>62</v>
      </c>
    </row>
    <row r="72" spans="1:30">
      <c r="A72" t="s">
        <v>274</v>
      </c>
      <c r="B72" t="s">
        <v>275</v>
      </c>
      <c r="C72" t="s">
        <v>31</v>
      </c>
      <c r="D72" t="s">
        <v>32</v>
      </c>
      <c r="E72" t="s">
        <v>33</v>
      </c>
      <c r="F72" t="s">
        <v>34</v>
      </c>
      <c r="G72">
        <v>9.4</v>
      </c>
      <c r="H72">
        <v>8.1999999999999993</v>
      </c>
      <c r="I72">
        <v>9.1</v>
      </c>
      <c r="J72">
        <v>8.6999999999999993</v>
      </c>
      <c r="K72" s="11">
        <f t="shared" si="1"/>
        <v>8.8500000000000014</v>
      </c>
      <c r="L72" t="s">
        <v>35</v>
      </c>
      <c r="M72" t="s">
        <v>112</v>
      </c>
      <c r="N72" t="s">
        <v>36</v>
      </c>
      <c r="O72" t="s">
        <v>39</v>
      </c>
      <c r="P72" t="s">
        <v>39</v>
      </c>
      <c r="Q72" t="s">
        <v>37</v>
      </c>
      <c r="R72" t="s">
        <v>37</v>
      </c>
      <c r="S72" t="s">
        <v>37</v>
      </c>
      <c r="T72" t="s">
        <v>37</v>
      </c>
      <c r="U72" t="s">
        <v>59</v>
      </c>
      <c r="V72" t="s">
        <v>79</v>
      </c>
      <c r="W72" t="s">
        <v>42</v>
      </c>
      <c r="X72">
        <v>2</v>
      </c>
      <c r="Y72" t="s">
        <v>43</v>
      </c>
      <c r="Z72">
        <v>3</v>
      </c>
      <c r="AA72" t="s">
        <v>61</v>
      </c>
      <c r="AB72">
        <v>3</v>
      </c>
      <c r="AC72" t="s">
        <v>62</v>
      </c>
    </row>
    <row r="73" spans="1:30">
      <c r="A73" t="s">
        <v>276</v>
      </c>
      <c r="B73" t="s">
        <v>277</v>
      </c>
      <c r="C73" t="s">
        <v>86</v>
      </c>
      <c r="D73" t="s">
        <v>278</v>
      </c>
      <c r="E73" t="s">
        <v>33</v>
      </c>
      <c r="F73" t="s">
        <v>34</v>
      </c>
      <c r="G73">
        <v>7.359</v>
      </c>
      <c r="H73">
        <v>6.133</v>
      </c>
      <c r="I73">
        <v>5.7169999999999996</v>
      </c>
      <c r="J73">
        <v>6.5410000000000004</v>
      </c>
      <c r="K73" s="11">
        <f t="shared" si="1"/>
        <v>6.4375</v>
      </c>
      <c r="L73" t="s">
        <v>112</v>
      </c>
      <c r="M73" t="s">
        <v>112</v>
      </c>
      <c r="N73" t="s">
        <v>36</v>
      </c>
      <c r="O73" t="s">
        <v>37</v>
      </c>
      <c r="P73" t="s">
        <v>39</v>
      </c>
      <c r="Q73" t="s">
        <v>37</v>
      </c>
      <c r="R73" t="s">
        <v>37</v>
      </c>
      <c r="S73" t="s">
        <v>37</v>
      </c>
      <c r="T73" t="s">
        <v>37</v>
      </c>
      <c r="U73" t="s">
        <v>40</v>
      </c>
      <c r="V73" t="s">
        <v>41</v>
      </c>
      <c r="W73" t="s">
        <v>54</v>
      </c>
      <c r="X73">
        <v>2</v>
      </c>
      <c r="Y73" t="s">
        <v>43</v>
      </c>
      <c r="Z73">
        <v>3</v>
      </c>
      <c r="AA73" t="s">
        <v>61</v>
      </c>
      <c r="AB73">
        <v>3</v>
      </c>
      <c r="AC73" t="s">
        <v>62</v>
      </c>
    </row>
    <row r="74" spans="1:30">
      <c r="A74" t="s">
        <v>279</v>
      </c>
      <c r="B74" t="s">
        <v>280</v>
      </c>
      <c r="C74" t="s">
        <v>31</v>
      </c>
      <c r="D74" t="s">
        <v>116</v>
      </c>
      <c r="E74" t="s">
        <v>33</v>
      </c>
      <c r="F74" t="s">
        <v>66</v>
      </c>
      <c r="G74">
        <v>6.2</v>
      </c>
      <c r="H74">
        <v>5.2</v>
      </c>
      <c r="I74">
        <v>5.3</v>
      </c>
      <c r="J74">
        <v>5.6</v>
      </c>
      <c r="K74" s="11">
        <f t="shared" si="1"/>
        <v>5.5749999999999993</v>
      </c>
      <c r="L74" t="s">
        <v>281</v>
      </c>
      <c r="M74" t="s">
        <v>281</v>
      </c>
      <c r="N74" t="s">
        <v>51</v>
      </c>
      <c r="O74" t="s">
        <v>39</v>
      </c>
      <c r="P74" t="s">
        <v>39</v>
      </c>
      <c r="Q74" t="s">
        <v>39</v>
      </c>
      <c r="R74" t="s">
        <v>39</v>
      </c>
      <c r="S74" t="s">
        <v>39</v>
      </c>
      <c r="T74" t="s">
        <v>39</v>
      </c>
      <c r="U74" t="s">
        <v>40</v>
      </c>
      <c r="V74" t="s">
        <v>41</v>
      </c>
      <c r="W74" t="s">
        <v>54</v>
      </c>
      <c r="X74">
        <v>4</v>
      </c>
      <c r="Y74" t="s">
        <v>51</v>
      </c>
      <c r="Z74">
        <v>3</v>
      </c>
      <c r="AA74" t="s">
        <v>51</v>
      </c>
      <c r="AB74">
        <v>1</v>
      </c>
      <c r="AC74" t="s">
        <v>66</v>
      </c>
      <c r="AD74" t="s">
        <v>282</v>
      </c>
    </row>
    <row r="75" spans="1:30">
      <c r="A75" t="s">
        <v>283</v>
      </c>
      <c r="B75" t="s">
        <v>284</v>
      </c>
      <c r="C75" t="s">
        <v>31</v>
      </c>
      <c r="D75" t="s">
        <v>285</v>
      </c>
      <c r="E75" t="s">
        <v>252</v>
      </c>
      <c r="F75" t="s">
        <v>34</v>
      </c>
      <c r="G75">
        <v>9.41</v>
      </c>
      <c r="H75">
        <v>8.73</v>
      </c>
      <c r="I75">
        <v>9.14</v>
      </c>
      <c r="J75">
        <v>9.1999999999999993</v>
      </c>
      <c r="K75" s="11">
        <f t="shared" si="1"/>
        <v>9.120000000000001</v>
      </c>
      <c r="L75" t="s">
        <v>35</v>
      </c>
      <c r="M75" t="s">
        <v>67</v>
      </c>
      <c r="N75" t="s">
        <v>61</v>
      </c>
      <c r="O75" t="s">
        <v>73</v>
      </c>
      <c r="P75" t="s">
        <v>39</v>
      </c>
      <c r="Q75" t="s">
        <v>39</v>
      </c>
      <c r="R75" t="s">
        <v>39</v>
      </c>
      <c r="S75" t="s">
        <v>37</v>
      </c>
      <c r="T75" t="s">
        <v>39</v>
      </c>
      <c r="U75" t="s">
        <v>59</v>
      </c>
      <c r="V75" t="s">
        <v>79</v>
      </c>
      <c r="W75" t="s">
        <v>54</v>
      </c>
      <c r="X75">
        <v>3</v>
      </c>
      <c r="Y75" t="s">
        <v>51</v>
      </c>
      <c r="Z75">
        <v>4</v>
      </c>
      <c r="AA75" t="s">
        <v>51</v>
      </c>
      <c r="AB75">
        <v>4</v>
      </c>
      <c r="AC75" t="s">
        <v>99</v>
      </c>
    </row>
    <row r="76" spans="1:30">
      <c r="A76" t="s">
        <v>286</v>
      </c>
      <c r="B76" t="s">
        <v>287</v>
      </c>
      <c r="C76" t="s">
        <v>31</v>
      </c>
      <c r="D76" t="s">
        <v>288</v>
      </c>
      <c r="E76" t="s">
        <v>288</v>
      </c>
      <c r="F76" t="s">
        <v>34</v>
      </c>
      <c r="G76">
        <v>6.5</v>
      </c>
      <c r="H76">
        <v>6.2</v>
      </c>
      <c r="I76">
        <v>7.1</v>
      </c>
      <c r="J76">
        <v>7.5</v>
      </c>
      <c r="K76" s="11">
        <f t="shared" si="1"/>
        <v>6.8249999999999993</v>
      </c>
      <c r="L76" t="s">
        <v>35</v>
      </c>
      <c r="M76" t="s">
        <v>67</v>
      </c>
      <c r="N76" t="s">
        <v>61</v>
      </c>
      <c r="O76" t="s">
        <v>37</v>
      </c>
      <c r="P76" t="s">
        <v>39</v>
      </c>
      <c r="Q76" t="s">
        <v>37</v>
      </c>
      <c r="R76" t="s">
        <v>37</v>
      </c>
      <c r="S76" t="s">
        <v>73</v>
      </c>
      <c r="T76" t="s">
        <v>73</v>
      </c>
      <c r="U76" t="s">
        <v>40</v>
      </c>
      <c r="V76" t="s">
        <v>41</v>
      </c>
      <c r="W76" t="s">
        <v>54</v>
      </c>
      <c r="X76">
        <v>4</v>
      </c>
      <c r="Y76" t="s">
        <v>43</v>
      </c>
      <c r="Z76">
        <v>3</v>
      </c>
      <c r="AA76" t="s">
        <v>61</v>
      </c>
      <c r="AB76">
        <v>5</v>
      </c>
      <c r="AC76" t="s">
        <v>62</v>
      </c>
      <c r="AD76" t="s">
        <v>289</v>
      </c>
    </row>
    <row r="77" spans="1:30">
      <c r="A77" t="s">
        <v>290</v>
      </c>
      <c r="B77" t="s">
        <v>291</v>
      </c>
      <c r="C77" t="s">
        <v>31</v>
      </c>
      <c r="D77" t="s">
        <v>167</v>
      </c>
      <c r="E77" t="s">
        <v>33</v>
      </c>
      <c r="F77" t="s">
        <v>117</v>
      </c>
      <c r="G77">
        <v>9.3000000000000007</v>
      </c>
      <c r="H77">
        <v>7.8</v>
      </c>
      <c r="I77">
        <v>8.1</v>
      </c>
      <c r="J77">
        <v>7.7</v>
      </c>
      <c r="K77" s="11">
        <f t="shared" si="1"/>
        <v>8.2250000000000014</v>
      </c>
      <c r="L77" t="s">
        <v>67</v>
      </c>
      <c r="M77" t="s">
        <v>35</v>
      </c>
      <c r="N77" t="s">
        <v>61</v>
      </c>
      <c r="O77" t="s">
        <v>73</v>
      </c>
      <c r="P77" t="s">
        <v>39</v>
      </c>
      <c r="Q77" t="s">
        <v>37</v>
      </c>
      <c r="R77" t="s">
        <v>39</v>
      </c>
      <c r="S77" t="s">
        <v>39</v>
      </c>
      <c r="T77" t="s">
        <v>39</v>
      </c>
      <c r="U77" t="s">
        <v>40</v>
      </c>
      <c r="V77" t="s">
        <v>41</v>
      </c>
      <c r="W77" t="s">
        <v>54</v>
      </c>
      <c r="X77">
        <v>4</v>
      </c>
      <c r="Y77" t="s">
        <v>61</v>
      </c>
      <c r="Z77">
        <v>5</v>
      </c>
      <c r="AA77" t="s">
        <v>43</v>
      </c>
      <c r="AB77">
        <v>3</v>
      </c>
      <c r="AC77" t="s">
        <v>62</v>
      </c>
    </row>
    <row r="78" spans="1:30">
      <c r="A78" t="s">
        <v>292</v>
      </c>
      <c r="B78" t="s">
        <v>293</v>
      </c>
      <c r="C78" t="s">
        <v>86</v>
      </c>
      <c r="D78" t="s">
        <v>294</v>
      </c>
      <c r="E78" t="s">
        <v>33</v>
      </c>
      <c r="F78" t="s">
        <v>117</v>
      </c>
      <c r="G78">
        <v>9.1999999999999993</v>
      </c>
      <c r="H78">
        <v>7</v>
      </c>
      <c r="I78">
        <v>8.1999999999999993</v>
      </c>
      <c r="J78">
        <v>7.9</v>
      </c>
      <c r="K78" s="11">
        <f t="shared" si="1"/>
        <v>8.0749999999999993</v>
      </c>
      <c r="L78" t="s">
        <v>35</v>
      </c>
      <c r="M78" t="s">
        <v>35</v>
      </c>
      <c r="N78" t="s">
        <v>61</v>
      </c>
      <c r="O78" t="s">
        <v>73</v>
      </c>
      <c r="P78" t="s">
        <v>39</v>
      </c>
      <c r="Q78" t="s">
        <v>37</v>
      </c>
      <c r="R78" t="s">
        <v>37</v>
      </c>
      <c r="S78" t="s">
        <v>39</v>
      </c>
      <c r="T78" t="s">
        <v>39</v>
      </c>
      <c r="U78" t="s">
        <v>40</v>
      </c>
      <c r="V78" t="s">
        <v>41</v>
      </c>
      <c r="W78" t="s">
        <v>54</v>
      </c>
      <c r="X78">
        <v>2</v>
      </c>
      <c r="Y78" t="s">
        <v>43</v>
      </c>
      <c r="Z78">
        <v>3</v>
      </c>
      <c r="AA78" t="s">
        <v>43</v>
      </c>
      <c r="AB78">
        <v>3</v>
      </c>
      <c r="AC78" t="s">
        <v>62</v>
      </c>
    </row>
    <row r="79" spans="1:30">
      <c r="A79" t="s">
        <v>295</v>
      </c>
      <c r="B79" t="s">
        <v>296</v>
      </c>
      <c r="C79" t="s">
        <v>31</v>
      </c>
      <c r="D79" t="s">
        <v>297</v>
      </c>
      <c r="E79" t="s">
        <v>298</v>
      </c>
      <c r="F79" t="s">
        <v>117</v>
      </c>
      <c r="G79">
        <v>9</v>
      </c>
      <c r="H79">
        <v>9.4</v>
      </c>
      <c r="I79">
        <v>8.77</v>
      </c>
      <c r="J79">
        <v>8.5399999999999991</v>
      </c>
      <c r="K79" s="11">
        <f t="shared" si="1"/>
        <v>8.9274999999999984</v>
      </c>
      <c r="L79" t="s">
        <v>67</v>
      </c>
      <c r="M79" t="s">
        <v>67</v>
      </c>
      <c r="N79" t="s">
        <v>36</v>
      </c>
      <c r="O79" t="s">
        <v>38</v>
      </c>
      <c r="P79" t="s">
        <v>37</v>
      </c>
      <c r="Q79" t="s">
        <v>39</v>
      </c>
      <c r="R79" t="s">
        <v>37</v>
      </c>
      <c r="S79" t="s">
        <v>73</v>
      </c>
      <c r="T79" t="s">
        <v>39</v>
      </c>
      <c r="U79" t="s">
        <v>40</v>
      </c>
      <c r="V79" t="s">
        <v>41</v>
      </c>
      <c r="W79" t="s">
        <v>54</v>
      </c>
      <c r="X79">
        <v>3</v>
      </c>
      <c r="Y79" t="s">
        <v>43</v>
      </c>
      <c r="Z79">
        <v>3</v>
      </c>
      <c r="AA79" t="s">
        <v>61</v>
      </c>
      <c r="AB79">
        <v>3</v>
      </c>
      <c r="AC79" t="s">
        <v>62</v>
      </c>
      <c r="AD79" t="s">
        <v>299</v>
      </c>
    </row>
    <row r="80" spans="1:30">
      <c r="A80" t="s">
        <v>300</v>
      </c>
      <c r="B80" t="s">
        <v>301</v>
      </c>
      <c r="C80" t="s">
        <v>31</v>
      </c>
      <c r="D80" t="s">
        <v>234</v>
      </c>
      <c r="E80" t="s">
        <v>33</v>
      </c>
      <c r="F80" t="s">
        <v>117</v>
      </c>
      <c r="G80">
        <v>9.3000000000000007</v>
      </c>
      <c r="H80">
        <v>6.8</v>
      </c>
      <c r="I80">
        <v>5.6</v>
      </c>
      <c r="J80">
        <v>6.8</v>
      </c>
      <c r="K80" s="11">
        <f t="shared" si="1"/>
        <v>7.1250000000000009</v>
      </c>
      <c r="L80" t="s">
        <v>112</v>
      </c>
      <c r="M80" t="s">
        <v>35</v>
      </c>
      <c r="N80" t="s">
        <v>36</v>
      </c>
      <c r="O80" t="s">
        <v>73</v>
      </c>
      <c r="P80" t="s">
        <v>39</v>
      </c>
      <c r="Q80" t="s">
        <v>37</v>
      </c>
      <c r="R80" t="s">
        <v>39</v>
      </c>
      <c r="S80" t="s">
        <v>37</v>
      </c>
      <c r="T80" t="s">
        <v>39</v>
      </c>
      <c r="U80" t="s">
        <v>40</v>
      </c>
      <c r="V80" t="s">
        <v>41</v>
      </c>
      <c r="W80" t="s">
        <v>54</v>
      </c>
      <c r="X80">
        <v>5</v>
      </c>
      <c r="Y80" t="s">
        <v>43</v>
      </c>
      <c r="Z80">
        <v>3</v>
      </c>
      <c r="AA80" t="s">
        <v>51</v>
      </c>
      <c r="AB80">
        <v>3</v>
      </c>
      <c r="AC80" t="s">
        <v>99</v>
      </c>
    </row>
    <row r="81" spans="1:30">
      <c r="A81" t="s">
        <v>302</v>
      </c>
      <c r="B81" t="s">
        <v>303</v>
      </c>
      <c r="C81" t="s">
        <v>86</v>
      </c>
      <c r="D81" t="s">
        <v>304</v>
      </c>
      <c r="E81" t="s">
        <v>65</v>
      </c>
      <c r="F81" t="s">
        <v>34</v>
      </c>
      <c r="G81">
        <v>7.55</v>
      </c>
      <c r="H81">
        <v>6</v>
      </c>
      <c r="I81">
        <v>6</v>
      </c>
      <c r="J81">
        <v>8.64</v>
      </c>
      <c r="K81" s="11">
        <f t="shared" si="1"/>
        <v>7.0475000000000003</v>
      </c>
      <c r="L81" t="s">
        <v>35</v>
      </c>
      <c r="M81" t="s">
        <v>67</v>
      </c>
      <c r="N81" t="s">
        <v>36</v>
      </c>
      <c r="O81" t="s">
        <v>37</v>
      </c>
      <c r="P81" t="s">
        <v>39</v>
      </c>
      <c r="Q81" t="s">
        <v>73</v>
      </c>
      <c r="R81" t="s">
        <v>73</v>
      </c>
      <c r="S81" t="s">
        <v>39</v>
      </c>
      <c r="T81" t="s">
        <v>39</v>
      </c>
      <c r="U81" t="s">
        <v>40</v>
      </c>
      <c r="V81" t="s">
        <v>41</v>
      </c>
      <c r="W81" t="s">
        <v>54</v>
      </c>
      <c r="X81">
        <v>3</v>
      </c>
      <c r="Y81" t="s">
        <v>51</v>
      </c>
      <c r="Z81">
        <v>4</v>
      </c>
      <c r="AA81" t="s">
        <v>51</v>
      </c>
      <c r="AB81">
        <v>4</v>
      </c>
      <c r="AC81" t="s">
        <v>62</v>
      </c>
    </row>
    <row r="82" spans="1:30">
      <c r="A82" t="s">
        <v>305</v>
      </c>
      <c r="B82" t="s">
        <v>306</v>
      </c>
      <c r="C82" t="s">
        <v>31</v>
      </c>
      <c r="D82" t="s">
        <v>307</v>
      </c>
      <c r="E82" t="s">
        <v>83</v>
      </c>
      <c r="F82" t="s">
        <v>104</v>
      </c>
      <c r="G82">
        <v>9.34</v>
      </c>
      <c r="H82">
        <v>9.56</v>
      </c>
      <c r="I82">
        <v>8.9</v>
      </c>
      <c r="J82">
        <v>9.56</v>
      </c>
      <c r="K82" s="11">
        <f t="shared" si="1"/>
        <v>9.34</v>
      </c>
      <c r="L82" t="s">
        <v>49</v>
      </c>
      <c r="M82" t="s">
        <v>50</v>
      </c>
      <c r="N82" t="s">
        <v>126</v>
      </c>
      <c r="O82" t="s">
        <v>133</v>
      </c>
      <c r="P82" t="s">
        <v>133</v>
      </c>
      <c r="Q82" t="s">
        <v>133</v>
      </c>
      <c r="R82" t="s">
        <v>133</v>
      </c>
      <c r="S82" t="s">
        <v>133</v>
      </c>
      <c r="T82" t="s">
        <v>39</v>
      </c>
      <c r="U82" t="s">
        <v>59</v>
      </c>
      <c r="V82" t="s">
        <v>53</v>
      </c>
      <c r="W82" t="s">
        <v>42</v>
      </c>
      <c r="X82">
        <v>5</v>
      </c>
      <c r="Y82" t="s">
        <v>43</v>
      </c>
      <c r="Z82">
        <v>5</v>
      </c>
      <c r="AA82" t="s">
        <v>43</v>
      </c>
      <c r="AB82">
        <v>5</v>
      </c>
      <c r="AC82" t="s">
        <v>91</v>
      </c>
      <c r="AD82" t="s">
        <v>308</v>
      </c>
    </row>
    <row r="83" spans="1:30">
      <c r="A83" t="s">
        <v>309</v>
      </c>
      <c r="B83" t="s">
        <v>310</v>
      </c>
      <c r="C83" t="s">
        <v>86</v>
      </c>
      <c r="D83" t="s">
        <v>116</v>
      </c>
      <c r="E83" t="s">
        <v>33</v>
      </c>
      <c r="F83" t="s">
        <v>66</v>
      </c>
      <c r="G83">
        <v>8.58</v>
      </c>
      <c r="H83">
        <v>7.16</v>
      </c>
      <c r="I83">
        <v>7.5</v>
      </c>
      <c r="J83">
        <v>7.01</v>
      </c>
      <c r="K83" s="11">
        <f t="shared" si="1"/>
        <v>7.5625</v>
      </c>
      <c r="L83" t="s">
        <v>35</v>
      </c>
      <c r="M83" t="s">
        <v>35</v>
      </c>
      <c r="N83" t="s">
        <v>36</v>
      </c>
      <c r="O83" t="s">
        <v>37</v>
      </c>
      <c r="P83" t="s">
        <v>39</v>
      </c>
      <c r="Q83" t="s">
        <v>37</v>
      </c>
      <c r="R83" t="s">
        <v>39</v>
      </c>
      <c r="S83" t="s">
        <v>37</v>
      </c>
      <c r="T83" t="s">
        <v>39</v>
      </c>
      <c r="U83" t="s">
        <v>59</v>
      </c>
      <c r="V83" t="s">
        <v>41</v>
      </c>
      <c r="W83" t="s">
        <v>54</v>
      </c>
      <c r="X83">
        <v>4</v>
      </c>
      <c r="Y83" t="s">
        <v>43</v>
      </c>
      <c r="Z83">
        <v>3</v>
      </c>
      <c r="AA83" t="s">
        <v>43</v>
      </c>
      <c r="AB83">
        <v>2</v>
      </c>
      <c r="AC83" t="s">
        <v>62</v>
      </c>
    </row>
    <row r="84" spans="1:30">
      <c r="A84" t="s">
        <v>311</v>
      </c>
      <c r="B84" t="s">
        <v>312</v>
      </c>
      <c r="C84" t="s">
        <v>86</v>
      </c>
      <c r="D84" t="s">
        <v>313</v>
      </c>
      <c r="E84" t="s">
        <v>33</v>
      </c>
      <c r="F84" t="s">
        <v>66</v>
      </c>
      <c r="G84">
        <v>9.1999999999999993</v>
      </c>
      <c r="H84">
        <v>5.4</v>
      </c>
      <c r="I84">
        <v>6</v>
      </c>
      <c r="J84">
        <v>5.7</v>
      </c>
      <c r="K84" s="11">
        <f t="shared" si="1"/>
        <v>6.5750000000000002</v>
      </c>
      <c r="L84" t="s">
        <v>111</v>
      </c>
      <c r="M84" t="s">
        <v>281</v>
      </c>
      <c r="N84" t="s">
        <v>36</v>
      </c>
      <c r="O84" t="s">
        <v>37</v>
      </c>
      <c r="P84" t="s">
        <v>39</v>
      </c>
      <c r="Q84" t="s">
        <v>73</v>
      </c>
      <c r="R84" t="s">
        <v>37</v>
      </c>
      <c r="S84" t="s">
        <v>37</v>
      </c>
      <c r="T84" t="s">
        <v>39</v>
      </c>
      <c r="U84" t="s">
        <v>59</v>
      </c>
      <c r="V84" t="s">
        <v>79</v>
      </c>
      <c r="W84" t="s">
        <v>54</v>
      </c>
      <c r="X84">
        <v>1</v>
      </c>
      <c r="Y84" t="s">
        <v>43</v>
      </c>
      <c r="Z84">
        <v>1</v>
      </c>
      <c r="AA84" t="s">
        <v>51</v>
      </c>
      <c r="AB84">
        <v>3</v>
      </c>
      <c r="AC84" t="s">
        <v>44</v>
      </c>
    </row>
    <row r="85" spans="1:30">
      <c r="A85" t="s">
        <v>314</v>
      </c>
      <c r="B85" t="s">
        <v>315</v>
      </c>
      <c r="C85" t="s">
        <v>86</v>
      </c>
      <c r="D85" t="s">
        <v>316</v>
      </c>
      <c r="E85" t="s">
        <v>33</v>
      </c>
      <c r="F85" t="s">
        <v>117</v>
      </c>
      <c r="G85">
        <v>7.8</v>
      </c>
      <c r="H85">
        <v>6.9</v>
      </c>
      <c r="I85">
        <v>7.2</v>
      </c>
      <c r="J85">
        <v>7.4</v>
      </c>
      <c r="K85" s="11">
        <f t="shared" si="1"/>
        <v>7.3249999999999993</v>
      </c>
      <c r="L85" t="s">
        <v>112</v>
      </c>
      <c r="M85" t="s">
        <v>111</v>
      </c>
      <c r="N85" t="s">
        <v>61</v>
      </c>
      <c r="O85" t="s">
        <v>38</v>
      </c>
      <c r="P85" t="s">
        <v>39</v>
      </c>
      <c r="Q85" t="s">
        <v>37</v>
      </c>
      <c r="R85" t="s">
        <v>39</v>
      </c>
      <c r="S85" t="s">
        <v>38</v>
      </c>
      <c r="T85" t="s">
        <v>38</v>
      </c>
      <c r="U85" t="s">
        <v>59</v>
      </c>
      <c r="V85" t="s">
        <v>41</v>
      </c>
      <c r="W85" t="s">
        <v>54</v>
      </c>
      <c r="X85">
        <v>3</v>
      </c>
      <c r="Y85" t="s">
        <v>43</v>
      </c>
      <c r="Z85">
        <v>3</v>
      </c>
      <c r="AA85" t="s">
        <v>51</v>
      </c>
      <c r="AB85">
        <v>5</v>
      </c>
      <c r="AC85" t="s">
        <v>74</v>
      </c>
    </row>
    <row r="86" spans="1:30">
      <c r="A86" t="s">
        <v>317</v>
      </c>
      <c r="B86" t="s">
        <v>318</v>
      </c>
      <c r="C86" t="s">
        <v>31</v>
      </c>
      <c r="D86" t="s">
        <v>319</v>
      </c>
      <c r="E86" t="s">
        <v>33</v>
      </c>
      <c r="F86" t="s">
        <v>66</v>
      </c>
      <c r="G86">
        <v>8.9</v>
      </c>
      <c r="H86">
        <v>6.6</v>
      </c>
      <c r="I86">
        <v>8.0399999999999991</v>
      </c>
      <c r="J86">
        <v>7.4</v>
      </c>
      <c r="K86" s="11">
        <f t="shared" si="1"/>
        <v>7.7349999999999994</v>
      </c>
      <c r="L86" t="s">
        <v>35</v>
      </c>
      <c r="M86" t="s">
        <v>112</v>
      </c>
      <c r="N86" t="s">
        <v>98</v>
      </c>
      <c r="O86" t="s">
        <v>39</v>
      </c>
      <c r="P86" t="s">
        <v>73</v>
      </c>
      <c r="Q86" t="s">
        <v>37</v>
      </c>
      <c r="R86" t="s">
        <v>37</v>
      </c>
      <c r="S86" t="s">
        <v>37</v>
      </c>
      <c r="T86" t="s">
        <v>73</v>
      </c>
      <c r="U86" t="s">
        <v>40</v>
      </c>
      <c r="V86" t="s">
        <v>41</v>
      </c>
      <c r="W86" t="s">
        <v>54</v>
      </c>
      <c r="X86">
        <v>1</v>
      </c>
      <c r="Y86" t="s">
        <v>51</v>
      </c>
      <c r="Z86">
        <v>3</v>
      </c>
      <c r="AA86" t="s">
        <v>51</v>
      </c>
      <c r="AB86">
        <v>4</v>
      </c>
      <c r="AC86" t="s">
        <v>99</v>
      </c>
    </row>
    <row r="87" spans="1:30">
      <c r="A87" t="s">
        <v>320</v>
      </c>
      <c r="B87" t="s">
        <v>321</v>
      </c>
      <c r="C87" t="s">
        <v>86</v>
      </c>
      <c r="D87" t="s">
        <v>322</v>
      </c>
      <c r="E87" t="s">
        <v>97</v>
      </c>
      <c r="F87" t="s">
        <v>117</v>
      </c>
      <c r="G87">
        <v>8.8000000000000007</v>
      </c>
      <c r="H87">
        <v>8.1</v>
      </c>
      <c r="I87">
        <v>7.92</v>
      </c>
      <c r="J87">
        <v>8.4</v>
      </c>
      <c r="K87" s="11">
        <f t="shared" si="1"/>
        <v>8.3049999999999997</v>
      </c>
      <c r="L87" t="s">
        <v>35</v>
      </c>
      <c r="M87" t="s">
        <v>67</v>
      </c>
      <c r="N87" t="s">
        <v>51</v>
      </c>
      <c r="O87" t="s">
        <v>37</v>
      </c>
      <c r="P87" t="s">
        <v>39</v>
      </c>
      <c r="Q87" t="s">
        <v>39</v>
      </c>
      <c r="R87" t="s">
        <v>39</v>
      </c>
      <c r="S87" t="s">
        <v>39</v>
      </c>
      <c r="T87" t="s">
        <v>37</v>
      </c>
      <c r="U87" t="s">
        <v>40</v>
      </c>
      <c r="V87" t="s">
        <v>60</v>
      </c>
      <c r="W87" t="s">
        <v>54</v>
      </c>
      <c r="X87">
        <v>2</v>
      </c>
      <c r="Y87" t="s">
        <v>43</v>
      </c>
      <c r="Z87">
        <v>3</v>
      </c>
      <c r="AA87" t="s">
        <v>51</v>
      </c>
      <c r="AB87">
        <v>5</v>
      </c>
      <c r="AC87" t="s">
        <v>99</v>
      </c>
    </row>
    <row r="88" spans="1:30">
      <c r="A88" t="s">
        <v>323</v>
      </c>
      <c r="B88" t="s">
        <v>324</v>
      </c>
      <c r="C88" t="s">
        <v>31</v>
      </c>
      <c r="D88" t="s">
        <v>304</v>
      </c>
      <c r="E88" t="s">
        <v>325</v>
      </c>
      <c r="F88" t="s">
        <v>66</v>
      </c>
      <c r="G88">
        <v>8</v>
      </c>
      <c r="H88">
        <v>7</v>
      </c>
      <c r="I88">
        <v>9.27</v>
      </c>
      <c r="J88">
        <v>9.09</v>
      </c>
      <c r="K88" s="11">
        <f t="shared" si="1"/>
        <v>8.34</v>
      </c>
      <c r="L88" t="s">
        <v>49</v>
      </c>
      <c r="M88" t="s">
        <v>50</v>
      </c>
      <c r="N88" t="s">
        <v>61</v>
      </c>
      <c r="O88" t="s">
        <v>39</v>
      </c>
      <c r="P88" t="s">
        <v>39</v>
      </c>
      <c r="Q88" t="s">
        <v>37</v>
      </c>
      <c r="R88" t="s">
        <v>39</v>
      </c>
      <c r="S88" t="s">
        <v>37</v>
      </c>
      <c r="T88" t="s">
        <v>39</v>
      </c>
      <c r="U88" t="s">
        <v>40</v>
      </c>
      <c r="V88" t="s">
        <v>41</v>
      </c>
      <c r="W88" t="s">
        <v>54</v>
      </c>
      <c r="X88">
        <v>2</v>
      </c>
      <c r="Y88" t="s">
        <v>51</v>
      </c>
      <c r="Z88">
        <v>3</v>
      </c>
      <c r="AA88" t="s">
        <v>43</v>
      </c>
      <c r="AB88">
        <v>3</v>
      </c>
      <c r="AC88" t="s">
        <v>62</v>
      </c>
    </row>
    <row r="89" spans="1:30">
      <c r="A89" t="s">
        <v>326</v>
      </c>
      <c r="B89" t="s">
        <v>327</v>
      </c>
      <c r="C89" t="s">
        <v>86</v>
      </c>
      <c r="D89" t="s">
        <v>328</v>
      </c>
      <c r="E89" t="s">
        <v>33</v>
      </c>
      <c r="F89" t="s">
        <v>34</v>
      </c>
      <c r="G89">
        <v>9.31</v>
      </c>
      <c r="H89">
        <v>6.91</v>
      </c>
      <c r="I89">
        <v>6.01</v>
      </c>
      <c r="J89">
        <v>7.4</v>
      </c>
      <c r="K89" s="11">
        <f t="shared" si="1"/>
        <v>7.4074999999999989</v>
      </c>
      <c r="L89" t="s">
        <v>35</v>
      </c>
      <c r="M89" t="s">
        <v>112</v>
      </c>
      <c r="N89" t="s">
        <v>36</v>
      </c>
      <c r="O89" t="s">
        <v>37</v>
      </c>
      <c r="P89" t="s">
        <v>39</v>
      </c>
      <c r="Q89" t="s">
        <v>73</v>
      </c>
      <c r="R89" t="s">
        <v>39</v>
      </c>
      <c r="S89" t="s">
        <v>37</v>
      </c>
      <c r="T89" t="s">
        <v>39</v>
      </c>
      <c r="U89" t="s">
        <v>59</v>
      </c>
      <c r="V89" t="s">
        <v>79</v>
      </c>
      <c r="W89" t="s">
        <v>54</v>
      </c>
      <c r="X89">
        <v>2</v>
      </c>
      <c r="Y89" t="s">
        <v>43</v>
      </c>
      <c r="Z89">
        <v>5</v>
      </c>
      <c r="AA89" t="s">
        <v>43</v>
      </c>
      <c r="AB89">
        <v>4</v>
      </c>
      <c r="AC89" t="s">
        <v>44</v>
      </c>
      <c r="AD89" t="s">
        <v>329</v>
      </c>
    </row>
    <row r="90" spans="1:30">
      <c r="A90" t="s">
        <v>330</v>
      </c>
      <c r="B90" t="s">
        <v>331</v>
      </c>
      <c r="C90" t="s">
        <v>31</v>
      </c>
      <c r="D90" t="s">
        <v>332</v>
      </c>
      <c r="E90" t="s">
        <v>333</v>
      </c>
      <c r="F90" t="s">
        <v>48</v>
      </c>
      <c r="G90">
        <v>8.09</v>
      </c>
      <c r="H90">
        <v>7.11</v>
      </c>
      <c r="I90">
        <v>8.36</v>
      </c>
      <c r="J90">
        <v>7.59</v>
      </c>
      <c r="K90" s="11">
        <f t="shared" si="1"/>
        <v>7.7874999999999996</v>
      </c>
      <c r="L90" t="s">
        <v>67</v>
      </c>
      <c r="M90" t="s">
        <v>67</v>
      </c>
      <c r="N90" t="s">
        <v>98</v>
      </c>
      <c r="O90" t="s">
        <v>37</v>
      </c>
      <c r="P90" t="s">
        <v>39</v>
      </c>
      <c r="Q90" t="s">
        <v>37</v>
      </c>
      <c r="R90" t="s">
        <v>39</v>
      </c>
      <c r="S90" t="s">
        <v>37</v>
      </c>
      <c r="T90" t="s">
        <v>37</v>
      </c>
      <c r="U90" t="s">
        <v>59</v>
      </c>
      <c r="V90" t="s">
        <v>41</v>
      </c>
      <c r="W90" t="s">
        <v>54</v>
      </c>
      <c r="X90">
        <v>5</v>
      </c>
      <c r="Y90" t="s">
        <v>61</v>
      </c>
      <c r="Z90">
        <v>5</v>
      </c>
      <c r="AA90" t="s">
        <v>51</v>
      </c>
      <c r="AB90">
        <v>5</v>
      </c>
      <c r="AC90" t="s">
        <v>62</v>
      </c>
    </row>
    <row r="91" spans="1:30">
      <c r="A91" t="s">
        <v>334</v>
      </c>
      <c r="B91" t="s">
        <v>335</v>
      </c>
      <c r="C91" t="s">
        <v>31</v>
      </c>
      <c r="D91" t="s">
        <v>336</v>
      </c>
      <c r="E91" t="s">
        <v>83</v>
      </c>
      <c r="F91" t="s">
        <v>34</v>
      </c>
      <c r="G91">
        <v>9.3000000000000007</v>
      </c>
      <c r="H91">
        <v>8.64</v>
      </c>
      <c r="I91">
        <v>6.5</v>
      </c>
      <c r="J91">
        <v>6.3</v>
      </c>
      <c r="K91" s="11">
        <f t="shared" si="1"/>
        <v>7.6850000000000005</v>
      </c>
      <c r="L91" t="s">
        <v>35</v>
      </c>
      <c r="M91" t="s">
        <v>112</v>
      </c>
      <c r="N91" t="s">
        <v>68</v>
      </c>
      <c r="O91" t="s">
        <v>37</v>
      </c>
      <c r="P91" t="s">
        <v>37</v>
      </c>
      <c r="Q91" t="s">
        <v>73</v>
      </c>
      <c r="R91" t="s">
        <v>73</v>
      </c>
      <c r="S91" t="s">
        <v>39</v>
      </c>
      <c r="T91" t="s">
        <v>39</v>
      </c>
      <c r="U91" t="s">
        <v>40</v>
      </c>
      <c r="V91" t="s">
        <v>41</v>
      </c>
      <c r="W91" t="s">
        <v>42</v>
      </c>
      <c r="X91">
        <v>2</v>
      </c>
      <c r="Y91" t="s">
        <v>51</v>
      </c>
      <c r="Z91">
        <v>3</v>
      </c>
      <c r="AA91" t="s">
        <v>51</v>
      </c>
      <c r="AB91">
        <v>3</v>
      </c>
      <c r="AC91" t="s">
        <v>62</v>
      </c>
    </row>
    <row r="92" spans="1:30">
      <c r="A92" t="s">
        <v>337</v>
      </c>
      <c r="B92" t="s">
        <v>338</v>
      </c>
      <c r="C92" t="s">
        <v>31</v>
      </c>
      <c r="D92" t="s">
        <v>130</v>
      </c>
      <c r="E92" t="s">
        <v>33</v>
      </c>
      <c r="F92" t="s">
        <v>66</v>
      </c>
      <c r="G92">
        <v>8.9</v>
      </c>
      <c r="H92">
        <v>5.6</v>
      </c>
      <c r="I92">
        <v>6.1</v>
      </c>
      <c r="J92">
        <v>6</v>
      </c>
      <c r="K92" s="11">
        <f t="shared" si="1"/>
        <v>6.65</v>
      </c>
      <c r="L92" t="s">
        <v>111</v>
      </c>
      <c r="M92" t="s">
        <v>111</v>
      </c>
      <c r="N92" t="s">
        <v>68</v>
      </c>
      <c r="O92" t="s">
        <v>37</v>
      </c>
      <c r="P92" t="s">
        <v>37</v>
      </c>
      <c r="Q92" t="s">
        <v>39</v>
      </c>
      <c r="R92" t="s">
        <v>39</v>
      </c>
      <c r="S92" t="s">
        <v>73</v>
      </c>
      <c r="T92" t="s">
        <v>37</v>
      </c>
      <c r="U92" t="s">
        <v>40</v>
      </c>
      <c r="V92" t="s">
        <v>79</v>
      </c>
      <c r="W92" t="s">
        <v>54</v>
      </c>
      <c r="X92">
        <v>3</v>
      </c>
      <c r="Y92" t="s">
        <v>61</v>
      </c>
      <c r="Z92">
        <v>5</v>
      </c>
      <c r="AA92" t="s">
        <v>43</v>
      </c>
      <c r="AB92">
        <v>3</v>
      </c>
      <c r="AC92" t="s">
        <v>99</v>
      </c>
    </row>
    <row r="93" spans="1:30">
      <c r="A93" t="s">
        <v>339</v>
      </c>
      <c r="B93" t="s">
        <v>340</v>
      </c>
      <c r="C93" t="s">
        <v>86</v>
      </c>
      <c r="D93" t="s">
        <v>149</v>
      </c>
      <c r="E93" t="s">
        <v>33</v>
      </c>
      <c r="F93" t="s">
        <v>34</v>
      </c>
      <c r="G93">
        <v>8</v>
      </c>
      <c r="H93">
        <v>6.2</v>
      </c>
      <c r="I93">
        <v>7.02</v>
      </c>
      <c r="J93">
        <v>6.2</v>
      </c>
      <c r="K93" s="11">
        <f t="shared" si="1"/>
        <v>6.8549999999999995</v>
      </c>
      <c r="L93" t="s">
        <v>112</v>
      </c>
      <c r="M93" t="s">
        <v>111</v>
      </c>
      <c r="N93" t="s">
        <v>36</v>
      </c>
      <c r="O93" t="s">
        <v>37</v>
      </c>
      <c r="P93" t="s">
        <v>39</v>
      </c>
      <c r="Q93" t="s">
        <v>37</v>
      </c>
      <c r="R93" t="s">
        <v>37</v>
      </c>
      <c r="S93" t="s">
        <v>39</v>
      </c>
      <c r="T93" t="s">
        <v>37</v>
      </c>
      <c r="U93" t="s">
        <v>52</v>
      </c>
      <c r="V93" t="s">
        <v>41</v>
      </c>
      <c r="W93" t="s">
        <v>54</v>
      </c>
      <c r="X93">
        <v>2</v>
      </c>
      <c r="Y93" t="s">
        <v>43</v>
      </c>
      <c r="Z93">
        <v>3</v>
      </c>
      <c r="AA93" t="s">
        <v>51</v>
      </c>
      <c r="AB93">
        <v>4</v>
      </c>
      <c r="AC93" t="s">
        <v>62</v>
      </c>
    </row>
    <row r="94" spans="1:30">
      <c r="A94" t="s">
        <v>341</v>
      </c>
      <c r="B94" t="s">
        <v>342</v>
      </c>
      <c r="C94" t="s">
        <v>86</v>
      </c>
      <c r="D94" t="s">
        <v>343</v>
      </c>
      <c r="E94" t="s">
        <v>33</v>
      </c>
      <c r="F94" t="s">
        <v>34</v>
      </c>
      <c r="G94">
        <v>9.1199999999999992</v>
      </c>
      <c r="H94">
        <v>6.5</v>
      </c>
      <c r="I94">
        <v>8</v>
      </c>
      <c r="J94">
        <v>7.06</v>
      </c>
      <c r="K94" s="11">
        <f t="shared" si="1"/>
        <v>7.669999999999999</v>
      </c>
      <c r="L94" t="s">
        <v>35</v>
      </c>
      <c r="M94" t="s">
        <v>35</v>
      </c>
      <c r="N94" t="s">
        <v>61</v>
      </c>
      <c r="O94" t="s">
        <v>39</v>
      </c>
      <c r="P94" t="s">
        <v>39</v>
      </c>
      <c r="Q94" t="s">
        <v>39</v>
      </c>
      <c r="R94" t="s">
        <v>39</v>
      </c>
      <c r="S94" t="s">
        <v>37</v>
      </c>
      <c r="T94" t="s">
        <v>39</v>
      </c>
      <c r="U94" t="s">
        <v>59</v>
      </c>
      <c r="V94" t="s">
        <v>263</v>
      </c>
      <c r="W94" t="s">
        <v>54</v>
      </c>
      <c r="X94">
        <v>2</v>
      </c>
      <c r="Y94" t="s">
        <v>43</v>
      </c>
      <c r="Z94">
        <v>3</v>
      </c>
      <c r="AA94" t="s">
        <v>51</v>
      </c>
      <c r="AB94">
        <v>4</v>
      </c>
      <c r="AC94" t="s">
        <v>99</v>
      </c>
    </row>
    <row r="95" spans="1:30">
      <c r="A95" t="s">
        <v>344</v>
      </c>
      <c r="B95" t="s">
        <v>345</v>
      </c>
      <c r="C95" t="s">
        <v>31</v>
      </c>
      <c r="D95" t="s">
        <v>251</v>
      </c>
      <c r="E95" t="s">
        <v>33</v>
      </c>
      <c r="F95" t="s">
        <v>34</v>
      </c>
      <c r="G95">
        <v>9.86</v>
      </c>
      <c r="H95">
        <v>9.2200000000000006</v>
      </c>
      <c r="I95">
        <v>9.48</v>
      </c>
      <c r="J95">
        <v>9.24</v>
      </c>
      <c r="K95" s="11">
        <f t="shared" si="1"/>
        <v>9.4499999999999993</v>
      </c>
      <c r="L95" t="s">
        <v>49</v>
      </c>
      <c r="M95" t="s">
        <v>50</v>
      </c>
      <c r="N95" t="s">
        <v>98</v>
      </c>
      <c r="O95" t="s">
        <v>37</v>
      </c>
      <c r="P95" t="s">
        <v>39</v>
      </c>
      <c r="Q95" t="s">
        <v>73</v>
      </c>
      <c r="R95" t="s">
        <v>73</v>
      </c>
      <c r="S95" t="s">
        <v>73</v>
      </c>
      <c r="T95" t="s">
        <v>37</v>
      </c>
      <c r="U95" t="s">
        <v>40</v>
      </c>
      <c r="V95" t="s">
        <v>41</v>
      </c>
      <c r="W95" t="s">
        <v>54</v>
      </c>
      <c r="X95">
        <v>3</v>
      </c>
      <c r="Y95" t="s">
        <v>36</v>
      </c>
      <c r="Z95">
        <v>5</v>
      </c>
      <c r="AA95" t="s">
        <v>61</v>
      </c>
      <c r="AB95">
        <v>4</v>
      </c>
      <c r="AC95" t="s">
        <v>99</v>
      </c>
    </row>
    <row r="96" spans="1:30">
      <c r="A96" t="s">
        <v>346</v>
      </c>
      <c r="B96" t="s">
        <v>347</v>
      </c>
      <c r="C96" t="s">
        <v>31</v>
      </c>
      <c r="D96" t="s">
        <v>348</v>
      </c>
      <c r="E96" t="s">
        <v>83</v>
      </c>
      <c r="F96" t="s">
        <v>66</v>
      </c>
      <c r="G96">
        <v>10</v>
      </c>
      <c r="H96">
        <v>9.56</v>
      </c>
      <c r="I96">
        <v>8.32</v>
      </c>
      <c r="J96">
        <v>8.7100000000000009</v>
      </c>
      <c r="K96" s="11">
        <f t="shared" si="1"/>
        <v>9.1475000000000009</v>
      </c>
      <c r="L96" t="s">
        <v>35</v>
      </c>
      <c r="M96" t="s">
        <v>35</v>
      </c>
      <c r="N96" t="s">
        <v>98</v>
      </c>
      <c r="O96" t="s">
        <v>37</v>
      </c>
      <c r="P96" t="s">
        <v>73</v>
      </c>
      <c r="Q96" t="s">
        <v>73</v>
      </c>
      <c r="R96" t="s">
        <v>73</v>
      </c>
      <c r="S96" t="s">
        <v>37</v>
      </c>
      <c r="T96" t="s">
        <v>39</v>
      </c>
      <c r="U96" t="s">
        <v>52</v>
      </c>
      <c r="V96" t="s">
        <v>41</v>
      </c>
      <c r="W96" t="s">
        <v>54</v>
      </c>
      <c r="X96">
        <v>3</v>
      </c>
      <c r="Y96" t="s">
        <v>43</v>
      </c>
      <c r="Z96">
        <v>3</v>
      </c>
      <c r="AA96" t="s">
        <v>43</v>
      </c>
      <c r="AB96">
        <v>3</v>
      </c>
      <c r="AC96" t="s">
        <v>62</v>
      </c>
    </row>
    <row r="97" spans="1:30">
      <c r="A97" t="s">
        <v>349</v>
      </c>
      <c r="B97" t="s">
        <v>350</v>
      </c>
      <c r="C97" t="s">
        <v>31</v>
      </c>
      <c r="D97" t="s">
        <v>149</v>
      </c>
      <c r="E97" t="s">
        <v>33</v>
      </c>
      <c r="F97" t="s">
        <v>117</v>
      </c>
      <c r="G97">
        <v>8.0090000000000003</v>
      </c>
      <c r="H97">
        <v>6.282</v>
      </c>
      <c r="I97">
        <v>7.3529999999999998</v>
      </c>
      <c r="J97">
        <v>6.8940000000000001</v>
      </c>
      <c r="K97" s="11">
        <f t="shared" si="1"/>
        <v>7.1344999999999992</v>
      </c>
      <c r="L97" t="s">
        <v>35</v>
      </c>
      <c r="M97" t="s">
        <v>35</v>
      </c>
      <c r="N97" t="s">
        <v>36</v>
      </c>
      <c r="O97" t="s">
        <v>37</v>
      </c>
      <c r="P97" t="s">
        <v>39</v>
      </c>
      <c r="Q97" t="s">
        <v>37</v>
      </c>
      <c r="R97" t="s">
        <v>37</v>
      </c>
      <c r="S97" t="s">
        <v>37</v>
      </c>
      <c r="T97" t="s">
        <v>37</v>
      </c>
      <c r="U97" t="s">
        <v>40</v>
      </c>
      <c r="V97" t="s">
        <v>41</v>
      </c>
      <c r="W97" t="s">
        <v>54</v>
      </c>
      <c r="X97">
        <v>3</v>
      </c>
      <c r="Y97" t="s">
        <v>43</v>
      </c>
      <c r="Z97">
        <v>2</v>
      </c>
      <c r="AA97" t="s">
        <v>51</v>
      </c>
      <c r="AB97">
        <v>2</v>
      </c>
      <c r="AC97" t="s">
        <v>62</v>
      </c>
      <c r="AD97" t="s">
        <v>351</v>
      </c>
    </row>
    <row r="98" spans="1:30">
      <c r="A98" t="s">
        <v>352</v>
      </c>
      <c r="B98" t="s">
        <v>353</v>
      </c>
      <c r="C98" t="s">
        <v>86</v>
      </c>
      <c r="D98" t="s">
        <v>354</v>
      </c>
      <c r="E98" t="s">
        <v>33</v>
      </c>
      <c r="F98" t="s">
        <v>34</v>
      </c>
      <c r="G98">
        <v>8.5</v>
      </c>
      <c r="H98">
        <v>5.5</v>
      </c>
      <c r="I98">
        <v>5.6</v>
      </c>
      <c r="J98">
        <v>7.6</v>
      </c>
      <c r="K98" s="11">
        <f t="shared" si="1"/>
        <v>6.8000000000000007</v>
      </c>
      <c r="L98" t="s">
        <v>35</v>
      </c>
      <c r="M98" t="s">
        <v>35</v>
      </c>
      <c r="N98" t="s">
        <v>61</v>
      </c>
      <c r="O98" t="s">
        <v>37</v>
      </c>
      <c r="P98" t="s">
        <v>37</v>
      </c>
      <c r="Q98" t="s">
        <v>39</v>
      </c>
      <c r="R98" t="s">
        <v>39</v>
      </c>
      <c r="S98" t="s">
        <v>37</v>
      </c>
      <c r="T98" t="s">
        <v>39</v>
      </c>
      <c r="U98" t="s">
        <v>52</v>
      </c>
      <c r="V98" t="s">
        <v>79</v>
      </c>
      <c r="W98" t="s">
        <v>54</v>
      </c>
      <c r="X98">
        <v>1</v>
      </c>
      <c r="Y98" t="s">
        <v>43</v>
      </c>
      <c r="Z98">
        <v>3</v>
      </c>
      <c r="AA98" t="s">
        <v>43</v>
      </c>
      <c r="AB98">
        <v>3</v>
      </c>
      <c r="AC98" t="s">
        <v>44</v>
      </c>
    </row>
    <row r="99" spans="1:30">
      <c r="A99" t="s">
        <v>355</v>
      </c>
      <c r="B99" t="s">
        <v>356</v>
      </c>
      <c r="C99" t="s">
        <v>86</v>
      </c>
      <c r="D99" t="s">
        <v>248</v>
      </c>
      <c r="E99" t="s">
        <v>357</v>
      </c>
      <c r="F99" t="s">
        <v>117</v>
      </c>
      <c r="G99">
        <v>9</v>
      </c>
      <c r="H99">
        <v>9</v>
      </c>
      <c r="I99">
        <v>7.69</v>
      </c>
      <c r="J99">
        <v>6.69</v>
      </c>
      <c r="K99" s="11">
        <f t="shared" si="1"/>
        <v>8.0950000000000006</v>
      </c>
      <c r="L99" t="s">
        <v>112</v>
      </c>
      <c r="M99" t="s">
        <v>112</v>
      </c>
      <c r="N99" t="s">
        <v>61</v>
      </c>
      <c r="O99" t="s">
        <v>39</v>
      </c>
      <c r="P99" t="s">
        <v>39</v>
      </c>
      <c r="Q99" t="s">
        <v>39</v>
      </c>
      <c r="R99" t="s">
        <v>39</v>
      </c>
      <c r="S99" t="s">
        <v>39</v>
      </c>
      <c r="T99" t="s">
        <v>39</v>
      </c>
      <c r="U99" t="s">
        <v>40</v>
      </c>
      <c r="V99" t="s">
        <v>41</v>
      </c>
      <c r="W99" t="s">
        <v>54</v>
      </c>
      <c r="X99">
        <v>4</v>
      </c>
      <c r="Y99" t="s">
        <v>43</v>
      </c>
      <c r="Z99">
        <v>3</v>
      </c>
      <c r="AA99" t="s">
        <v>43</v>
      </c>
      <c r="AB99">
        <v>1</v>
      </c>
      <c r="AC99" t="s">
        <v>62</v>
      </c>
      <c r="AD99" t="s">
        <v>42</v>
      </c>
    </row>
    <row r="100" spans="1:30">
      <c r="A100" t="s">
        <v>358</v>
      </c>
      <c r="B100" t="s">
        <v>359</v>
      </c>
      <c r="C100" t="s">
        <v>31</v>
      </c>
      <c r="D100" t="s">
        <v>360</v>
      </c>
      <c r="E100" t="s">
        <v>97</v>
      </c>
      <c r="F100" t="s">
        <v>34</v>
      </c>
      <c r="G100">
        <v>10</v>
      </c>
      <c r="H100">
        <v>10</v>
      </c>
      <c r="I100">
        <v>8.1999999999999993</v>
      </c>
      <c r="J100">
        <v>9.3000000000000007</v>
      </c>
      <c r="K100" s="11">
        <f t="shared" si="1"/>
        <v>9.375</v>
      </c>
      <c r="L100" t="s">
        <v>49</v>
      </c>
      <c r="M100" t="s">
        <v>50</v>
      </c>
      <c r="N100" t="s">
        <v>36</v>
      </c>
      <c r="O100" t="s">
        <v>37</v>
      </c>
      <c r="P100" t="s">
        <v>37</v>
      </c>
      <c r="Q100" t="s">
        <v>39</v>
      </c>
      <c r="R100" t="s">
        <v>37</v>
      </c>
      <c r="S100" t="s">
        <v>37</v>
      </c>
      <c r="T100" t="s">
        <v>39</v>
      </c>
      <c r="U100" t="s">
        <v>40</v>
      </c>
      <c r="V100" t="s">
        <v>41</v>
      </c>
      <c r="W100" t="s">
        <v>54</v>
      </c>
      <c r="X100">
        <v>2</v>
      </c>
      <c r="Y100" t="s">
        <v>51</v>
      </c>
      <c r="Z100">
        <v>4</v>
      </c>
      <c r="AA100" t="s">
        <v>43</v>
      </c>
      <c r="AB100">
        <v>3</v>
      </c>
      <c r="AC100" t="s">
        <v>99</v>
      </c>
    </row>
    <row r="101" spans="1:30">
      <c r="A101" t="s">
        <v>361</v>
      </c>
      <c r="B101" t="s">
        <v>362</v>
      </c>
      <c r="C101" t="s">
        <v>86</v>
      </c>
      <c r="D101" t="s">
        <v>363</v>
      </c>
      <c r="E101" t="s">
        <v>252</v>
      </c>
      <c r="F101" t="s">
        <v>34</v>
      </c>
      <c r="G101">
        <v>9.4</v>
      </c>
      <c r="H101">
        <v>9.5</v>
      </c>
      <c r="I101">
        <v>9.6</v>
      </c>
      <c r="J101">
        <v>9.5</v>
      </c>
      <c r="K101" s="11">
        <f t="shared" si="1"/>
        <v>9.5</v>
      </c>
      <c r="L101" t="s">
        <v>49</v>
      </c>
      <c r="M101" t="s">
        <v>50</v>
      </c>
      <c r="N101" t="s">
        <v>36</v>
      </c>
      <c r="O101" t="s">
        <v>37</v>
      </c>
      <c r="P101" t="s">
        <v>39</v>
      </c>
      <c r="Q101" t="s">
        <v>37</v>
      </c>
      <c r="R101" t="s">
        <v>37</v>
      </c>
      <c r="S101" t="s">
        <v>37</v>
      </c>
      <c r="T101" t="s">
        <v>37</v>
      </c>
      <c r="U101" t="s">
        <v>59</v>
      </c>
      <c r="V101" t="s">
        <v>79</v>
      </c>
      <c r="W101" t="s">
        <v>54</v>
      </c>
      <c r="X101">
        <v>3</v>
      </c>
      <c r="Y101" t="s">
        <v>51</v>
      </c>
      <c r="Z101">
        <v>4</v>
      </c>
      <c r="AA101" t="s">
        <v>51</v>
      </c>
      <c r="AB101">
        <v>3</v>
      </c>
      <c r="AC101" t="s">
        <v>62</v>
      </c>
    </row>
    <row r="102" spans="1:30">
      <c r="A102" t="s">
        <v>364</v>
      </c>
      <c r="B102" t="s">
        <v>365</v>
      </c>
      <c r="C102" t="s">
        <v>86</v>
      </c>
      <c r="D102" t="s">
        <v>366</v>
      </c>
      <c r="E102" t="s">
        <v>33</v>
      </c>
      <c r="F102" t="s">
        <v>117</v>
      </c>
      <c r="G102">
        <v>8.5</v>
      </c>
      <c r="H102">
        <v>6.32</v>
      </c>
      <c r="I102">
        <v>7.49</v>
      </c>
      <c r="J102">
        <v>7.59</v>
      </c>
      <c r="K102" s="11">
        <f t="shared" si="1"/>
        <v>7.4750000000000005</v>
      </c>
      <c r="L102" t="s">
        <v>35</v>
      </c>
      <c r="M102" t="s">
        <v>35</v>
      </c>
      <c r="N102" t="s">
        <v>36</v>
      </c>
      <c r="O102" t="s">
        <v>38</v>
      </c>
      <c r="P102" t="s">
        <v>39</v>
      </c>
      <c r="Q102" t="s">
        <v>37</v>
      </c>
      <c r="R102" t="s">
        <v>39</v>
      </c>
      <c r="S102" t="s">
        <v>37</v>
      </c>
      <c r="T102" t="s">
        <v>39</v>
      </c>
      <c r="U102" t="s">
        <v>52</v>
      </c>
      <c r="V102" t="s">
        <v>79</v>
      </c>
      <c r="W102" t="s">
        <v>54</v>
      </c>
      <c r="X102">
        <v>4</v>
      </c>
      <c r="Y102" t="s">
        <v>43</v>
      </c>
      <c r="Z102">
        <v>3</v>
      </c>
      <c r="AA102" t="s">
        <v>43</v>
      </c>
      <c r="AB102">
        <v>3</v>
      </c>
      <c r="AC102" t="s">
        <v>62</v>
      </c>
      <c r="AD102" t="s">
        <v>367</v>
      </c>
    </row>
    <row r="103" spans="1:30">
      <c r="A103" t="s">
        <v>368</v>
      </c>
      <c r="B103" t="s">
        <v>369</v>
      </c>
      <c r="C103" t="s">
        <v>31</v>
      </c>
      <c r="D103" t="s">
        <v>370</v>
      </c>
      <c r="E103" t="s">
        <v>33</v>
      </c>
      <c r="F103" t="s">
        <v>117</v>
      </c>
      <c r="G103">
        <v>9.3000000000000007</v>
      </c>
      <c r="H103">
        <v>9.61</v>
      </c>
      <c r="I103">
        <v>8.56</v>
      </c>
      <c r="J103">
        <v>9.2799999999999994</v>
      </c>
      <c r="K103" s="11">
        <f t="shared" si="1"/>
        <v>9.1875</v>
      </c>
      <c r="L103" t="s">
        <v>49</v>
      </c>
      <c r="M103" t="s">
        <v>67</v>
      </c>
      <c r="N103" t="s">
        <v>61</v>
      </c>
      <c r="O103" t="s">
        <v>37</v>
      </c>
      <c r="P103" t="s">
        <v>39</v>
      </c>
      <c r="Q103" t="s">
        <v>37</v>
      </c>
      <c r="R103" t="s">
        <v>37</v>
      </c>
      <c r="S103" t="s">
        <v>39</v>
      </c>
      <c r="T103" t="s">
        <v>39</v>
      </c>
      <c r="U103" t="s">
        <v>59</v>
      </c>
      <c r="V103" t="s">
        <v>41</v>
      </c>
      <c r="W103" t="s">
        <v>54</v>
      </c>
      <c r="X103">
        <v>4</v>
      </c>
      <c r="Y103" t="s">
        <v>43</v>
      </c>
      <c r="Z103">
        <v>3</v>
      </c>
      <c r="AA103" t="s">
        <v>51</v>
      </c>
      <c r="AB103">
        <v>4</v>
      </c>
      <c r="AC103" t="s">
        <v>99</v>
      </c>
    </row>
    <row r="104" spans="1:30">
      <c r="A104" t="s">
        <v>371</v>
      </c>
      <c r="B104" t="s">
        <v>372</v>
      </c>
      <c r="C104" t="s">
        <v>86</v>
      </c>
      <c r="D104" t="s">
        <v>373</v>
      </c>
      <c r="E104" t="s">
        <v>83</v>
      </c>
      <c r="F104" t="s">
        <v>34</v>
      </c>
      <c r="G104">
        <v>8.74</v>
      </c>
      <c r="H104">
        <v>8.9700000000000006</v>
      </c>
      <c r="I104">
        <v>8.34</v>
      </c>
      <c r="J104">
        <v>8.98</v>
      </c>
      <c r="K104" s="11">
        <f t="shared" si="1"/>
        <v>8.7575000000000003</v>
      </c>
      <c r="L104" t="s">
        <v>49</v>
      </c>
      <c r="M104" t="s">
        <v>67</v>
      </c>
      <c r="N104" t="s">
        <v>61</v>
      </c>
      <c r="O104" t="s">
        <v>73</v>
      </c>
      <c r="P104" t="s">
        <v>39</v>
      </c>
      <c r="Q104" t="s">
        <v>39</v>
      </c>
      <c r="R104" t="s">
        <v>39</v>
      </c>
      <c r="S104" t="s">
        <v>37</v>
      </c>
      <c r="T104" t="s">
        <v>37</v>
      </c>
      <c r="U104" t="s">
        <v>40</v>
      </c>
      <c r="V104" t="s">
        <v>79</v>
      </c>
      <c r="W104" t="s">
        <v>42</v>
      </c>
      <c r="X104">
        <v>3</v>
      </c>
      <c r="Y104" t="s">
        <v>43</v>
      </c>
      <c r="Z104">
        <v>5</v>
      </c>
      <c r="AA104" t="s">
        <v>61</v>
      </c>
      <c r="AB104">
        <v>4</v>
      </c>
      <c r="AC104" t="s">
        <v>99</v>
      </c>
    </row>
    <row r="105" spans="1:30">
      <c r="A105" t="s">
        <v>374</v>
      </c>
      <c r="B105" t="s">
        <v>375</v>
      </c>
      <c r="C105" t="s">
        <v>31</v>
      </c>
      <c r="D105" t="s">
        <v>376</v>
      </c>
      <c r="E105" t="s">
        <v>83</v>
      </c>
      <c r="F105" t="s">
        <v>66</v>
      </c>
      <c r="G105">
        <v>9.4499999999999993</v>
      </c>
      <c r="H105">
        <v>9.11</v>
      </c>
      <c r="I105">
        <v>7.5</v>
      </c>
      <c r="J105">
        <v>6.9</v>
      </c>
      <c r="K105" s="11">
        <f t="shared" si="1"/>
        <v>8.24</v>
      </c>
      <c r="L105" t="s">
        <v>35</v>
      </c>
      <c r="M105" t="s">
        <v>35</v>
      </c>
      <c r="N105" t="s">
        <v>98</v>
      </c>
      <c r="O105" t="s">
        <v>39</v>
      </c>
      <c r="P105" t="s">
        <v>37</v>
      </c>
      <c r="Q105" t="s">
        <v>73</v>
      </c>
      <c r="R105" t="s">
        <v>73</v>
      </c>
      <c r="S105" t="s">
        <v>73</v>
      </c>
      <c r="T105" t="s">
        <v>37</v>
      </c>
      <c r="U105" t="s">
        <v>59</v>
      </c>
      <c r="V105" t="s">
        <v>41</v>
      </c>
      <c r="W105" t="s">
        <v>54</v>
      </c>
      <c r="X105">
        <v>3</v>
      </c>
      <c r="Y105" t="s">
        <v>51</v>
      </c>
      <c r="Z105">
        <v>4</v>
      </c>
      <c r="AA105" t="s">
        <v>51</v>
      </c>
      <c r="AB105">
        <v>4</v>
      </c>
      <c r="AC105" t="s">
        <v>62</v>
      </c>
    </row>
    <row r="106" spans="1:30">
      <c r="A106" t="s">
        <v>377</v>
      </c>
      <c r="B106" t="s">
        <v>378</v>
      </c>
      <c r="C106" t="s">
        <v>31</v>
      </c>
      <c r="D106" t="s">
        <v>87</v>
      </c>
      <c r="E106" t="s">
        <v>83</v>
      </c>
      <c r="F106" t="s">
        <v>66</v>
      </c>
      <c r="G106">
        <v>9.77</v>
      </c>
      <c r="H106">
        <v>8.9</v>
      </c>
      <c r="I106">
        <v>9.2100000000000009</v>
      </c>
      <c r="J106">
        <v>9.3000000000000007</v>
      </c>
      <c r="K106" s="11">
        <f t="shared" si="1"/>
        <v>9.2950000000000017</v>
      </c>
      <c r="L106" t="s">
        <v>49</v>
      </c>
      <c r="M106" t="s">
        <v>67</v>
      </c>
      <c r="N106" t="s">
        <v>68</v>
      </c>
      <c r="O106" t="s">
        <v>73</v>
      </c>
      <c r="P106" t="s">
        <v>39</v>
      </c>
      <c r="Q106" t="s">
        <v>37</v>
      </c>
      <c r="R106" t="s">
        <v>39</v>
      </c>
      <c r="S106" t="s">
        <v>37</v>
      </c>
      <c r="T106" t="s">
        <v>37</v>
      </c>
      <c r="U106" t="s">
        <v>52</v>
      </c>
      <c r="V106" t="s">
        <v>41</v>
      </c>
      <c r="W106" t="s">
        <v>54</v>
      </c>
      <c r="X106">
        <v>4</v>
      </c>
      <c r="Y106" t="s">
        <v>36</v>
      </c>
      <c r="Z106">
        <v>2</v>
      </c>
      <c r="AA106" t="s">
        <v>51</v>
      </c>
      <c r="AB106">
        <v>1</v>
      </c>
      <c r="AC106" t="s">
        <v>99</v>
      </c>
      <c r="AD106" t="s">
        <v>379</v>
      </c>
    </row>
    <row r="107" spans="1:30">
      <c r="A107" t="s">
        <v>380</v>
      </c>
      <c r="B107" t="s">
        <v>381</v>
      </c>
      <c r="C107" t="s">
        <v>86</v>
      </c>
      <c r="D107" t="s">
        <v>382</v>
      </c>
      <c r="E107" t="s">
        <v>33</v>
      </c>
      <c r="F107" t="s">
        <v>66</v>
      </c>
      <c r="G107">
        <v>8.4</v>
      </c>
      <c r="H107">
        <v>7.7</v>
      </c>
      <c r="I107">
        <v>7.4</v>
      </c>
      <c r="J107">
        <v>7.5</v>
      </c>
      <c r="K107" s="11">
        <f t="shared" si="1"/>
        <v>7.75</v>
      </c>
      <c r="L107" t="s">
        <v>35</v>
      </c>
      <c r="M107" t="s">
        <v>35</v>
      </c>
      <c r="N107" t="s">
        <v>36</v>
      </c>
      <c r="O107" t="s">
        <v>37</v>
      </c>
      <c r="P107" t="s">
        <v>39</v>
      </c>
      <c r="Q107" t="s">
        <v>73</v>
      </c>
      <c r="R107" t="s">
        <v>37</v>
      </c>
      <c r="S107" t="s">
        <v>37</v>
      </c>
      <c r="T107" t="s">
        <v>39</v>
      </c>
      <c r="U107" t="s">
        <v>59</v>
      </c>
      <c r="V107" t="s">
        <v>60</v>
      </c>
      <c r="W107" t="s">
        <v>54</v>
      </c>
      <c r="X107">
        <v>3</v>
      </c>
      <c r="Y107" t="s">
        <v>61</v>
      </c>
      <c r="Z107">
        <v>5</v>
      </c>
      <c r="AA107" t="s">
        <v>51</v>
      </c>
      <c r="AB107">
        <v>4</v>
      </c>
      <c r="AC107" t="s">
        <v>99</v>
      </c>
    </row>
    <row r="108" spans="1:30">
      <c r="A108" t="s">
        <v>383</v>
      </c>
      <c r="B108" t="s">
        <v>384</v>
      </c>
      <c r="C108" t="s">
        <v>86</v>
      </c>
      <c r="D108" t="s">
        <v>385</v>
      </c>
      <c r="E108" t="s">
        <v>33</v>
      </c>
      <c r="F108" t="s">
        <v>117</v>
      </c>
      <c r="G108">
        <v>9.4</v>
      </c>
      <c r="H108">
        <v>7.1139999999999999</v>
      </c>
      <c r="I108">
        <v>8.3000000000000007</v>
      </c>
      <c r="J108">
        <v>8.6</v>
      </c>
      <c r="K108" s="11">
        <f t="shared" si="1"/>
        <v>8.3535000000000004</v>
      </c>
      <c r="L108" t="s">
        <v>67</v>
      </c>
      <c r="M108" t="s">
        <v>67</v>
      </c>
      <c r="N108" t="s">
        <v>36</v>
      </c>
      <c r="O108" t="s">
        <v>37</v>
      </c>
      <c r="P108" t="s">
        <v>39</v>
      </c>
      <c r="Q108" t="s">
        <v>37</v>
      </c>
      <c r="R108" t="s">
        <v>39</v>
      </c>
      <c r="S108" t="s">
        <v>37</v>
      </c>
      <c r="T108" t="s">
        <v>39</v>
      </c>
      <c r="U108" t="s">
        <v>59</v>
      </c>
      <c r="V108" t="s">
        <v>41</v>
      </c>
      <c r="W108" t="s">
        <v>42</v>
      </c>
      <c r="X108">
        <v>3</v>
      </c>
      <c r="Y108" t="s">
        <v>43</v>
      </c>
      <c r="Z108">
        <v>3</v>
      </c>
      <c r="AA108" t="s">
        <v>51</v>
      </c>
      <c r="AB108">
        <v>4</v>
      </c>
      <c r="AC108" t="s">
        <v>62</v>
      </c>
    </row>
    <row r="109" spans="1:30">
      <c r="A109" t="s">
        <v>386</v>
      </c>
      <c r="B109" t="s">
        <v>387</v>
      </c>
      <c r="C109" t="s">
        <v>31</v>
      </c>
      <c r="D109" t="s">
        <v>32</v>
      </c>
      <c r="E109" t="s">
        <v>33</v>
      </c>
      <c r="F109" t="s">
        <v>117</v>
      </c>
      <c r="G109">
        <v>8.2970000000000006</v>
      </c>
      <c r="H109">
        <v>7.8970000000000002</v>
      </c>
      <c r="I109">
        <v>8.2789999999999999</v>
      </c>
      <c r="J109">
        <v>7.9660000000000002</v>
      </c>
      <c r="K109" s="11">
        <f t="shared" si="1"/>
        <v>8.10975</v>
      </c>
      <c r="L109" t="s">
        <v>67</v>
      </c>
      <c r="M109" t="s">
        <v>67</v>
      </c>
      <c r="N109" t="s">
        <v>61</v>
      </c>
      <c r="O109" t="s">
        <v>73</v>
      </c>
      <c r="P109" t="s">
        <v>39</v>
      </c>
      <c r="Q109" t="s">
        <v>73</v>
      </c>
      <c r="R109" t="s">
        <v>37</v>
      </c>
      <c r="S109" t="s">
        <v>39</v>
      </c>
      <c r="T109" t="s">
        <v>37</v>
      </c>
      <c r="U109" t="s">
        <v>40</v>
      </c>
      <c r="V109" t="s">
        <v>41</v>
      </c>
      <c r="W109" t="s">
        <v>54</v>
      </c>
      <c r="X109">
        <v>4</v>
      </c>
      <c r="Y109" t="s">
        <v>51</v>
      </c>
      <c r="Z109">
        <v>4</v>
      </c>
      <c r="AA109" t="s">
        <v>61</v>
      </c>
      <c r="AB109">
        <v>4</v>
      </c>
      <c r="AC109" t="s">
        <v>62</v>
      </c>
    </row>
    <row r="110" spans="1:30">
      <c r="A110" t="s">
        <v>388</v>
      </c>
      <c r="B110" t="s">
        <v>389</v>
      </c>
      <c r="C110" t="s">
        <v>86</v>
      </c>
      <c r="D110" t="s">
        <v>123</v>
      </c>
      <c r="E110" t="s">
        <v>33</v>
      </c>
      <c r="F110" t="s">
        <v>66</v>
      </c>
      <c r="G110">
        <v>8.1999999999999993</v>
      </c>
      <c r="H110">
        <v>7.3</v>
      </c>
      <c r="I110">
        <v>6.4</v>
      </c>
      <c r="J110">
        <v>6.3</v>
      </c>
      <c r="K110" s="11">
        <f t="shared" si="1"/>
        <v>7.05</v>
      </c>
      <c r="L110" t="s">
        <v>112</v>
      </c>
      <c r="M110" t="s">
        <v>35</v>
      </c>
      <c r="N110" t="s">
        <v>61</v>
      </c>
      <c r="O110" t="s">
        <v>37</v>
      </c>
      <c r="P110" t="s">
        <v>39</v>
      </c>
      <c r="Q110" t="s">
        <v>37</v>
      </c>
      <c r="R110" t="s">
        <v>37</v>
      </c>
      <c r="S110" t="s">
        <v>73</v>
      </c>
      <c r="T110" t="s">
        <v>39</v>
      </c>
      <c r="U110" t="s">
        <v>40</v>
      </c>
      <c r="V110" t="s">
        <v>60</v>
      </c>
      <c r="W110" t="s">
        <v>54</v>
      </c>
      <c r="X110">
        <v>3</v>
      </c>
      <c r="Y110" t="s">
        <v>43</v>
      </c>
      <c r="Z110">
        <v>3</v>
      </c>
      <c r="AA110" t="s">
        <v>43</v>
      </c>
      <c r="AB110">
        <v>3</v>
      </c>
      <c r="AC110" t="s">
        <v>99</v>
      </c>
      <c r="AD110" t="s">
        <v>390</v>
      </c>
    </row>
    <row r="111" spans="1:30">
      <c r="A111" t="s">
        <v>391</v>
      </c>
      <c r="B111" t="s">
        <v>392</v>
      </c>
      <c r="C111" t="s">
        <v>31</v>
      </c>
      <c r="D111" t="s">
        <v>32</v>
      </c>
      <c r="E111" t="s">
        <v>33</v>
      </c>
      <c r="F111" t="s">
        <v>34</v>
      </c>
      <c r="G111">
        <v>8</v>
      </c>
      <c r="H111">
        <v>7.2880000000000003</v>
      </c>
      <c r="I111">
        <v>6.89</v>
      </c>
      <c r="J111">
        <v>7.4450000000000003</v>
      </c>
      <c r="K111" s="11">
        <f t="shared" si="1"/>
        <v>7.4057500000000003</v>
      </c>
      <c r="L111" t="s">
        <v>35</v>
      </c>
      <c r="M111" t="s">
        <v>35</v>
      </c>
      <c r="N111" t="s">
        <v>51</v>
      </c>
      <c r="O111" t="s">
        <v>39</v>
      </c>
      <c r="P111" t="s">
        <v>39</v>
      </c>
      <c r="Q111" t="s">
        <v>37</v>
      </c>
      <c r="R111" t="s">
        <v>39</v>
      </c>
      <c r="S111" t="s">
        <v>39</v>
      </c>
      <c r="T111" t="s">
        <v>39</v>
      </c>
      <c r="U111" t="s">
        <v>52</v>
      </c>
      <c r="V111" t="s">
        <v>79</v>
      </c>
      <c r="W111" t="s">
        <v>42</v>
      </c>
      <c r="X111">
        <v>3</v>
      </c>
      <c r="Y111" t="s">
        <v>43</v>
      </c>
      <c r="Z111">
        <v>3</v>
      </c>
      <c r="AA111" t="s">
        <v>61</v>
      </c>
      <c r="AB111">
        <v>4</v>
      </c>
      <c r="AC111" t="s">
        <v>62</v>
      </c>
    </row>
    <row r="112" spans="1:30">
      <c r="A112" t="s">
        <v>393</v>
      </c>
      <c r="B112" t="s">
        <v>394</v>
      </c>
      <c r="C112" t="s">
        <v>86</v>
      </c>
      <c r="D112" t="s">
        <v>32</v>
      </c>
      <c r="E112" t="s">
        <v>33</v>
      </c>
      <c r="F112" t="s">
        <v>34</v>
      </c>
      <c r="G112">
        <v>8.24</v>
      </c>
      <c r="H112">
        <v>7.23</v>
      </c>
      <c r="I112">
        <v>6.9880000000000004</v>
      </c>
      <c r="J112">
        <v>6.9870000000000001</v>
      </c>
      <c r="K112" s="11">
        <f t="shared" si="1"/>
        <v>7.3612500000000001</v>
      </c>
      <c r="L112" t="s">
        <v>35</v>
      </c>
      <c r="M112" t="s">
        <v>35</v>
      </c>
      <c r="N112" t="s">
        <v>98</v>
      </c>
      <c r="O112" t="s">
        <v>39</v>
      </c>
      <c r="P112" t="s">
        <v>39</v>
      </c>
      <c r="Q112" t="s">
        <v>73</v>
      </c>
      <c r="R112" t="s">
        <v>37</v>
      </c>
      <c r="S112" t="s">
        <v>37</v>
      </c>
      <c r="T112" t="s">
        <v>39</v>
      </c>
      <c r="U112" t="s">
        <v>40</v>
      </c>
      <c r="V112" t="s">
        <v>41</v>
      </c>
      <c r="W112" t="s">
        <v>54</v>
      </c>
      <c r="X112">
        <v>3</v>
      </c>
      <c r="Y112" t="s">
        <v>43</v>
      </c>
      <c r="Z112">
        <v>3</v>
      </c>
      <c r="AA112" t="s">
        <v>43</v>
      </c>
      <c r="AB112">
        <v>3</v>
      </c>
      <c r="AC112" t="s">
        <v>44</v>
      </c>
    </row>
    <row r="113" spans="1:29">
      <c r="A113" t="s">
        <v>395</v>
      </c>
      <c r="B113" t="s">
        <v>396</v>
      </c>
      <c r="C113" t="s">
        <v>86</v>
      </c>
      <c r="D113" t="s">
        <v>167</v>
      </c>
      <c r="E113" t="s">
        <v>33</v>
      </c>
      <c r="F113" t="s">
        <v>66</v>
      </c>
      <c r="G113">
        <v>7.4</v>
      </c>
      <c r="H113">
        <v>6.4</v>
      </c>
      <c r="I113">
        <v>6.7</v>
      </c>
      <c r="J113">
        <v>6.7</v>
      </c>
      <c r="K113" s="11">
        <f t="shared" si="1"/>
        <v>6.8</v>
      </c>
      <c r="L113" t="s">
        <v>112</v>
      </c>
      <c r="M113" t="s">
        <v>35</v>
      </c>
      <c r="N113" t="s">
        <v>51</v>
      </c>
      <c r="O113" t="s">
        <v>39</v>
      </c>
      <c r="P113" t="s">
        <v>39</v>
      </c>
      <c r="Q113" t="s">
        <v>37</v>
      </c>
      <c r="R113" t="s">
        <v>37</v>
      </c>
      <c r="S113" t="s">
        <v>37</v>
      </c>
      <c r="T113" t="s">
        <v>39</v>
      </c>
      <c r="U113" t="s">
        <v>59</v>
      </c>
      <c r="V113" t="s">
        <v>60</v>
      </c>
      <c r="W113" t="s">
        <v>54</v>
      </c>
      <c r="X113">
        <v>3</v>
      </c>
      <c r="Y113" t="s">
        <v>43</v>
      </c>
      <c r="Z113">
        <v>3</v>
      </c>
      <c r="AA113" t="s">
        <v>51</v>
      </c>
      <c r="AB113">
        <v>1</v>
      </c>
      <c r="AC113" t="s">
        <v>44</v>
      </c>
    </row>
    <row r="114" spans="1:29">
      <c r="A114" t="s">
        <v>397</v>
      </c>
      <c r="B114" t="s">
        <v>398</v>
      </c>
      <c r="C114" t="s">
        <v>86</v>
      </c>
      <c r="D114" t="s">
        <v>32</v>
      </c>
      <c r="E114" t="s">
        <v>33</v>
      </c>
      <c r="F114" t="s">
        <v>66</v>
      </c>
      <c r="G114">
        <v>8.1999999999999993</v>
      </c>
      <c r="H114">
        <v>7.3</v>
      </c>
      <c r="I114">
        <v>7.1</v>
      </c>
      <c r="J114">
        <v>7.3</v>
      </c>
      <c r="K114" s="11">
        <f t="shared" si="1"/>
        <v>7.4750000000000005</v>
      </c>
      <c r="L114" t="s">
        <v>35</v>
      </c>
      <c r="M114" t="s">
        <v>35</v>
      </c>
      <c r="N114" t="s">
        <v>36</v>
      </c>
      <c r="O114" t="s">
        <v>39</v>
      </c>
      <c r="P114" t="s">
        <v>39</v>
      </c>
      <c r="Q114" t="s">
        <v>73</v>
      </c>
      <c r="R114" t="s">
        <v>73</v>
      </c>
      <c r="S114" t="s">
        <v>37</v>
      </c>
      <c r="T114" t="s">
        <v>37</v>
      </c>
      <c r="U114" t="s">
        <v>59</v>
      </c>
      <c r="V114" t="s">
        <v>41</v>
      </c>
      <c r="W114" t="s">
        <v>54</v>
      </c>
      <c r="X114">
        <v>3</v>
      </c>
      <c r="Y114" t="s">
        <v>43</v>
      </c>
      <c r="Z114">
        <v>3</v>
      </c>
      <c r="AA114" t="s">
        <v>51</v>
      </c>
      <c r="AB114">
        <v>4</v>
      </c>
      <c r="AC114" t="s">
        <v>62</v>
      </c>
    </row>
    <row r="115" spans="1:29">
      <c r="A115" t="s">
        <v>399</v>
      </c>
      <c r="B115" t="s">
        <v>400</v>
      </c>
      <c r="C115" t="s">
        <v>86</v>
      </c>
      <c r="D115" t="s">
        <v>401</v>
      </c>
      <c r="E115" t="s">
        <v>33</v>
      </c>
      <c r="F115" t="s">
        <v>66</v>
      </c>
      <c r="G115">
        <v>7.9630000000000001</v>
      </c>
      <c r="H115">
        <v>7.0149999999999997</v>
      </c>
      <c r="I115">
        <v>6.6849999999999996</v>
      </c>
      <c r="J115">
        <v>6.85</v>
      </c>
      <c r="K115" s="11">
        <f t="shared" si="1"/>
        <v>7.1282499999999995</v>
      </c>
      <c r="L115" t="s">
        <v>112</v>
      </c>
      <c r="M115" t="s">
        <v>112</v>
      </c>
      <c r="N115" t="s">
        <v>68</v>
      </c>
      <c r="O115" t="s">
        <v>38</v>
      </c>
      <c r="P115" t="s">
        <v>39</v>
      </c>
      <c r="Q115" t="s">
        <v>39</v>
      </c>
      <c r="R115" t="s">
        <v>37</v>
      </c>
      <c r="S115" t="s">
        <v>38</v>
      </c>
      <c r="T115" t="s">
        <v>37</v>
      </c>
      <c r="U115" t="s">
        <v>59</v>
      </c>
      <c r="V115" t="s">
        <v>60</v>
      </c>
      <c r="W115" t="s">
        <v>42</v>
      </c>
      <c r="X115">
        <v>3</v>
      </c>
      <c r="Y115" t="s">
        <v>43</v>
      </c>
      <c r="Z115">
        <v>3</v>
      </c>
      <c r="AA115" t="s">
        <v>51</v>
      </c>
      <c r="AB115">
        <v>5</v>
      </c>
      <c r="AC115" t="s">
        <v>99</v>
      </c>
    </row>
    <row r="116" spans="1:29">
      <c r="A116" t="s">
        <v>402</v>
      </c>
      <c r="B116" t="s">
        <v>403</v>
      </c>
      <c r="C116" t="s">
        <v>86</v>
      </c>
      <c r="D116" t="s">
        <v>404</v>
      </c>
      <c r="E116" t="s">
        <v>33</v>
      </c>
      <c r="F116" t="s">
        <v>34</v>
      </c>
      <c r="G116">
        <v>8.0530000000000008</v>
      </c>
      <c r="H116">
        <v>7.2060000000000004</v>
      </c>
      <c r="I116">
        <v>6.5140000000000002</v>
      </c>
      <c r="J116">
        <v>6.86</v>
      </c>
      <c r="K116" s="11">
        <f t="shared" si="1"/>
        <v>7.1582499999999998</v>
      </c>
      <c r="L116" t="s">
        <v>112</v>
      </c>
      <c r="M116" t="s">
        <v>35</v>
      </c>
      <c r="N116" t="s">
        <v>61</v>
      </c>
      <c r="O116" t="s">
        <v>37</v>
      </c>
      <c r="P116" t="s">
        <v>39</v>
      </c>
      <c r="Q116" t="s">
        <v>73</v>
      </c>
      <c r="R116" t="s">
        <v>127</v>
      </c>
      <c r="S116" t="s">
        <v>37</v>
      </c>
      <c r="T116" t="s">
        <v>39</v>
      </c>
      <c r="U116" t="s">
        <v>52</v>
      </c>
      <c r="V116" t="s">
        <v>79</v>
      </c>
      <c r="W116" t="s">
        <v>54</v>
      </c>
      <c r="X116">
        <v>4</v>
      </c>
      <c r="Y116" t="s">
        <v>51</v>
      </c>
      <c r="Z116">
        <v>5</v>
      </c>
      <c r="AA116" t="s">
        <v>61</v>
      </c>
      <c r="AB116">
        <v>4</v>
      </c>
      <c r="AC116" t="s">
        <v>62</v>
      </c>
    </row>
    <row r="117" spans="1:29">
      <c r="A117" t="s">
        <v>405</v>
      </c>
      <c r="B117" t="s">
        <v>406</v>
      </c>
      <c r="C117" t="s">
        <v>86</v>
      </c>
      <c r="D117" t="s">
        <v>32</v>
      </c>
      <c r="E117" t="s">
        <v>33</v>
      </c>
      <c r="F117" t="s">
        <v>34</v>
      </c>
      <c r="G117">
        <v>7.7</v>
      </c>
      <c r="H117">
        <v>6.6</v>
      </c>
      <c r="I117">
        <v>6.7</v>
      </c>
      <c r="J117">
        <v>6.3</v>
      </c>
      <c r="K117" s="11">
        <f t="shared" si="1"/>
        <v>6.8250000000000002</v>
      </c>
      <c r="L117" t="s">
        <v>112</v>
      </c>
      <c r="M117" t="s">
        <v>35</v>
      </c>
      <c r="N117" t="s">
        <v>61</v>
      </c>
      <c r="O117" t="s">
        <v>37</v>
      </c>
      <c r="P117" t="s">
        <v>39</v>
      </c>
      <c r="Q117" t="s">
        <v>39</v>
      </c>
      <c r="R117" t="s">
        <v>39</v>
      </c>
      <c r="S117" t="s">
        <v>39</v>
      </c>
      <c r="T117" t="s">
        <v>39</v>
      </c>
      <c r="U117" t="s">
        <v>40</v>
      </c>
      <c r="V117" t="s">
        <v>60</v>
      </c>
      <c r="W117" t="s">
        <v>54</v>
      </c>
      <c r="X117">
        <v>4</v>
      </c>
      <c r="Y117" t="s">
        <v>43</v>
      </c>
      <c r="Z117">
        <v>3</v>
      </c>
      <c r="AA117" t="s">
        <v>43</v>
      </c>
      <c r="AB117">
        <v>3</v>
      </c>
      <c r="AC117" t="s">
        <v>99</v>
      </c>
    </row>
    <row r="118" spans="1:29">
      <c r="A118" t="s">
        <v>407</v>
      </c>
      <c r="B118" t="s">
        <v>408</v>
      </c>
      <c r="C118" t="s">
        <v>31</v>
      </c>
      <c r="D118" t="s">
        <v>123</v>
      </c>
      <c r="E118" t="s">
        <v>33</v>
      </c>
      <c r="F118" t="s">
        <v>34</v>
      </c>
      <c r="G118">
        <v>8.81</v>
      </c>
      <c r="H118">
        <v>6.82</v>
      </c>
      <c r="I118">
        <v>6.9</v>
      </c>
      <c r="J118">
        <v>7.2</v>
      </c>
      <c r="K118" s="11">
        <f t="shared" si="1"/>
        <v>7.4325000000000001</v>
      </c>
      <c r="L118" t="s">
        <v>35</v>
      </c>
      <c r="M118" t="s">
        <v>112</v>
      </c>
      <c r="N118" t="s">
        <v>36</v>
      </c>
      <c r="O118" t="s">
        <v>38</v>
      </c>
      <c r="P118" t="s">
        <v>39</v>
      </c>
      <c r="Q118" t="s">
        <v>73</v>
      </c>
      <c r="R118" t="s">
        <v>38</v>
      </c>
      <c r="S118" t="s">
        <v>73</v>
      </c>
      <c r="T118" t="s">
        <v>39</v>
      </c>
      <c r="U118" t="s">
        <v>59</v>
      </c>
      <c r="V118" t="s">
        <v>60</v>
      </c>
      <c r="W118" t="s">
        <v>54</v>
      </c>
      <c r="X118">
        <v>1</v>
      </c>
      <c r="Y118" t="s">
        <v>43</v>
      </c>
      <c r="Z118">
        <v>1</v>
      </c>
      <c r="AA118" t="s">
        <v>51</v>
      </c>
      <c r="AB118">
        <v>2</v>
      </c>
      <c r="AC118" t="s">
        <v>44</v>
      </c>
    </row>
    <row r="119" spans="1:29">
      <c r="A119" t="s">
        <v>409</v>
      </c>
      <c r="B119" t="s">
        <v>410</v>
      </c>
      <c r="C119" t="s">
        <v>86</v>
      </c>
      <c r="D119" t="s">
        <v>167</v>
      </c>
      <c r="E119" t="s">
        <v>33</v>
      </c>
      <c r="F119" t="s">
        <v>66</v>
      </c>
      <c r="G119">
        <v>7.8</v>
      </c>
      <c r="H119">
        <v>5.6</v>
      </c>
      <c r="I119">
        <v>5.8</v>
      </c>
      <c r="J119">
        <v>5.7</v>
      </c>
      <c r="K119" s="11">
        <f t="shared" si="1"/>
        <v>6.2249999999999996</v>
      </c>
      <c r="L119" t="s">
        <v>112</v>
      </c>
      <c r="M119" t="s">
        <v>281</v>
      </c>
      <c r="N119" t="s">
        <v>61</v>
      </c>
      <c r="O119" t="s">
        <v>39</v>
      </c>
      <c r="P119" t="s">
        <v>37</v>
      </c>
      <c r="Q119" t="s">
        <v>37</v>
      </c>
      <c r="R119" t="s">
        <v>39</v>
      </c>
      <c r="S119" t="s">
        <v>39</v>
      </c>
      <c r="T119" t="s">
        <v>39</v>
      </c>
      <c r="U119" t="s">
        <v>40</v>
      </c>
      <c r="V119" t="s">
        <v>41</v>
      </c>
      <c r="W119" t="s">
        <v>42</v>
      </c>
      <c r="X119">
        <v>2</v>
      </c>
      <c r="Y119" t="s">
        <v>43</v>
      </c>
      <c r="Z119">
        <v>3</v>
      </c>
      <c r="AA119" t="s">
        <v>51</v>
      </c>
      <c r="AB119">
        <v>3</v>
      </c>
      <c r="AC119" t="s">
        <v>44</v>
      </c>
    </row>
    <row r="120" spans="1:29">
      <c r="A120" t="s">
        <v>411</v>
      </c>
      <c r="B120" t="s">
        <v>412</v>
      </c>
      <c r="C120" t="s">
        <v>31</v>
      </c>
      <c r="D120" t="s">
        <v>32</v>
      </c>
      <c r="E120" t="s">
        <v>33</v>
      </c>
      <c r="F120" t="s">
        <v>34</v>
      </c>
      <c r="G120">
        <v>7.5</v>
      </c>
      <c r="H120">
        <v>6</v>
      </c>
      <c r="I120">
        <v>6.2</v>
      </c>
      <c r="J120">
        <v>6.4</v>
      </c>
      <c r="K120" s="11">
        <f t="shared" si="1"/>
        <v>6.5250000000000004</v>
      </c>
      <c r="L120" t="s">
        <v>112</v>
      </c>
      <c r="M120" t="s">
        <v>112</v>
      </c>
      <c r="N120" t="s">
        <v>61</v>
      </c>
      <c r="O120" t="s">
        <v>37</v>
      </c>
      <c r="P120" t="s">
        <v>39</v>
      </c>
      <c r="Q120" t="s">
        <v>37</v>
      </c>
      <c r="R120" t="s">
        <v>39</v>
      </c>
      <c r="S120" t="s">
        <v>39</v>
      </c>
      <c r="T120" t="s">
        <v>37</v>
      </c>
      <c r="U120" t="s">
        <v>40</v>
      </c>
      <c r="V120" t="s">
        <v>79</v>
      </c>
      <c r="W120" t="s">
        <v>54</v>
      </c>
      <c r="X120">
        <v>3</v>
      </c>
      <c r="Y120" t="s">
        <v>43</v>
      </c>
      <c r="Z120">
        <v>3</v>
      </c>
      <c r="AA120" t="s">
        <v>51</v>
      </c>
      <c r="AB120">
        <v>3</v>
      </c>
      <c r="AC120" t="s">
        <v>62</v>
      </c>
    </row>
    <row r="121" spans="1:29">
      <c r="A121" t="s">
        <v>413</v>
      </c>
      <c r="B121" t="s">
        <v>414</v>
      </c>
      <c r="C121" t="s">
        <v>86</v>
      </c>
      <c r="D121" t="s">
        <v>415</v>
      </c>
      <c r="E121" t="s">
        <v>33</v>
      </c>
      <c r="F121" t="s">
        <v>66</v>
      </c>
      <c r="G121">
        <v>7.7</v>
      </c>
      <c r="H121">
        <v>7.3</v>
      </c>
      <c r="I121">
        <v>7</v>
      </c>
      <c r="J121">
        <v>6.2</v>
      </c>
      <c r="K121" s="11">
        <f t="shared" si="1"/>
        <v>7.05</v>
      </c>
      <c r="L121" t="s">
        <v>112</v>
      </c>
      <c r="M121" t="s">
        <v>112</v>
      </c>
      <c r="N121" t="s">
        <v>61</v>
      </c>
      <c r="O121" t="s">
        <v>37</v>
      </c>
      <c r="P121" t="s">
        <v>39</v>
      </c>
      <c r="Q121" t="s">
        <v>37</v>
      </c>
      <c r="R121" t="s">
        <v>73</v>
      </c>
      <c r="S121" t="s">
        <v>39</v>
      </c>
      <c r="T121" t="s">
        <v>39</v>
      </c>
      <c r="U121" t="s">
        <v>52</v>
      </c>
      <c r="V121" t="s">
        <v>79</v>
      </c>
      <c r="W121" t="s">
        <v>54</v>
      </c>
      <c r="X121">
        <v>4</v>
      </c>
      <c r="Y121" t="s">
        <v>43</v>
      </c>
      <c r="Z121">
        <v>4</v>
      </c>
      <c r="AA121" t="s">
        <v>51</v>
      </c>
      <c r="AB121">
        <v>4</v>
      </c>
      <c r="AC12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R123"/>
  <sheetViews>
    <sheetView workbookViewId="0">
      <selection activeCell="O3" sqref="O3:R123"/>
    </sheetView>
  </sheetViews>
  <sheetFormatPr defaultRowHeight="15"/>
  <cols>
    <col min="2" max="2" width="8.85546875" bestFit="1" customWidth="1"/>
    <col min="9" max="9" width="11.5703125" bestFit="1" customWidth="1"/>
    <col min="15" max="15" width="9.140625" style="64"/>
    <col min="16" max="16" width="9.85546875" style="64" bestFit="1" customWidth="1"/>
    <col min="17" max="18" width="9.5703125" style="64" bestFit="1" customWidth="1"/>
  </cols>
  <sheetData>
    <row r="3" spans="2:10" ht="27.75" customHeight="1">
      <c r="B3" s="2">
        <v>6.2</v>
      </c>
      <c r="C3" s="2">
        <v>5.2</v>
      </c>
      <c r="D3" s="2">
        <v>5.3</v>
      </c>
      <c r="E3" s="2">
        <v>5.6</v>
      </c>
      <c r="G3" s="4">
        <f t="shared" ref="G3:G34" si="0">(B3+C3+D3+E3)/4</f>
        <v>5.5749999999999993</v>
      </c>
      <c r="H3" s="2"/>
    </row>
    <row r="4" spans="2:10">
      <c r="B4" s="2">
        <v>6.6619999999999999</v>
      </c>
      <c r="C4" s="2">
        <v>5.6</v>
      </c>
      <c r="D4" s="2">
        <v>5.8</v>
      </c>
      <c r="E4" s="2">
        <v>5.3</v>
      </c>
      <c r="G4" s="4">
        <f t="shared" si="0"/>
        <v>5.8405000000000005</v>
      </c>
      <c r="H4" s="2"/>
      <c r="I4" s="9" t="s">
        <v>442</v>
      </c>
      <c r="J4">
        <f>COUNTIF(G:G,"&lt;6")</f>
        <v>3</v>
      </c>
    </row>
    <row r="5" spans="2:10">
      <c r="B5" s="2">
        <v>7</v>
      </c>
      <c r="C5" s="2">
        <v>6.09</v>
      </c>
      <c r="D5" s="2">
        <v>4.29</v>
      </c>
      <c r="E5" s="2">
        <v>6.5</v>
      </c>
      <c r="G5" s="4">
        <f t="shared" si="0"/>
        <v>5.97</v>
      </c>
      <c r="H5" s="2"/>
      <c r="I5" t="s">
        <v>443</v>
      </c>
      <c r="J5">
        <f>COUNTIFS(G:G,"&gt;6",G:G,"&lt;7")</f>
        <v>18</v>
      </c>
    </row>
    <row r="6" spans="2:10">
      <c r="B6" s="2">
        <v>7.8</v>
      </c>
      <c r="C6" s="2">
        <v>5.6</v>
      </c>
      <c r="D6" s="2">
        <v>5.8</v>
      </c>
      <c r="E6" s="2">
        <v>5.7</v>
      </c>
      <c r="G6" s="4">
        <f t="shared" si="0"/>
        <v>6.2249999999999996</v>
      </c>
      <c r="H6" s="2"/>
      <c r="I6" t="s">
        <v>444</v>
      </c>
      <c r="J6">
        <f>COUNTIFS(G:G,"&gt;7",G:G,"&lt;8")</f>
        <v>50</v>
      </c>
    </row>
    <row r="7" spans="2:10">
      <c r="B7" s="2">
        <v>7.1</v>
      </c>
      <c r="C7" s="2">
        <v>6.1</v>
      </c>
      <c r="D7" s="2">
        <v>6.5</v>
      </c>
      <c r="E7" s="2">
        <v>5.4</v>
      </c>
      <c r="G7" s="4">
        <f t="shared" si="0"/>
        <v>6.2750000000000004</v>
      </c>
      <c r="H7" s="2"/>
      <c r="I7" t="s">
        <v>445</v>
      </c>
      <c r="J7">
        <f>COUNTIFS(G:G,"&gt;8",G:G,"&lt;9")</f>
        <v>32</v>
      </c>
    </row>
    <row r="8" spans="2:10">
      <c r="B8" s="2">
        <v>7.359</v>
      </c>
      <c r="C8" s="2">
        <v>6.133</v>
      </c>
      <c r="D8" s="2">
        <v>5.7169999999999996</v>
      </c>
      <c r="E8" s="2">
        <v>6.5410000000000004</v>
      </c>
      <c r="G8" s="4">
        <f t="shared" si="0"/>
        <v>6.4375</v>
      </c>
      <c r="H8" s="2"/>
      <c r="I8" t="s">
        <v>446</v>
      </c>
      <c r="J8">
        <f>COUNTIF(G:G,"&gt;9")</f>
        <v>16</v>
      </c>
    </row>
    <row r="9" spans="2:10">
      <c r="B9" s="2">
        <v>7.01</v>
      </c>
      <c r="C9" s="2">
        <v>7.5</v>
      </c>
      <c r="D9" s="2">
        <v>6.36</v>
      </c>
      <c r="E9" s="2">
        <v>5</v>
      </c>
      <c r="G9" s="4">
        <f t="shared" si="0"/>
        <v>6.4675000000000002</v>
      </c>
      <c r="H9" s="2"/>
      <c r="J9">
        <f>SUM(J4:J8)</f>
        <v>119</v>
      </c>
    </row>
    <row r="10" spans="2:10">
      <c r="B10" s="2">
        <v>7.5</v>
      </c>
      <c r="C10" s="2">
        <v>6</v>
      </c>
      <c r="D10" s="2">
        <v>6.2</v>
      </c>
      <c r="E10" s="2">
        <v>6.4</v>
      </c>
      <c r="G10" s="4">
        <f t="shared" si="0"/>
        <v>6.5250000000000004</v>
      </c>
      <c r="H10" s="2"/>
    </row>
    <row r="11" spans="2:10">
      <c r="B11" s="2">
        <v>7.5940000000000003</v>
      </c>
      <c r="C11" s="2">
        <v>6.4080000000000004</v>
      </c>
      <c r="D11" s="2">
        <v>5.9039999999999999</v>
      </c>
      <c r="E11" s="2">
        <v>6.2850000000000001</v>
      </c>
      <c r="G11" s="4">
        <f t="shared" si="0"/>
        <v>6.5477499999999997</v>
      </c>
      <c r="H11" s="2"/>
    </row>
    <row r="12" spans="2:10">
      <c r="B12" s="2">
        <v>7.6</v>
      </c>
      <c r="C12" s="2">
        <v>6.9</v>
      </c>
      <c r="D12" s="2">
        <v>5.4</v>
      </c>
      <c r="E12" s="2">
        <v>6.4</v>
      </c>
      <c r="G12" s="4">
        <f t="shared" si="0"/>
        <v>6.5749999999999993</v>
      </c>
      <c r="H12" s="2"/>
    </row>
    <row r="13" spans="2:10">
      <c r="B13" s="2">
        <v>9.1999999999999993</v>
      </c>
      <c r="C13" s="2">
        <v>5.4</v>
      </c>
      <c r="D13" s="2">
        <v>6</v>
      </c>
      <c r="E13" s="2">
        <v>5.7</v>
      </c>
      <c r="G13" s="4">
        <f t="shared" si="0"/>
        <v>6.5750000000000002</v>
      </c>
      <c r="H13" s="2"/>
    </row>
    <row r="14" spans="2:10">
      <c r="B14" s="2">
        <v>8.9</v>
      </c>
      <c r="C14" s="2">
        <v>5.6</v>
      </c>
      <c r="D14" s="2">
        <v>6.1</v>
      </c>
      <c r="E14" s="2">
        <v>6</v>
      </c>
      <c r="G14" s="4">
        <f t="shared" si="0"/>
        <v>6.65</v>
      </c>
      <c r="H14" s="2"/>
    </row>
    <row r="15" spans="2:10">
      <c r="B15" s="2">
        <v>8.9</v>
      </c>
      <c r="C15" s="2">
        <v>6.3</v>
      </c>
      <c r="D15" s="2">
        <v>6.2</v>
      </c>
      <c r="E15" s="2">
        <v>5.5</v>
      </c>
      <c r="G15" s="4">
        <f t="shared" si="0"/>
        <v>6.7249999999999996</v>
      </c>
      <c r="H15" s="2"/>
    </row>
    <row r="16" spans="2:10">
      <c r="B16" s="2">
        <v>9.3000000000000007</v>
      </c>
      <c r="C16" s="2">
        <v>5.6</v>
      </c>
      <c r="D16" s="2">
        <v>6.2</v>
      </c>
      <c r="E16" s="2">
        <v>6</v>
      </c>
      <c r="G16" s="4">
        <f t="shared" si="0"/>
        <v>6.7750000000000004</v>
      </c>
      <c r="H16" s="2"/>
    </row>
    <row r="17" spans="2:8">
      <c r="B17" s="2">
        <v>7.4</v>
      </c>
      <c r="C17" s="2">
        <v>6.4</v>
      </c>
      <c r="D17" s="2">
        <v>6.7</v>
      </c>
      <c r="E17" s="2">
        <v>6.7</v>
      </c>
      <c r="G17" s="4">
        <f t="shared" si="0"/>
        <v>6.8</v>
      </c>
      <c r="H17" s="2"/>
    </row>
    <row r="18" spans="2:8">
      <c r="B18" s="2">
        <v>8.5</v>
      </c>
      <c r="C18" s="2">
        <v>5.5</v>
      </c>
      <c r="D18" s="2">
        <v>5.6</v>
      </c>
      <c r="E18" s="2">
        <v>7.6</v>
      </c>
      <c r="G18" s="4">
        <f t="shared" si="0"/>
        <v>6.8000000000000007</v>
      </c>
      <c r="H18" s="2"/>
    </row>
    <row r="19" spans="2:8">
      <c r="B19" s="2">
        <v>6.5</v>
      </c>
      <c r="C19" s="2">
        <v>6.2</v>
      </c>
      <c r="D19" s="2">
        <v>7.1</v>
      </c>
      <c r="E19" s="2">
        <v>7.5</v>
      </c>
      <c r="G19" s="4">
        <f t="shared" si="0"/>
        <v>6.8249999999999993</v>
      </c>
      <c r="H19" s="2"/>
    </row>
    <row r="20" spans="2:8">
      <c r="B20" s="2">
        <v>7.7</v>
      </c>
      <c r="C20" s="2">
        <v>6.6</v>
      </c>
      <c r="D20" s="2">
        <v>6.7</v>
      </c>
      <c r="E20" s="2">
        <v>6.3</v>
      </c>
      <c r="G20" s="4">
        <f t="shared" si="0"/>
        <v>6.8250000000000002</v>
      </c>
      <c r="H20" s="2"/>
    </row>
    <row r="21" spans="2:8">
      <c r="B21" s="2">
        <v>8.9</v>
      </c>
      <c r="C21" s="2">
        <v>5.4</v>
      </c>
      <c r="D21" s="2">
        <v>6.4</v>
      </c>
      <c r="E21" s="2">
        <v>6.7</v>
      </c>
      <c r="G21" s="4">
        <f t="shared" si="0"/>
        <v>6.8500000000000005</v>
      </c>
      <c r="H21" s="2"/>
    </row>
    <row r="22" spans="2:8">
      <c r="B22" s="2">
        <v>8</v>
      </c>
      <c r="C22" s="2">
        <v>6.2</v>
      </c>
      <c r="D22" s="2">
        <v>7.02</v>
      </c>
      <c r="E22" s="2">
        <v>6.2</v>
      </c>
      <c r="G22" s="4">
        <f t="shared" si="0"/>
        <v>6.8549999999999995</v>
      </c>
      <c r="H22" s="2"/>
    </row>
    <row r="23" spans="2:8">
      <c r="B23" s="2">
        <v>8.5169999999999995</v>
      </c>
      <c r="C23" s="2">
        <v>6.665</v>
      </c>
      <c r="D23" s="2">
        <v>5.992</v>
      </c>
      <c r="E23" s="2">
        <v>6.3650000000000002</v>
      </c>
      <c r="G23" s="4">
        <f t="shared" si="0"/>
        <v>6.8847500000000004</v>
      </c>
      <c r="H23" s="2"/>
    </row>
    <row r="24" spans="2:8">
      <c r="B24" s="2">
        <v>8.4</v>
      </c>
      <c r="C24" s="2">
        <v>6.9</v>
      </c>
      <c r="D24" s="2">
        <v>6.6</v>
      </c>
      <c r="E24" s="2">
        <v>6.2</v>
      </c>
      <c r="G24" s="4">
        <f t="shared" si="0"/>
        <v>7.0249999999999995</v>
      </c>
      <c r="H24" s="2"/>
    </row>
    <row r="25" spans="2:8">
      <c r="B25" s="2">
        <v>7.55</v>
      </c>
      <c r="C25" s="2">
        <v>6</v>
      </c>
      <c r="D25" s="2">
        <v>6</v>
      </c>
      <c r="E25" s="2">
        <v>8.64</v>
      </c>
      <c r="G25" s="4">
        <f t="shared" si="0"/>
        <v>7.0475000000000003</v>
      </c>
      <c r="H25" s="2"/>
    </row>
    <row r="26" spans="2:8">
      <c r="B26" s="2">
        <v>8.1999999999999993</v>
      </c>
      <c r="C26" s="2">
        <v>7.3</v>
      </c>
      <c r="D26" s="2">
        <v>6.4</v>
      </c>
      <c r="E26" s="2">
        <v>6.3</v>
      </c>
      <c r="G26" s="4">
        <f t="shared" si="0"/>
        <v>7.05</v>
      </c>
      <c r="H26" s="2"/>
    </row>
    <row r="27" spans="2:8">
      <c r="B27" s="2">
        <v>7.7</v>
      </c>
      <c r="C27" s="2">
        <v>7.3</v>
      </c>
      <c r="D27" s="2">
        <v>7</v>
      </c>
      <c r="E27" s="2">
        <v>6.2</v>
      </c>
      <c r="G27" s="4">
        <f t="shared" si="0"/>
        <v>7.05</v>
      </c>
      <c r="H27" s="2"/>
    </row>
    <row r="28" spans="2:8">
      <c r="B28" s="2">
        <v>7.9130000000000003</v>
      </c>
      <c r="C28" s="2">
        <v>6.9809999999999999</v>
      </c>
      <c r="D28" s="2">
        <v>6.6719999999999997</v>
      </c>
      <c r="E28" s="2">
        <v>6.65</v>
      </c>
      <c r="G28" s="4">
        <f t="shared" si="0"/>
        <v>7.0540000000000003</v>
      </c>
      <c r="H28" s="2"/>
    </row>
    <row r="29" spans="2:8">
      <c r="B29" s="2">
        <v>8.6</v>
      </c>
      <c r="C29" s="2">
        <v>6.3</v>
      </c>
      <c r="D29" s="2">
        <v>6.7</v>
      </c>
      <c r="E29" s="2">
        <v>6.9</v>
      </c>
      <c r="G29" s="4">
        <f t="shared" si="0"/>
        <v>7.125</v>
      </c>
      <c r="H29" s="2"/>
    </row>
    <row r="30" spans="2:8">
      <c r="B30" s="2">
        <v>9.3000000000000007</v>
      </c>
      <c r="C30" s="2">
        <v>6.8</v>
      </c>
      <c r="D30" s="2">
        <v>5.6</v>
      </c>
      <c r="E30" s="2">
        <v>6.8</v>
      </c>
      <c r="G30" s="4">
        <f t="shared" si="0"/>
        <v>7.1250000000000009</v>
      </c>
      <c r="H30" s="2"/>
    </row>
    <row r="31" spans="2:8">
      <c r="B31" s="2">
        <v>7.9630000000000001</v>
      </c>
      <c r="C31" s="2">
        <v>7.0149999999999997</v>
      </c>
      <c r="D31" s="2">
        <v>6.6849999999999996</v>
      </c>
      <c r="E31" s="2">
        <v>6.85</v>
      </c>
      <c r="G31" s="4">
        <f t="shared" si="0"/>
        <v>7.1282499999999995</v>
      </c>
      <c r="H31" s="2"/>
    </row>
    <row r="32" spans="2:8">
      <c r="B32" s="2">
        <v>8.0090000000000003</v>
      </c>
      <c r="C32" s="2">
        <v>6.282</v>
      </c>
      <c r="D32" s="2">
        <v>7.3529999999999998</v>
      </c>
      <c r="E32" s="2">
        <v>6.8940000000000001</v>
      </c>
      <c r="G32" s="4">
        <f t="shared" si="0"/>
        <v>7.1344999999999992</v>
      </c>
      <c r="H32" s="2"/>
    </row>
    <row r="33" spans="2:8">
      <c r="B33" s="2">
        <v>8.0530000000000008</v>
      </c>
      <c r="C33" s="2">
        <v>7.2060000000000004</v>
      </c>
      <c r="D33" s="2">
        <v>6.5140000000000002</v>
      </c>
      <c r="E33" s="2">
        <v>6.86</v>
      </c>
      <c r="G33" s="4">
        <f t="shared" si="0"/>
        <v>7.1582499999999998</v>
      </c>
      <c r="H33" s="2"/>
    </row>
    <row r="34" spans="2:8">
      <c r="B34" s="2">
        <v>8.6999999999999993</v>
      </c>
      <c r="C34" s="2">
        <v>6.5</v>
      </c>
      <c r="D34" s="2">
        <v>6.9</v>
      </c>
      <c r="E34" s="2">
        <v>6.7</v>
      </c>
      <c r="G34" s="4">
        <f t="shared" si="0"/>
        <v>7.2</v>
      </c>
      <c r="H34" s="2"/>
    </row>
    <row r="35" spans="2:8">
      <c r="B35" s="2">
        <v>8.1999999999999993</v>
      </c>
      <c r="C35" s="2">
        <v>6.3</v>
      </c>
      <c r="D35" s="2">
        <v>7.3</v>
      </c>
      <c r="E35" s="2">
        <v>7</v>
      </c>
      <c r="G35" s="4">
        <f t="shared" ref="G35:G66" si="1">(B35+C35+D35+E35)/4</f>
        <v>7.2</v>
      </c>
      <c r="H35" s="2"/>
    </row>
    <row r="36" spans="2:8">
      <c r="B36" s="2">
        <v>9.3089999999999993</v>
      </c>
      <c r="C36" s="2">
        <v>6.4779999999999998</v>
      </c>
      <c r="D36" s="2">
        <v>6.1020000000000003</v>
      </c>
      <c r="E36" s="2">
        <v>6.9960000000000004</v>
      </c>
      <c r="G36" s="4">
        <f t="shared" si="1"/>
        <v>7.2212499999999995</v>
      </c>
      <c r="H36" s="2"/>
    </row>
    <row r="37" spans="2:8">
      <c r="B37" s="2">
        <v>8.6999999999999993</v>
      </c>
      <c r="C37" s="2">
        <v>7.2</v>
      </c>
      <c r="D37" s="2">
        <v>6.8</v>
      </c>
      <c r="E37" s="2">
        <v>6.2</v>
      </c>
      <c r="G37" s="4">
        <f t="shared" si="1"/>
        <v>7.2249999999999996</v>
      </c>
      <c r="H37" s="2"/>
    </row>
    <row r="38" spans="2:8">
      <c r="B38" s="2">
        <v>8.65</v>
      </c>
      <c r="C38" s="2">
        <v>6.57</v>
      </c>
      <c r="D38" s="2">
        <v>6.84</v>
      </c>
      <c r="E38" s="2">
        <v>6.84</v>
      </c>
      <c r="G38" s="4">
        <f t="shared" si="1"/>
        <v>7.2250000000000005</v>
      </c>
      <c r="H38" s="2"/>
    </row>
    <row r="39" spans="2:8">
      <c r="B39" s="2">
        <v>8.125</v>
      </c>
      <c r="C39" s="2">
        <v>6.7190000000000003</v>
      </c>
      <c r="D39" s="2">
        <v>6.952</v>
      </c>
      <c r="E39" s="2">
        <v>7.19</v>
      </c>
      <c r="G39" s="4">
        <f t="shared" si="1"/>
        <v>7.2465000000000002</v>
      </c>
      <c r="H39" s="2"/>
    </row>
    <row r="40" spans="2:8">
      <c r="B40" s="2">
        <v>8.3000000000000007</v>
      </c>
      <c r="C40" s="2">
        <v>6.9</v>
      </c>
      <c r="D40" s="2">
        <v>6.4</v>
      </c>
      <c r="E40" s="2">
        <v>7.5</v>
      </c>
      <c r="G40" s="4">
        <f t="shared" si="1"/>
        <v>7.2750000000000004</v>
      </c>
      <c r="H40" s="2"/>
    </row>
    <row r="41" spans="2:8">
      <c r="B41" s="2">
        <v>8.3000000000000007</v>
      </c>
      <c r="C41" s="2">
        <v>7.2</v>
      </c>
      <c r="D41" s="2">
        <v>6.7</v>
      </c>
      <c r="E41" s="2">
        <v>6.9</v>
      </c>
      <c r="G41" s="4">
        <f t="shared" si="1"/>
        <v>7.2750000000000004</v>
      </c>
      <c r="H41" s="2"/>
    </row>
    <row r="42" spans="2:8">
      <c r="B42" s="2">
        <v>7.8</v>
      </c>
      <c r="C42" s="2">
        <v>6.9</v>
      </c>
      <c r="D42" s="2">
        <v>7.2</v>
      </c>
      <c r="E42" s="2">
        <v>7.4</v>
      </c>
      <c r="G42" s="4">
        <f t="shared" si="1"/>
        <v>7.3249999999999993</v>
      </c>
      <c r="H42" s="2"/>
    </row>
    <row r="43" spans="2:8">
      <c r="B43" s="2">
        <v>8.24</v>
      </c>
      <c r="C43" s="2">
        <v>7.23</v>
      </c>
      <c r="D43" s="2">
        <v>6.9880000000000004</v>
      </c>
      <c r="E43" s="2">
        <v>6.9870000000000001</v>
      </c>
      <c r="G43" s="4">
        <f t="shared" si="1"/>
        <v>7.3612500000000001</v>
      </c>
      <c r="H43" s="2"/>
    </row>
    <row r="44" spans="2:8">
      <c r="B44" s="2">
        <v>8.9920000000000009</v>
      </c>
      <c r="C44" s="2">
        <v>7.1239999999999997</v>
      </c>
      <c r="D44" s="2">
        <v>6.1820000000000004</v>
      </c>
      <c r="E44" s="2">
        <v>7.1749999999999998</v>
      </c>
      <c r="G44" s="4">
        <f t="shared" si="1"/>
        <v>7.3682500000000006</v>
      </c>
      <c r="H44" s="2"/>
    </row>
    <row r="45" spans="2:8">
      <c r="B45" s="2">
        <v>9.02</v>
      </c>
      <c r="C45" s="2">
        <v>6.45</v>
      </c>
      <c r="D45" s="2">
        <v>6.82</v>
      </c>
      <c r="E45" s="2">
        <v>7.26</v>
      </c>
      <c r="G45" s="4">
        <f t="shared" si="1"/>
        <v>7.3874999999999993</v>
      </c>
      <c r="H45" s="2"/>
    </row>
    <row r="46" spans="2:8">
      <c r="B46" s="2">
        <v>9.1</v>
      </c>
      <c r="C46" s="2">
        <v>6.4</v>
      </c>
      <c r="D46" s="2">
        <v>6.8</v>
      </c>
      <c r="E46" s="2">
        <v>7.3</v>
      </c>
      <c r="G46" s="4">
        <f t="shared" si="1"/>
        <v>7.4</v>
      </c>
      <c r="H46" s="2"/>
    </row>
    <row r="47" spans="2:8">
      <c r="B47" s="2">
        <v>8</v>
      </c>
      <c r="C47" s="2">
        <v>7.2880000000000003</v>
      </c>
      <c r="D47" s="2">
        <v>6.89</v>
      </c>
      <c r="E47" s="2">
        <v>7.4450000000000003</v>
      </c>
      <c r="G47" s="4">
        <f t="shared" si="1"/>
        <v>7.4057500000000003</v>
      </c>
      <c r="H47" s="2"/>
    </row>
    <row r="48" spans="2:8">
      <c r="B48" s="2">
        <v>9.31</v>
      </c>
      <c r="C48" s="2">
        <v>6.91</v>
      </c>
      <c r="D48" s="2">
        <v>6.01</v>
      </c>
      <c r="E48" s="2">
        <v>7.4</v>
      </c>
      <c r="G48" s="4">
        <f t="shared" si="1"/>
        <v>7.4074999999999989</v>
      </c>
      <c r="H48" s="2"/>
    </row>
    <row r="49" spans="2:8">
      <c r="B49" s="2">
        <v>8.9</v>
      </c>
      <c r="C49" s="2">
        <v>6.8</v>
      </c>
      <c r="D49" s="2">
        <v>6.7</v>
      </c>
      <c r="E49" s="2">
        <v>7.25</v>
      </c>
      <c r="G49" s="4">
        <f t="shared" si="1"/>
        <v>7.4124999999999996</v>
      </c>
      <c r="H49" s="2"/>
    </row>
    <row r="50" spans="2:8">
      <c r="B50" s="2">
        <v>8.81</v>
      </c>
      <c r="C50" s="2">
        <v>6.82</v>
      </c>
      <c r="D50" s="2">
        <v>6.9</v>
      </c>
      <c r="E50" s="2">
        <v>7.2</v>
      </c>
      <c r="G50" s="4">
        <f t="shared" si="1"/>
        <v>7.4325000000000001</v>
      </c>
      <c r="H50" s="2"/>
    </row>
    <row r="51" spans="2:8">
      <c r="B51" s="2">
        <v>8.5</v>
      </c>
      <c r="C51" s="2">
        <v>6.32</v>
      </c>
      <c r="D51" s="2">
        <v>7.49</v>
      </c>
      <c r="E51" s="2">
        <v>7.59</v>
      </c>
      <c r="G51" s="4">
        <f t="shared" si="1"/>
        <v>7.4750000000000005</v>
      </c>
      <c r="H51" s="2"/>
    </row>
    <row r="52" spans="2:8">
      <c r="B52" s="2">
        <v>8.1999999999999993</v>
      </c>
      <c r="C52" s="2">
        <v>7.3</v>
      </c>
      <c r="D52" s="2">
        <v>7.1</v>
      </c>
      <c r="E52" s="2">
        <v>7.3</v>
      </c>
      <c r="G52" s="4">
        <f t="shared" si="1"/>
        <v>7.4750000000000005</v>
      </c>
      <c r="H52" s="2"/>
    </row>
    <row r="53" spans="2:8">
      <c r="B53" s="2">
        <v>9.2750000000000004</v>
      </c>
      <c r="C53" s="2">
        <v>6.69</v>
      </c>
      <c r="D53" s="2">
        <v>6.9089999999999998</v>
      </c>
      <c r="E53" s="2">
        <v>7.2489999999999997</v>
      </c>
      <c r="G53" s="4">
        <f t="shared" si="1"/>
        <v>7.5307499999999994</v>
      </c>
      <c r="H53" s="2"/>
    </row>
    <row r="54" spans="2:8">
      <c r="B54" s="2">
        <v>8.7899999999999991</v>
      </c>
      <c r="C54" s="2">
        <v>7.13</v>
      </c>
      <c r="D54" s="2">
        <v>6.79</v>
      </c>
      <c r="E54" s="2">
        <v>7.47</v>
      </c>
      <c r="G54" s="4">
        <f t="shared" si="1"/>
        <v>7.544999999999999</v>
      </c>
      <c r="H54" s="2"/>
    </row>
    <row r="55" spans="2:8">
      <c r="B55" s="2">
        <v>8.58</v>
      </c>
      <c r="C55" s="2">
        <v>7.16</v>
      </c>
      <c r="D55" s="2">
        <v>7.5</v>
      </c>
      <c r="E55" s="2">
        <v>7.01</v>
      </c>
      <c r="G55" s="4">
        <f t="shared" si="1"/>
        <v>7.5625</v>
      </c>
      <c r="H55" s="2"/>
    </row>
    <row r="56" spans="2:8">
      <c r="B56" s="2">
        <v>8.6</v>
      </c>
      <c r="C56" s="2">
        <v>8.1199999999999992</v>
      </c>
      <c r="D56" s="2">
        <v>6.19</v>
      </c>
      <c r="E56" s="2">
        <v>7.5</v>
      </c>
      <c r="G56" s="4">
        <f t="shared" si="1"/>
        <v>7.6025</v>
      </c>
      <c r="H56" s="2"/>
    </row>
    <row r="57" spans="2:8">
      <c r="B57" s="2">
        <v>9.8000000000000007</v>
      </c>
      <c r="C57" s="2">
        <v>6.7</v>
      </c>
      <c r="D57" s="2">
        <v>7</v>
      </c>
      <c r="E57" s="2">
        <v>7</v>
      </c>
      <c r="G57" s="4">
        <f t="shared" si="1"/>
        <v>7.625</v>
      </c>
      <c r="H57" s="2"/>
    </row>
    <row r="58" spans="2:8">
      <c r="B58" s="2">
        <v>9.1199999999999992</v>
      </c>
      <c r="C58" s="2">
        <v>6.5</v>
      </c>
      <c r="D58" s="2">
        <v>8</v>
      </c>
      <c r="E58" s="2">
        <v>7.06</v>
      </c>
      <c r="G58" s="4">
        <f t="shared" si="1"/>
        <v>7.669999999999999</v>
      </c>
      <c r="H58" s="2"/>
    </row>
    <row r="59" spans="2:8">
      <c r="B59" s="2">
        <v>9.3000000000000007</v>
      </c>
      <c r="C59" s="2">
        <v>8.64</v>
      </c>
      <c r="D59" s="2">
        <v>6.5</v>
      </c>
      <c r="E59" s="2">
        <v>6.3</v>
      </c>
      <c r="G59" s="4">
        <f t="shared" si="1"/>
        <v>7.6850000000000005</v>
      </c>
      <c r="H59" s="2"/>
    </row>
    <row r="60" spans="2:8">
      <c r="B60" s="2">
        <v>9.1999999999999993</v>
      </c>
      <c r="C60" s="2">
        <v>6.8</v>
      </c>
      <c r="D60" s="2">
        <v>7.3</v>
      </c>
      <c r="E60" s="2">
        <v>7.5</v>
      </c>
      <c r="G60" s="4">
        <f t="shared" si="1"/>
        <v>7.7</v>
      </c>
      <c r="H60" s="2"/>
    </row>
    <row r="61" spans="2:8">
      <c r="B61" s="2">
        <v>8.9</v>
      </c>
      <c r="C61" s="2">
        <v>6.6</v>
      </c>
      <c r="D61" s="2">
        <v>8.0399999999999991</v>
      </c>
      <c r="E61" s="2">
        <v>7.4</v>
      </c>
      <c r="G61" s="4">
        <f t="shared" si="1"/>
        <v>7.7349999999999994</v>
      </c>
      <c r="H61" s="2"/>
    </row>
    <row r="62" spans="2:8">
      <c r="B62" s="2">
        <v>8.4</v>
      </c>
      <c r="C62" s="2">
        <v>7.7</v>
      </c>
      <c r="D62" s="2">
        <v>7.4</v>
      </c>
      <c r="E62" s="2">
        <v>7.5</v>
      </c>
      <c r="G62" s="4">
        <f t="shared" si="1"/>
        <v>7.75</v>
      </c>
      <c r="H62" s="2"/>
    </row>
    <row r="63" spans="2:8">
      <c r="B63" s="2">
        <v>8.98</v>
      </c>
      <c r="C63" s="2">
        <v>7.1</v>
      </c>
      <c r="D63" s="2">
        <v>6.6</v>
      </c>
      <c r="E63" s="2">
        <v>8.3979999999999997</v>
      </c>
      <c r="G63" s="4">
        <f t="shared" si="1"/>
        <v>7.7694999999999999</v>
      </c>
      <c r="H63" s="2"/>
    </row>
    <row r="64" spans="2:8">
      <c r="B64" s="2">
        <v>9.1999999999999993</v>
      </c>
      <c r="C64" s="2">
        <v>7.1</v>
      </c>
      <c r="D64" s="2">
        <v>7.3</v>
      </c>
      <c r="E64" s="2">
        <v>7.5</v>
      </c>
      <c r="G64" s="4">
        <f t="shared" si="1"/>
        <v>7.7749999999999995</v>
      </c>
      <c r="H64" s="2"/>
    </row>
    <row r="65" spans="2:8">
      <c r="B65" s="2">
        <v>8.6</v>
      </c>
      <c r="C65" s="2">
        <v>7.5</v>
      </c>
      <c r="D65" s="2">
        <v>7.5</v>
      </c>
      <c r="E65" s="2">
        <v>7.5</v>
      </c>
      <c r="G65" s="4">
        <f t="shared" si="1"/>
        <v>7.7750000000000004</v>
      </c>
      <c r="H65" s="2"/>
    </row>
    <row r="66" spans="2:8">
      <c r="B66" s="2">
        <v>8.5</v>
      </c>
      <c r="C66" s="2">
        <v>8.3000000000000007</v>
      </c>
      <c r="D66" s="2">
        <v>6.5</v>
      </c>
      <c r="E66" s="2">
        <v>7.8</v>
      </c>
      <c r="G66" s="4">
        <f t="shared" si="1"/>
        <v>7.7750000000000004</v>
      </c>
      <c r="H66" s="2"/>
    </row>
    <row r="67" spans="2:8">
      <c r="B67" s="2">
        <v>8.09</v>
      </c>
      <c r="C67" s="2">
        <v>7.11</v>
      </c>
      <c r="D67" s="2">
        <v>8.36</v>
      </c>
      <c r="E67" s="2">
        <v>7.59</v>
      </c>
      <c r="G67" s="4">
        <f t="shared" ref="G67:G98" si="2">(B67+C67+D67+E67)/4</f>
        <v>7.7874999999999996</v>
      </c>
      <c r="H67" s="2"/>
    </row>
    <row r="68" spans="2:8">
      <c r="B68" s="2">
        <v>8.7650000000000006</v>
      </c>
      <c r="C68" s="2">
        <v>6.8310000000000004</v>
      </c>
      <c r="D68" s="2">
        <v>7.7750000000000004</v>
      </c>
      <c r="E68" s="2">
        <v>7.7839999999999998</v>
      </c>
      <c r="G68" s="4">
        <f t="shared" si="2"/>
        <v>7.7887500000000003</v>
      </c>
      <c r="H68" s="2"/>
    </row>
    <row r="69" spans="2:8">
      <c r="B69" s="2">
        <v>7.88</v>
      </c>
      <c r="C69" s="2">
        <v>7.79</v>
      </c>
      <c r="D69" s="2">
        <v>7.73</v>
      </c>
      <c r="E69" s="2">
        <v>7.76</v>
      </c>
      <c r="G69" s="4">
        <f t="shared" si="2"/>
        <v>7.7899999999999991</v>
      </c>
      <c r="H69" s="2"/>
    </row>
    <row r="70" spans="2:8">
      <c r="B70" s="2">
        <v>7.82</v>
      </c>
      <c r="C70" s="2">
        <v>7.91</v>
      </c>
      <c r="D70" s="2">
        <v>6.59</v>
      </c>
      <c r="E70" s="2">
        <v>8.86</v>
      </c>
      <c r="G70" s="4">
        <f t="shared" si="2"/>
        <v>7.7949999999999999</v>
      </c>
      <c r="H70" s="2"/>
    </row>
    <row r="71" spans="2:8">
      <c r="B71" s="2">
        <v>8.9049999999999994</v>
      </c>
      <c r="C71" s="2">
        <v>6.9770000000000003</v>
      </c>
      <c r="D71" s="2">
        <v>7.8739999999999997</v>
      </c>
      <c r="E71" s="2">
        <v>7.7930000000000001</v>
      </c>
      <c r="G71" s="4">
        <f t="shared" si="2"/>
        <v>7.8872499999999999</v>
      </c>
      <c r="H71" s="2"/>
    </row>
    <row r="72" spans="2:8">
      <c r="B72" s="2">
        <v>8.66</v>
      </c>
      <c r="C72" s="2">
        <v>8.61</v>
      </c>
      <c r="D72" s="2">
        <v>6.94</v>
      </c>
      <c r="E72" s="2">
        <v>7.44</v>
      </c>
      <c r="G72" s="4">
        <f t="shared" si="2"/>
        <v>7.9125000000000005</v>
      </c>
      <c r="H72" s="2"/>
    </row>
    <row r="73" spans="2:8">
      <c r="B73" s="2">
        <v>9.1999999999999993</v>
      </c>
      <c r="C73" s="2">
        <v>6.8</v>
      </c>
      <c r="D73" s="2">
        <v>7.9</v>
      </c>
      <c r="E73" s="2">
        <v>7.8</v>
      </c>
      <c r="G73" s="4">
        <f t="shared" si="2"/>
        <v>7.9249999999999998</v>
      </c>
    </row>
    <row r="74" spans="2:8">
      <c r="B74" s="2">
        <v>9.6</v>
      </c>
      <c r="C74" s="2">
        <v>7.4</v>
      </c>
      <c r="D74" s="2">
        <v>7.2</v>
      </c>
      <c r="E74" s="2">
        <v>7.8</v>
      </c>
      <c r="G74" s="4">
        <f t="shared" si="2"/>
        <v>8</v>
      </c>
    </row>
    <row r="75" spans="2:8">
      <c r="B75" s="2">
        <v>9.4</v>
      </c>
      <c r="C75" s="2">
        <v>7.2</v>
      </c>
      <c r="D75" s="2">
        <v>8.1999999999999993</v>
      </c>
      <c r="E75" s="2">
        <v>7.3</v>
      </c>
      <c r="G75" s="4">
        <f t="shared" si="2"/>
        <v>8.0250000000000004</v>
      </c>
    </row>
    <row r="76" spans="2:8">
      <c r="B76" s="2">
        <v>7.76</v>
      </c>
      <c r="C76" s="2">
        <v>7.78</v>
      </c>
      <c r="D76" s="2">
        <v>8.3699999999999992</v>
      </c>
      <c r="E76" s="2">
        <v>8.25</v>
      </c>
      <c r="G76" s="4">
        <f t="shared" si="2"/>
        <v>8.0399999999999991</v>
      </c>
    </row>
    <row r="77" spans="2:8">
      <c r="B77" s="2">
        <v>9.6999999999999993</v>
      </c>
      <c r="C77" s="2">
        <v>9.4</v>
      </c>
      <c r="D77" s="2">
        <v>6.7</v>
      </c>
      <c r="E77" s="2">
        <v>6.4</v>
      </c>
      <c r="G77" s="4">
        <f t="shared" si="2"/>
        <v>8.0500000000000007</v>
      </c>
    </row>
    <row r="78" spans="2:8">
      <c r="B78" s="2">
        <v>8.91</v>
      </c>
      <c r="C78" s="2">
        <v>8</v>
      </c>
      <c r="D78" s="2">
        <v>6.52</v>
      </c>
      <c r="E78" s="2">
        <v>8.8699999999999992</v>
      </c>
      <c r="G78" s="4">
        <f t="shared" si="2"/>
        <v>8.0749999999999993</v>
      </c>
    </row>
    <row r="79" spans="2:8">
      <c r="B79" s="2">
        <v>9.1999999999999993</v>
      </c>
      <c r="C79" s="2">
        <v>7</v>
      </c>
      <c r="D79" s="2">
        <v>8.1999999999999993</v>
      </c>
      <c r="E79" s="2">
        <v>7.9</v>
      </c>
      <c r="G79" s="4">
        <f t="shared" si="2"/>
        <v>8.0749999999999993</v>
      </c>
    </row>
    <row r="80" spans="2:8">
      <c r="B80" s="2">
        <v>9.23</v>
      </c>
      <c r="C80" s="2">
        <v>6.9</v>
      </c>
      <c r="D80" s="2">
        <v>8.3000000000000007</v>
      </c>
      <c r="E80" s="2">
        <v>7.9</v>
      </c>
      <c r="G80" s="4">
        <f t="shared" si="2"/>
        <v>8.0825000000000014</v>
      </c>
    </row>
    <row r="81" spans="2:7">
      <c r="B81" s="2">
        <v>9</v>
      </c>
      <c r="C81" s="2">
        <v>9</v>
      </c>
      <c r="D81" s="2">
        <v>7.69</v>
      </c>
      <c r="E81" s="2">
        <v>6.69</v>
      </c>
      <c r="G81" s="4">
        <f t="shared" si="2"/>
        <v>8.0950000000000006</v>
      </c>
    </row>
    <row r="82" spans="2:7">
      <c r="B82" s="2">
        <v>9.01</v>
      </c>
      <c r="C82" s="2">
        <v>7.07</v>
      </c>
      <c r="D82" s="2">
        <v>8.08</v>
      </c>
      <c r="E82" s="2">
        <v>8.23</v>
      </c>
      <c r="G82" s="4">
        <f t="shared" si="2"/>
        <v>8.0975000000000001</v>
      </c>
    </row>
    <row r="83" spans="2:7">
      <c r="B83" s="2">
        <v>9.6</v>
      </c>
      <c r="C83" s="2">
        <v>7.6</v>
      </c>
      <c r="D83" s="2">
        <v>7.2</v>
      </c>
      <c r="E83" s="2">
        <v>8</v>
      </c>
      <c r="G83" s="4">
        <f t="shared" si="2"/>
        <v>8.1</v>
      </c>
    </row>
    <row r="84" spans="2:7">
      <c r="B84" s="2">
        <v>8.2970000000000006</v>
      </c>
      <c r="C84" s="2">
        <v>7.8970000000000002</v>
      </c>
      <c r="D84" s="2">
        <v>8.2789999999999999</v>
      </c>
      <c r="E84" s="2">
        <v>7.9660000000000002</v>
      </c>
      <c r="G84" s="4">
        <f t="shared" si="2"/>
        <v>8.10975</v>
      </c>
    </row>
    <row r="85" spans="2:7">
      <c r="B85" s="2">
        <v>7.96</v>
      </c>
      <c r="C85" s="2">
        <v>8.34</v>
      </c>
      <c r="D85" s="2">
        <v>8.24</v>
      </c>
      <c r="E85" s="2">
        <v>7.96</v>
      </c>
      <c r="G85" s="4">
        <f t="shared" si="2"/>
        <v>8.125</v>
      </c>
    </row>
    <row r="86" spans="2:7">
      <c r="B86" s="2">
        <v>9.6</v>
      </c>
      <c r="C86" s="2">
        <v>7.5</v>
      </c>
      <c r="D86" s="2">
        <v>7.9</v>
      </c>
      <c r="E86" s="2">
        <v>7.5</v>
      </c>
      <c r="G86" s="4">
        <f t="shared" si="2"/>
        <v>8.125</v>
      </c>
    </row>
    <row r="87" spans="2:7">
      <c r="B87" s="2">
        <v>8.77</v>
      </c>
      <c r="C87" s="2">
        <v>7.5</v>
      </c>
      <c r="D87" s="2">
        <v>8.01</v>
      </c>
      <c r="E87" s="2">
        <v>8.4</v>
      </c>
      <c r="G87" s="4">
        <f t="shared" si="2"/>
        <v>8.17</v>
      </c>
    </row>
    <row r="88" spans="2:7">
      <c r="B88" s="2">
        <v>9.1</v>
      </c>
      <c r="C88" s="2">
        <v>8.23</v>
      </c>
      <c r="D88" s="2">
        <v>7.4</v>
      </c>
      <c r="E88" s="2">
        <v>8.02</v>
      </c>
      <c r="G88" s="4">
        <f t="shared" si="2"/>
        <v>8.1875</v>
      </c>
    </row>
    <row r="89" spans="2:7">
      <c r="B89" s="2">
        <v>9.3000000000000007</v>
      </c>
      <c r="C89" s="2">
        <v>7.8</v>
      </c>
      <c r="D89" s="2">
        <v>8.1</v>
      </c>
      <c r="E89" s="2">
        <v>7.7</v>
      </c>
      <c r="G89" s="4">
        <f t="shared" si="2"/>
        <v>8.2250000000000014</v>
      </c>
    </row>
    <row r="90" spans="2:7">
      <c r="B90" s="2">
        <v>9.4499999999999993</v>
      </c>
      <c r="C90" s="2">
        <v>9.11</v>
      </c>
      <c r="D90" s="2">
        <v>7.5</v>
      </c>
      <c r="E90" s="2">
        <v>6.9</v>
      </c>
      <c r="G90" s="4">
        <f t="shared" si="2"/>
        <v>8.24</v>
      </c>
    </row>
    <row r="91" spans="2:7">
      <c r="B91" s="2">
        <v>9.3989999999999991</v>
      </c>
      <c r="C91" s="2">
        <v>7.6079999999999997</v>
      </c>
      <c r="D91" s="2">
        <v>8.3800000000000008</v>
      </c>
      <c r="E91" s="2">
        <v>7.7130000000000001</v>
      </c>
      <c r="G91" s="4">
        <f t="shared" si="2"/>
        <v>8.2750000000000004</v>
      </c>
    </row>
    <row r="92" spans="2:7">
      <c r="B92" s="2">
        <v>8.8000000000000007</v>
      </c>
      <c r="C92" s="2">
        <v>8.1</v>
      </c>
      <c r="D92" s="2">
        <v>7.92</v>
      </c>
      <c r="E92" s="2">
        <v>8.4</v>
      </c>
      <c r="G92" s="4">
        <f t="shared" si="2"/>
        <v>8.3049999999999997</v>
      </c>
    </row>
    <row r="93" spans="2:7">
      <c r="B93" s="2">
        <v>8</v>
      </c>
      <c r="C93" s="2">
        <v>7</v>
      </c>
      <c r="D93" s="2">
        <v>9.27</v>
      </c>
      <c r="E93" s="2">
        <v>9.09</v>
      </c>
      <c r="G93" s="4">
        <f t="shared" si="2"/>
        <v>8.34</v>
      </c>
    </row>
    <row r="94" spans="2:7">
      <c r="B94" s="2">
        <v>9.4</v>
      </c>
      <c r="C94" s="2">
        <v>7.1139999999999999</v>
      </c>
      <c r="D94" s="2">
        <v>8.3000000000000007</v>
      </c>
      <c r="E94" s="2">
        <v>8.6</v>
      </c>
      <c r="G94" s="4">
        <f t="shared" si="2"/>
        <v>8.3535000000000004</v>
      </c>
    </row>
    <row r="95" spans="2:7">
      <c r="B95" s="2">
        <v>8.6999999999999993</v>
      </c>
      <c r="C95" s="2">
        <v>8.5</v>
      </c>
      <c r="D95" s="2">
        <v>8.1999999999999993</v>
      </c>
      <c r="E95" s="2">
        <v>8.4</v>
      </c>
      <c r="G95" s="4">
        <f t="shared" si="2"/>
        <v>8.4499999999999993</v>
      </c>
    </row>
    <row r="96" spans="2:7">
      <c r="B96" s="2">
        <v>9.1999999999999993</v>
      </c>
      <c r="C96" s="2">
        <v>8.4</v>
      </c>
      <c r="D96" s="2">
        <v>8.3000000000000007</v>
      </c>
      <c r="E96" s="2">
        <v>8.1</v>
      </c>
      <c r="G96" s="4">
        <f t="shared" si="2"/>
        <v>8.5</v>
      </c>
    </row>
    <row r="97" spans="2:7">
      <c r="B97" s="2">
        <v>9.02</v>
      </c>
      <c r="C97" s="2">
        <v>7.52</v>
      </c>
      <c r="D97" s="2">
        <v>8.36</v>
      </c>
      <c r="E97" s="2">
        <v>9.1999999999999993</v>
      </c>
      <c r="G97" s="4">
        <f t="shared" si="2"/>
        <v>8.5249999999999986</v>
      </c>
    </row>
    <row r="98" spans="2:7">
      <c r="B98" s="2">
        <v>9.3000000000000007</v>
      </c>
      <c r="C98" s="2">
        <v>8.6</v>
      </c>
      <c r="D98" s="2">
        <v>8.3000000000000007</v>
      </c>
      <c r="E98" s="2">
        <v>8.1</v>
      </c>
      <c r="G98" s="4">
        <f t="shared" si="2"/>
        <v>8.5749999999999993</v>
      </c>
    </row>
    <row r="99" spans="2:7">
      <c r="B99" s="2">
        <v>9.4359999999999999</v>
      </c>
      <c r="C99" s="2">
        <v>7.5759999999999996</v>
      </c>
      <c r="D99" s="2">
        <v>8.782</v>
      </c>
      <c r="E99" s="2">
        <v>8.5340000000000007</v>
      </c>
      <c r="G99" s="4">
        <f t="shared" ref="G99:G122" si="3">(B99+C99+D99+E99)/4</f>
        <v>8.5820000000000007</v>
      </c>
    </row>
    <row r="100" spans="2:7">
      <c r="B100" s="2">
        <v>9.5</v>
      </c>
      <c r="C100" s="2">
        <v>8.6999999999999993</v>
      </c>
      <c r="D100" s="2">
        <v>8.4</v>
      </c>
      <c r="E100" s="2">
        <v>8.01</v>
      </c>
      <c r="G100" s="4">
        <f t="shared" si="3"/>
        <v>8.6524999999999999</v>
      </c>
    </row>
    <row r="101" spans="2:7">
      <c r="B101" s="2">
        <v>9.09</v>
      </c>
      <c r="C101" s="2">
        <v>8.8000000000000007</v>
      </c>
      <c r="D101" s="2">
        <v>8.1199999999999992</v>
      </c>
      <c r="E101" s="2">
        <v>8.84</v>
      </c>
      <c r="G101" s="4">
        <f t="shared" si="3"/>
        <v>8.7124999999999986</v>
      </c>
    </row>
    <row r="102" spans="2:7">
      <c r="B102" s="2">
        <v>8.74</v>
      </c>
      <c r="C102" s="2">
        <v>8.9700000000000006</v>
      </c>
      <c r="D102" s="2">
        <v>8.34</v>
      </c>
      <c r="E102" s="2">
        <v>8.98</v>
      </c>
      <c r="G102" s="4">
        <f t="shared" si="3"/>
        <v>8.7575000000000003</v>
      </c>
    </row>
    <row r="103" spans="2:7">
      <c r="B103" s="2">
        <v>9.4499999999999993</v>
      </c>
      <c r="C103" s="2">
        <v>9.3000000000000007</v>
      </c>
      <c r="D103" s="2">
        <v>9.1999999999999993</v>
      </c>
      <c r="E103" s="2">
        <v>7.45</v>
      </c>
      <c r="G103" s="4">
        <f t="shared" si="3"/>
        <v>8.85</v>
      </c>
    </row>
    <row r="104" spans="2:7">
      <c r="B104" s="2">
        <v>9.4</v>
      </c>
      <c r="C104" s="2">
        <v>8.1999999999999993</v>
      </c>
      <c r="D104" s="2">
        <v>9.1</v>
      </c>
      <c r="E104" s="2">
        <v>8.6999999999999993</v>
      </c>
      <c r="G104" s="4">
        <f t="shared" si="3"/>
        <v>8.8500000000000014</v>
      </c>
    </row>
    <row r="105" spans="2:7">
      <c r="B105" s="2">
        <v>9</v>
      </c>
      <c r="C105" s="2">
        <v>9.4</v>
      </c>
      <c r="D105" s="2">
        <v>8.77</v>
      </c>
      <c r="E105" s="2">
        <v>8.5399999999999991</v>
      </c>
      <c r="G105" s="4">
        <f t="shared" si="3"/>
        <v>8.9274999999999984</v>
      </c>
    </row>
    <row r="106" spans="2:7">
      <c r="B106" s="2">
        <v>9.77</v>
      </c>
      <c r="C106" s="2">
        <v>9.69</v>
      </c>
      <c r="D106" s="2">
        <v>8.64</v>
      </c>
      <c r="E106" s="2">
        <v>7.89</v>
      </c>
      <c r="G106" s="4">
        <f t="shared" si="3"/>
        <v>8.9975000000000005</v>
      </c>
    </row>
    <row r="107" spans="2:7">
      <c r="B107" s="2">
        <v>9.4600000000000009</v>
      </c>
      <c r="C107" s="2">
        <v>9.44</v>
      </c>
      <c r="D107" s="2">
        <v>8.59</v>
      </c>
      <c r="E107" s="2">
        <v>8.81</v>
      </c>
      <c r="G107" s="4">
        <f t="shared" si="3"/>
        <v>9.0749999999999993</v>
      </c>
    </row>
    <row r="108" spans="2:7">
      <c r="B108" s="2">
        <v>9.41</v>
      </c>
      <c r="C108" s="2">
        <v>8.73</v>
      </c>
      <c r="D108" s="2">
        <v>9.14</v>
      </c>
      <c r="E108" s="2">
        <v>9.1999999999999993</v>
      </c>
      <c r="G108" s="4">
        <f t="shared" si="3"/>
        <v>9.120000000000001</v>
      </c>
    </row>
    <row r="109" spans="2:7">
      <c r="B109" s="2">
        <v>9.39</v>
      </c>
      <c r="C109" s="2">
        <v>9.1300000000000008</v>
      </c>
      <c r="D109" s="2">
        <v>9.34</v>
      </c>
      <c r="E109" s="2">
        <v>8.64</v>
      </c>
      <c r="G109" s="4">
        <f t="shared" si="3"/>
        <v>9.125</v>
      </c>
    </row>
    <row r="110" spans="2:7">
      <c r="B110" s="2">
        <v>9.1</v>
      </c>
      <c r="C110" s="2">
        <v>9.0299999999999994</v>
      </c>
      <c r="D110" s="2">
        <v>9.1</v>
      </c>
      <c r="E110" s="2">
        <v>9.3000000000000007</v>
      </c>
      <c r="G110" s="4">
        <f t="shared" si="3"/>
        <v>9.1325000000000003</v>
      </c>
    </row>
    <row r="111" spans="2:7">
      <c r="B111" s="2">
        <v>10</v>
      </c>
      <c r="C111" s="2">
        <v>9.56</v>
      </c>
      <c r="D111" s="2">
        <v>8.32</v>
      </c>
      <c r="E111" s="2">
        <v>8.7100000000000009</v>
      </c>
      <c r="G111" s="4">
        <f t="shared" si="3"/>
        <v>9.1475000000000009</v>
      </c>
    </row>
    <row r="112" spans="2:7">
      <c r="B112" s="2">
        <v>9.3000000000000007</v>
      </c>
      <c r="C112" s="2">
        <v>9.61</v>
      </c>
      <c r="D112" s="2">
        <v>8.56</v>
      </c>
      <c r="E112" s="2">
        <v>9.2799999999999994</v>
      </c>
      <c r="G112" s="4">
        <f t="shared" si="3"/>
        <v>9.1875</v>
      </c>
    </row>
    <row r="113" spans="2:7">
      <c r="B113" s="2">
        <v>9.77</v>
      </c>
      <c r="C113" s="2">
        <v>8.9</v>
      </c>
      <c r="D113" s="2">
        <v>9.2100000000000009</v>
      </c>
      <c r="E113" s="2">
        <v>9.3000000000000007</v>
      </c>
      <c r="G113" s="4">
        <f t="shared" si="3"/>
        <v>9.2950000000000017</v>
      </c>
    </row>
    <row r="114" spans="2:7">
      <c r="B114" s="2">
        <v>9.6999999999999993</v>
      </c>
      <c r="C114" s="2">
        <v>9.6</v>
      </c>
      <c r="D114" s="2">
        <v>9.2100000000000009</v>
      </c>
      <c r="E114" s="2">
        <v>8.69</v>
      </c>
      <c r="G114" s="4">
        <f t="shared" si="3"/>
        <v>9.2999999999999989</v>
      </c>
    </row>
    <row r="115" spans="2:7">
      <c r="B115" s="2">
        <v>9.34</v>
      </c>
      <c r="C115" s="2">
        <v>9.56</v>
      </c>
      <c r="D115" s="2">
        <v>8.9</v>
      </c>
      <c r="E115" s="2">
        <v>9.56</v>
      </c>
      <c r="G115" s="4">
        <f t="shared" si="3"/>
        <v>9.34</v>
      </c>
    </row>
    <row r="116" spans="2:7">
      <c r="B116" s="2">
        <v>10</v>
      </c>
      <c r="C116" s="2">
        <v>10</v>
      </c>
      <c r="D116" s="2">
        <v>8.1999999999999993</v>
      </c>
      <c r="E116" s="2">
        <v>9.3000000000000007</v>
      </c>
      <c r="G116" s="4">
        <f t="shared" si="3"/>
        <v>9.375</v>
      </c>
    </row>
    <row r="117" spans="2:7">
      <c r="B117" s="2">
        <v>9.86</v>
      </c>
      <c r="C117" s="2">
        <v>9.2200000000000006</v>
      </c>
      <c r="D117" s="2">
        <v>9.48</v>
      </c>
      <c r="E117" s="2">
        <v>9.24</v>
      </c>
      <c r="G117" s="4">
        <f t="shared" si="3"/>
        <v>9.4499999999999993</v>
      </c>
    </row>
    <row r="118" spans="2:7">
      <c r="B118" s="2">
        <v>9.4</v>
      </c>
      <c r="C118" s="2">
        <v>9.5</v>
      </c>
      <c r="D118" s="2">
        <v>9.6</v>
      </c>
      <c r="E118" s="2">
        <v>9.5</v>
      </c>
      <c r="G118" s="4">
        <f t="shared" si="3"/>
        <v>9.5</v>
      </c>
    </row>
    <row r="119" spans="2:7">
      <c r="B119" s="2">
        <v>9.33</v>
      </c>
      <c r="C119" s="2">
        <v>9.5399999999999991</v>
      </c>
      <c r="D119" s="2">
        <v>9.43</v>
      </c>
      <c r="E119" s="2">
        <v>9.77</v>
      </c>
      <c r="G119" s="4">
        <f t="shared" si="3"/>
        <v>9.5174999999999983</v>
      </c>
    </row>
    <row r="120" spans="2:7">
      <c r="B120" s="2">
        <v>9.18</v>
      </c>
      <c r="C120" s="2">
        <v>9.56</v>
      </c>
      <c r="D120" s="2">
        <v>9.7200000000000006</v>
      </c>
      <c r="E120" s="2">
        <v>9.8000000000000007</v>
      </c>
      <c r="G120" s="4">
        <f t="shared" si="3"/>
        <v>9.5650000000000013</v>
      </c>
    </row>
    <row r="121" spans="2:7">
      <c r="B121" s="2">
        <v>9.8000000000000007</v>
      </c>
      <c r="C121" s="2">
        <v>9.9499999999999993</v>
      </c>
      <c r="D121" s="2">
        <v>10</v>
      </c>
      <c r="E121" s="2">
        <v>9.5</v>
      </c>
      <c r="G121" s="4">
        <f t="shared" si="3"/>
        <v>9.8125</v>
      </c>
    </row>
    <row r="122" spans="2:7">
      <c r="B122" s="2">
        <v>9.61</v>
      </c>
      <c r="C122" s="2">
        <v>10</v>
      </c>
      <c r="D122" s="2">
        <v>9.9600000000000009</v>
      </c>
      <c r="E122" s="2">
        <v>9.9600000000000009</v>
      </c>
      <c r="G122" s="4">
        <f t="shared" si="3"/>
        <v>9.8825000000000003</v>
      </c>
    </row>
    <row r="123" spans="2:7" ht="210">
      <c r="B123" s="3" t="s">
        <v>6</v>
      </c>
      <c r="C123" s="3" t="s">
        <v>7</v>
      </c>
      <c r="D123" s="3" t="s">
        <v>8</v>
      </c>
      <c r="E123" s="3" t="s">
        <v>9</v>
      </c>
      <c r="G123" s="3" t="s">
        <v>418</v>
      </c>
    </row>
  </sheetData>
  <sortState ref="B3:G123">
    <sortCondition ref="G3:G12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C3:BO125"/>
  <sheetViews>
    <sheetView topLeftCell="BH1" workbookViewId="0">
      <selection activeCell="BN4" sqref="BN4:BN9"/>
    </sheetView>
  </sheetViews>
  <sheetFormatPr defaultRowHeight="15"/>
  <cols>
    <col min="3" max="3" width="27.42578125" bestFit="1" customWidth="1"/>
    <col min="4" max="4" width="9.5703125" bestFit="1" customWidth="1"/>
    <col min="12" max="12" width="29.85546875" bestFit="1" customWidth="1"/>
    <col min="13" max="13" width="27.42578125" bestFit="1" customWidth="1"/>
    <col min="14" max="14" width="18.28515625" bestFit="1" customWidth="1"/>
    <col min="17" max="17" width="12.5703125" bestFit="1" customWidth="1"/>
    <col min="18" max="18" width="61.85546875" bestFit="1" customWidth="1"/>
    <col min="19" max="19" width="12.5703125" bestFit="1" customWidth="1"/>
    <col min="20" max="20" width="4" bestFit="1" customWidth="1"/>
    <col min="21" max="21" width="42.7109375" bestFit="1" customWidth="1"/>
    <col min="22" max="22" width="37.42578125" bestFit="1" customWidth="1"/>
    <col min="23" max="23" width="12.5703125" bestFit="1" customWidth="1"/>
    <col min="24" max="24" width="6" customWidth="1"/>
    <col min="26" max="26" width="39.140625" bestFit="1" customWidth="1"/>
    <col min="28" max="28" width="12.5703125" bestFit="1" customWidth="1"/>
    <col min="29" max="29" width="6.28515625" customWidth="1"/>
    <col min="33" max="33" width="42.7109375" bestFit="1" customWidth="1"/>
    <col min="35" max="35" width="12.5703125" bestFit="1" customWidth="1"/>
    <col min="38" max="38" width="39.85546875" bestFit="1" customWidth="1"/>
    <col min="40" max="40" width="12.5703125" bestFit="1" customWidth="1"/>
    <col min="43" max="43" width="44.7109375" bestFit="1" customWidth="1"/>
    <col min="45" max="45" width="12.5703125" bestFit="1" customWidth="1"/>
    <col min="48" max="48" width="50.5703125" bestFit="1" customWidth="1"/>
    <col min="50" max="50" width="12.5703125" bestFit="1" customWidth="1"/>
    <col min="53" max="53" width="44.28515625" customWidth="1"/>
    <col min="55" max="55" width="12.5703125" bestFit="1" customWidth="1"/>
    <col min="59" max="59" width="61" bestFit="1" customWidth="1"/>
    <col min="61" max="61" width="12.5703125" bestFit="1" customWidth="1"/>
    <col min="64" max="64" width="49.28515625" bestFit="1" customWidth="1"/>
    <col min="66" max="66" width="12.5703125" bestFit="1" customWidth="1"/>
  </cols>
  <sheetData>
    <row r="3" spans="3:67" ht="39.75" customHeight="1">
      <c r="C3" s="5" t="s">
        <v>1</v>
      </c>
      <c r="D3" s="5" t="s">
        <v>2</v>
      </c>
      <c r="L3" s="3" t="s">
        <v>5</v>
      </c>
      <c r="R3" s="3" t="s">
        <v>12</v>
      </c>
      <c r="V3" s="3" t="s">
        <v>13</v>
      </c>
      <c r="Z3" s="3" t="s">
        <v>14</v>
      </c>
      <c r="AG3" s="3" t="s">
        <v>15</v>
      </c>
      <c r="AL3" s="3" t="s">
        <v>16</v>
      </c>
      <c r="AQ3" s="3" t="s">
        <v>17</v>
      </c>
      <c r="AV3" s="3" t="s">
        <v>18</v>
      </c>
      <c r="BA3" s="3" t="s">
        <v>25</v>
      </c>
      <c r="BG3" s="7" t="s">
        <v>23</v>
      </c>
      <c r="BK3" s="6"/>
      <c r="BL3" s="7" t="s">
        <v>27</v>
      </c>
    </row>
    <row r="4" spans="3:67">
      <c r="C4" s="2" t="s">
        <v>185</v>
      </c>
      <c r="D4" s="2" t="s">
        <v>86</v>
      </c>
      <c r="G4" t="s">
        <v>86</v>
      </c>
      <c r="H4">
        <v>55</v>
      </c>
      <c r="L4" s="2" t="s">
        <v>34</v>
      </c>
      <c r="R4" s="2" t="s">
        <v>61</v>
      </c>
      <c r="V4" s="2" t="s">
        <v>73</v>
      </c>
      <c r="W4" t="s">
        <v>430</v>
      </c>
      <c r="X4">
        <v>29</v>
      </c>
      <c r="Z4" s="2" t="s">
        <v>73</v>
      </c>
      <c r="AB4" t="s">
        <v>430</v>
      </c>
      <c r="AC4">
        <v>97</v>
      </c>
      <c r="AG4" s="2" t="s">
        <v>73</v>
      </c>
      <c r="AI4" t="s">
        <v>430</v>
      </c>
      <c r="AJ4">
        <v>30</v>
      </c>
      <c r="AL4" s="2" t="s">
        <v>73</v>
      </c>
      <c r="AN4" t="s">
        <v>430</v>
      </c>
      <c r="AO4">
        <v>49</v>
      </c>
      <c r="AQ4" s="2" t="s">
        <v>73</v>
      </c>
      <c r="AS4" t="s">
        <v>430</v>
      </c>
      <c r="AT4">
        <v>40</v>
      </c>
      <c r="AV4" s="2" t="s">
        <v>73</v>
      </c>
      <c r="AX4" t="s">
        <v>430</v>
      </c>
      <c r="AY4">
        <v>71</v>
      </c>
      <c r="BA4" s="2" t="s">
        <v>61</v>
      </c>
      <c r="BC4" t="s">
        <v>424</v>
      </c>
      <c r="BD4">
        <v>60</v>
      </c>
      <c r="BG4" t="s">
        <v>61</v>
      </c>
      <c r="BI4" t="s">
        <v>424</v>
      </c>
      <c r="BJ4">
        <v>40</v>
      </c>
      <c r="BL4" t="s">
        <v>74</v>
      </c>
      <c r="BN4" t="s">
        <v>419</v>
      </c>
      <c r="BO4">
        <v>1</v>
      </c>
    </row>
    <row r="5" spans="3:67">
      <c r="C5" s="2" t="s">
        <v>362</v>
      </c>
      <c r="D5" s="2" t="s">
        <v>86</v>
      </c>
      <c r="G5" t="s">
        <v>31</v>
      </c>
      <c r="H5">
        <v>64</v>
      </c>
      <c r="L5" s="2" t="s">
        <v>34</v>
      </c>
      <c r="M5" s="2" t="s">
        <v>419</v>
      </c>
      <c r="N5" s="2">
        <v>27</v>
      </c>
      <c r="R5" s="2" t="s">
        <v>61</v>
      </c>
      <c r="S5" t="s">
        <v>424</v>
      </c>
      <c r="T5">
        <v>16</v>
      </c>
      <c r="V5" s="2" t="s">
        <v>73</v>
      </c>
      <c r="W5" t="s">
        <v>431</v>
      </c>
      <c r="X5">
        <v>62</v>
      </c>
      <c r="Z5" s="2" t="s">
        <v>73</v>
      </c>
      <c r="AB5" t="s">
        <v>431</v>
      </c>
      <c r="AC5">
        <v>15</v>
      </c>
      <c r="AG5" s="2" t="s">
        <v>73</v>
      </c>
      <c r="AI5" t="s">
        <v>431</v>
      </c>
      <c r="AJ5">
        <v>55</v>
      </c>
      <c r="AL5" s="2" t="s">
        <v>73</v>
      </c>
      <c r="AN5" t="s">
        <v>431</v>
      </c>
      <c r="AO5">
        <v>47</v>
      </c>
      <c r="AQ5" s="2" t="s">
        <v>73</v>
      </c>
      <c r="AS5" t="s">
        <v>431</v>
      </c>
      <c r="AT5">
        <v>55</v>
      </c>
      <c r="AV5" s="2" t="s">
        <v>73</v>
      </c>
      <c r="AX5" t="s">
        <v>431</v>
      </c>
      <c r="AY5">
        <v>37</v>
      </c>
      <c r="BA5" s="2" t="s">
        <v>61</v>
      </c>
      <c r="BC5" t="s">
        <v>425</v>
      </c>
      <c r="BD5">
        <v>21</v>
      </c>
      <c r="BG5" t="s">
        <v>61</v>
      </c>
      <c r="BI5" t="s">
        <v>425</v>
      </c>
      <c r="BJ5">
        <v>11</v>
      </c>
      <c r="BL5" t="s">
        <v>74</v>
      </c>
      <c r="BN5" t="s">
        <v>437</v>
      </c>
      <c r="BO5">
        <v>4</v>
      </c>
    </row>
    <row r="6" spans="3:67">
      <c r="C6" s="2" t="s">
        <v>365</v>
      </c>
      <c r="D6" s="2" t="s">
        <v>86</v>
      </c>
      <c r="H6" s="6">
        <v>119</v>
      </c>
      <c r="L6" s="2" t="s">
        <v>34</v>
      </c>
      <c r="M6" s="8" t="s">
        <v>420</v>
      </c>
      <c r="N6" s="2">
        <v>58</v>
      </c>
      <c r="R6" s="2" t="s">
        <v>61</v>
      </c>
      <c r="S6" t="s">
        <v>425</v>
      </c>
      <c r="T6">
        <v>39</v>
      </c>
      <c r="V6" s="2" t="s">
        <v>73</v>
      </c>
      <c r="W6" t="s">
        <v>433</v>
      </c>
      <c r="X6">
        <v>18</v>
      </c>
      <c r="Z6" s="2" t="s">
        <v>73</v>
      </c>
      <c r="AB6" t="s">
        <v>433</v>
      </c>
      <c r="AC6">
        <v>6</v>
      </c>
      <c r="AG6" s="2" t="s">
        <v>73</v>
      </c>
      <c r="AI6" t="s">
        <v>433</v>
      </c>
      <c r="AJ6">
        <v>25</v>
      </c>
      <c r="AL6" s="2" t="s">
        <v>73</v>
      </c>
      <c r="AN6" t="s">
        <v>433</v>
      </c>
      <c r="AO6">
        <v>12</v>
      </c>
      <c r="AQ6" s="2" t="s">
        <v>73</v>
      </c>
      <c r="AS6" t="s">
        <v>433</v>
      </c>
      <c r="AT6">
        <v>16</v>
      </c>
      <c r="AV6" s="2" t="s">
        <v>73</v>
      </c>
      <c r="AX6" t="s">
        <v>433</v>
      </c>
      <c r="AY6">
        <v>8</v>
      </c>
      <c r="BA6" s="2" t="s">
        <v>61</v>
      </c>
      <c r="BC6" t="s">
        <v>426</v>
      </c>
      <c r="BD6">
        <v>4</v>
      </c>
      <c r="BG6" t="s">
        <v>61</v>
      </c>
      <c r="BI6" t="s">
        <v>426</v>
      </c>
      <c r="BJ6">
        <v>2</v>
      </c>
      <c r="BL6" t="s">
        <v>74</v>
      </c>
      <c r="BN6" t="s">
        <v>438</v>
      </c>
      <c r="BO6">
        <v>29</v>
      </c>
    </row>
    <row r="7" spans="3:67">
      <c r="C7" s="2" t="s">
        <v>372</v>
      </c>
      <c r="D7" s="2" t="s">
        <v>86</v>
      </c>
      <c r="L7" s="2" t="s">
        <v>34</v>
      </c>
      <c r="M7" s="2" t="s">
        <v>421</v>
      </c>
      <c r="N7" s="2">
        <v>27</v>
      </c>
      <c r="R7" s="2" t="s">
        <v>61</v>
      </c>
      <c r="S7" t="s">
        <v>426</v>
      </c>
      <c r="T7">
        <v>33</v>
      </c>
      <c r="V7" s="2" t="s">
        <v>73</v>
      </c>
      <c r="W7" t="s">
        <v>432</v>
      </c>
      <c r="X7">
        <v>9</v>
      </c>
      <c r="Z7" s="2" t="s">
        <v>73</v>
      </c>
      <c r="AB7" t="s">
        <v>432</v>
      </c>
      <c r="AC7">
        <v>0</v>
      </c>
      <c r="AG7" s="2" t="s">
        <v>73</v>
      </c>
      <c r="AI7" t="s">
        <v>432</v>
      </c>
      <c r="AJ7">
        <v>8</v>
      </c>
      <c r="AL7" s="2" t="s">
        <v>73</v>
      </c>
      <c r="AN7" t="s">
        <v>432</v>
      </c>
      <c r="AO7">
        <v>7</v>
      </c>
      <c r="AQ7" s="2" t="s">
        <v>73</v>
      </c>
      <c r="AS7" t="s">
        <v>432</v>
      </c>
      <c r="AT7">
        <v>7</v>
      </c>
      <c r="AV7" s="2" t="s">
        <v>73</v>
      </c>
      <c r="AX7" t="s">
        <v>432</v>
      </c>
      <c r="AY7">
        <v>3</v>
      </c>
      <c r="BA7" s="2" t="s">
        <v>61</v>
      </c>
      <c r="BC7" t="s">
        <v>427</v>
      </c>
      <c r="BD7">
        <v>0</v>
      </c>
      <c r="BG7" t="s">
        <v>61</v>
      </c>
      <c r="BI7" t="s">
        <v>427</v>
      </c>
      <c r="BJ7">
        <v>0</v>
      </c>
      <c r="BL7" t="s">
        <v>74</v>
      </c>
      <c r="BN7" t="s">
        <v>439</v>
      </c>
      <c r="BO7">
        <v>66</v>
      </c>
    </row>
    <row r="8" spans="3:67">
      <c r="C8" s="2" t="s">
        <v>403</v>
      </c>
      <c r="D8" s="2" t="s">
        <v>86</v>
      </c>
      <c r="L8" s="2" t="s">
        <v>34</v>
      </c>
      <c r="M8" s="2" t="s">
        <v>422</v>
      </c>
      <c r="N8" s="2">
        <v>5</v>
      </c>
      <c r="R8" s="2" t="s">
        <v>61</v>
      </c>
      <c r="S8" t="s">
        <v>427</v>
      </c>
      <c r="T8">
        <v>17</v>
      </c>
      <c r="V8" s="2" t="s">
        <v>73</v>
      </c>
      <c r="W8" t="s">
        <v>434</v>
      </c>
      <c r="X8">
        <v>0</v>
      </c>
      <c r="Z8" s="2" t="s">
        <v>73</v>
      </c>
      <c r="AB8" t="s">
        <v>434</v>
      </c>
      <c r="AC8">
        <v>0</v>
      </c>
      <c r="AG8" s="2" t="s">
        <v>73</v>
      </c>
      <c r="AI8" t="s">
        <v>434</v>
      </c>
      <c r="AJ8">
        <v>0</v>
      </c>
      <c r="AL8" s="2" t="s">
        <v>73</v>
      </c>
      <c r="AN8" t="s">
        <v>434</v>
      </c>
      <c r="AO8">
        <v>2</v>
      </c>
      <c r="AQ8" s="2" t="s">
        <v>73</v>
      </c>
      <c r="AS8" t="s">
        <v>434</v>
      </c>
      <c r="AT8">
        <v>0</v>
      </c>
      <c r="AV8" s="2" t="s">
        <v>73</v>
      </c>
      <c r="AX8" t="s">
        <v>434</v>
      </c>
      <c r="AY8">
        <v>0</v>
      </c>
      <c r="BA8" s="2" t="s">
        <v>61</v>
      </c>
      <c r="BC8" t="s">
        <v>436</v>
      </c>
      <c r="BD8">
        <v>0</v>
      </c>
      <c r="BG8" t="s">
        <v>61</v>
      </c>
      <c r="BI8" t="s">
        <v>436</v>
      </c>
      <c r="BJ8">
        <v>0</v>
      </c>
      <c r="BL8" t="s">
        <v>99</v>
      </c>
      <c r="BN8" t="s">
        <v>440</v>
      </c>
      <c r="BO8">
        <v>15</v>
      </c>
    </row>
    <row r="9" spans="3:67">
      <c r="C9" s="2" t="s">
        <v>277</v>
      </c>
      <c r="D9" s="2" t="s">
        <v>86</v>
      </c>
      <c r="L9" s="2" t="s">
        <v>34</v>
      </c>
      <c r="M9" s="2" t="s">
        <v>423</v>
      </c>
      <c r="N9" s="2">
        <v>2</v>
      </c>
      <c r="R9" s="2" t="s">
        <v>61</v>
      </c>
      <c r="S9" t="s">
        <v>428</v>
      </c>
      <c r="T9">
        <v>10</v>
      </c>
      <c r="V9" s="2" t="s">
        <v>73</v>
      </c>
      <c r="W9" t="s">
        <v>435</v>
      </c>
      <c r="X9">
        <v>1</v>
      </c>
      <c r="Z9" s="2" t="s">
        <v>73</v>
      </c>
      <c r="AB9" t="s">
        <v>435</v>
      </c>
      <c r="AC9">
        <v>1</v>
      </c>
      <c r="AG9" s="2" t="s">
        <v>73</v>
      </c>
      <c r="AI9" t="s">
        <v>435</v>
      </c>
      <c r="AJ9">
        <v>1</v>
      </c>
      <c r="AL9" s="2" t="s">
        <v>73</v>
      </c>
      <c r="AN9" t="s">
        <v>435</v>
      </c>
      <c r="AO9">
        <v>2</v>
      </c>
      <c r="AQ9" s="2" t="s">
        <v>73</v>
      </c>
      <c r="AS9" t="s">
        <v>435</v>
      </c>
      <c r="AT9">
        <v>1</v>
      </c>
      <c r="AV9" s="2" t="s">
        <v>73</v>
      </c>
      <c r="AX9" t="s">
        <v>435</v>
      </c>
      <c r="AY9">
        <v>0</v>
      </c>
      <c r="BA9" s="2" t="s">
        <v>61</v>
      </c>
      <c r="BC9" t="s">
        <v>42</v>
      </c>
      <c r="BD9">
        <v>34</v>
      </c>
      <c r="BG9" t="s">
        <v>61</v>
      </c>
      <c r="BI9" t="s">
        <v>42</v>
      </c>
      <c r="BJ9">
        <v>66</v>
      </c>
      <c r="BL9" t="s">
        <v>99</v>
      </c>
      <c r="BN9" t="s">
        <v>441</v>
      </c>
      <c r="BO9">
        <v>4</v>
      </c>
    </row>
    <row r="10" spans="3:67">
      <c r="C10" s="2" t="s">
        <v>327</v>
      </c>
      <c r="D10" s="2" t="s">
        <v>86</v>
      </c>
      <c r="L10" s="2" t="s">
        <v>34</v>
      </c>
      <c r="N10">
        <f>SUM(N5:N9)</f>
        <v>119</v>
      </c>
      <c r="R10" s="2" t="s">
        <v>61</v>
      </c>
      <c r="S10" t="s">
        <v>429</v>
      </c>
      <c r="T10">
        <v>4</v>
      </c>
      <c r="V10" s="2" t="s">
        <v>73</v>
      </c>
      <c r="X10">
        <f>SUM(X4:X9)</f>
        <v>119</v>
      </c>
      <c r="Z10" s="2" t="s">
        <v>73</v>
      </c>
      <c r="AC10">
        <f>SUM(AC4:AC9)</f>
        <v>119</v>
      </c>
      <c r="AG10" s="2" t="s">
        <v>73</v>
      </c>
      <c r="AJ10">
        <f>SUM(AJ4:AJ9)</f>
        <v>119</v>
      </c>
      <c r="AL10" s="2" t="s">
        <v>73</v>
      </c>
      <c r="AO10">
        <f>SUM(AO4:AO9)</f>
        <v>119</v>
      </c>
      <c r="AQ10" s="2" t="s">
        <v>73</v>
      </c>
      <c r="AT10">
        <f>SUM(AT4:AT9)</f>
        <v>119</v>
      </c>
      <c r="AV10" s="2" t="s">
        <v>73</v>
      </c>
      <c r="AY10">
        <f>SUM(AY4:AY9)</f>
        <v>119</v>
      </c>
      <c r="BA10" s="2" t="s">
        <v>61</v>
      </c>
      <c r="BD10">
        <f>SUM(BD4:BD9)</f>
        <v>119</v>
      </c>
      <c r="BG10" t="s">
        <v>61</v>
      </c>
      <c r="BJ10">
        <f>SUM(BJ4:BJ9)</f>
        <v>119</v>
      </c>
      <c r="BL10" t="s">
        <v>99</v>
      </c>
      <c r="BO10">
        <f>SUM(BO4:BO9)</f>
        <v>119</v>
      </c>
    </row>
    <row r="11" spans="3:67">
      <c r="C11" s="2" t="s">
        <v>400</v>
      </c>
      <c r="D11" s="2" t="s">
        <v>86</v>
      </c>
      <c r="L11" s="2" t="s">
        <v>34</v>
      </c>
      <c r="R11" s="2" t="s">
        <v>61</v>
      </c>
      <c r="T11">
        <f>SUM(T5:T10)</f>
        <v>119</v>
      </c>
      <c r="V11" s="2" t="s">
        <v>73</v>
      </c>
      <c r="Z11" s="2" t="s">
        <v>37</v>
      </c>
      <c r="AG11" s="2" t="s">
        <v>73</v>
      </c>
      <c r="AL11" s="2" t="s">
        <v>73</v>
      </c>
      <c r="AQ11" s="2" t="s">
        <v>73</v>
      </c>
      <c r="AV11" s="2" t="s">
        <v>73</v>
      </c>
      <c r="BA11" s="2" t="s">
        <v>61</v>
      </c>
      <c r="BG11" t="s">
        <v>61</v>
      </c>
      <c r="BL11" t="s">
        <v>99</v>
      </c>
    </row>
    <row r="12" spans="3:67">
      <c r="C12" s="2" t="s">
        <v>315</v>
      </c>
      <c r="D12" s="2" t="s">
        <v>86</v>
      </c>
      <c r="L12" s="2" t="s">
        <v>34</v>
      </c>
      <c r="R12" s="2" t="s">
        <v>61</v>
      </c>
      <c r="V12" s="2" t="s">
        <v>73</v>
      </c>
      <c r="Z12" s="2" t="s">
        <v>37</v>
      </c>
      <c r="AG12" s="2" t="s">
        <v>73</v>
      </c>
      <c r="AL12" s="2" t="s">
        <v>73</v>
      </c>
      <c r="AQ12" s="2" t="s">
        <v>73</v>
      </c>
      <c r="AV12" s="2" t="s">
        <v>38</v>
      </c>
      <c r="BA12" s="2" t="s">
        <v>61</v>
      </c>
      <c r="BG12" t="s">
        <v>61</v>
      </c>
      <c r="BL12" t="s">
        <v>99</v>
      </c>
    </row>
    <row r="13" spans="3:67">
      <c r="C13" s="2" t="s">
        <v>293</v>
      </c>
      <c r="D13" s="2" t="s">
        <v>86</v>
      </c>
      <c r="L13" s="2" t="s">
        <v>34</v>
      </c>
      <c r="R13" s="2" t="s">
        <v>61</v>
      </c>
      <c r="V13" s="2" t="s">
        <v>73</v>
      </c>
      <c r="Z13" s="2" t="s">
        <v>37</v>
      </c>
      <c r="AG13" s="2" t="s">
        <v>73</v>
      </c>
      <c r="AL13" s="2" t="s">
        <v>73</v>
      </c>
      <c r="AQ13" s="2" t="s">
        <v>73</v>
      </c>
      <c r="AV13" s="2" t="s">
        <v>38</v>
      </c>
      <c r="BA13" s="2" t="s">
        <v>61</v>
      </c>
      <c r="BG13" t="s">
        <v>61</v>
      </c>
      <c r="BL13" t="s">
        <v>99</v>
      </c>
    </row>
    <row r="14" spans="3:67">
      <c r="C14" s="2" t="s">
        <v>236</v>
      </c>
      <c r="D14" s="2" t="s">
        <v>86</v>
      </c>
      <c r="L14" s="2" t="s">
        <v>34</v>
      </c>
      <c r="R14" s="2" t="s">
        <v>61</v>
      </c>
      <c r="V14" s="2" t="s">
        <v>73</v>
      </c>
      <c r="Z14" s="2" t="s">
        <v>37</v>
      </c>
      <c r="AG14" s="2" t="s">
        <v>73</v>
      </c>
      <c r="AL14" s="2" t="s">
        <v>73</v>
      </c>
      <c r="AQ14" s="2" t="s">
        <v>73</v>
      </c>
      <c r="AV14" s="2" t="s">
        <v>38</v>
      </c>
      <c r="BA14" s="2" t="s">
        <v>61</v>
      </c>
      <c r="BG14" t="s">
        <v>61</v>
      </c>
      <c r="BL14" t="s">
        <v>99</v>
      </c>
    </row>
    <row r="15" spans="3:67">
      <c r="C15" s="2" t="s">
        <v>273</v>
      </c>
      <c r="D15" s="2" t="s">
        <v>86</v>
      </c>
      <c r="L15" s="2" t="s">
        <v>34</v>
      </c>
      <c r="R15" s="2" t="s">
        <v>61</v>
      </c>
      <c r="V15" s="2" t="s">
        <v>73</v>
      </c>
      <c r="Z15" s="2" t="s">
        <v>37</v>
      </c>
      <c r="AG15" s="2" t="s">
        <v>73</v>
      </c>
      <c r="AL15" s="2" t="s">
        <v>73</v>
      </c>
      <c r="AQ15" s="2" t="s">
        <v>73</v>
      </c>
      <c r="AV15" s="2" t="s">
        <v>37</v>
      </c>
      <c r="BA15" s="2" t="s">
        <v>61</v>
      </c>
      <c r="BG15" t="s">
        <v>36</v>
      </c>
      <c r="BL15" t="s">
        <v>99</v>
      </c>
    </row>
    <row r="16" spans="3:67">
      <c r="C16" s="2" t="s">
        <v>396</v>
      </c>
      <c r="D16" s="2" t="s">
        <v>86</v>
      </c>
      <c r="L16" s="2" t="s">
        <v>34</v>
      </c>
      <c r="R16" s="2" t="s">
        <v>61</v>
      </c>
      <c r="V16" s="2" t="s">
        <v>73</v>
      </c>
      <c r="Z16" s="2" t="s">
        <v>37</v>
      </c>
      <c r="AG16" s="2" t="s">
        <v>73</v>
      </c>
      <c r="AL16" s="2" t="s">
        <v>38</v>
      </c>
      <c r="AQ16" s="2" t="s">
        <v>73</v>
      </c>
      <c r="AV16" s="2" t="s">
        <v>37</v>
      </c>
      <c r="BA16" s="2" t="s">
        <v>61</v>
      </c>
      <c r="BG16" t="s">
        <v>36</v>
      </c>
      <c r="BL16" t="s">
        <v>99</v>
      </c>
    </row>
    <row r="17" spans="3:64">
      <c r="C17" s="2" t="s">
        <v>414</v>
      </c>
      <c r="D17" s="2" t="s">
        <v>86</v>
      </c>
      <c r="L17" s="2" t="s">
        <v>34</v>
      </c>
      <c r="R17" s="2" t="s">
        <v>61</v>
      </c>
      <c r="V17" s="2" t="s">
        <v>73</v>
      </c>
      <c r="Z17" s="2" t="s">
        <v>37</v>
      </c>
      <c r="AG17" s="2" t="s">
        <v>73</v>
      </c>
      <c r="AL17" s="2" t="s">
        <v>38</v>
      </c>
      <c r="AQ17" s="2" t="s">
        <v>73</v>
      </c>
      <c r="AV17" s="2" t="s">
        <v>37</v>
      </c>
      <c r="BA17" s="2" t="s">
        <v>61</v>
      </c>
      <c r="BG17" t="s">
        <v>51</v>
      </c>
      <c r="BL17" t="s">
        <v>99</v>
      </c>
    </row>
    <row r="18" spans="3:64">
      <c r="C18" s="2" t="s">
        <v>193</v>
      </c>
      <c r="D18" s="2" t="s">
        <v>86</v>
      </c>
      <c r="L18" s="2" t="s">
        <v>34</v>
      </c>
      <c r="R18" s="2" t="s">
        <v>61</v>
      </c>
      <c r="V18" s="2" t="s">
        <v>73</v>
      </c>
      <c r="Z18" s="2" t="s">
        <v>37</v>
      </c>
      <c r="AG18" s="2" t="s">
        <v>73</v>
      </c>
      <c r="AL18" s="2" t="s">
        <v>38</v>
      </c>
      <c r="AQ18" s="2" t="s">
        <v>73</v>
      </c>
      <c r="AV18" s="2" t="s">
        <v>37</v>
      </c>
      <c r="BA18" s="2" t="s">
        <v>61</v>
      </c>
      <c r="BG18" t="s">
        <v>51</v>
      </c>
      <c r="BL18" t="s">
        <v>99</v>
      </c>
    </row>
    <row r="19" spans="3:64">
      <c r="C19" s="2" t="s">
        <v>159</v>
      </c>
      <c r="D19" s="2" t="s">
        <v>86</v>
      </c>
      <c r="L19" s="2" t="s">
        <v>34</v>
      </c>
      <c r="R19" s="2" t="s">
        <v>61</v>
      </c>
      <c r="V19" s="2" t="s">
        <v>73</v>
      </c>
      <c r="Z19" s="2" t="s">
        <v>37</v>
      </c>
      <c r="AG19" s="2" t="s">
        <v>73</v>
      </c>
      <c r="AL19" s="2" t="s">
        <v>38</v>
      </c>
      <c r="AQ19" s="2" t="s">
        <v>73</v>
      </c>
      <c r="AV19" s="2" t="s">
        <v>37</v>
      </c>
      <c r="BA19" s="2" t="s">
        <v>61</v>
      </c>
      <c r="BG19" t="s">
        <v>51</v>
      </c>
      <c r="BL19" t="s">
        <v>99</v>
      </c>
    </row>
    <row r="20" spans="3:64">
      <c r="C20" s="2" t="s">
        <v>122</v>
      </c>
      <c r="D20" s="2" t="s">
        <v>86</v>
      </c>
      <c r="L20" s="2" t="s">
        <v>34</v>
      </c>
      <c r="R20" s="2" t="s">
        <v>61</v>
      </c>
      <c r="V20" s="2" t="s">
        <v>73</v>
      </c>
      <c r="Z20" s="2" t="s">
        <v>37</v>
      </c>
      <c r="AG20" s="2" t="s">
        <v>73</v>
      </c>
      <c r="AL20" s="2" t="s">
        <v>38</v>
      </c>
      <c r="AQ20" s="2" t="s">
        <v>38</v>
      </c>
      <c r="AV20" s="2" t="s">
        <v>37</v>
      </c>
      <c r="BA20" s="2" t="s">
        <v>61</v>
      </c>
      <c r="BG20" t="s">
        <v>51</v>
      </c>
      <c r="BL20" t="s">
        <v>99</v>
      </c>
    </row>
    <row r="21" spans="3:64">
      <c r="C21" s="2" t="s">
        <v>94</v>
      </c>
      <c r="D21" s="2" t="s">
        <v>86</v>
      </c>
      <c r="L21" s="2" t="s">
        <v>34</v>
      </c>
      <c r="R21" s="2" t="s">
        <v>61</v>
      </c>
      <c r="V21" s="2" t="s">
        <v>73</v>
      </c>
      <c r="Z21" s="2" t="s">
        <v>37</v>
      </c>
      <c r="AG21" s="2" t="s">
        <v>73</v>
      </c>
      <c r="AL21" s="2" t="s">
        <v>38</v>
      </c>
      <c r="AQ21" s="2" t="s">
        <v>38</v>
      </c>
      <c r="AV21" s="2" t="s">
        <v>37</v>
      </c>
      <c r="BA21" s="2" t="s">
        <v>61</v>
      </c>
      <c r="BG21" t="s">
        <v>51</v>
      </c>
      <c r="BL21" t="s">
        <v>99</v>
      </c>
    </row>
    <row r="22" spans="3:64">
      <c r="C22" s="2" t="s">
        <v>245</v>
      </c>
      <c r="D22" s="2" t="s">
        <v>86</v>
      </c>
      <c r="L22" s="2" t="s">
        <v>34</v>
      </c>
      <c r="R22" s="2" t="s">
        <v>61</v>
      </c>
      <c r="V22" s="2" t="s">
        <v>38</v>
      </c>
      <c r="Z22" s="2" t="s">
        <v>37</v>
      </c>
      <c r="AG22" s="2" t="s">
        <v>73</v>
      </c>
      <c r="AL22" s="2" t="s">
        <v>38</v>
      </c>
      <c r="AQ22" s="2" t="s">
        <v>38</v>
      </c>
      <c r="AV22" s="2" t="s">
        <v>37</v>
      </c>
      <c r="BA22" s="2" t="s">
        <v>61</v>
      </c>
      <c r="BG22" t="s">
        <v>51</v>
      </c>
      <c r="BL22" t="s">
        <v>99</v>
      </c>
    </row>
    <row r="23" spans="3:64">
      <c r="C23" s="2" t="s">
        <v>179</v>
      </c>
      <c r="D23" s="2" t="s">
        <v>86</v>
      </c>
      <c r="L23" s="2" t="s">
        <v>34</v>
      </c>
      <c r="R23" s="2" t="s">
        <v>61</v>
      </c>
      <c r="V23" s="2" t="s">
        <v>38</v>
      </c>
      <c r="Z23" s="2" t="s">
        <v>37</v>
      </c>
      <c r="AG23" s="2" t="s">
        <v>73</v>
      </c>
      <c r="AL23" s="2" t="s">
        <v>37</v>
      </c>
      <c r="AQ23" s="2" t="s">
        <v>38</v>
      </c>
      <c r="AV23" s="2" t="s">
        <v>37</v>
      </c>
      <c r="BA23" s="2" t="s">
        <v>61</v>
      </c>
      <c r="BG23" t="s">
        <v>51</v>
      </c>
      <c r="BL23" t="s">
        <v>99</v>
      </c>
    </row>
    <row r="24" spans="3:64">
      <c r="C24" s="2" t="s">
        <v>182</v>
      </c>
      <c r="D24" s="2" t="s">
        <v>86</v>
      </c>
      <c r="L24" s="2" t="s">
        <v>34</v>
      </c>
      <c r="R24" s="2" t="s">
        <v>61</v>
      </c>
      <c r="V24" s="2" t="s">
        <v>38</v>
      </c>
      <c r="Z24" s="2" t="s">
        <v>37</v>
      </c>
      <c r="AG24" s="2" t="s">
        <v>73</v>
      </c>
      <c r="AL24" s="2" t="s">
        <v>37</v>
      </c>
      <c r="AQ24" s="2" t="s">
        <v>38</v>
      </c>
      <c r="AV24" s="2" t="s">
        <v>37</v>
      </c>
      <c r="BA24" s="2" t="s">
        <v>61</v>
      </c>
      <c r="BG24" t="s">
        <v>51</v>
      </c>
      <c r="BL24" t="s">
        <v>99</v>
      </c>
    </row>
    <row r="25" spans="3:64">
      <c r="C25" s="2" t="s">
        <v>238</v>
      </c>
      <c r="D25" s="2" t="s">
        <v>86</v>
      </c>
      <c r="L25" s="2" t="s">
        <v>34</v>
      </c>
      <c r="R25" s="2" t="s">
        <v>61</v>
      </c>
      <c r="V25" s="2" t="s">
        <v>38</v>
      </c>
      <c r="Z25" s="2" t="s">
        <v>37</v>
      </c>
      <c r="AG25" s="2" t="s">
        <v>73</v>
      </c>
      <c r="AL25" s="2" t="s">
        <v>37</v>
      </c>
      <c r="AQ25" s="2" t="s">
        <v>38</v>
      </c>
      <c r="AV25" s="2" t="s">
        <v>37</v>
      </c>
      <c r="BA25" s="2" t="s">
        <v>36</v>
      </c>
      <c r="BG25" t="s">
        <v>51</v>
      </c>
      <c r="BL25" t="s">
        <v>99</v>
      </c>
    </row>
    <row r="26" spans="3:64">
      <c r="C26" s="2" t="s">
        <v>353</v>
      </c>
      <c r="D26" s="2" t="s">
        <v>86</v>
      </c>
      <c r="L26" s="2" t="s">
        <v>34</v>
      </c>
      <c r="R26" s="2" t="s">
        <v>61</v>
      </c>
      <c r="V26" s="2" t="s">
        <v>38</v>
      </c>
      <c r="Z26" s="2" t="s">
        <v>39</v>
      </c>
      <c r="AG26" s="2" t="s">
        <v>73</v>
      </c>
      <c r="AL26" s="2" t="s">
        <v>37</v>
      </c>
      <c r="AQ26" s="2" t="s">
        <v>38</v>
      </c>
      <c r="AV26" s="2" t="s">
        <v>37</v>
      </c>
      <c r="BA26" s="2" t="s">
        <v>36</v>
      </c>
      <c r="BG26" t="s">
        <v>51</v>
      </c>
      <c r="BL26" t="s">
        <v>99</v>
      </c>
    </row>
    <row r="27" spans="3:64">
      <c r="C27" s="2" t="s">
        <v>270</v>
      </c>
      <c r="D27" s="2" t="s">
        <v>86</v>
      </c>
      <c r="L27" s="2" t="s">
        <v>34</v>
      </c>
      <c r="R27" s="2" t="s">
        <v>61</v>
      </c>
      <c r="V27" s="2" t="s">
        <v>38</v>
      </c>
      <c r="Z27" s="2" t="s">
        <v>39</v>
      </c>
      <c r="AG27" s="2" t="s">
        <v>73</v>
      </c>
      <c r="AL27" s="2" t="s">
        <v>37</v>
      </c>
      <c r="AQ27" s="2" t="s">
        <v>37</v>
      </c>
      <c r="AV27" s="2" t="s">
        <v>37</v>
      </c>
      <c r="BA27" s="2" t="s">
        <v>36</v>
      </c>
      <c r="BG27" t="s">
        <v>51</v>
      </c>
      <c r="BL27" t="s">
        <v>99</v>
      </c>
    </row>
    <row r="28" spans="3:64">
      <c r="C28" s="2" t="s">
        <v>356</v>
      </c>
      <c r="D28" s="2" t="s">
        <v>86</v>
      </c>
      <c r="L28" s="2" t="s">
        <v>34</v>
      </c>
      <c r="R28" s="2" t="s">
        <v>61</v>
      </c>
      <c r="V28" s="2" t="s">
        <v>38</v>
      </c>
      <c r="Z28" s="2" t="s">
        <v>39</v>
      </c>
      <c r="AG28" s="2" t="s">
        <v>73</v>
      </c>
      <c r="AL28" s="2" t="s">
        <v>37</v>
      </c>
      <c r="AQ28" s="2" t="s">
        <v>37</v>
      </c>
      <c r="AV28" s="2" t="s">
        <v>37</v>
      </c>
      <c r="BA28" s="2" t="s">
        <v>36</v>
      </c>
      <c r="BG28" t="s">
        <v>51</v>
      </c>
      <c r="BL28" t="s">
        <v>99</v>
      </c>
    </row>
    <row r="29" spans="3:64">
      <c r="C29" s="2" t="s">
        <v>188</v>
      </c>
      <c r="D29" s="2" t="s">
        <v>86</v>
      </c>
      <c r="L29" s="2" t="s">
        <v>34</v>
      </c>
      <c r="R29" s="2" t="s">
        <v>61</v>
      </c>
      <c r="V29" s="2" t="s">
        <v>38</v>
      </c>
      <c r="Z29" s="2" t="s">
        <v>39</v>
      </c>
      <c r="AG29" s="2" t="s">
        <v>38</v>
      </c>
      <c r="AL29" s="2" t="s">
        <v>37</v>
      </c>
      <c r="AQ29" s="2" t="s">
        <v>37</v>
      </c>
      <c r="AV29" s="2" t="s">
        <v>37</v>
      </c>
      <c r="BA29" s="2" t="s">
        <v>51</v>
      </c>
      <c r="BG29" t="s">
        <v>51</v>
      </c>
      <c r="BL29" t="s">
        <v>99</v>
      </c>
    </row>
    <row r="30" spans="3:64">
      <c r="C30" s="2" t="s">
        <v>398</v>
      </c>
      <c r="D30" s="2" t="s">
        <v>86</v>
      </c>
      <c r="L30" s="2" t="s">
        <v>34</v>
      </c>
      <c r="R30" s="2" t="s">
        <v>61</v>
      </c>
      <c r="V30" s="2" t="s">
        <v>38</v>
      </c>
      <c r="Z30" s="2" t="s">
        <v>39</v>
      </c>
      <c r="AG30" s="2" t="s">
        <v>38</v>
      </c>
      <c r="AL30" s="2" t="s">
        <v>37</v>
      </c>
      <c r="AQ30" s="2" t="s">
        <v>37</v>
      </c>
      <c r="AV30" s="2" t="s">
        <v>37</v>
      </c>
      <c r="BA30" s="2" t="s">
        <v>51</v>
      </c>
      <c r="BG30" t="s">
        <v>51</v>
      </c>
      <c r="BL30" t="s">
        <v>99</v>
      </c>
    </row>
    <row r="31" spans="3:64">
      <c r="C31" s="2" t="s">
        <v>312</v>
      </c>
      <c r="D31" s="2" t="s">
        <v>86</v>
      </c>
      <c r="L31" s="2" t="s">
        <v>34</v>
      </c>
      <c r="R31" s="2" t="s">
        <v>61</v>
      </c>
      <c r="V31" s="2" t="s">
        <v>37</v>
      </c>
      <c r="Z31" s="2" t="s">
        <v>39</v>
      </c>
      <c r="AG31" s="2" t="s">
        <v>38</v>
      </c>
      <c r="AL31" s="2" t="s">
        <v>37</v>
      </c>
      <c r="AQ31" s="2" t="s">
        <v>37</v>
      </c>
      <c r="AV31" s="2" t="s">
        <v>37</v>
      </c>
      <c r="BA31" s="2" t="s">
        <v>51</v>
      </c>
      <c r="BG31" t="s">
        <v>51</v>
      </c>
      <c r="BL31" t="s">
        <v>99</v>
      </c>
    </row>
    <row r="32" spans="3:64">
      <c r="C32" s="2" t="s">
        <v>169</v>
      </c>
      <c r="D32" s="2" t="s">
        <v>86</v>
      </c>
      <c r="L32" s="2" t="s">
        <v>34</v>
      </c>
      <c r="R32" s="2" t="s">
        <v>61</v>
      </c>
      <c r="V32" s="2" t="s">
        <v>37</v>
      </c>
      <c r="Z32" s="2" t="s">
        <v>39</v>
      </c>
      <c r="AG32" s="2" t="s">
        <v>38</v>
      </c>
      <c r="AL32" s="2" t="s">
        <v>37</v>
      </c>
      <c r="AQ32" s="2" t="s">
        <v>37</v>
      </c>
      <c r="AV32" s="2" t="s">
        <v>37</v>
      </c>
      <c r="BA32" s="2" t="s">
        <v>51</v>
      </c>
      <c r="BG32" t="s">
        <v>51</v>
      </c>
      <c r="BL32" t="s">
        <v>99</v>
      </c>
    </row>
    <row r="33" spans="3:64">
      <c r="C33" s="2" t="s">
        <v>166</v>
      </c>
      <c r="D33" s="2" t="s">
        <v>86</v>
      </c>
      <c r="L33" s="2" t="s">
        <v>34</v>
      </c>
      <c r="R33" s="2" t="s">
        <v>61</v>
      </c>
      <c r="V33" s="2" t="s">
        <v>37</v>
      </c>
      <c r="Z33" s="2" t="s">
        <v>39</v>
      </c>
      <c r="AG33" s="2" t="s">
        <v>38</v>
      </c>
      <c r="AL33" s="2" t="s">
        <v>37</v>
      </c>
      <c r="AQ33" s="2" t="s">
        <v>37</v>
      </c>
      <c r="AV33" s="2" t="s">
        <v>37</v>
      </c>
      <c r="BA33" s="2" t="s">
        <v>51</v>
      </c>
      <c r="BG33" t="s">
        <v>51</v>
      </c>
      <c r="BL33" t="s">
        <v>99</v>
      </c>
    </row>
    <row r="34" spans="3:64">
      <c r="C34" s="2" t="s">
        <v>217</v>
      </c>
      <c r="D34" s="2" t="s">
        <v>86</v>
      </c>
      <c r="L34" s="2" t="s">
        <v>34</v>
      </c>
      <c r="R34" s="2" t="s">
        <v>61</v>
      </c>
      <c r="V34" s="2" t="s">
        <v>37</v>
      </c>
      <c r="Z34" s="2" t="s">
        <v>39</v>
      </c>
      <c r="AG34" s="2" t="s">
        <v>38</v>
      </c>
      <c r="AL34" s="2" t="s">
        <v>37</v>
      </c>
      <c r="AQ34" s="2" t="s">
        <v>37</v>
      </c>
      <c r="AV34" s="2" t="s">
        <v>37</v>
      </c>
      <c r="BA34" s="2" t="s">
        <v>51</v>
      </c>
      <c r="BG34" t="s">
        <v>51</v>
      </c>
      <c r="BL34" t="s">
        <v>99</v>
      </c>
    </row>
    <row r="35" spans="3:64">
      <c r="C35" s="2" t="s">
        <v>210</v>
      </c>
      <c r="D35" s="2" t="s">
        <v>86</v>
      </c>
      <c r="L35" s="2" t="s">
        <v>34</v>
      </c>
      <c r="R35" s="2" t="s">
        <v>61</v>
      </c>
      <c r="V35" s="2" t="s">
        <v>37</v>
      </c>
      <c r="Z35" s="2" t="s">
        <v>39</v>
      </c>
      <c r="AG35" s="2" t="s">
        <v>38</v>
      </c>
      <c r="AL35" s="2" t="s">
        <v>37</v>
      </c>
      <c r="AQ35" s="2" t="s">
        <v>37</v>
      </c>
      <c r="AV35" s="2" t="s">
        <v>37</v>
      </c>
      <c r="BA35" s="2" t="s">
        <v>51</v>
      </c>
      <c r="BG35" t="s">
        <v>51</v>
      </c>
      <c r="BL35" t="s">
        <v>99</v>
      </c>
    </row>
    <row r="36" spans="3:64">
      <c r="C36" s="2" t="s">
        <v>340</v>
      </c>
      <c r="D36" s="2" t="s">
        <v>86</v>
      </c>
      <c r="L36" s="2" t="s">
        <v>34</v>
      </c>
      <c r="R36" s="2" t="s">
        <v>61</v>
      </c>
      <c r="V36" s="2" t="s">
        <v>37</v>
      </c>
      <c r="Z36" s="2" t="s">
        <v>39</v>
      </c>
      <c r="AG36" s="2" t="s">
        <v>38</v>
      </c>
      <c r="AL36" s="2" t="s">
        <v>37</v>
      </c>
      <c r="AQ36" s="2" t="s">
        <v>37</v>
      </c>
      <c r="AV36" s="2" t="s">
        <v>37</v>
      </c>
      <c r="BA36" s="2" t="s">
        <v>51</v>
      </c>
      <c r="BG36" t="s">
        <v>51</v>
      </c>
      <c r="BL36" t="s">
        <v>99</v>
      </c>
    </row>
    <row r="37" spans="3:64">
      <c r="C37" s="2" t="s">
        <v>303</v>
      </c>
      <c r="D37" s="2" t="s">
        <v>86</v>
      </c>
      <c r="L37" s="2" t="s">
        <v>34</v>
      </c>
      <c r="R37" s="2" t="s">
        <v>61</v>
      </c>
      <c r="V37" s="2" t="s">
        <v>37</v>
      </c>
      <c r="Z37" s="2" t="s">
        <v>39</v>
      </c>
      <c r="AG37" s="2" t="s">
        <v>37</v>
      </c>
      <c r="AL37" s="2" t="s">
        <v>37</v>
      </c>
      <c r="AQ37" s="2" t="s">
        <v>37</v>
      </c>
      <c r="AV37" s="2" t="s">
        <v>37</v>
      </c>
      <c r="BA37" s="2" t="s">
        <v>51</v>
      </c>
      <c r="BG37" t="s">
        <v>51</v>
      </c>
      <c r="BL37" t="s">
        <v>62</v>
      </c>
    </row>
    <row r="38" spans="3:64">
      <c r="C38" s="2" t="s">
        <v>410</v>
      </c>
      <c r="D38" s="2" t="s">
        <v>86</v>
      </c>
      <c r="L38" s="2" t="s">
        <v>34</v>
      </c>
      <c r="R38" s="2" t="s">
        <v>61</v>
      </c>
      <c r="V38" s="2" t="s">
        <v>37</v>
      </c>
      <c r="Z38" s="2" t="s">
        <v>39</v>
      </c>
      <c r="AG38" s="2" t="s">
        <v>37</v>
      </c>
      <c r="AL38" s="2" t="s">
        <v>37</v>
      </c>
      <c r="AQ38" s="2" t="s">
        <v>37</v>
      </c>
      <c r="AV38" s="2" t="s">
        <v>37</v>
      </c>
      <c r="BA38" s="2" t="s">
        <v>51</v>
      </c>
      <c r="BG38" t="s">
        <v>51</v>
      </c>
      <c r="BL38" t="s">
        <v>62</v>
      </c>
    </row>
    <row r="39" spans="3:64">
      <c r="C39" s="2" t="s">
        <v>151</v>
      </c>
      <c r="D39" s="2" t="s">
        <v>86</v>
      </c>
      <c r="L39" s="2" t="s">
        <v>34</v>
      </c>
      <c r="R39" s="2" t="s">
        <v>61</v>
      </c>
      <c r="V39" s="2" t="s">
        <v>37</v>
      </c>
      <c r="Z39" s="2" t="s">
        <v>39</v>
      </c>
      <c r="AG39" s="2" t="s">
        <v>37</v>
      </c>
      <c r="AL39" s="2" t="s">
        <v>37</v>
      </c>
      <c r="AQ39" s="2" t="s">
        <v>37</v>
      </c>
      <c r="AV39" s="2" t="s">
        <v>37</v>
      </c>
      <c r="BA39" s="2" t="s">
        <v>51</v>
      </c>
      <c r="BG39" t="s">
        <v>51</v>
      </c>
      <c r="BL39" t="s">
        <v>62</v>
      </c>
    </row>
    <row r="40" spans="3:64">
      <c r="C40" s="2" t="s">
        <v>389</v>
      </c>
      <c r="D40" s="2" t="s">
        <v>86</v>
      </c>
      <c r="L40" s="2" t="s">
        <v>34</v>
      </c>
      <c r="R40" s="2" t="s">
        <v>61</v>
      </c>
      <c r="V40" s="2" t="s">
        <v>37</v>
      </c>
      <c r="Z40" s="2" t="s">
        <v>39</v>
      </c>
      <c r="AG40" s="2" t="s">
        <v>37</v>
      </c>
      <c r="AL40" s="2" t="s">
        <v>37</v>
      </c>
      <c r="AQ40" s="2" t="s">
        <v>37</v>
      </c>
      <c r="AV40" s="2" t="s">
        <v>37</v>
      </c>
      <c r="BA40" s="2" t="s">
        <v>51</v>
      </c>
      <c r="BG40" t="s">
        <v>51</v>
      </c>
      <c r="BL40" t="s">
        <v>62</v>
      </c>
    </row>
    <row r="41" spans="3:64">
      <c r="C41" s="2" t="s">
        <v>227</v>
      </c>
      <c r="D41" s="2" t="s">
        <v>86</v>
      </c>
      <c r="L41" s="2" t="s">
        <v>34</v>
      </c>
      <c r="R41" s="2" t="s">
        <v>61</v>
      </c>
      <c r="V41" s="2" t="s">
        <v>37</v>
      </c>
      <c r="Z41" s="2" t="s">
        <v>39</v>
      </c>
      <c r="AG41" s="2" t="s">
        <v>37</v>
      </c>
      <c r="AL41" s="2" t="s">
        <v>37</v>
      </c>
      <c r="AQ41" s="2" t="s">
        <v>37</v>
      </c>
      <c r="AV41" s="2" t="s">
        <v>37</v>
      </c>
      <c r="BA41" s="2" t="s">
        <v>51</v>
      </c>
      <c r="BG41" t="s">
        <v>51</v>
      </c>
      <c r="BL41" t="s">
        <v>62</v>
      </c>
    </row>
    <row r="42" spans="3:64">
      <c r="C42" s="2" t="s">
        <v>102</v>
      </c>
      <c r="D42" s="2" t="s">
        <v>86</v>
      </c>
      <c r="L42" s="2" t="s">
        <v>34</v>
      </c>
      <c r="R42" s="2" t="s">
        <v>61</v>
      </c>
      <c r="V42" s="2" t="s">
        <v>37</v>
      </c>
      <c r="Z42" s="2" t="s">
        <v>39</v>
      </c>
      <c r="AG42" s="2" t="s">
        <v>37</v>
      </c>
      <c r="AL42" s="2" t="s">
        <v>37</v>
      </c>
      <c r="AQ42" s="2" t="s">
        <v>37</v>
      </c>
      <c r="AV42" s="2" t="s">
        <v>37</v>
      </c>
      <c r="BA42" s="2" t="s">
        <v>51</v>
      </c>
      <c r="BG42" t="s">
        <v>51</v>
      </c>
      <c r="BL42" t="s">
        <v>62</v>
      </c>
    </row>
    <row r="43" spans="3:64">
      <c r="C43" s="2" t="s">
        <v>321</v>
      </c>
      <c r="D43" s="2" t="s">
        <v>86</v>
      </c>
      <c r="L43" s="2" t="s">
        <v>34</v>
      </c>
      <c r="R43" s="2" t="s">
        <v>36</v>
      </c>
      <c r="V43" s="2" t="s">
        <v>37</v>
      </c>
      <c r="Z43" s="2" t="s">
        <v>39</v>
      </c>
      <c r="AG43" s="2" t="s">
        <v>37</v>
      </c>
      <c r="AL43" s="2" t="s">
        <v>37</v>
      </c>
      <c r="AQ43" s="2" t="s">
        <v>37</v>
      </c>
      <c r="AV43" s="2" t="s">
        <v>37</v>
      </c>
      <c r="BA43" s="2" t="s">
        <v>51</v>
      </c>
      <c r="BG43" t="s">
        <v>51</v>
      </c>
      <c r="BL43" t="s">
        <v>62</v>
      </c>
    </row>
    <row r="44" spans="3:64">
      <c r="C44" s="2" t="s">
        <v>85</v>
      </c>
      <c r="D44" s="2" t="s">
        <v>86</v>
      </c>
      <c r="L44" s="2" t="s">
        <v>34</v>
      </c>
      <c r="R44" s="2" t="s">
        <v>36</v>
      </c>
      <c r="V44" s="2" t="s">
        <v>37</v>
      </c>
      <c r="Z44" s="2" t="s">
        <v>39</v>
      </c>
      <c r="AG44" s="2" t="s">
        <v>37</v>
      </c>
      <c r="AL44" s="2" t="s">
        <v>37</v>
      </c>
      <c r="AQ44" s="2" t="s">
        <v>37</v>
      </c>
      <c r="AV44" s="2" t="s">
        <v>37</v>
      </c>
      <c r="BA44" s="2" t="s">
        <v>51</v>
      </c>
      <c r="BG44" t="s">
        <v>51</v>
      </c>
      <c r="BL44" t="s">
        <v>62</v>
      </c>
    </row>
    <row r="45" spans="3:64">
      <c r="C45" s="2" t="s">
        <v>384</v>
      </c>
      <c r="D45" s="2" t="s">
        <v>86</v>
      </c>
      <c r="L45" s="2" t="s">
        <v>34</v>
      </c>
      <c r="R45" s="2" t="s">
        <v>36</v>
      </c>
      <c r="V45" s="2" t="s">
        <v>37</v>
      </c>
      <c r="Z45" s="2" t="s">
        <v>39</v>
      </c>
      <c r="AG45" s="2" t="s">
        <v>37</v>
      </c>
      <c r="AL45" s="2" t="s">
        <v>37</v>
      </c>
      <c r="AQ45" s="2" t="s">
        <v>37</v>
      </c>
      <c r="AV45" s="2" t="s">
        <v>37</v>
      </c>
      <c r="BA45" s="2" t="s">
        <v>51</v>
      </c>
      <c r="BG45" t="s">
        <v>51</v>
      </c>
      <c r="BL45" t="s">
        <v>62</v>
      </c>
    </row>
    <row r="46" spans="3:64">
      <c r="C46" s="2" t="s">
        <v>310</v>
      </c>
      <c r="D46" s="2" t="s">
        <v>86</v>
      </c>
      <c r="L46" s="2" t="s">
        <v>34</v>
      </c>
      <c r="R46" s="2" t="s">
        <v>36</v>
      </c>
      <c r="V46" s="2" t="s">
        <v>37</v>
      </c>
      <c r="Z46" s="2" t="s">
        <v>39</v>
      </c>
      <c r="AG46" s="2" t="s">
        <v>37</v>
      </c>
      <c r="AL46" s="2" t="s">
        <v>37</v>
      </c>
      <c r="AQ46" s="2" t="s">
        <v>37</v>
      </c>
      <c r="AV46" s="2" t="s">
        <v>37</v>
      </c>
      <c r="BA46" s="2" t="s">
        <v>51</v>
      </c>
      <c r="BG46" t="s">
        <v>51</v>
      </c>
      <c r="BL46" t="s">
        <v>62</v>
      </c>
    </row>
    <row r="47" spans="3:64">
      <c r="C47" s="2" t="s">
        <v>406</v>
      </c>
      <c r="D47" s="2" t="s">
        <v>86</v>
      </c>
      <c r="L47" s="2" t="s">
        <v>34</v>
      </c>
      <c r="R47" s="2" t="s">
        <v>36</v>
      </c>
      <c r="V47" s="2" t="s">
        <v>37</v>
      </c>
      <c r="Z47" s="2" t="s">
        <v>39</v>
      </c>
      <c r="AG47" s="2" t="s">
        <v>37</v>
      </c>
      <c r="AL47" s="2" t="s">
        <v>37</v>
      </c>
      <c r="AQ47" s="2" t="s">
        <v>37</v>
      </c>
      <c r="AV47" s="2" t="s">
        <v>37</v>
      </c>
      <c r="BA47" s="2" t="s">
        <v>51</v>
      </c>
      <c r="BG47" t="s">
        <v>51</v>
      </c>
      <c r="BL47" t="s">
        <v>62</v>
      </c>
    </row>
    <row r="48" spans="3:64">
      <c r="C48" s="2" t="s">
        <v>381</v>
      </c>
      <c r="D48" s="2" t="s">
        <v>86</v>
      </c>
      <c r="L48" s="2" t="s">
        <v>34</v>
      </c>
      <c r="R48" s="2" t="s">
        <v>36</v>
      </c>
      <c r="V48" s="2" t="s">
        <v>37</v>
      </c>
      <c r="Z48" s="2" t="s">
        <v>39</v>
      </c>
      <c r="AG48" s="2" t="s">
        <v>37</v>
      </c>
      <c r="AL48" s="2" t="s">
        <v>37</v>
      </c>
      <c r="AQ48" s="2" t="s">
        <v>37</v>
      </c>
      <c r="AV48" s="2" t="s">
        <v>37</v>
      </c>
      <c r="BA48" s="2" t="s">
        <v>51</v>
      </c>
      <c r="BG48" t="s">
        <v>51</v>
      </c>
      <c r="BL48" t="s">
        <v>62</v>
      </c>
    </row>
    <row r="49" spans="3:64">
      <c r="C49" s="2" t="s">
        <v>394</v>
      </c>
      <c r="D49" s="2" t="s">
        <v>86</v>
      </c>
      <c r="L49" s="2" t="s">
        <v>34</v>
      </c>
      <c r="R49" s="2" t="s">
        <v>36</v>
      </c>
      <c r="V49" s="2" t="s">
        <v>37</v>
      </c>
      <c r="Z49" s="2" t="s">
        <v>39</v>
      </c>
      <c r="AG49" s="2" t="s">
        <v>37</v>
      </c>
      <c r="AL49" s="2" t="s">
        <v>37</v>
      </c>
      <c r="AQ49" s="2" t="s">
        <v>37</v>
      </c>
      <c r="AV49" s="2" t="s">
        <v>37</v>
      </c>
      <c r="BA49" s="2" t="s">
        <v>51</v>
      </c>
      <c r="BG49" t="s">
        <v>51</v>
      </c>
      <c r="BL49" t="s">
        <v>62</v>
      </c>
    </row>
    <row r="50" spans="3:64">
      <c r="C50" s="2" t="s">
        <v>115</v>
      </c>
      <c r="D50" s="2" t="s">
        <v>86</v>
      </c>
      <c r="L50" s="2" t="s">
        <v>34</v>
      </c>
      <c r="R50" s="2" t="s">
        <v>36</v>
      </c>
      <c r="V50" s="2" t="s">
        <v>37</v>
      </c>
      <c r="Z50" s="2" t="s">
        <v>39</v>
      </c>
      <c r="AG50" s="2" t="s">
        <v>37</v>
      </c>
      <c r="AL50" s="2" t="s">
        <v>37</v>
      </c>
      <c r="AQ50" s="2" t="s">
        <v>37</v>
      </c>
      <c r="AV50" s="2" t="s">
        <v>37</v>
      </c>
      <c r="BA50" s="2" t="s">
        <v>51</v>
      </c>
      <c r="BG50" t="s">
        <v>51</v>
      </c>
      <c r="BL50" t="s">
        <v>62</v>
      </c>
    </row>
    <row r="51" spans="3:64">
      <c r="C51" s="2" t="s">
        <v>242</v>
      </c>
      <c r="D51" s="2" t="s">
        <v>86</v>
      </c>
      <c r="L51" s="2" t="s">
        <v>34</v>
      </c>
      <c r="R51" s="2" t="s">
        <v>36</v>
      </c>
      <c r="V51" s="2" t="s">
        <v>37</v>
      </c>
      <c r="Z51" s="2" t="s">
        <v>39</v>
      </c>
      <c r="AG51" s="2" t="s">
        <v>37</v>
      </c>
      <c r="AL51" s="2" t="s">
        <v>37</v>
      </c>
      <c r="AQ51" s="2" t="s">
        <v>37</v>
      </c>
      <c r="AV51" s="2" t="s">
        <v>37</v>
      </c>
      <c r="BA51" s="2" t="s">
        <v>51</v>
      </c>
      <c r="BG51" t="s">
        <v>51</v>
      </c>
      <c r="BL51" t="s">
        <v>62</v>
      </c>
    </row>
    <row r="52" spans="3:64">
      <c r="C52" s="2" t="s">
        <v>205</v>
      </c>
      <c r="D52" s="2" t="s">
        <v>86</v>
      </c>
      <c r="L52" s="2" t="s">
        <v>34</v>
      </c>
      <c r="R52" s="2" t="s">
        <v>36</v>
      </c>
      <c r="V52" s="2" t="s">
        <v>37</v>
      </c>
      <c r="Z52" s="2" t="s">
        <v>39</v>
      </c>
      <c r="AG52" s="2" t="s">
        <v>37</v>
      </c>
      <c r="AL52" s="2" t="s">
        <v>37</v>
      </c>
      <c r="AQ52" s="2" t="s">
        <v>37</v>
      </c>
      <c r="AV52" s="2" t="s">
        <v>39</v>
      </c>
      <c r="BA52" s="2" t="s">
        <v>51</v>
      </c>
      <c r="BG52" t="s">
        <v>51</v>
      </c>
      <c r="BL52" t="s">
        <v>62</v>
      </c>
    </row>
    <row r="53" spans="3:64">
      <c r="C53" s="2" t="s">
        <v>342</v>
      </c>
      <c r="D53" s="2" t="s">
        <v>86</v>
      </c>
      <c r="L53" s="2" t="s">
        <v>34</v>
      </c>
      <c r="R53" s="2" t="s">
        <v>36</v>
      </c>
      <c r="V53" s="2" t="s">
        <v>37</v>
      </c>
      <c r="Z53" s="2" t="s">
        <v>39</v>
      </c>
      <c r="AG53" s="2" t="s">
        <v>37</v>
      </c>
      <c r="AL53" s="2" t="s">
        <v>37</v>
      </c>
      <c r="AQ53" s="2" t="s">
        <v>37</v>
      </c>
      <c r="AV53" s="2" t="s">
        <v>39</v>
      </c>
      <c r="BA53" s="2" t="s">
        <v>51</v>
      </c>
      <c r="BG53" t="s">
        <v>51</v>
      </c>
      <c r="BL53" t="s">
        <v>62</v>
      </c>
    </row>
    <row r="54" spans="3:64">
      <c r="C54" s="2" t="s">
        <v>137</v>
      </c>
      <c r="D54" s="2" t="s">
        <v>86</v>
      </c>
      <c r="L54" s="2" t="s">
        <v>34</v>
      </c>
      <c r="R54" s="2" t="s">
        <v>36</v>
      </c>
      <c r="V54" s="2" t="s">
        <v>37</v>
      </c>
      <c r="Z54" s="2" t="s">
        <v>39</v>
      </c>
      <c r="AG54" s="2" t="s">
        <v>37</v>
      </c>
      <c r="AL54" s="2" t="s">
        <v>37</v>
      </c>
      <c r="AQ54" s="2" t="s">
        <v>37</v>
      </c>
      <c r="AV54" s="2" t="s">
        <v>39</v>
      </c>
      <c r="BA54" s="2" t="s">
        <v>51</v>
      </c>
      <c r="BG54" t="s">
        <v>51</v>
      </c>
      <c r="BL54" t="s">
        <v>62</v>
      </c>
    </row>
    <row r="55" spans="3:64">
      <c r="C55" s="2" t="s">
        <v>229</v>
      </c>
      <c r="D55" s="2" t="s">
        <v>86</v>
      </c>
      <c r="L55" s="2" t="s">
        <v>34</v>
      </c>
      <c r="R55" s="2" t="s">
        <v>36</v>
      </c>
      <c r="V55" s="2" t="s">
        <v>37</v>
      </c>
      <c r="Z55" s="2" t="s">
        <v>39</v>
      </c>
      <c r="AG55" s="2" t="s">
        <v>37</v>
      </c>
      <c r="AL55" s="2" t="s">
        <v>37</v>
      </c>
      <c r="AQ55" s="2" t="s">
        <v>37</v>
      </c>
      <c r="AV55" s="2" t="s">
        <v>39</v>
      </c>
      <c r="BA55" s="2" t="s">
        <v>51</v>
      </c>
      <c r="BG55" t="s">
        <v>51</v>
      </c>
      <c r="BL55" t="s">
        <v>62</v>
      </c>
    </row>
    <row r="56" spans="3:64">
      <c r="C56" s="2" t="s">
        <v>176</v>
      </c>
      <c r="D56" s="2" t="s">
        <v>86</v>
      </c>
      <c r="L56" s="2" t="s">
        <v>34</v>
      </c>
      <c r="R56" s="2" t="s">
        <v>36</v>
      </c>
      <c r="V56" s="2" t="s">
        <v>37</v>
      </c>
      <c r="Z56" s="2" t="s">
        <v>39</v>
      </c>
      <c r="AG56" s="2" t="s">
        <v>37</v>
      </c>
      <c r="AL56" s="2" t="s">
        <v>37</v>
      </c>
      <c r="AQ56" s="2" t="s">
        <v>37</v>
      </c>
      <c r="AV56" s="2" t="s">
        <v>39</v>
      </c>
      <c r="BA56" s="2" t="s">
        <v>51</v>
      </c>
      <c r="BG56" t="s">
        <v>51</v>
      </c>
      <c r="BL56" t="s">
        <v>62</v>
      </c>
    </row>
    <row r="57" spans="3:64">
      <c r="C57" s="2" t="s">
        <v>172</v>
      </c>
      <c r="D57" s="2" t="s">
        <v>86</v>
      </c>
      <c r="L57" s="2" t="s">
        <v>34</v>
      </c>
      <c r="R57" s="2" t="s">
        <v>36</v>
      </c>
      <c r="V57" s="2" t="s">
        <v>37</v>
      </c>
      <c r="Z57" s="2" t="s">
        <v>39</v>
      </c>
      <c r="AG57" s="2" t="s">
        <v>37</v>
      </c>
      <c r="AL57" s="2" t="s">
        <v>37</v>
      </c>
      <c r="AQ57" s="2" t="s">
        <v>37</v>
      </c>
      <c r="AV57" s="2" t="s">
        <v>39</v>
      </c>
      <c r="BA57" s="2" t="s">
        <v>51</v>
      </c>
      <c r="BG57" t="s">
        <v>43</v>
      </c>
      <c r="BL57" t="s">
        <v>62</v>
      </c>
    </row>
    <row r="58" spans="3:64">
      <c r="C58" s="2" t="s">
        <v>201</v>
      </c>
      <c r="D58" s="2" t="s">
        <v>86</v>
      </c>
      <c r="L58" s="2" t="s">
        <v>34</v>
      </c>
      <c r="R58" s="2" t="s">
        <v>36</v>
      </c>
      <c r="V58" s="2" t="s">
        <v>37</v>
      </c>
      <c r="Z58" s="2" t="s">
        <v>39</v>
      </c>
      <c r="AG58" s="2" t="s">
        <v>37</v>
      </c>
      <c r="AL58" s="2" t="s">
        <v>37</v>
      </c>
      <c r="AQ58" s="2" t="s">
        <v>37</v>
      </c>
      <c r="AV58" s="2" t="s">
        <v>39</v>
      </c>
      <c r="BA58" s="2" t="s">
        <v>51</v>
      </c>
      <c r="BG58" t="s">
        <v>43</v>
      </c>
      <c r="BL58" t="s">
        <v>62</v>
      </c>
    </row>
    <row r="59" spans="3:64">
      <c r="C59" s="2" t="s">
        <v>335</v>
      </c>
      <c r="D59" s="2" t="s">
        <v>31</v>
      </c>
      <c r="L59" s="2" t="s">
        <v>34</v>
      </c>
      <c r="R59" s="2" t="s">
        <v>36</v>
      </c>
      <c r="V59" s="2" t="s">
        <v>37</v>
      </c>
      <c r="Z59" s="2" t="s">
        <v>39</v>
      </c>
      <c r="AG59" s="2" t="s">
        <v>37</v>
      </c>
      <c r="AL59" s="2" t="s">
        <v>37</v>
      </c>
      <c r="AQ59" s="2" t="s">
        <v>37</v>
      </c>
      <c r="AV59" s="2" t="s">
        <v>39</v>
      </c>
      <c r="BA59" s="2" t="s">
        <v>51</v>
      </c>
      <c r="BG59" t="s">
        <v>43</v>
      </c>
      <c r="BL59" t="s">
        <v>62</v>
      </c>
    </row>
    <row r="60" spans="3:64">
      <c r="C60" s="2" t="s">
        <v>135</v>
      </c>
      <c r="D60" s="2" t="s">
        <v>31</v>
      </c>
      <c r="L60" s="2" t="s">
        <v>34</v>
      </c>
      <c r="R60" s="2" t="s">
        <v>36</v>
      </c>
      <c r="V60" s="2" t="s">
        <v>37</v>
      </c>
      <c r="Z60" s="2" t="s">
        <v>39</v>
      </c>
      <c r="AG60" s="2" t="s">
        <v>37</v>
      </c>
      <c r="AL60" s="2" t="s">
        <v>37</v>
      </c>
      <c r="AQ60" s="2" t="s">
        <v>37</v>
      </c>
      <c r="AV60" s="2" t="s">
        <v>39</v>
      </c>
      <c r="BA60" s="2" t="s">
        <v>51</v>
      </c>
      <c r="BG60" t="s">
        <v>43</v>
      </c>
      <c r="BL60" t="s">
        <v>62</v>
      </c>
    </row>
    <row r="61" spans="3:64">
      <c r="C61" s="2" t="s">
        <v>203</v>
      </c>
      <c r="D61" s="2" t="s">
        <v>31</v>
      </c>
      <c r="L61" s="2" t="s">
        <v>34</v>
      </c>
      <c r="R61" s="2" t="s">
        <v>36</v>
      </c>
      <c r="V61" s="2" t="s">
        <v>37</v>
      </c>
      <c r="Z61" s="2" t="s">
        <v>39</v>
      </c>
      <c r="AG61" s="2" t="s">
        <v>37</v>
      </c>
      <c r="AL61" s="2" t="s">
        <v>37</v>
      </c>
      <c r="AQ61" s="2" t="s">
        <v>37</v>
      </c>
      <c r="AV61" s="2" t="s">
        <v>39</v>
      </c>
      <c r="BA61" s="2" t="s">
        <v>51</v>
      </c>
      <c r="BG61" t="s">
        <v>43</v>
      </c>
      <c r="BL61" t="s">
        <v>62</v>
      </c>
    </row>
    <row r="62" spans="3:64">
      <c r="C62" s="2" t="s">
        <v>350</v>
      </c>
      <c r="D62" s="2" t="s">
        <v>31</v>
      </c>
      <c r="L62" s="2" t="s">
        <v>117</v>
      </c>
      <c r="R62" s="2" t="s">
        <v>36</v>
      </c>
      <c r="V62" s="2" t="s">
        <v>37</v>
      </c>
      <c r="Z62" s="2" t="s">
        <v>39</v>
      </c>
      <c r="AG62" s="2" t="s">
        <v>37</v>
      </c>
      <c r="AL62" s="2" t="s">
        <v>37</v>
      </c>
      <c r="AQ62" s="2" t="s">
        <v>37</v>
      </c>
      <c r="AV62" s="2" t="s">
        <v>39</v>
      </c>
      <c r="BA62" s="2" t="s">
        <v>51</v>
      </c>
      <c r="BG62" t="s">
        <v>43</v>
      </c>
      <c r="BL62" t="s">
        <v>62</v>
      </c>
    </row>
    <row r="63" spans="3:64">
      <c r="C63" s="2" t="s">
        <v>287</v>
      </c>
      <c r="D63" s="2" t="s">
        <v>31</v>
      </c>
      <c r="L63" s="2" t="s">
        <v>117</v>
      </c>
      <c r="R63" s="2" t="s">
        <v>36</v>
      </c>
      <c r="V63" s="2" t="s">
        <v>37</v>
      </c>
      <c r="Z63" s="2" t="s">
        <v>39</v>
      </c>
      <c r="AG63" s="2" t="s">
        <v>37</v>
      </c>
      <c r="AL63" s="2" t="s">
        <v>37</v>
      </c>
      <c r="AQ63" s="2" t="s">
        <v>37</v>
      </c>
      <c r="AV63" s="2" t="s">
        <v>39</v>
      </c>
      <c r="BA63" s="2" t="s">
        <v>51</v>
      </c>
      <c r="BG63" t="s">
        <v>43</v>
      </c>
      <c r="BL63" t="s">
        <v>62</v>
      </c>
    </row>
    <row r="64" spans="3:64">
      <c r="C64" s="2" t="s">
        <v>129</v>
      </c>
      <c r="D64" s="2" t="s">
        <v>31</v>
      </c>
      <c r="L64" s="2" t="s">
        <v>117</v>
      </c>
      <c r="R64" s="2" t="s">
        <v>36</v>
      </c>
      <c r="V64" s="2" t="s">
        <v>37</v>
      </c>
      <c r="Z64" s="2" t="s">
        <v>39</v>
      </c>
      <c r="AG64" s="2" t="s">
        <v>37</v>
      </c>
      <c r="AL64" s="2" t="s">
        <v>37</v>
      </c>
      <c r="AQ64" s="2" t="s">
        <v>37</v>
      </c>
      <c r="AV64" s="2" t="s">
        <v>39</v>
      </c>
      <c r="BA64" s="2" t="s">
        <v>51</v>
      </c>
      <c r="BG64" t="s">
        <v>43</v>
      </c>
      <c r="BL64" t="s">
        <v>62</v>
      </c>
    </row>
    <row r="65" spans="3:64">
      <c r="C65" s="2" t="s">
        <v>215</v>
      </c>
      <c r="D65" s="2" t="s">
        <v>31</v>
      </c>
      <c r="L65" s="2" t="s">
        <v>117</v>
      </c>
      <c r="R65" s="2" t="s">
        <v>36</v>
      </c>
      <c r="V65" s="2" t="s">
        <v>37</v>
      </c>
      <c r="Z65" s="2" t="s">
        <v>39</v>
      </c>
      <c r="AG65" s="2" t="s">
        <v>37</v>
      </c>
      <c r="AL65" s="2" t="s">
        <v>37</v>
      </c>
      <c r="AQ65" s="2" t="s">
        <v>37</v>
      </c>
      <c r="AV65" s="2" t="s">
        <v>39</v>
      </c>
      <c r="BA65" s="2" t="s">
        <v>51</v>
      </c>
      <c r="BG65" t="s">
        <v>43</v>
      </c>
      <c r="BL65" t="s">
        <v>62</v>
      </c>
    </row>
    <row r="66" spans="3:64">
      <c r="C66" s="2" t="s">
        <v>223</v>
      </c>
      <c r="D66" s="2" t="s">
        <v>31</v>
      </c>
      <c r="L66" s="2" t="s">
        <v>117</v>
      </c>
      <c r="R66" s="2" t="s">
        <v>36</v>
      </c>
      <c r="V66" s="2" t="s">
        <v>37</v>
      </c>
      <c r="Z66" s="2" t="s">
        <v>39</v>
      </c>
      <c r="AG66" s="2" t="s">
        <v>37</v>
      </c>
      <c r="AL66" s="2" t="s">
        <v>37</v>
      </c>
      <c r="AQ66" s="2" t="s">
        <v>37</v>
      </c>
      <c r="AV66" s="2" t="s">
        <v>39</v>
      </c>
      <c r="BA66" s="2" t="s">
        <v>51</v>
      </c>
      <c r="BG66" t="s">
        <v>43</v>
      </c>
      <c r="BL66" t="s">
        <v>62</v>
      </c>
    </row>
    <row r="67" spans="3:64">
      <c r="C67" s="2" t="s">
        <v>191</v>
      </c>
      <c r="D67" s="2" t="s">
        <v>31</v>
      </c>
      <c r="L67" s="2" t="s">
        <v>117</v>
      </c>
      <c r="R67" s="2" t="s">
        <v>36</v>
      </c>
      <c r="V67" s="2" t="s">
        <v>37</v>
      </c>
      <c r="Z67" s="2" t="s">
        <v>39</v>
      </c>
      <c r="AG67" s="2" t="s">
        <v>37</v>
      </c>
      <c r="AL67" s="2" t="s">
        <v>37</v>
      </c>
      <c r="AQ67" s="2" t="s">
        <v>37</v>
      </c>
      <c r="AV67" s="2" t="s">
        <v>39</v>
      </c>
      <c r="BA67" s="2" t="s">
        <v>51</v>
      </c>
      <c r="BG67" t="s">
        <v>43</v>
      </c>
      <c r="BL67" t="s">
        <v>62</v>
      </c>
    </row>
    <row r="68" spans="3:64">
      <c r="C68" s="2" t="s">
        <v>154</v>
      </c>
      <c r="D68" s="2" t="s">
        <v>31</v>
      </c>
      <c r="L68" s="2" t="s">
        <v>117</v>
      </c>
      <c r="R68" s="2" t="s">
        <v>36</v>
      </c>
      <c r="V68" s="2" t="s">
        <v>37</v>
      </c>
      <c r="Z68" s="2" t="s">
        <v>39</v>
      </c>
      <c r="AG68" s="2" t="s">
        <v>37</v>
      </c>
      <c r="AL68" s="2" t="s">
        <v>37</v>
      </c>
      <c r="AQ68" s="2" t="s">
        <v>37</v>
      </c>
      <c r="AV68" s="2" t="s">
        <v>39</v>
      </c>
      <c r="BA68" s="2" t="s">
        <v>51</v>
      </c>
      <c r="BG68" t="s">
        <v>43</v>
      </c>
      <c r="BL68" t="s">
        <v>62</v>
      </c>
    </row>
    <row r="69" spans="3:64">
      <c r="C69" s="2" t="s">
        <v>145</v>
      </c>
      <c r="D69" s="2" t="s">
        <v>31</v>
      </c>
      <c r="L69" s="2" t="s">
        <v>117</v>
      </c>
      <c r="R69" s="2" t="s">
        <v>36</v>
      </c>
      <c r="V69" s="2" t="s">
        <v>37</v>
      </c>
      <c r="Z69" s="2" t="s">
        <v>39</v>
      </c>
      <c r="AG69" s="2" t="s">
        <v>37</v>
      </c>
      <c r="AL69" s="2" t="s">
        <v>37</v>
      </c>
      <c r="AQ69" s="2" t="s">
        <v>37</v>
      </c>
      <c r="AV69" s="2" t="s">
        <v>39</v>
      </c>
      <c r="BA69" s="2" t="s">
        <v>51</v>
      </c>
      <c r="BG69" t="s">
        <v>43</v>
      </c>
      <c r="BL69" t="s">
        <v>62</v>
      </c>
    </row>
    <row r="70" spans="3:64">
      <c r="C70" s="2" t="s">
        <v>331</v>
      </c>
      <c r="D70" s="2" t="s">
        <v>31</v>
      </c>
      <c r="L70" s="2" t="s">
        <v>117</v>
      </c>
      <c r="R70" s="2" t="s">
        <v>36</v>
      </c>
      <c r="V70" s="2" t="s">
        <v>37</v>
      </c>
      <c r="Z70" s="2" t="s">
        <v>39</v>
      </c>
      <c r="AG70" s="2" t="s">
        <v>37</v>
      </c>
      <c r="AL70" s="2" t="s">
        <v>127</v>
      </c>
      <c r="AQ70" s="2" t="s">
        <v>37</v>
      </c>
      <c r="AV70" s="2" t="s">
        <v>39</v>
      </c>
      <c r="BA70" s="2" t="s">
        <v>51</v>
      </c>
      <c r="BG70" t="s">
        <v>43</v>
      </c>
      <c r="BL70" t="s">
        <v>62</v>
      </c>
    </row>
    <row r="71" spans="3:64">
      <c r="C71" s="2" t="s">
        <v>125</v>
      </c>
      <c r="D71" s="2" t="s">
        <v>31</v>
      </c>
      <c r="L71" s="2" t="s">
        <v>117</v>
      </c>
      <c r="R71" s="2" t="s">
        <v>36</v>
      </c>
      <c r="V71" s="2" t="s">
        <v>37</v>
      </c>
      <c r="Z71" s="2" t="s">
        <v>39</v>
      </c>
      <c r="AG71" s="2" t="s">
        <v>37</v>
      </c>
      <c r="AL71" s="2" t="s">
        <v>127</v>
      </c>
      <c r="AQ71" s="2" t="s">
        <v>37</v>
      </c>
      <c r="AV71" s="2" t="s">
        <v>39</v>
      </c>
      <c r="BA71" s="2" t="s">
        <v>51</v>
      </c>
      <c r="BG71" t="s">
        <v>43</v>
      </c>
      <c r="BL71" t="s">
        <v>62</v>
      </c>
    </row>
    <row r="72" spans="3:64">
      <c r="C72" s="2" t="s">
        <v>318</v>
      </c>
      <c r="D72" s="2" t="s">
        <v>31</v>
      </c>
      <c r="L72" s="2" t="s">
        <v>117</v>
      </c>
      <c r="R72" s="2" t="s">
        <v>36</v>
      </c>
      <c r="V72" s="2" t="s">
        <v>37</v>
      </c>
      <c r="Z72" s="2" t="s">
        <v>39</v>
      </c>
      <c r="AG72" s="2" t="s">
        <v>37</v>
      </c>
      <c r="AL72" s="2" t="s">
        <v>39</v>
      </c>
      <c r="AQ72" s="2" t="s">
        <v>37</v>
      </c>
      <c r="AV72" s="2" t="s">
        <v>39</v>
      </c>
      <c r="BA72" s="2" t="s">
        <v>51</v>
      </c>
      <c r="BG72" t="s">
        <v>43</v>
      </c>
      <c r="BL72" t="s">
        <v>62</v>
      </c>
    </row>
    <row r="73" spans="3:64">
      <c r="C73" s="2" t="s">
        <v>392</v>
      </c>
      <c r="D73" s="2" t="s">
        <v>31</v>
      </c>
      <c r="L73" s="2" t="s">
        <v>117</v>
      </c>
      <c r="R73" s="2" t="s">
        <v>36</v>
      </c>
      <c r="V73" s="2" t="s">
        <v>37</v>
      </c>
      <c r="Z73" s="2" t="s">
        <v>39</v>
      </c>
      <c r="AG73" s="2" t="s">
        <v>37</v>
      </c>
      <c r="AL73" s="2" t="s">
        <v>39</v>
      </c>
      <c r="AQ73" s="2" t="s">
        <v>37</v>
      </c>
      <c r="AV73" s="2" t="s">
        <v>39</v>
      </c>
      <c r="BA73" s="2" t="s">
        <v>51</v>
      </c>
      <c r="BG73" t="s">
        <v>43</v>
      </c>
      <c r="BL73" t="s">
        <v>62</v>
      </c>
    </row>
    <row r="74" spans="3:64">
      <c r="C74" s="2" t="s">
        <v>416</v>
      </c>
      <c r="D74" s="2" t="s">
        <v>31</v>
      </c>
      <c r="L74" s="2" t="s">
        <v>117</v>
      </c>
      <c r="R74" s="2" t="s">
        <v>36</v>
      </c>
      <c r="V74" s="2" t="s">
        <v>37</v>
      </c>
      <c r="Z74" s="2" t="s">
        <v>39</v>
      </c>
      <c r="AG74" s="2" t="s">
        <v>37</v>
      </c>
      <c r="AL74" s="2" t="s">
        <v>39</v>
      </c>
      <c r="AQ74" s="2" t="s">
        <v>37</v>
      </c>
      <c r="AV74" s="2" t="s">
        <v>39</v>
      </c>
      <c r="BA74" s="2" t="s">
        <v>51</v>
      </c>
      <c r="BG74" t="s">
        <v>43</v>
      </c>
      <c r="BL74" t="s">
        <v>62</v>
      </c>
    </row>
    <row r="75" spans="3:64">
      <c r="C75" s="2" t="s">
        <v>30</v>
      </c>
      <c r="D75" s="2" t="s">
        <v>31</v>
      </c>
      <c r="L75" s="2" t="s">
        <v>117</v>
      </c>
      <c r="R75" s="2" t="s">
        <v>36</v>
      </c>
      <c r="V75" s="2" t="s">
        <v>37</v>
      </c>
      <c r="Z75" s="2" t="s">
        <v>39</v>
      </c>
      <c r="AG75" s="2" t="s">
        <v>37</v>
      </c>
      <c r="AL75" s="2" t="s">
        <v>39</v>
      </c>
      <c r="AQ75" s="2" t="s">
        <v>37</v>
      </c>
      <c r="AV75" s="2" t="s">
        <v>39</v>
      </c>
      <c r="BA75" s="2" t="s">
        <v>51</v>
      </c>
      <c r="BG75" t="s">
        <v>43</v>
      </c>
      <c r="BL75" t="s">
        <v>62</v>
      </c>
    </row>
    <row r="76" spans="3:64">
      <c r="C76" s="2" t="s">
        <v>81</v>
      </c>
      <c r="D76" s="2" t="s">
        <v>31</v>
      </c>
      <c r="L76" s="2" t="s">
        <v>117</v>
      </c>
      <c r="R76" s="2" t="s">
        <v>98</v>
      </c>
      <c r="V76" s="2" t="s">
        <v>37</v>
      </c>
      <c r="Z76" s="2" t="s">
        <v>39</v>
      </c>
      <c r="AG76" s="2" t="s">
        <v>37</v>
      </c>
      <c r="AL76" s="2" t="s">
        <v>39</v>
      </c>
      <c r="AQ76" s="2" t="s">
        <v>37</v>
      </c>
      <c r="AV76" s="2" t="s">
        <v>39</v>
      </c>
      <c r="BA76" s="2" t="s">
        <v>51</v>
      </c>
      <c r="BG76" t="s">
        <v>43</v>
      </c>
      <c r="BL76" t="s">
        <v>62</v>
      </c>
    </row>
    <row r="77" spans="3:64">
      <c r="C77" s="2" t="s">
        <v>221</v>
      </c>
      <c r="D77" s="2" t="s">
        <v>31</v>
      </c>
      <c r="L77" s="2" t="s">
        <v>117</v>
      </c>
      <c r="R77" s="2" t="s">
        <v>98</v>
      </c>
      <c r="V77" s="2" t="s">
        <v>37</v>
      </c>
      <c r="Z77" s="2" t="s">
        <v>39</v>
      </c>
      <c r="AG77" s="2" t="s">
        <v>37</v>
      </c>
      <c r="AL77" s="2" t="s">
        <v>39</v>
      </c>
      <c r="AQ77" s="2" t="s">
        <v>37</v>
      </c>
      <c r="AV77" s="2" t="s">
        <v>39</v>
      </c>
      <c r="BA77" s="2" t="s">
        <v>51</v>
      </c>
      <c r="BG77" t="s">
        <v>43</v>
      </c>
      <c r="BL77" t="s">
        <v>62</v>
      </c>
    </row>
    <row r="78" spans="3:64">
      <c r="C78" s="2" t="s">
        <v>296</v>
      </c>
      <c r="D78" s="2" t="s">
        <v>31</v>
      </c>
      <c r="L78" s="2" t="s">
        <v>117</v>
      </c>
      <c r="R78" s="2" t="s">
        <v>98</v>
      </c>
      <c r="V78" s="2" t="s">
        <v>37</v>
      </c>
      <c r="Z78" s="2" t="s">
        <v>39</v>
      </c>
      <c r="AG78" s="2" t="s">
        <v>37</v>
      </c>
      <c r="AL78" s="2" t="s">
        <v>39</v>
      </c>
      <c r="AQ78" s="2" t="s">
        <v>37</v>
      </c>
      <c r="AV78" s="2" t="s">
        <v>39</v>
      </c>
      <c r="BA78" s="2" t="s">
        <v>51</v>
      </c>
      <c r="BG78" t="s">
        <v>43</v>
      </c>
      <c r="BL78" t="s">
        <v>62</v>
      </c>
    </row>
    <row r="79" spans="3:64">
      <c r="C79" s="2" t="s">
        <v>324</v>
      </c>
      <c r="D79" s="2" t="s">
        <v>31</v>
      </c>
      <c r="L79" s="2" t="s">
        <v>117</v>
      </c>
      <c r="R79" s="2" t="s">
        <v>98</v>
      </c>
      <c r="V79" s="2" t="s">
        <v>37</v>
      </c>
      <c r="Z79" s="2" t="s">
        <v>39</v>
      </c>
      <c r="AG79" s="2" t="s">
        <v>37</v>
      </c>
      <c r="AL79" s="2" t="s">
        <v>39</v>
      </c>
      <c r="AQ79" s="2" t="s">
        <v>37</v>
      </c>
      <c r="AV79" s="2" t="s">
        <v>39</v>
      </c>
      <c r="BA79" s="2" t="s">
        <v>51</v>
      </c>
      <c r="BG79" t="s">
        <v>43</v>
      </c>
      <c r="BL79" t="s">
        <v>62</v>
      </c>
    </row>
    <row r="80" spans="3:64">
      <c r="C80" s="2" t="s">
        <v>265</v>
      </c>
      <c r="D80" s="2" t="s">
        <v>31</v>
      </c>
      <c r="L80" s="2" t="s">
        <v>117</v>
      </c>
      <c r="R80" s="2" t="s">
        <v>98</v>
      </c>
      <c r="V80" s="2" t="s">
        <v>37</v>
      </c>
      <c r="Z80" s="2" t="s">
        <v>39</v>
      </c>
      <c r="AG80" s="2" t="s">
        <v>37</v>
      </c>
      <c r="AL80" s="2" t="s">
        <v>39</v>
      </c>
      <c r="AQ80" s="2" t="s">
        <v>37</v>
      </c>
      <c r="AV80" s="2" t="s">
        <v>39</v>
      </c>
      <c r="BA80" s="2" t="s">
        <v>51</v>
      </c>
      <c r="BG80" t="s">
        <v>43</v>
      </c>
      <c r="BL80" t="s">
        <v>62</v>
      </c>
    </row>
    <row r="81" spans="3:64">
      <c r="C81" s="2" t="s">
        <v>257</v>
      </c>
      <c r="D81" s="2" t="s">
        <v>31</v>
      </c>
      <c r="L81" s="2" t="s">
        <v>117</v>
      </c>
      <c r="R81" s="2" t="s">
        <v>98</v>
      </c>
      <c r="V81" s="2" t="s">
        <v>37</v>
      </c>
      <c r="Z81" s="2" t="s">
        <v>39</v>
      </c>
      <c r="AG81" s="2" t="s">
        <v>37</v>
      </c>
      <c r="AL81" s="2" t="s">
        <v>39</v>
      </c>
      <c r="AQ81" s="2" t="s">
        <v>37</v>
      </c>
      <c r="AV81" s="2" t="s">
        <v>39</v>
      </c>
      <c r="BA81" s="2" t="s">
        <v>51</v>
      </c>
      <c r="BG81" t="s">
        <v>43</v>
      </c>
      <c r="BL81" t="s">
        <v>62</v>
      </c>
    </row>
    <row r="82" spans="3:64">
      <c r="C82" s="2" t="s">
        <v>119</v>
      </c>
      <c r="D82" s="2" t="s">
        <v>31</v>
      </c>
      <c r="L82" s="2" t="s">
        <v>117</v>
      </c>
      <c r="R82" s="2" t="s">
        <v>98</v>
      </c>
      <c r="V82" s="2" t="s">
        <v>37</v>
      </c>
      <c r="Z82" s="2" t="s">
        <v>39</v>
      </c>
      <c r="AG82" s="2" t="s">
        <v>37</v>
      </c>
      <c r="AL82" s="2" t="s">
        <v>39</v>
      </c>
      <c r="AQ82" s="2" t="s">
        <v>39</v>
      </c>
      <c r="AV82" s="2" t="s">
        <v>39</v>
      </c>
      <c r="BA82" s="2" t="s">
        <v>51</v>
      </c>
      <c r="BG82" t="s">
        <v>43</v>
      </c>
      <c r="BL82" t="s">
        <v>62</v>
      </c>
    </row>
    <row r="83" spans="3:64">
      <c r="C83" s="2" t="s">
        <v>369</v>
      </c>
      <c r="D83" s="2" t="s">
        <v>31</v>
      </c>
      <c r="L83" s="2" t="s">
        <v>117</v>
      </c>
      <c r="R83" s="2" t="s">
        <v>98</v>
      </c>
      <c r="V83" s="2" t="s">
        <v>37</v>
      </c>
      <c r="Z83" s="2" t="s">
        <v>39</v>
      </c>
      <c r="AG83" s="2" t="s">
        <v>37</v>
      </c>
      <c r="AL83" s="2" t="s">
        <v>39</v>
      </c>
      <c r="AQ83" s="2" t="s">
        <v>39</v>
      </c>
      <c r="AV83" s="2" t="s">
        <v>39</v>
      </c>
      <c r="BA83" s="2" t="s">
        <v>51</v>
      </c>
      <c r="BG83" t="s">
        <v>43</v>
      </c>
      <c r="BL83" t="s">
        <v>62</v>
      </c>
    </row>
    <row r="84" spans="3:64">
      <c r="C84" s="2" t="s">
        <v>163</v>
      </c>
      <c r="D84" s="2" t="s">
        <v>31</v>
      </c>
      <c r="L84" s="2" t="s">
        <v>117</v>
      </c>
      <c r="R84" s="2" t="s">
        <v>98</v>
      </c>
      <c r="V84" s="2" t="s">
        <v>37</v>
      </c>
      <c r="Z84" s="2" t="s">
        <v>39</v>
      </c>
      <c r="AG84" s="2" t="s">
        <v>37</v>
      </c>
      <c r="AL84" s="2" t="s">
        <v>39</v>
      </c>
      <c r="AQ84" s="2" t="s">
        <v>39</v>
      </c>
      <c r="AV84" s="2" t="s">
        <v>39</v>
      </c>
      <c r="BA84" s="2" t="s">
        <v>51</v>
      </c>
      <c r="BG84" t="s">
        <v>43</v>
      </c>
      <c r="BL84" t="s">
        <v>62</v>
      </c>
    </row>
    <row r="85" spans="3:64">
      <c r="C85" s="2" t="s">
        <v>57</v>
      </c>
      <c r="D85" s="2" t="s">
        <v>31</v>
      </c>
      <c r="L85" s="2" t="s">
        <v>117</v>
      </c>
      <c r="R85" s="2" t="s">
        <v>98</v>
      </c>
      <c r="V85" s="2" t="s">
        <v>37</v>
      </c>
      <c r="Z85" s="2" t="s">
        <v>39</v>
      </c>
      <c r="AG85" s="2" t="s">
        <v>37</v>
      </c>
      <c r="AL85" s="2" t="s">
        <v>39</v>
      </c>
      <c r="AQ85" s="2" t="s">
        <v>39</v>
      </c>
      <c r="AV85" s="2" t="s">
        <v>39</v>
      </c>
      <c r="BA85" s="2" t="s">
        <v>51</v>
      </c>
      <c r="BG85" t="s">
        <v>43</v>
      </c>
      <c r="BL85" t="s">
        <v>62</v>
      </c>
    </row>
    <row r="86" spans="3:64">
      <c r="C86" s="2" t="s">
        <v>57</v>
      </c>
      <c r="D86" s="2" t="s">
        <v>31</v>
      </c>
      <c r="L86" s="2" t="s">
        <v>117</v>
      </c>
      <c r="R86" s="2" t="s">
        <v>98</v>
      </c>
      <c r="V86" s="2" t="s">
        <v>37</v>
      </c>
      <c r="Z86" s="2" t="s">
        <v>39</v>
      </c>
      <c r="AG86" s="2" t="s">
        <v>37</v>
      </c>
      <c r="AL86" s="2" t="s">
        <v>39</v>
      </c>
      <c r="AQ86" s="2" t="s">
        <v>39</v>
      </c>
      <c r="AV86" s="2" t="s">
        <v>39</v>
      </c>
      <c r="BA86" s="2" t="s">
        <v>51</v>
      </c>
      <c r="BG86" t="s">
        <v>43</v>
      </c>
      <c r="BL86" t="s">
        <v>62</v>
      </c>
    </row>
    <row r="87" spans="3:64">
      <c r="C87" s="2" t="s">
        <v>347</v>
      </c>
      <c r="D87" s="2" t="s">
        <v>31</v>
      </c>
      <c r="L87" s="2" t="s">
        <v>117</v>
      </c>
      <c r="R87" s="2" t="s">
        <v>98</v>
      </c>
      <c r="V87" s="2" t="s">
        <v>37</v>
      </c>
      <c r="Z87" s="2" t="s">
        <v>39</v>
      </c>
      <c r="AG87" s="2" t="s">
        <v>37</v>
      </c>
      <c r="AL87" s="2" t="s">
        <v>39</v>
      </c>
      <c r="AQ87" s="2" t="s">
        <v>39</v>
      </c>
      <c r="AV87" s="2" t="s">
        <v>39</v>
      </c>
      <c r="BA87" s="2" t="s">
        <v>51</v>
      </c>
      <c r="BG87" t="s">
        <v>43</v>
      </c>
      <c r="BL87" t="s">
        <v>62</v>
      </c>
    </row>
    <row r="88" spans="3:64">
      <c r="C88" s="2" t="s">
        <v>408</v>
      </c>
      <c r="D88" s="2" t="s">
        <v>31</v>
      </c>
      <c r="L88" s="2" t="s">
        <v>117</v>
      </c>
      <c r="R88" s="2" t="s">
        <v>98</v>
      </c>
      <c r="V88" s="2" t="s">
        <v>37</v>
      </c>
      <c r="Z88" s="2" t="s">
        <v>39</v>
      </c>
      <c r="AG88" s="2" t="s">
        <v>37</v>
      </c>
      <c r="AL88" s="2" t="s">
        <v>39</v>
      </c>
      <c r="AQ88" s="2" t="s">
        <v>39</v>
      </c>
      <c r="AV88" s="2" t="s">
        <v>39</v>
      </c>
      <c r="BA88" s="2" t="s">
        <v>51</v>
      </c>
      <c r="BG88" t="s">
        <v>43</v>
      </c>
      <c r="BL88" t="s">
        <v>62</v>
      </c>
    </row>
    <row r="89" spans="3:64">
      <c r="C89" s="2" t="s">
        <v>291</v>
      </c>
      <c r="D89" s="2" t="s">
        <v>31</v>
      </c>
      <c r="L89" s="2" t="s">
        <v>48</v>
      </c>
      <c r="R89" s="2" t="s">
        <v>98</v>
      </c>
      <c r="V89" s="2" t="s">
        <v>37</v>
      </c>
      <c r="Z89" s="2" t="s">
        <v>39</v>
      </c>
      <c r="AG89" s="2" t="s">
        <v>37</v>
      </c>
      <c r="AL89" s="2" t="s">
        <v>39</v>
      </c>
      <c r="AQ89" s="2" t="s">
        <v>39</v>
      </c>
      <c r="AV89" s="2" t="s">
        <v>39</v>
      </c>
      <c r="BA89" s="2" t="s">
        <v>43</v>
      </c>
      <c r="BG89" t="s">
        <v>43</v>
      </c>
      <c r="BL89" t="s">
        <v>62</v>
      </c>
    </row>
    <row r="90" spans="3:64">
      <c r="C90" s="2" t="s">
        <v>412</v>
      </c>
      <c r="D90" s="2" t="s">
        <v>31</v>
      </c>
      <c r="L90" s="2" t="s">
        <v>48</v>
      </c>
      <c r="R90" s="2" t="s">
        <v>98</v>
      </c>
      <c r="V90" s="2" t="s">
        <v>37</v>
      </c>
      <c r="Z90" s="2" t="s">
        <v>39</v>
      </c>
      <c r="AG90" s="2" t="s">
        <v>37</v>
      </c>
      <c r="AL90" s="2" t="s">
        <v>39</v>
      </c>
      <c r="AQ90" s="2" t="s">
        <v>39</v>
      </c>
      <c r="AV90" s="2" t="s">
        <v>39</v>
      </c>
      <c r="BA90" s="2" t="s">
        <v>43</v>
      </c>
      <c r="BG90" t="s">
        <v>43</v>
      </c>
      <c r="BL90" t="s">
        <v>62</v>
      </c>
    </row>
    <row r="91" spans="3:64">
      <c r="C91" s="2" t="s">
        <v>207</v>
      </c>
      <c r="D91" s="2" t="s">
        <v>31</v>
      </c>
      <c r="L91" s="2" t="s">
        <v>48</v>
      </c>
      <c r="R91" s="2" t="s">
        <v>98</v>
      </c>
      <c r="V91" s="2" t="s">
        <v>37</v>
      </c>
      <c r="Z91" s="2" t="s">
        <v>39</v>
      </c>
      <c r="AG91" s="2" t="s">
        <v>37</v>
      </c>
      <c r="AL91" s="2" t="s">
        <v>39</v>
      </c>
      <c r="AQ91" s="2" t="s">
        <v>39</v>
      </c>
      <c r="AV91" s="2" t="s">
        <v>39</v>
      </c>
      <c r="BA91" s="2" t="s">
        <v>43</v>
      </c>
      <c r="BG91" t="s">
        <v>43</v>
      </c>
      <c r="BL91" t="s">
        <v>62</v>
      </c>
    </row>
    <row r="92" spans="3:64">
      <c r="C92" s="2" t="s">
        <v>375</v>
      </c>
      <c r="D92" s="2" t="s">
        <v>31</v>
      </c>
      <c r="L92" s="2" t="s">
        <v>48</v>
      </c>
      <c r="R92" s="2" t="s">
        <v>68</v>
      </c>
      <c r="V92" s="2" t="s">
        <v>37</v>
      </c>
      <c r="Z92" s="2" t="s">
        <v>39</v>
      </c>
      <c r="AG92" s="2" t="s">
        <v>127</v>
      </c>
      <c r="AL92" s="2" t="s">
        <v>39</v>
      </c>
      <c r="AQ92" s="2" t="s">
        <v>39</v>
      </c>
      <c r="AV92" s="2" t="s">
        <v>39</v>
      </c>
      <c r="BA92" s="2" t="s">
        <v>43</v>
      </c>
      <c r="BG92" t="s">
        <v>43</v>
      </c>
      <c r="BL92" t="s">
        <v>62</v>
      </c>
    </row>
    <row r="93" spans="3:64">
      <c r="C93" s="2" t="s">
        <v>157</v>
      </c>
      <c r="D93" s="2" t="s">
        <v>31</v>
      </c>
      <c r="L93" s="2" t="s">
        <v>48</v>
      </c>
      <c r="R93" s="2" t="s">
        <v>68</v>
      </c>
      <c r="V93" s="2" t="s">
        <v>39</v>
      </c>
      <c r="Z93" s="2" t="s">
        <v>39</v>
      </c>
      <c r="AG93" s="2" t="s">
        <v>39</v>
      </c>
      <c r="AL93" s="2" t="s">
        <v>39</v>
      </c>
      <c r="AQ93" s="2" t="s">
        <v>39</v>
      </c>
      <c r="AV93" s="2" t="s">
        <v>39</v>
      </c>
      <c r="BA93" s="2" t="s">
        <v>43</v>
      </c>
      <c r="BG93" t="s">
        <v>43</v>
      </c>
      <c r="BL93" t="s">
        <v>62</v>
      </c>
    </row>
    <row r="94" spans="3:64">
      <c r="C94" s="2" t="s">
        <v>338</v>
      </c>
      <c r="D94" s="2" t="s">
        <v>31</v>
      </c>
      <c r="L94" s="2" t="s">
        <v>66</v>
      </c>
      <c r="R94" s="2" t="s">
        <v>68</v>
      </c>
      <c r="V94" s="2" t="s">
        <v>39</v>
      </c>
      <c r="Z94" s="2" t="s">
        <v>39</v>
      </c>
      <c r="AG94" s="2" t="s">
        <v>39</v>
      </c>
      <c r="AL94" s="2" t="s">
        <v>39</v>
      </c>
      <c r="AQ94" s="2" t="s">
        <v>39</v>
      </c>
      <c r="AV94" s="2" t="s">
        <v>39</v>
      </c>
      <c r="BA94" s="2" t="s">
        <v>43</v>
      </c>
      <c r="BG94" t="s">
        <v>43</v>
      </c>
      <c r="BL94" t="s">
        <v>62</v>
      </c>
    </row>
    <row r="95" spans="3:64">
      <c r="C95" s="2" t="s">
        <v>261</v>
      </c>
      <c r="D95" s="2" t="s">
        <v>31</v>
      </c>
      <c r="L95" s="2" t="s">
        <v>66</v>
      </c>
      <c r="R95" s="2" t="s">
        <v>68</v>
      </c>
      <c r="V95" s="2" t="s">
        <v>39</v>
      </c>
      <c r="Z95" s="2" t="s">
        <v>39</v>
      </c>
      <c r="AG95" s="2" t="s">
        <v>39</v>
      </c>
      <c r="AL95" s="2" t="s">
        <v>39</v>
      </c>
      <c r="AQ95" s="2" t="s">
        <v>39</v>
      </c>
      <c r="AV95" s="2" t="s">
        <v>39</v>
      </c>
      <c r="BA95" s="2" t="s">
        <v>43</v>
      </c>
      <c r="BG95" t="s">
        <v>43</v>
      </c>
      <c r="BL95" t="s">
        <v>62</v>
      </c>
    </row>
    <row r="96" spans="3:64">
      <c r="C96" s="2" t="s">
        <v>275</v>
      </c>
      <c r="D96" s="2" t="s">
        <v>31</v>
      </c>
      <c r="L96" s="2" t="s">
        <v>66</v>
      </c>
      <c r="R96" s="2" t="s">
        <v>68</v>
      </c>
      <c r="V96" s="2" t="s">
        <v>39</v>
      </c>
      <c r="Z96" s="2" t="s">
        <v>39</v>
      </c>
      <c r="AG96" s="2" t="s">
        <v>39</v>
      </c>
      <c r="AL96" s="2" t="s">
        <v>39</v>
      </c>
      <c r="AQ96" s="2" t="s">
        <v>39</v>
      </c>
      <c r="AV96" s="2" t="s">
        <v>39</v>
      </c>
      <c r="BA96" s="2" t="s">
        <v>43</v>
      </c>
      <c r="BG96" t="s">
        <v>43</v>
      </c>
      <c r="BL96" t="s">
        <v>62</v>
      </c>
    </row>
    <row r="97" spans="3:64">
      <c r="C97" s="2" t="s">
        <v>280</v>
      </c>
      <c r="D97" s="2" t="s">
        <v>31</v>
      </c>
      <c r="L97" s="2" t="s">
        <v>66</v>
      </c>
      <c r="R97" s="2" t="s">
        <v>68</v>
      </c>
      <c r="V97" s="2" t="s">
        <v>39</v>
      </c>
      <c r="Z97" s="2" t="s">
        <v>39</v>
      </c>
      <c r="AG97" s="2" t="s">
        <v>39</v>
      </c>
      <c r="AL97" s="2" t="s">
        <v>39</v>
      </c>
      <c r="AQ97" s="2" t="s">
        <v>39</v>
      </c>
      <c r="AV97" s="2" t="s">
        <v>39</v>
      </c>
      <c r="BA97" s="2" t="s">
        <v>43</v>
      </c>
      <c r="BG97" t="s">
        <v>43</v>
      </c>
      <c r="BL97" t="s">
        <v>62</v>
      </c>
    </row>
    <row r="98" spans="3:64">
      <c r="C98" s="2" t="s">
        <v>46</v>
      </c>
      <c r="D98" s="2" t="s">
        <v>31</v>
      </c>
      <c r="L98" s="2" t="s">
        <v>66</v>
      </c>
      <c r="R98" s="2" t="s">
        <v>68</v>
      </c>
      <c r="V98" s="2" t="s">
        <v>39</v>
      </c>
      <c r="Z98" s="2" t="s">
        <v>39</v>
      </c>
      <c r="AG98" s="2" t="s">
        <v>39</v>
      </c>
      <c r="AL98" s="2" t="s">
        <v>39</v>
      </c>
      <c r="AQ98" s="2" t="s">
        <v>39</v>
      </c>
      <c r="AV98" s="2" t="s">
        <v>39</v>
      </c>
      <c r="BA98" s="2" t="s">
        <v>43</v>
      </c>
      <c r="BG98" t="s">
        <v>43</v>
      </c>
      <c r="BL98" t="s">
        <v>62</v>
      </c>
    </row>
    <row r="99" spans="3:64">
      <c r="C99" s="2" t="s">
        <v>345</v>
      </c>
      <c r="D99" s="2" t="s">
        <v>31</v>
      </c>
      <c r="L99" s="2" t="s">
        <v>66</v>
      </c>
      <c r="R99" s="2" t="s">
        <v>68</v>
      </c>
      <c r="V99" s="2" t="s">
        <v>39</v>
      </c>
      <c r="Z99" s="2" t="s">
        <v>39</v>
      </c>
      <c r="AG99" s="2" t="s">
        <v>39</v>
      </c>
      <c r="AL99" s="2" t="s">
        <v>39</v>
      </c>
      <c r="AQ99" s="2" t="s">
        <v>39</v>
      </c>
      <c r="AV99" s="2" t="s">
        <v>39</v>
      </c>
      <c r="BA99" s="2" t="s">
        <v>43</v>
      </c>
      <c r="BG99" t="s">
        <v>43</v>
      </c>
      <c r="BL99" t="s">
        <v>62</v>
      </c>
    </row>
    <row r="100" spans="3:64">
      <c r="C100" s="2" t="s">
        <v>198</v>
      </c>
      <c r="D100" s="2" t="s">
        <v>31</v>
      </c>
      <c r="L100" s="2" t="s">
        <v>66</v>
      </c>
      <c r="R100" s="2" t="s">
        <v>68</v>
      </c>
      <c r="V100" s="2" t="s">
        <v>39</v>
      </c>
      <c r="Z100" s="2" t="s">
        <v>39</v>
      </c>
      <c r="AG100" s="2" t="s">
        <v>39</v>
      </c>
      <c r="AL100" s="2" t="s">
        <v>39</v>
      </c>
      <c r="AQ100" s="2" t="s">
        <v>39</v>
      </c>
      <c r="AV100" s="2" t="s">
        <v>39</v>
      </c>
      <c r="BA100" s="2" t="s">
        <v>43</v>
      </c>
      <c r="BG100" t="s">
        <v>43</v>
      </c>
      <c r="BL100" t="s">
        <v>62</v>
      </c>
    </row>
    <row r="101" spans="3:64">
      <c r="C101" s="2" t="s">
        <v>89</v>
      </c>
      <c r="D101" s="2" t="s">
        <v>31</v>
      </c>
      <c r="L101" s="2" t="s">
        <v>66</v>
      </c>
      <c r="R101" s="2" t="s">
        <v>68</v>
      </c>
      <c r="V101" s="2" t="s">
        <v>39</v>
      </c>
      <c r="Z101" s="2" t="s">
        <v>39</v>
      </c>
      <c r="AG101" s="2" t="s">
        <v>39</v>
      </c>
      <c r="AL101" s="2" t="s">
        <v>39</v>
      </c>
      <c r="AQ101" s="2" t="s">
        <v>39</v>
      </c>
      <c r="AV101" s="2" t="s">
        <v>39</v>
      </c>
      <c r="BA101" s="2" t="s">
        <v>43</v>
      </c>
      <c r="BG101" t="s">
        <v>43</v>
      </c>
      <c r="BL101" t="s">
        <v>62</v>
      </c>
    </row>
    <row r="102" spans="3:64">
      <c r="C102" s="2" t="s">
        <v>110</v>
      </c>
      <c r="D102" s="2" t="s">
        <v>31</v>
      </c>
      <c r="L102" s="2" t="s">
        <v>66</v>
      </c>
      <c r="R102" s="2" t="s">
        <v>68</v>
      </c>
      <c r="V102" s="2" t="s">
        <v>39</v>
      </c>
      <c r="Z102" s="2" t="s">
        <v>39</v>
      </c>
      <c r="AG102" s="2" t="s">
        <v>39</v>
      </c>
      <c r="AL102" s="2" t="s">
        <v>39</v>
      </c>
      <c r="AQ102" s="2" t="s">
        <v>39</v>
      </c>
      <c r="AV102" s="2" t="s">
        <v>39</v>
      </c>
      <c r="BA102" s="2" t="s">
        <v>43</v>
      </c>
      <c r="BG102" t="s">
        <v>43</v>
      </c>
      <c r="BL102" t="s">
        <v>62</v>
      </c>
    </row>
    <row r="103" spans="3:64">
      <c r="C103" s="2" t="s">
        <v>71</v>
      </c>
      <c r="D103" s="2" t="s">
        <v>31</v>
      </c>
      <c r="L103" s="2" t="s">
        <v>66</v>
      </c>
      <c r="R103" s="2" t="s">
        <v>51</v>
      </c>
      <c r="V103" s="2" t="s">
        <v>39</v>
      </c>
      <c r="Z103" s="2" t="s">
        <v>39</v>
      </c>
      <c r="AG103" s="2" t="s">
        <v>39</v>
      </c>
      <c r="AL103" s="2" t="s">
        <v>39</v>
      </c>
      <c r="AQ103" s="2" t="s">
        <v>39</v>
      </c>
      <c r="AV103" s="2" t="s">
        <v>39</v>
      </c>
      <c r="BA103" s="2" t="s">
        <v>43</v>
      </c>
      <c r="BG103" t="s">
        <v>43</v>
      </c>
      <c r="BL103" t="s">
        <v>62</v>
      </c>
    </row>
    <row r="104" spans="3:64">
      <c r="C104" s="2" t="s">
        <v>64</v>
      </c>
      <c r="D104" s="2" t="s">
        <v>31</v>
      </c>
      <c r="L104" s="2" t="s">
        <v>66</v>
      </c>
      <c r="R104" s="2" t="s">
        <v>51</v>
      </c>
      <c r="V104" s="2" t="s">
        <v>39</v>
      </c>
      <c r="Z104" s="2" t="s">
        <v>39</v>
      </c>
      <c r="AG104" s="2" t="s">
        <v>39</v>
      </c>
      <c r="AL104" s="2" t="s">
        <v>39</v>
      </c>
      <c r="AQ104" s="2" t="s">
        <v>39</v>
      </c>
      <c r="AV104" s="2" t="s">
        <v>39</v>
      </c>
      <c r="BA104" s="2" t="s">
        <v>43</v>
      </c>
      <c r="BG104" t="s">
        <v>43</v>
      </c>
      <c r="BL104" t="s">
        <v>44</v>
      </c>
    </row>
    <row r="105" spans="3:64">
      <c r="C105" s="2" t="s">
        <v>132</v>
      </c>
      <c r="D105" s="2" t="s">
        <v>31</v>
      </c>
      <c r="L105" s="2" t="s">
        <v>66</v>
      </c>
      <c r="R105" s="2" t="s">
        <v>51</v>
      </c>
      <c r="V105" s="2" t="s">
        <v>39</v>
      </c>
      <c r="Z105" s="2" t="s">
        <v>39</v>
      </c>
      <c r="AG105" s="2" t="s">
        <v>39</v>
      </c>
      <c r="AL105" s="2" t="s">
        <v>39</v>
      </c>
      <c r="AQ105" s="2" t="s">
        <v>39</v>
      </c>
      <c r="AV105" s="2" t="s">
        <v>39</v>
      </c>
      <c r="BA105" s="2" t="s">
        <v>43</v>
      </c>
      <c r="BG105" t="s">
        <v>43</v>
      </c>
      <c r="BL105" t="s">
        <v>44</v>
      </c>
    </row>
    <row r="106" spans="3:64">
      <c r="C106" s="2" t="s">
        <v>250</v>
      </c>
      <c r="D106" s="2" t="s">
        <v>31</v>
      </c>
      <c r="L106" s="2" t="s">
        <v>66</v>
      </c>
      <c r="R106" s="2" t="s">
        <v>51</v>
      </c>
      <c r="V106" s="2" t="s">
        <v>39</v>
      </c>
      <c r="Z106" s="2" t="s">
        <v>39</v>
      </c>
      <c r="AG106" s="2" t="s">
        <v>39</v>
      </c>
      <c r="AL106" s="2" t="s">
        <v>39</v>
      </c>
      <c r="AQ106" s="2" t="s">
        <v>39</v>
      </c>
      <c r="AV106" s="2" t="s">
        <v>39</v>
      </c>
      <c r="BA106" s="2" t="s">
        <v>43</v>
      </c>
      <c r="BG106" t="s">
        <v>43</v>
      </c>
      <c r="BL106" t="s">
        <v>44</v>
      </c>
    </row>
    <row r="107" spans="3:64">
      <c r="C107" s="2" t="s">
        <v>212</v>
      </c>
      <c r="D107" s="2" t="s">
        <v>31</v>
      </c>
      <c r="L107" s="2" t="s">
        <v>66</v>
      </c>
      <c r="R107" s="2" t="s">
        <v>51</v>
      </c>
      <c r="V107" s="2" t="s">
        <v>39</v>
      </c>
      <c r="Z107" s="2" t="s">
        <v>39</v>
      </c>
      <c r="AG107" s="2" t="s">
        <v>39</v>
      </c>
      <c r="AL107" s="2" t="s">
        <v>39</v>
      </c>
      <c r="AQ107" s="2" t="s">
        <v>39</v>
      </c>
      <c r="AV107" s="2" t="s">
        <v>39</v>
      </c>
      <c r="BA107" s="2" t="s">
        <v>43</v>
      </c>
      <c r="BG107" t="s">
        <v>43</v>
      </c>
      <c r="BL107" t="s">
        <v>44</v>
      </c>
    </row>
    <row r="108" spans="3:64">
      <c r="C108" s="2" t="s">
        <v>139</v>
      </c>
      <c r="D108" s="2" t="s">
        <v>31</v>
      </c>
      <c r="L108" s="2" t="s">
        <v>66</v>
      </c>
      <c r="R108" s="2" t="s">
        <v>51</v>
      </c>
      <c r="V108" s="2" t="s">
        <v>39</v>
      </c>
      <c r="Z108" s="2" t="s">
        <v>39</v>
      </c>
      <c r="AG108" s="2" t="s">
        <v>39</v>
      </c>
      <c r="AL108" s="2" t="s">
        <v>39</v>
      </c>
      <c r="AQ108" s="2" t="s">
        <v>39</v>
      </c>
      <c r="AV108" s="2" t="s">
        <v>39</v>
      </c>
      <c r="BA108" s="2" t="s">
        <v>43</v>
      </c>
      <c r="BG108" t="s">
        <v>43</v>
      </c>
      <c r="BL108" t="s">
        <v>44</v>
      </c>
    </row>
    <row r="109" spans="3:64">
      <c r="C109" s="2" t="s">
        <v>378</v>
      </c>
      <c r="D109" s="2" t="s">
        <v>31</v>
      </c>
      <c r="L109" s="2" t="s">
        <v>66</v>
      </c>
      <c r="R109" s="2" t="s">
        <v>51</v>
      </c>
      <c r="V109" s="2" t="s">
        <v>39</v>
      </c>
      <c r="Z109" s="2" t="s">
        <v>39</v>
      </c>
      <c r="AG109" s="2" t="s">
        <v>39</v>
      </c>
      <c r="AL109" s="2" t="s">
        <v>39</v>
      </c>
      <c r="AQ109" s="2" t="s">
        <v>39</v>
      </c>
      <c r="AV109" s="2" t="s">
        <v>39</v>
      </c>
      <c r="BA109" s="2" t="s">
        <v>43</v>
      </c>
      <c r="BG109" t="s">
        <v>43</v>
      </c>
      <c r="BL109" t="s">
        <v>44</v>
      </c>
    </row>
    <row r="110" spans="3:64">
      <c r="C110" s="2" t="s">
        <v>254</v>
      </c>
      <c r="D110" s="2" t="s">
        <v>31</v>
      </c>
      <c r="L110" s="2" t="s">
        <v>66</v>
      </c>
      <c r="R110" s="2" t="s">
        <v>51</v>
      </c>
      <c r="V110" s="2" t="s">
        <v>39</v>
      </c>
      <c r="Z110" s="2" t="s">
        <v>39</v>
      </c>
      <c r="AG110" s="2" t="s">
        <v>39</v>
      </c>
      <c r="AL110" s="2" t="s">
        <v>39</v>
      </c>
      <c r="AQ110" s="2" t="s">
        <v>39</v>
      </c>
      <c r="AV110" s="2" t="s">
        <v>39</v>
      </c>
      <c r="BA110" s="2" t="s">
        <v>43</v>
      </c>
      <c r="BG110" t="s">
        <v>43</v>
      </c>
      <c r="BL110" t="s">
        <v>44</v>
      </c>
    </row>
    <row r="111" spans="3:64">
      <c r="C111" s="2" t="s">
        <v>306</v>
      </c>
      <c r="D111" s="2" t="s">
        <v>31</v>
      </c>
      <c r="L111" s="2" t="s">
        <v>66</v>
      </c>
      <c r="R111" s="2" t="s">
        <v>51</v>
      </c>
      <c r="V111" s="2" t="s">
        <v>39</v>
      </c>
      <c r="Z111" s="2" t="s">
        <v>39</v>
      </c>
      <c r="AG111" s="2" t="s">
        <v>39</v>
      </c>
      <c r="AL111" s="2" t="s">
        <v>39</v>
      </c>
      <c r="AQ111" s="2" t="s">
        <v>39</v>
      </c>
      <c r="AV111" s="2" t="s">
        <v>39</v>
      </c>
      <c r="BA111" s="2" t="s">
        <v>43</v>
      </c>
      <c r="BG111" t="s">
        <v>43</v>
      </c>
      <c r="BL111" t="s">
        <v>44</v>
      </c>
    </row>
    <row r="112" spans="3:64">
      <c r="C112" s="2" t="s">
        <v>233</v>
      </c>
      <c r="D112" s="2" t="s">
        <v>31</v>
      </c>
      <c r="L112" s="2" t="s">
        <v>66</v>
      </c>
      <c r="R112" s="2" t="s">
        <v>51</v>
      </c>
      <c r="V112" s="2" t="s">
        <v>39</v>
      </c>
      <c r="Z112" s="2" t="s">
        <v>39</v>
      </c>
      <c r="AG112" s="2" t="s">
        <v>39</v>
      </c>
      <c r="AL112" s="2" t="s">
        <v>39</v>
      </c>
      <c r="AQ112" s="2" t="s">
        <v>39</v>
      </c>
      <c r="AV112" s="2" t="s">
        <v>39</v>
      </c>
      <c r="BA112" s="2" t="s">
        <v>43</v>
      </c>
      <c r="BG112" t="s">
        <v>43</v>
      </c>
      <c r="BL112" t="s">
        <v>44</v>
      </c>
    </row>
    <row r="113" spans="3:64">
      <c r="C113" s="2" t="s">
        <v>359</v>
      </c>
      <c r="D113" s="2" t="s">
        <v>31</v>
      </c>
      <c r="L113" s="2" t="s">
        <v>66</v>
      </c>
      <c r="R113" s="2" t="s">
        <v>51</v>
      </c>
      <c r="V113" s="2" t="s">
        <v>39</v>
      </c>
      <c r="Z113" s="2" t="s">
        <v>39</v>
      </c>
      <c r="AG113" s="2" t="s">
        <v>39</v>
      </c>
      <c r="AL113" s="2" t="s">
        <v>39</v>
      </c>
      <c r="AQ113" s="2" t="s">
        <v>39</v>
      </c>
      <c r="AV113" s="2" t="s">
        <v>39</v>
      </c>
      <c r="BA113" s="2" t="s">
        <v>43</v>
      </c>
      <c r="BG113" t="s">
        <v>43</v>
      </c>
      <c r="BL113" t="s">
        <v>44</v>
      </c>
    </row>
    <row r="114" spans="3:64">
      <c r="C114" s="2" t="s">
        <v>387</v>
      </c>
      <c r="D114" s="2" t="s">
        <v>31</v>
      </c>
      <c r="L114" s="2" t="s">
        <v>66</v>
      </c>
      <c r="R114" s="2" t="s">
        <v>51</v>
      </c>
      <c r="V114" s="2" t="s">
        <v>39</v>
      </c>
      <c r="Z114" s="2" t="s">
        <v>39</v>
      </c>
      <c r="AG114" s="2" t="s">
        <v>39</v>
      </c>
      <c r="AL114" s="2" t="s">
        <v>39</v>
      </c>
      <c r="AQ114" s="2" t="s">
        <v>39</v>
      </c>
      <c r="AV114" s="2" t="s">
        <v>39</v>
      </c>
      <c r="BA114" s="2" t="s">
        <v>43</v>
      </c>
      <c r="BG114" t="s">
        <v>43</v>
      </c>
      <c r="BL114" t="s">
        <v>44</v>
      </c>
    </row>
    <row r="115" spans="3:64">
      <c r="C115" s="2" t="s">
        <v>284</v>
      </c>
      <c r="D115" s="2" t="s">
        <v>31</v>
      </c>
      <c r="L115" s="2" t="s">
        <v>66</v>
      </c>
      <c r="R115" s="2" t="s">
        <v>51</v>
      </c>
      <c r="V115" s="2" t="s">
        <v>39</v>
      </c>
      <c r="Z115" s="2" t="s">
        <v>39</v>
      </c>
      <c r="AG115" s="2" t="s">
        <v>39</v>
      </c>
      <c r="AL115" s="2" t="s">
        <v>39</v>
      </c>
      <c r="AQ115" s="2" t="s">
        <v>39</v>
      </c>
      <c r="AV115" s="2" t="s">
        <v>39</v>
      </c>
      <c r="BA115" s="2" t="s">
        <v>43</v>
      </c>
      <c r="BG115" t="s">
        <v>43</v>
      </c>
      <c r="BL115" t="s">
        <v>44</v>
      </c>
    </row>
    <row r="116" spans="3:64">
      <c r="C116" s="2" t="s">
        <v>148</v>
      </c>
      <c r="D116" s="2" t="s">
        <v>31</v>
      </c>
      <c r="L116" s="2" t="s">
        <v>66</v>
      </c>
      <c r="R116" s="2" t="s">
        <v>51</v>
      </c>
      <c r="V116" s="2" t="s">
        <v>39</v>
      </c>
      <c r="Z116" s="2" t="s">
        <v>39</v>
      </c>
      <c r="AG116" s="2" t="s">
        <v>39</v>
      </c>
      <c r="AL116" s="2" t="s">
        <v>39</v>
      </c>
      <c r="AQ116" s="2" t="s">
        <v>39</v>
      </c>
      <c r="AV116" s="2" t="s">
        <v>39</v>
      </c>
      <c r="BA116" s="2" t="s">
        <v>43</v>
      </c>
      <c r="BG116" t="s">
        <v>43</v>
      </c>
      <c r="BL116" t="s">
        <v>44</v>
      </c>
    </row>
    <row r="117" spans="3:64">
      <c r="C117" s="2" t="s">
        <v>106</v>
      </c>
      <c r="D117" s="2" t="s">
        <v>31</v>
      </c>
      <c r="L117" s="2" t="s">
        <v>66</v>
      </c>
      <c r="R117" s="2" t="s">
        <v>51</v>
      </c>
      <c r="V117" s="2" t="s">
        <v>39</v>
      </c>
      <c r="Z117" s="2" t="s">
        <v>39</v>
      </c>
      <c r="AG117" s="2" t="s">
        <v>39</v>
      </c>
      <c r="AL117" s="2" t="s">
        <v>39</v>
      </c>
      <c r="AQ117" s="2" t="s">
        <v>39</v>
      </c>
      <c r="AV117" s="2" t="s">
        <v>39</v>
      </c>
      <c r="BA117" s="2" t="s">
        <v>43</v>
      </c>
      <c r="BG117" t="s">
        <v>43</v>
      </c>
      <c r="BL117" t="s">
        <v>44</v>
      </c>
    </row>
    <row r="118" spans="3:64">
      <c r="C118" s="2" t="s">
        <v>247</v>
      </c>
      <c r="D118" s="2" t="s">
        <v>31</v>
      </c>
      <c r="L118" s="2" t="s">
        <v>66</v>
      </c>
      <c r="R118" s="2" t="s">
        <v>51</v>
      </c>
      <c r="V118" s="2" t="s">
        <v>39</v>
      </c>
      <c r="Z118" s="2" t="s">
        <v>39</v>
      </c>
      <c r="AG118" s="2" t="s">
        <v>39</v>
      </c>
      <c r="AL118" s="2" t="s">
        <v>39</v>
      </c>
      <c r="AQ118" s="2" t="s">
        <v>39</v>
      </c>
      <c r="AV118" s="2" t="s">
        <v>39</v>
      </c>
      <c r="BA118" s="2" t="s">
        <v>43</v>
      </c>
      <c r="BG118" t="s">
        <v>43</v>
      </c>
      <c r="BL118" t="s">
        <v>44</v>
      </c>
    </row>
    <row r="119" spans="3:64">
      <c r="C119" s="2" t="s">
        <v>231</v>
      </c>
      <c r="D119" s="2" t="s">
        <v>31</v>
      </c>
      <c r="L119" s="2" t="s">
        <v>66</v>
      </c>
      <c r="R119" s="2" t="s">
        <v>51</v>
      </c>
      <c r="V119" s="2" t="s">
        <v>39</v>
      </c>
      <c r="Z119" s="2" t="s">
        <v>39</v>
      </c>
      <c r="AG119" s="2" t="s">
        <v>39</v>
      </c>
      <c r="AL119" s="2" t="s">
        <v>39</v>
      </c>
      <c r="AQ119" s="2" t="s">
        <v>39</v>
      </c>
      <c r="AV119" s="2" t="s">
        <v>39</v>
      </c>
      <c r="BA119" s="2" t="s">
        <v>43</v>
      </c>
      <c r="BG119" t="s">
        <v>43</v>
      </c>
      <c r="BL119" t="s">
        <v>66</v>
      </c>
    </row>
    <row r="120" spans="3:64">
      <c r="C120" s="2" t="s">
        <v>268</v>
      </c>
      <c r="D120" s="2" t="s">
        <v>31</v>
      </c>
      <c r="L120" s="2" t="s">
        <v>66</v>
      </c>
      <c r="R120" s="2" t="s">
        <v>126</v>
      </c>
      <c r="V120" s="2" t="s">
        <v>39</v>
      </c>
      <c r="Z120" s="2" t="s">
        <v>39</v>
      </c>
      <c r="AG120" s="2" t="s">
        <v>39</v>
      </c>
      <c r="AL120" s="2" t="s">
        <v>39</v>
      </c>
      <c r="AQ120" s="2" t="s">
        <v>39</v>
      </c>
      <c r="AV120" s="2" t="s">
        <v>39</v>
      </c>
      <c r="BA120" s="2" t="s">
        <v>43</v>
      </c>
      <c r="BG120" t="s">
        <v>43</v>
      </c>
      <c r="BL120" t="s">
        <v>91</v>
      </c>
    </row>
    <row r="121" spans="3:64">
      <c r="C121" s="2" t="s">
        <v>301</v>
      </c>
      <c r="D121" s="2" t="s">
        <v>31</v>
      </c>
      <c r="L121" s="2" t="s">
        <v>66</v>
      </c>
      <c r="R121" s="2" t="s">
        <v>126</v>
      </c>
      <c r="V121" s="2" t="s">
        <v>39</v>
      </c>
      <c r="Z121" s="2" t="s">
        <v>39</v>
      </c>
      <c r="AG121" s="2" t="s">
        <v>39</v>
      </c>
      <c r="AL121" s="2" t="s">
        <v>39</v>
      </c>
      <c r="AQ121" s="2" t="s">
        <v>39</v>
      </c>
      <c r="AV121" s="2" t="s">
        <v>39</v>
      </c>
      <c r="BA121" s="2" t="s">
        <v>43</v>
      </c>
      <c r="BG121" t="s">
        <v>43</v>
      </c>
      <c r="BL121" t="s">
        <v>91</v>
      </c>
    </row>
    <row r="122" spans="3:64">
      <c r="C122" s="2" t="s">
        <v>142</v>
      </c>
      <c r="D122" s="2" t="s">
        <v>31</v>
      </c>
      <c r="L122" s="2" t="s">
        <v>104</v>
      </c>
      <c r="R122" s="2" t="s">
        <v>126</v>
      </c>
      <c r="V122" s="2" t="s">
        <v>39</v>
      </c>
      <c r="Z122" s="2" t="s">
        <v>39</v>
      </c>
      <c r="AG122" s="2" t="s">
        <v>39</v>
      </c>
      <c r="AL122" s="2" t="s">
        <v>133</v>
      </c>
      <c r="AQ122" s="2" t="s">
        <v>39</v>
      </c>
      <c r="AV122" s="2" t="s">
        <v>39</v>
      </c>
      <c r="BA122" s="2" t="s">
        <v>43</v>
      </c>
      <c r="BG122" t="s">
        <v>43</v>
      </c>
      <c r="BL122" t="s">
        <v>91</v>
      </c>
    </row>
    <row r="123" spans="3:64">
      <c r="C123" s="2" t="s">
        <v>76</v>
      </c>
      <c r="D123" s="2" t="s">
        <v>31</v>
      </c>
      <c r="L123" s="2" t="s">
        <v>104</v>
      </c>
      <c r="R123" s="2" t="s">
        <v>126</v>
      </c>
      <c r="V123" s="2" t="s">
        <v>133</v>
      </c>
      <c r="Z123" s="2" t="s">
        <v>133</v>
      </c>
      <c r="AG123" s="2" t="s">
        <v>133</v>
      </c>
      <c r="AL123" s="2" t="s">
        <v>133</v>
      </c>
      <c r="AQ123" s="2" t="s">
        <v>133</v>
      </c>
      <c r="AV123" s="2" t="s">
        <v>39</v>
      </c>
      <c r="BA123" s="2" t="s">
        <v>43</v>
      </c>
      <c r="BG123" t="s">
        <v>43</v>
      </c>
      <c r="BL123" t="s">
        <v>91</v>
      </c>
    </row>
    <row r="124" spans="3:64">
      <c r="BA124" s="2"/>
    </row>
    <row r="125" spans="3:64">
      <c r="BA125" s="2"/>
    </row>
  </sheetData>
  <sortState ref="BL4:BL123">
    <sortCondition ref="BL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1:AF146"/>
  <sheetViews>
    <sheetView topLeftCell="Q1" zoomScale="80" zoomScaleNormal="80" workbookViewId="0">
      <selection activeCell="AB13" sqref="AB13"/>
    </sheetView>
  </sheetViews>
  <sheetFormatPr defaultRowHeight="24" customHeight="1"/>
  <cols>
    <col min="1" max="1" width="9.140625" style="12"/>
    <col min="2" max="2" width="3.7109375" style="12" bestFit="1" customWidth="1"/>
    <col min="3" max="3" width="11.5703125" style="12" bestFit="1" customWidth="1"/>
    <col min="4" max="7" width="12.7109375" style="12" customWidth="1"/>
    <col min="8" max="8" width="15" style="12" bestFit="1" customWidth="1"/>
    <col min="9" max="9" width="15.28515625" style="12" bestFit="1" customWidth="1"/>
    <col min="10" max="13" width="9.140625" style="12"/>
    <col min="14" max="14" width="15" style="12" bestFit="1" customWidth="1"/>
    <col min="15" max="18" width="9.140625" style="12"/>
    <col min="19" max="19" width="17.85546875" style="12" bestFit="1" customWidth="1"/>
    <col min="20" max="21" width="9.140625" style="12"/>
    <col min="22" max="22" width="29.42578125" style="12" customWidth="1"/>
    <col min="23" max="26" width="9.140625" style="12"/>
    <col min="27" max="27" width="58.140625" style="12" bestFit="1" customWidth="1"/>
    <col min="28" max="28" width="8.42578125" style="12" customWidth="1"/>
    <col min="29" max="29" width="13.7109375" style="12" customWidth="1"/>
    <col min="30" max="16384" width="9.140625" style="12"/>
  </cols>
  <sheetData>
    <row r="1" spans="2:32" ht="24" customHeight="1">
      <c r="V1" s="12">
        <f>TINV(0.4,118)</f>
        <v>0.84467795736892959</v>
      </c>
    </row>
    <row r="2" spans="2:32" ht="24" customHeight="1">
      <c r="Q2" s="27">
        <f>D5*SUM(E6:H9)</f>
        <v>182</v>
      </c>
      <c r="S2" s="26">
        <f>E5*SUM(D6:D9)</f>
        <v>25</v>
      </c>
    </row>
    <row r="3" spans="2:32" ht="24" customHeight="1">
      <c r="D3" s="84" t="s">
        <v>450</v>
      </c>
      <c r="E3" s="84"/>
      <c r="F3" s="84"/>
      <c r="G3" s="84"/>
      <c r="H3" s="84"/>
      <c r="I3" s="84"/>
      <c r="Q3" s="27">
        <f>E5*SUM(F6:H9)</f>
        <v>34</v>
      </c>
      <c r="S3" s="26">
        <f>F6*SUM(D7:E9)</f>
        <v>132</v>
      </c>
      <c r="AA3" s="39" t="s">
        <v>492</v>
      </c>
      <c r="AB3" s="39" t="s">
        <v>475</v>
      </c>
      <c r="AC3" s="39" t="s">
        <v>491</v>
      </c>
      <c r="AD3" s="39" t="s">
        <v>493</v>
      </c>
    </row>
    <row r="4" spans="2:32" ht="24" customHeight="1">
      <c r="D4" s="12" t="str">
        <f t="array" ref="D4:H4">TRANSPOSE(N8:N12)</f>
        <v>Less than 2 hr</v>
      </c>
      <c r="E4" s="12" t="str">
        <v>2-5 hr</v>
      </c>
      <c r="F4" s="12" t="str">
        <v>5-8 hr</v>
      </c>
      <c r="G4" s="12" t="str">
        <v>8-11 hr</v>
      </c>
      <c r="H4" s="12" t="str">
        <v>More than 11 hr</v>
      </c>
      <c r="I4" s="12" t="s">
        <v>449</v>
      </c>
      <c r="Q4" s="27">
        <f>D6*SUM(E7:H9)</f>
        <v>390</v>
      </c>
      <c r="S4" s="26">
        <f>E6*SUM(D7:D9)</f>
        <v>220</v>
      </c>
      <c r="AA4" s="39" t="s">
        <v>450</v>
      </c>
      <c r="AB4" s="37">
        <f>S15</f>
        <v>0.24058142984277661</v>
      </c>
      <c r="AC4" s="37">
        <f>AB4*SQRT((Q15+S12)/119*(1-AB4*AB4))</f>
        <v>1.2428572259227892</v>
      </c>
      <c r="AD4" s="37">
        <f>TDIST(ABS(AC4),118,2)</f>
        <v>0.21638444806283852</v>
      </c>
    </row>
    <row r="5" spans="2:32" ht="24" customHeight="1">
      <c r="B5" s="83" t="s">
        <v>448</v>
      </c>
      <c r="C5" s="13" t="s">
        <v>442</v>
      </c>
      <c r="D5" s="14">
        <f>COUNTIFS('Whole Data'!$K:$K,"&lt;6",'Whole Data'!$F:$F,"Less than 2 hours")</f>
        <v>2</v>
      </c>
      <c r="E5" s="15">
        <f>COUNTIFS('Whole Data'!$K:$K,"&lt;6",'Whole Data'!$F:$F,"2-5 hours")</f>
        <v>1</v>
      </c>
      <c r="F5" s="15">
        <f>COUNTIFS('Whole Data'!$K:$K,"&lt;6",'Whole Data'!$F:$F,"5-8 hours")</f>
        <v>0</v>
      </c>
      <c r="G5" s="15">
        <f>COUNTIFS('Whole Data'!$K:$K,"&lt;6",'Whole Data'!$F:$F,"8-11 hours")</f>
        <v>0</v>
      </c>
      <c r="H5" s="16" t="s">
        <v>504</v>
      </c>
      <c r="I5" s="12">
        <f>SUM(D5:H5)</f>
        <v>3</v>
      </c>
      <c r="Q5" s="27">
        <f>E6*SUM(F7:H9)</f>
        <v>352</v>
      </c>
      <c r="S5" s="26">
        <f>H7*SUM(D8:G9)</f>
        <v>47</v>
      </c>
      <c r="AA5" s="39" t="s">
        <v>451</v>
      </c>
      <c r="AB5" s="38">
        <f>S31</f>
        <v>9.4980694980694974E-2</v>
      </c>
      <c r="AC5" s="37">
        <f>AB5*SQRT((Q30+S30)/119*(1-AB5*AB5))</f>
        <v>0.54024347066434641</v>
      </c>
      <c r="AD5" s="37">
        <f t="shared" ref="AD5:AD14" si="0">TDIST(ABS(AC5),118,2)</f>
        <v>0.59004733323389391</v>
      </c>
      <c r="AE5" s="36"/>
      <c r="AF5" s="36"/>
    </row>
    <row r="6" spans="2:32" ht="24" customHeight="1">
      <c r="B6" s="83"/>
      <c r="C6" s="12" t="s">
        <v>443</v>
      </c>
      <c r="D6" s="17">
        <f>COUNTIFS('Whole Data'!$K:$K,"&gt;6",'Whole Data'!$K:$K,"&lt;7",'Whole Data'!$F:$F,"Less than 2 hours")</f>
        <v>5</v>
      </c>
      <c r="E6" s="18">
        <f>COUNTIFS('Whole Data'!$K:$K,"&gt;6",'Whole Data'!$K:$K,"&lt;7",'Whole Data'!$F:$F,"2-5 hours")</f>
        <v>11</v>
      </c>
      <c r="F6" s="18">
        <f>COUNTIFS('Whole Data'!$K:$K,"&gt;6",'Whole Data'!$K:$K,"&lt;7",'Whole Data'!$F:$F,"5-8 hours")</f>
        <v>2</v>
      </c>
      <c r="G6" s="18">
        <f>COUNTIFS('Whole Data'!$K:$K,"&gt;6",'Whole Data'!$K:$K,"&lt;7",'Whole Data'!$F:$F,"8-11 hours")</f>
        <v>0</v>
      </c>
      <c r="H6" s="19">
        <f>COUNTIFS('Whole Data'!$K:$K,"&gt;6",'Whole Data'!$K:$K,"&lt;7",'Whole Data'!$F:$F,"More than 11 hours")</f>
        <v>0</v>
      </c>
      <c r="I6" s="12">
        <f>SUM(D6:H6)</f>
        <v>18</v>
      </c>
      <c r="Q6" s="27">
        <f>F6*SUM(G7:H9)</f>
        <v>14</v>
      </c>
      <c r="S6" s="26">
        <f>G7*SUM(D8:F9)</f>
        <v>135</v>
      </c>
      <c r="AA6" s="39" t="s">
        <v>453</v>
      </c>
      <c r="AB6" s="38">
        <f>S43</f>
        <v>1.8914728682170541E-2</v>
      </c>
      <c r="AC6" s="37">
        <f>AB6*SQRT((Q45+S41)/119*(1-AB6*AB6))</f>
        <v>9.8449563021992856E-2</v>
      </c>
      <c r="AD6" s="37">
        <f t="shared" si="0"/>
        <v>0.92174236311904278</v>
      </c>
      <c r="AE6" s="36"/>
      <c r="AF6" s="36"/>
    </row>
    <row r="7" spans="2:32" ht="24" customHeight="1">
      <c r="B7" s="83"/>
      <c r="C7" s="12" t="s">
        <v>444</v>
      </c>
      <c r="D7" s="17">
        <f>COUNTIFS('Whole Data'!$K:$K,"&gt;7",'Whole Data'!$K:$K,"&lt;8",'Whole Data'!$F:$F,"Less than 2 hours")</f>
        <v>11</v>
      </c>
      <c r="E7" s="18">
        <f>COUNTIFS('Whole Data'!$K:$K,"&gt;7",'Whole Data'!$K:$K,"&lt;8",'Whole Data'!$F:$F,"2-5 hours")</f>
        <v>27</v>
      </c>
      <c r="F7" s="18">
        <f>COUNTIFS('Whole Data'!$K:$K,"&gt;7",'Whole Data'!$K:$K,"&lt;8",'Whole Data'!$F:$F,"5-8 hours")</f>
        <v>8</v>
      </c>
      <c r="G7" s="18">
        <f>COUNTIFS('Whole Data'!$K:$K,"&gt;7",'Whole Data'!$K:$K,"&lt;8",'Whole Data'!$F:$F,"8-11 hours")</f>
        <v>3</v>
      </c>
      <c r="H7" s="19">
        <f>COUNTIFS('Whole Data'!$K:$K,"&gt;7",'Whole Data'!$K:$K,"&lt;8",'Whole Data'!$F:$F,"More than 11 hours")</f>
        <v>1</v>
      </c>
      <c r="I7" s="12">
        <f>SUM(D7:H7)</f>
        <v>50</v>
      </c>
      <c r="Q7" s="27">
        <f>D7*SUM(E8:H9)</f>
        <v>429</v>
      </c>
      <c r="S7" s="26">
        <f>F7*SUM(D8:E9)</f>
        <v>224</v>
      </c>
      <c r="AA7" s="39" t="s">
        <v>455</v>
      </c>
      <c r="AB7" s="38">
        <f>S55</f>
        <v>0.18961625282167044</v>
      </c>
      <c r="AC7" s="37">
        <f>AB7*SQRT((Q57+S53)/119*(1-AB7*AB7))</f>
        <v>0.71842716198811507</v>
      </c>
      <c r="AD7" s="37">
        <f t="shared" si="0"/>
        <v>0.47391406939202663</v>
      </c>
      <c r="AE7" s="36"/>
      <c r="AF7" s="36"/>
    </row>
    <row r="8" spans="2:32" ht="24" customHeight="1">
      <c r="B8" s="83"/>
      <c r="C8" s="12" t="s">
        <v>445</v>
      </c>
      <c r="D8" s="17">
        <f>COUNTIFS('Whole Data'!$K:$K,"&gt;8",'Whole Data'!$K:$K,"&lt;9",'Whole Data'!$F:$F,"Less than 2 hours")</f>
        <v>4</v>
      </c>
      <c r="E8" s="18">
        <f>COUNTIFS('Whole Data'!$K:$K,"&gt;8",'Whole Data'!$K:$K,"&lt;9",'Whole Data'!$F:$F,"2-5 hours")</f>
        <v>12</v>
      </c>
      <c r="F8" s="18">
        <f>COUNTIFS('Whole Data'!$K:$K,"&gt;8",'Whole Data'!$K:$K,"&lt;9",'Whole Data'!$F:$F,"5-8 hours")</f>
        <v>15</v>
      </c>
      <c r="G8" s="18">
        <f>COUNTIFS('Whole Data'!$K:$K,"&gt;8",'Whole Data'!$K:$K,"&lt;9",'Whole Data'!$F:$F,"8-11 hours")</f>
        <v>1</v>
      </c>
      <c r="H8" s="19">
        <f>COUNTIFS('Whole Data'!$K:$K,"&gt;8",'Whole Data'!$K:$K,"&lt;9",'Whole Data'!$F:$F,"More than 11 hours")</f>
        <v>0</v>
      </c>
      <c r="I8" s="12">
        <f>SUM(D8:H8)</f>
        <v>32</v>
      </c>
      <c r="N8" s="2" t="s">
        <v>470</v>
      </c>
      <c r="Q8" s="27">
        <f>E7*SUM(F8:H9)</f>
        <v>540</v>
      </c>
      <c r="S8" s="26">
        <f>E7*SUM(D8:D9)</f>
        <v>243</v>
      </c>
      <c r="AA8" s="39" t="s">
        <v>456</v>
      </c>
      <c r="AB8" s="38">
        <f>S70</f>
        <v>-4.5055588063194853E-2</v>
      </c>
      <c r="AC8" s="37">
        <f>AB8*SQRT((Q69+S69)/119*(1-AB8*AB8))</f>
        <v>-0.24122368785063919</v>
      </c>
      <c r="AD8" s="37">
        <f t="shared" si="0"/>
        <v>0.80980041169035755</v>
      </c>
      <c r="AE8" s="36"/>
      <c r="AF8" s="36"/>
    </row>
    <row r="9" spans="2:32" ht="24" customHeight="1">
      <c r="B9" s="83"/>
      <c r="C9" s="24" t="s">
        <v>50</v>
      </c>
      <c r="D9" s="20">
        <f>COUNTIFS('Whole Data'!$K:$K,"&gt;9",'Whole Data'!$F:$F,"Less than 2 hours")</f>
        <v>5</v>
      </c>
      <c r="E9" s="21">
        <f>COUNTIFS('Whole Data'!$K:$K,"&gt;9",'Whole Data'!$F:$F,"2-5 hours")</f>
        <v>7</v>
      </c>
      <c r="F9" s="21">
        <f>COUNTIFS('Whole Data'!$K:$K,"&gt;9",'Whole Data'!$F:$F,"5-8 hours")</f>
        <v>2</v>
      </c>
      <c r="G9" s="21">
        <f>COUNTIFS('Whole Data'!$K:$K,"&gt;9",'Whole Data'!$F:$F,"8-11 hours")</f>
        <v>1</v>
      </c>
      <c r="H9" s="22">
        <f>COUNTIFS('Whole Data'!$K:$K,"&gt;9",'Whole Data'!$F:$F,"More than 11 hours")</f>
        <v>1</v>
      </c>
      <c r="I9" s="12">
        <f>SUM(D9:H9)</f>
        <v>16</v>
      </c>
      <c r="N9" s="8" t="s">
        <v>420</v>
      </c>
      <c r="Q9" s="27">
        <f>F7*SUM(G8:H9)</f>
        <v>24</v>
      </c>
      <c r="S9" s="26">
        <f>G8*SUM(D9:F9)</f>
        <v>14</v>
      </c>
      <c r="AA9" s="39" t="s">
        <v>457</v>
      </c>
      <c r="AB9" s="38">
        <f>S83</f>
        <v>0.10263396911898275</v>
      </c>
      <c r="AC9" s="37">
        <f>AB9*SQRT((Q81+S82)/119*(1-AB9*AB9))</f>
        <v>0.53786393813004907</v>
      </c>
      <c r="AD9" s="37">
        <f t="shared" si="0"/>
        <v>0.59168398624865115</v>
      </c>
      <c r="AE9" s="36"/>
      <c r="AF9" s="36"/>
    </row>
    <row r="10" spans="2:32" ht="24" customHeight="1">
      <c r="B10" s="83"/>
      <c r="C10" s="12" t="s">
        <v>449</v>
      </c>
      <c r="D10" s="12">
        <f t="shared" ref="D10:I10" si="1">SUM(D5:D9)</f>
        <v>27</v>
      </c>
      <c r="E10" s="12">
        <f t="shared" si="1"/>
        <v>58</v>
      </c>
      <c r="F10" s="12">
        <f t="shared" si="1"/>
        <v>27</v>
      </c>
      <c r="G10" s="12">
        <f t="shared" si="1"/>
        <v>5</v>
      </c>
      <c r="H10" s="12">
        <f t="shared" si="1"/>
        <v>2</v>
      </c>
      <c r="I10" s="12">
        <f t="shared" si="1"/>
        <v>119</v>
      </c>
      <c r="N10" s="2" t="s">
        <v>421</v>
      </c>
      <c r="Q10" s="27">
        <f>G7*SUM(H8:H9)</f>
        <v>3</v>
      </c>
      <c r="S10" s="26">
        <f>F8*SUM(D9:E9)</f>
        <v>180</v>
      </c>
      <c r="AA10" s="39" t="s">
        <v>459</v>
      </c>
      <c r="AB10" s="38">
        <f>S96</f>
        <v>0.17367458866544791</v>
      </c>
      <c r="AC10" s="37">
        <f>AB10*SQRT((Q95+S95)/119*(1-AB10*AB10))</f>
        <v>0.89821745768853123</v>
      </c>
      <c r="AD10" s="37">
        <f t="shared" si="0"/>
        <v>0.37089874883131879</v>
      </c>
      <c r="AE10" s="36"/>
      <c r="AF10" s="36"/>
    </row>
    <row r="11" spans="2:32" ht="24" customHeight="1">
      <c r="N11" s="2" t="s">
        <v>422</v>
      </c>
      <c r="Q11" s="27">
        <f>D8*SUM(E9:H9)</f>
        <v>44</v>
      </c>
      <c r="S11" s="26">
        <f>E8*SUM(D9)</f>
        <v>60</v>
      </c>
      <c r="V11" s="33" t="s">
        <v>489</v>
      </c>
      <c r="AA11" s="39" t="s">
        <v>460</v>
      </c>
      <c r="AB11" s="38">
        <f>S107</f>
        <v>-0.17109696742792962</v>
      </c>
      <c r="AC11" s="37">
        <f>AB11*SQRT((Q106+S106)/119*(1-AB11*AB11))</f>
        <v>-0.79864553466973587</v>
      </c>
      <c r="AD11" s="37">
        <f t="shared" si="0"/>
        <v>0.42610048400844502</v>
      </c>
      <c r="AE11" s="36"/>
      <c r="AF11" s="36"/>
    </row>
    <row r="12" spans="2:32" ht="24" customHeight="1">
      <c r="J12" s="32"/>
      <c r="N12" s="2" t="s">
        <v>471</v>
      </c>
      <c r="Q12" s="27">
        <f>E8*SUM(F9:H9)</f>
        <v>48</v>
      </c>
      <c r="R12" s="25" t="s">
        <v>473</v>
      </c>
      <c r="S12" s="12">
        <f>SUM(S2:S11)</f>
        <v>1280</v>
      </c>
      <c r="V12" s="12">
        <f>S15*SQRT((Q15+S12)/I10*(1-S15*S15))</f>
        <v>1.2428572259227892</v>
      </c>
      <c r="AA12" s="39" t="s">
        <v>461</v>
      </c>
      <c r="AB12" s="38">
        <f>S117</f>
        <v>-0.29817304377800757</v>
      </c>
      <c r="AC12" s="37">
        <f>AB12*SQRT((Q106+S106)/119*(1-AB12*AB12))</f>
        <v>-1.3483826566594004</v>
      </c>
      <c r="AD12" s="37">
        <f t="shared" si="0"/>
        <v>0.18011778413620338</v>
      </c>
      <c r="AE12" s="36"/>
      <c r="AF12" s="36"/>
    </row>
    <row r="13" spans="2:32" ht="24" customHeight="1">
      <c r="Q13" s="27">
        <f>F8*SUM(G9:H9)</f>
        <v>30</v>
      </c>
      <c r="AA13" s="39" t="s">
        <v>462</v>
      </c>
      <c r="AB13" s="38">
        <f>S131</f>
        <v>7.0300402601424589E-2</v>
      </c>
      <c r="AC13" s="37">
        <f>AB13*SQRT((Q130+S130)/119*(1-AB13*AB13))</f>
        <v>0.36529398393399543</v>
      </c>
      <c r="AD13" s="37">
        <f t="shared" si="0"/>
        <v>0.715545921227979</v>
      </c>
      <c r="AE13" s="36"/>
      <c r="AF13" s="36"/>
    </row>
    <row r="14" spans="2:32" ht="24" customHeight="1">
      <c r="Q14" s="27">
        <f>G8*SUM(H9)</f>
        <v>1</v>
      </c>
      <c r="S14" s="25" t="s">
        <v>474</v>
      </c>
      <c r="U14" s="32"/>
      <c r="V14" s="33" t="s">
        <v>490</v>
      </c>
      <c r="AA14" s="39" t="s">
        <v>463</v>
      </c>
      <c r="AB14" s="38">
        <f>S146</f>
        <v>-3.1605562579013903E-2</v>
      </c>
      <c r="AC14" s="37">
        <f>AB14*SQRT((Q146+S145)/119*(1-AB14*AB14))</f>
        <v>-0.16288881452117068</v>
      </c>
      <c r="AD14" s="37">
        <f t="shared" si="0"/>
        <v>0.8708846073028319</v>
      </c>
      <c r="AE14" s="36"/>
      <c r="AF14" s="36"/>
    </row>
    <row r="15" spans="2:32" ht="24" customHeight="1">
      <c r="P15" s="25" t="s">
        <v>472</v>
      </c>
      <c r="Q15" s="25">
        <f>SUM(Q2:Q14)</f>
        <v>2091</v>
      </c>
      <c r="S15" s="12">
        <f>(Q15-S12)/(Q15+S12)</f>
        <v>0.24058142984277661</v>
      </c>
      <c r="V15" s="12">
        <f>TDIST(V12,118,2)</f>
        <v>0.21638444806283852</v>
      </c>
      <c r="AB15" s="36"/>
      <c r="AC15" s="36"/>
      <c r="AD15" s="36"/>
      <c r="AE15" s="36"/>
      <c r="AF15" s="36"/>
    </row>
    <row r="17" spans="2:22" ht="24" customHeight="1">
      <c r="B17" s="23"/>
      <c r="C17" s="23"/>
      <c r="D17" s="84" t="s">
        <v>451</v>
      </c>
      <c r="E17" s="84"/>
      <c r="F17" s="84"/>
      <c r="G17" s="84"/>
      <c r="H17" s="84"/>
      <c r="I17" s="84"/>
      <c r="Q17" s="27">
        <f>D19*SUM(E20:I23)</f>
        <v>100</v>
      </c>
      <c r="R17" s="27">
        <f>D22*SUM(E23:I23)</f>
        <v>105</v>
      </c>
      <c r="S17" s="26">
        <f>F19*SUM(D20:E23)</f>
        <v>54</v>
      </c>
      <c r="T17" s="26">
        <f>F22*SUM(D23:E23)</f>
        <v>30</v>
      </c>
    </row>
    <row r="18" spans="2:22" ht="24" customHeight="1">
      <c r="B18" s="23"/>
      <c r="C18" s="23"/>
      <c r="D18" s="23" t="str">
        <f t="array" ref="D18:H18">TRANSPOSE(N22:N26)</f>
        <v>Less than 10 hr</v>
      </c>
      <c r="E18" s="23" t="str">
        <v>10-30 hr</v>
      </c>
      <c r="F18" s="23" t="str">
        <v>30-50 hr</v>
      </c>
      <c r="G18" s="23" t="str">
        <v>50-70 hr</v>
      </c>
      <c r="H18" s="23" t="str">
        <v>70-90 hr</v>
      </c>
      <c r="I18" s="23" t="s">
        <v>452</v>
      </c>
      <c r="J18" s="23" t="s">
        <v>449</v>
      </c>
      <c r="Q18" s="27">
        <f>E19*SUM(F20:I23)</f>
        <v>62</v>
      </c>
      <c r="R18" s="27">
        <f>E22*SUM(F23:I23)</f>
        <v>132</v>
      </c>
      <c r="S18" s="26">
        <f>E19*SUM(D20:D23)</f>
        <v>16</v>
      </c>
      <c r="T18" s="26">
        <f>E22*SUM(D23)</f>
        <v>12</v>
      </c>
    </row>
    <row r="19" spans="2:22" ht="24" customHeight="1">
      <c r="B19" s="83" t="s">
        <v>448</v>
      </c>
      <c r="C19" s="13" t="s">
        <v>442</v>
      </c>
      <c r="D19" s="14">
        <f>COUNTIFS('Whole Data'!$K:$K,"&lt;6",'Whole Data'!$N:$N,"Less than 10 hours")</f>
        <v>1</v>
      </c>
      <c r="E19" s="15">
        <f>COUNTIFS('Whole Data'!$K:$K,"&lt;6",'Whole Data'!$N:$N,"Above 10 hours - Upto 30 hours")</f>
        <v>1</v>
      </c>
      <c r="F19" s="15">
        <f>COUNTIFS('Whole Data'!$K:$K,"&lt;6",'Whole Data'!$N:$N,"Above 30 hours - Upto 50 hours")</f>
        <v>1</v>
      </c>
      <c r="G19" s="15">
        <f>COUNTIFS('Whole Data'!$K:$K,"&lt;6",'Whole Data'!$N:$N,"Above 50 hours - Upto 70 hours")</f>
        <v>0</v>
      </c>
      <c r="H19" s="15">
        <f>COUNTIFS('Whole Data'!$K:$K,"&lt;6",'Whole Data'!$N:$N,"Above 70 hours - Upto 90 hours")</f>
        <v>0</v>
      </c>
      <c r="I19" s="16">
        <f>COUNTIFS('Whole Data'!$K:$K,"&lt;6",'Whole Data'!$N:$N,"More than 90 hours")</f>
        <v>0</v>
      </c>
      <c r="J19" s="23">
        <f>SUM(D19:I19)</f>
        <v>3</v>
      </c>
      <c r="Q19" s="27">
        <f>F19*SUM(G20:I23)</f>
        <v>30</v>
      </c>
      <c r="R19" s="27">
        <f>F22*SUM(G23:I23)</f>
        <v>42</v>
      </c>
      <c r="S19" s="26">
        <f>H20*SUM(D21:G23)</f>
        <v>85</v>
      </c>
    </row>
    <row r="20" spans="2:22" ht="24" customHeight="1">
      <c r="B20" s="83"/>
      <c r="C20" s="23" t="s">
        <v>443</v>
      </c>
      <c r="D20" s="17">
        <f>COUNTIFS('Whole Data'!$K:$K,"&gt;6",'Whole Data'!$K:$K,"&lt;7",'Whole Data'!$N:$N,"Less than 10 hours")</f>
        <v>2</v>
      </c>
      <c r="E20" s="18">
        <f>COUNTIFS('Whole Data'!$K:$K,"&gt;6",'Whole Data'!$K:$K,"&lt;7",'Whole Data'!$N:$N,"Above 10 hours - Upto 30 hours")</f>
        <v>9</v>
      </c>
      <c r="F20" s="18">
        <f>COUNTIFS('Whole Data'!$K:$K,"&gt;6",'Whole Data'!$K:$K,"&lt;7",'Whole Data'!$N:$N,"Above 30 hours - Upto 50 hours")</f>
        <v>5</v>
      </c>
      <c r="G20" s="18">
        <f>COUNTIFS('Whole Data'!$K:$K,"&gt;6",'Whole Data'!$K:$K,"&lt;7",'Whole Data'!$N:$N,"Above 50 hours - Upto 70 hours")</f>
        <v>1</v>
      </c>
      <c r="H20" s="18">
        <f>COUNTIFS('Whole Data'!$K:$K,"&gt;6",'Whole Data'!$K:$K,"&lt;7",'Whole Data'!$N:$N,"Above 70 hours - Upto 90 hours")</f>
        <v>1</v>
      </c>
      <c r="I20" s="19">
        <f>COUNTIFS('Whole Data'!$K:$K,"&gt;6",'Whole Data'!$K:$K,"&lt;7",'Whole Data'!$N:$N,"More than 90 hours")</f>
        <v>0</v>
      </c>
      <c r="J20" s="23">
        <f t="shared" ref="J20:J23" si="2">SUM(D20:I20)</f>
        <v>18</v>
      </c>
      <c r="Q20" s="27">
        <f>D20*SUM(E21:I23)</f>
        <v>168</v>
      </c>
      <c r="R20" s="27">
        <f>G22*SUM(H23:I23)</f>
        <v>8</v>
      </c>
      <c r="S20" s="26">
        <f>G20*SUM(D21:F23)</f>
        <v>70</v>
      </c>
    </row>
    <row r="21" spans="2:22" ht="24" customHeight="1">
      <c r="B21" s="83"/>
      <c r="C21" s="23" t="s">
        <v>444</v>
      </c>
      <c r="D21" s="17">
        <f>COUNTIFS('Whole Data'!$K:$K,"&gt;7",'Whole Data'!$K:$K,"&lt;8",'Whole Data'!$N:$N,"Less than 10 hours")</f>
        <v>6</v>
      </c>
      <c r="E21" s="18">
        <f>COUNTIFS('Whole Data'!$K:$K,"&gt;7",'Whole Data'!$K:$K,"&lt;8",'Whole Data'!$N:$N,"Above 10 hours - Upto 30 hours")</f>
        <v>13</v>
      </c>
      <c r="F21" s="18">
        <f>COUNTIFS('Whole Data'!$K:$K,"&gt;7",'Whole Data'!$K:$K,"&lt;8",'Whole Data'!$N:$N,"Above 30 hours - Upto 50 hours")</f>
        <v>17</v>
      </c>
      <c r="G21" s="18">
        <f>COUNTIFS('Whole Data'!$K:$K,"&gt;7",'Whole Data'!$K:$K,"&lt;8",'Whole Data'!$N:$N,"Above 50 hours - Upto 70 hours")</f>
        <v>6</v>
      </c>
      <c r="H21" s="18">
        <f>COUNTIFS('Whole Data'!$K:$K,"&gt;7",'Whole Data'!$K:$K,"&lt;8",'Whole Data'!$N:$N,"Above 70 hours - Upto 90 hours")</f>
        <v>5</v>
      </c>
      <c r="I21" s="19">
        <f>COUNTIFS('Whole Data'!$K:$K,"&gt;7",'Whole Data'!$K:$K,"&lt;8",'Whole Data'!$N:$N,"More than 90 hours")</f>
        <v>3</v>
      </c>
      <c r="J21" s="23">
        <f t="shared" si="2"/>
        <v>50</v>
      </c>
      <c r="Q21" s="27">
        <f>E20*SUM(F21:I23)</f>
        <v>495</v>
      </c>
      <c r="R21" s="27">
        <f>H22*SUM(I23)</f>
        <v>3</v>
      </c>
      <c r="S21" s="26">
        <f>F20*SUM(D21:E23)</f>
        <v>215</v>
      </c>
    </row>
    <row r="22" spans="2:22" ht="24" customHeight="1">
      <c r="B22" s="83"/>
      <c r="C22" s="23" t="s">
        <v>445</v>
      </c>
      <c r="D22" s="17">
        <f>COUNTIFS('Whole Data'!$K:$K,"&gt;8",'Whole Data'!$K:$K,"&lt;9",'Whole Data'!$N:$N,"Less than 10 hours")</f>
        <v>7</v>
      </c>
      <c r="E22" s="18">
        <f>COUNTIFS('Whole Data'!$K:$K,"&gt;8",'Whole Data'!$K:$K,"&lt;9",'Whole Data'!$N:$N,"Above 10 hours - Upto 30 hours")</f>
        <v>12</v>
      </c>
      <c r="F22" s="18">
        <f>COUNTIFS('Whole Data'!$K:$K,"&gt;8",'Whole Data'!$K:$K,"&lt;9",'Whole Data'!$N:$N,"Above 30 hours - Upto 50 hours")</f>
        <v>6</v>
      </c>
      <c r="G22" s="18">
        <f>COUNTIFS('Whole Data'!$K:$K,"&gt;8",'Whole Data'!$K:$K,"&lt;9",'Whole Data'!$N:$N,"Above 50 hours - Upto 70 hours")</f>
        <v>4</v>
      </c>
      <c r="H22" s="18">
        <f>COUNTIFS('Whole Data'!$K:$K,"&gt;8",'Whole Data'!$K:$K,"&lt;9",'Whole Data'!$N:$N,"Above 70 hours - Upto 90 hours")</f>
        <v>3</v>
      </c>
      <c r="I22" s="19">
        <f>COUNTIFS('Whole Data'!$K:$K,"&gt;8",'Whole Data'!$K:$K,"&lt;9",'Whole Data'!$N:$N,"More than 90 hours")</f>
        <v>0</v>
      </c>
      <c r="J22" s="23">
        <f t="shared" si="2"/>
        <v>32</v>
      </c>
      <c r="N22" t="s">
        <v>465</v>
      </c>
      <c r="Q22" s="27">
        <f>F20*SUM(G21:I23)</f>
        <v>140</v>
      </c>
      <c r="S22" s="26">
        <f>E20*SUM(D21:D23)</f>
        <v>126</v>
      </c>
    </row>
    <row r="23" spans="2:22" ht="24" customHeight="1">
      <c r="B23" s="83"/>
      <c r="C23" s="24" t="s">
        <v>50</v>
      </c>
      <c r="D23" s="20">
        <f>COUNTIFS('Whole Data'!$K:$K,"&gt;9",'Whole Data'!$N:$N,"Less than 10 hours")</f>
        <v>1</v>
      </c>
      <c r="E23" s="21">
        <f>COUNTIFS('Whole Data'!$K:$K,"&gt;9",'Whole Data'!$N:$N,"Above 10 hours - Upto 30 hours")</f>
        <v>4</v>
      </c>
      <c r="F23" s="21">
        <f>COUNTIFS('Whole Data'!$K:$K,"&gt;9",'Whole Data'!$N:$N,"Above 30 hours - Upto 50 hours")</f>
        <v>4</v>
      </c>
      <c r="G23" s="21">
        <f>COUNTIFS('Whole Data'!$K:$K,"&gt;9",'Whole Data'!$N:$N,"Above 50 hours - Upto 70 hours")</f>
        <v>5</v>
      </c>
      <c r="H23" s="21">
        <f>COUNTIFS('Whole Data'!$K:$K,"&gt;9",'Whole Data'!$N:$N,"Above 70 hours - Upto 90 hours")</f>
        <v>1</v>
      </c>
      <c r="I23" s="22">
        <f>COUNTIFS('Whole Data'!$K:$K,"&gt;9",'Whole Data'!$N:$N,"More than 90 hours")</f>
        <v>1</v>
      </c>
      <c r="J23" s="23">
        <f t="shared" si="2"/>
        <v>16</v>
      </c>
      <c r="N23" t="s">
        <v>425</v>
      </c>
      <c r="Q23" s="27">
        <f>G20*SUM(H21:I23)</f>
        <v>13</v>
      </c>
      <c r="S23" s="26">
        <f>I21*SUM(D22:H23)</f>
        <v>141</v>
      </c>
    </row>
    <row r="24" spans="2:22" ht="24" customHeight="1">
      <c r="B24" s="83"/>
      <c r="C24" s="23" t="s">
        <v>449</v>
      </c>
      <c r="D24" s="23">
        <f t="shared" ref="D24" si="3">SUM(D19:D23)</f>
        <v>17</v>
      </c>
      <c r="E24" s="23">
        <f t="shared" ref="E24" si="4">SUM(E19:E23)</f>
        <v>39</v>
      </c>
      <c r="F24" s="23">
        <f t="shared" ref="F24" si="5">SUM(F19:F23)</f>
        <v>33</v>
      </c>
      <c r="G24" s="23">
        <f t="shared" ref="G24" si="6">SUM(G19:G23)</f>
        <v>16</v>
      </c>
      <c r="H24" s="23">
        <f t="shared" ref="H24" si="7">SUM(H19:H23)</f>
        <v>10</v>
      </c>
      <c r="I24" s="23">
        <f t="shared" ref="I24" si="8">SUM(I19:I23)</f>
        <v>4</v>
      </c>
      <c r="J24" s="23">
        <f>SUM(D24:I24)</f>
        <v>119</v>
      </c>
      <c r="N24" t="s">
        <v>426</v>
      </c>
      <c r="Q24" s="27">
        <f>H20*SUM(I21:I23)</f>
        <v>4</v>
      </c>
      <c r="S24" s="26">
        <f>H21*SUM(D22:G23)</f>
        <v>215</v>
      </c>
    </row>
    <row r="25" spans="2:22" ht="24" customHeight="1">
      <c r="N25" t="s">
        <v>427</v>
      </c>
      <c r="Q25" s="27">
        <f>D21*SUM(E22:I23)</f>
        <v>240</v>
      </c>
      <c r="S25" s="26">
        <f>G21*SUM(D22:F23)</f>
        <v>204</v>
      </c>
    </row>
    <row r="26" spans="2:22" ht="24" customHeight="1">
      <c r="N26" t="s">
        <v>428</v>
      </c>
      <c r="Q26" s="27">
        <f>E21*SUM(F22:I23)</f>
        <v>312</v>
      </c>
      <c r="S26" s="26">
        <f>F21*SUM(D22:E23)</f>
        <v>408</v>
      </c>
    </row>
    <row r="27" spans="2:22" ht="24" customHeight="1">
      <c r="N27" t="s">
        <v>469</v>
      </c>
      <c r="Q27" s="27">
        <f>F21*SUM(G22:I23)</f>
        <v>238</v>
      </c>
      <c r="S27" s="26">
        <f>E21*SUM(D22:D23)</f>
        <v>104</v>
      </c>
    </row>
    <row r="28" spans="2:22" ht="24" customHeight="1">
      <c r="Q28" s="27">
        <f>G21*SUM(H22:I23)</f>
        <v>30</v>
      </c>
      <c r="S28" s="26">
        <f>H22*SUM(D23:G23)</f>
        <v>42</v>
      </c>
    </row>
    <row r="29" spans="2:22" ht="24" customHeight="1">
      <c r="Q29" s="27">
        <f>H21*SUM(I22:I23)</f>
        <v>5</v>
      </c>
      <c r="S29" s="26">
        <f>G22*SUM(D23:F23)</f>
        <v>36</v>
      </c>
    </row>
    <row r="30" spans="2:22" ht="24" customHeight="1">
      <c r="B30" s="23"/>
      <c r="C30" s="23"/>
      <c r="D30" s="84" t="s">
        <v>453</v>
      </c>
      <c r="E30" s="84"/>
      <c r="F30" s="84"/>
      <c r="G30" s="84"/>
      <c r="H30" s="84"/>
      <c r="I30" s="84"/>
      <c r="J30" s="23"/>
      <c r="P30" s="25" t="s">
        <v>472</v>
      </c>
      <c r="Q30" s="12">
        <f>SUM(Q17:R29)</f>
        <v>2127</v>
      </c>
      <c r="R30" s="25" t="s">
        <v>473</v>
      </c>
      <c r="S30" s="12">
        <f>SUM(S17:T29)</f>
        <v>1758</v>
      </c>
      <c r="U30" s="33" t="s">
        <v>491</v>
      </c>
      <c r="V30" s="32">
        <f>S31*SQRT((Q30+S30)/I10*(1-S31*S31))</f>
        <v>0.54024347066434641</v>
      </c>
    </row>
    <row r="31" spans="2:22" ht="24" customHeight="1">
      <c r="B31" s="23"/>
      <c r="C31" s="23"/>
      <c r="D31" s="23" t="str">
        <f t="array" ref="D31:H31">TRANSPOSE(N35:N39)</f>
        <v>Less than 5 hr</v>
      </c>
      <c r="E31" s="23" t="str">
        <v>5-25 hr</v>
      </c>
      <c r="F31" s="23" t="str">
        <v>25-45 hr</v>
      </c>
      <c r="G31" s="23" t="str">
        <v>45-65 hr</v>
      </c>
      <c r="H31" s="23" t="str">
        <v>65-85 hr</v>
      </c>
      <c r="I31" s="23" t="s">
        <v>454</v>
      </c>
      <c r="J31" s="23" t="s">
        <v>449</v>
      </c>
      <c r="R31" s="25" t="s">
        <v>475</v>
      </c>
      <c r="S31" s="25">
        <f>(Q30-S30)/(Q30+S30)</f>
        <v>9.4980694980694974E-2</v>
      </c>
      <c r="U31" s="33" t="s">
        <v>488</v>
      </c>
      <c r="V31" s="33">
        <f>TDIST(V30,118,2)</f>
        <v>0.59004733323389391</v>
      </c>
    </row>
    <row r="32" spans="2:22" ht="24" customHeight="1">
      <c r="B32" s="83" t="s">
        <v>448</v>
      </c>
      <c r="C32" s="13" t="s">
        <v>442</v>
      </c>
      <c r="D32" s="14">
        <f>COUNTIFS('Whole Data'!$K:$K,"&lt;6",'Whole Data'!$O:$O,"Less than 5 hours")</f>
        <v>1</v>
      </c>
      <c r="E32" s="15">
        <f>COUNTIFS('Whole Data'!$K:$K,"&lt;6",'Whole Data'!$O:$O,"Above 5 hours - Upto 25 hours")</f>
        <v>2</v>
      </c>
      <c r="F32" s="15">
        <f>COUNTIFS('Whole Data'!$K:$K,"&lt;6",'Whole Data'!$O:$O,"Above 25 hours - Upto 45 hours")</f>
        <v>0</v>
      </c>
      <c r="G32" s="15">
        <f>COUNTIFS('Whole Data'!$K:$K,"&lt;6",'Whole Data'!$O:$O,"Above 45 hours - Upto 65 hours")</f>
        <v>0</v>
      </c>
      <c r="H32" s="15">
        <f>COUNTIFS('Whole Data'!$K:$K,"&lt;6",'Whole Data'!$O:$O,"Above 65 hours - Upto 85 hours")</f>
        <v>0</v>
      </c>
      <c r="I32" s="16">
        <f>COUNTIFS('Whole Data'!$K:$K,"&lt;6",'Whole Data'!$O:$O,"More than 85 hours")</f>
        <v>0</v>
      </c>
      <c r="J32" s="23">
        <f>SUM(D32:I32)</f>
        <v>3</v>
      </c>
      <c r="Q32" s="27">
        <f>D32*SUM(E33:I36)</f>
        <v>88</v>
      </c>
      <c r="S32" s="26">
        <f>E32*SUM(D33:D36)</f>
        <v>56</v>
      </c>
    </row>
    <row r="33" spans="2:22" ht="24" customHeight="1">
      <c r="B33" s="83"/>
      <c r="C33" s="23" t="s">
        <v>443</v>
      </c>
      <c r="D33" s="17">
        <f>COUNTIFS('Whole Data'!$K:$K,"&gt;6",'Whole Data'!$K:$K,"&lt;7",'Whole Data'!$O:$O,"Less than 5 hours")</f>
        <v>2</v>
      </c>
      <c r="E33" s="18">
        <f>COUNTIFS('Whole Data'!$K:$K,"&gt;6",'Whole Data'!$K:$K,"&lt;7",'Whole Data'!$O:$O,"Above 5 hours - Upto 25 hours")</f>
        <v>13</v>
      </c>
      <c r="F33" s="18">
        <f>COUNTIFS('Whole Data'!$K:$K,"&gt;6",'Whole Data'!$K:$K,"&lt;7",'Whole Data'!$O:$O,"Above 25 hours - Upto 45 hours")</f>
        <v>3</v>
      </c>
      <c r="G33" s="18">
        <f>COUNTIFS('Whole Data'!$K:$K,"&gt;6",'Whole Data'!$K:$K,"&lt;7",'Whole Data'!$O:$O,"Above 45 hours - Upto 65 hours")</f>
        <v>0</v>
      </c>
      <c r="H33" s="18">
        <f>COUNTIFS('Whole Data'!$K:$K,"&gt;6",'Whole Data'!$K:$K,"&lt;7",'Whole Data'!$O:$O,"Above 65 hours - Upto 85 hours")</f>
        <v>0</v>
      </c>
      <c r="I33" s="19">
        <f>COUNTIFS('Whole Data'!$K:$K,"&gt;6",'Whole Data'!$K:$K,"&lt;7",'Whole Data'!$O:$O,"More than 85 hours")</f>
        <v>0</v>
      </c>
      <c r="J33" s="23">
        <f t="shared" ref="J33:J36" si="9">SUM(D33:I33)</f>
        <v>18</v>
      </c>
      <c r="Q33" s="27">
        <f>E32*SUM(F33:I36)</f>
        <v>56</v>
      </c>
      <c r="S33" s="26">
        <f>F33*SUM(D34:E36)</f>
        <v>219</v>
      </c>
    </row>
    <row r="34" spans="2:22" ht="24" customHeight="1">
      <c r="B34" s="83"/>
      <c r="C34" s="23" t="s">
        <v>444</v>
      </c>
      <c r="D34" s="17">
        <f>COUNTIFS('Whole Data'!$K:$K,"&gt;7",'Whole Data'!$K:$K,"&lt;8",'Whole Data'!$O:$O,"Less than 5 hours")</f>
        <v>13</v>
      </c>
      <c r="E34" s="18">
        <f>COUNTIFS('Whole Data'!$K:$K,"&gt;7",'Whole Data'!$K:$K,"&lt;8",'Whole Data'!$O:$O,"Above 5 hours - Upto 25 hours")</f>
        <v>26</v>
      </c>
      <c r="F34" s="18">
        <f>COUNTIFS('Whole Data'!$K:$K,"&gt;7",'Whole Data'!$K:$K,"&lt;8",'Whole Data'!$O:$O,"Above 25 hours - Upto 45 hours")</f>
        <v>5</v>
      </c>
      <c r="G34" s="18">
        <f>COUNTIFS('Whole Data'!$K:$K,"&gt;7",'Whole Data'!$K:$K,"&lt;8",'Whole Data'!$O:$O,"Above 45 hours - Upto 65 hours")</f>
        <v>6</v>
      </c>
      <c r="H34" s="18">
        <f>COUNTIFS('Whole Data'!$K:$K,"&gt;7",'Whole Data'!$K:$K,"&lt;8",'Whole Data'!$O:$O,"Above 65 hours - Upto 85 hours")</f>
        <v>0</v>
      </c>
      <c r="I34" s="19">
        <f>COUNTIFS('Whole Data'!$K:$K,"&gt;7",'Whole Data'!$K:$K,"&lt;8",'Whole Data'!$O:$O,"More than 85 hours")</f>
        <v>0</v>
      </c>
      <c r="J34" s="23">
        <f t="shared" si="9"/>
        <v>50</v>
      </c>
      <c r="Q34" s="27">
        <f>D33*SUM(E34:I36)</f>
        <v>144</v>
      </c>
      <c r="S34" s="26">
        <f>E33*SUM(D34:D36)</f>
        <v>338</v>
      </c>
    </row>
    <row r="35" spans="2:22" ht="24" customHeight="1">
      <c r="B35" s="83"/>
      <c r="C35" s="23" t="s">
        <v>445</v>
      </c>
      <c r="D35" s="17">
        <f>COUNTIFS('Whole Data'!$K:$K,"&gt;8",'Whole Data'!$K:$K,"&lt;9",'Whole Data'!$O:$O,"Less than 5 hours")</f>
        <v>9</v>
      </c>
      <c r="E35" s="18">
        <f>COUNTIFS('Whole Data'!$K:$K,"&gt;8",'Whole Data'!$K:$K,"&lt;9",'Whole Data'!$O:$O,"Above 5 hours - Upto 25 hours")</f>
        <v>12</v>
      </c>
      <c r="F35" s="18">
        <f>COUNTIFS('Whole Data'!$K:$K,"&gt;8",'Whole Data'!$K:$K,"&lt;9",'Whole Data'!$O:$O,"Above 25 hours - Upto 45 hours")</f>
        <v>8</v>
      </c>
      <c r="G35" s="18">
        <f>COUNTIFS('Whole Data'!$K:$K,"&gt;8",'Whole Data'!$K:$K,"&lt;9",'Whole Data'!$O:$O,"Above 45 hours - Upto 65 hours")</f>
        <v>3</v>
      </c>
      <c r="H35" s="18">
        <f>COUNTIFS('Whole Data'!$K:$K,"&gt;8",'Whole Data'!$K:$K,"&lt;9",'Whole Data'!$O:$O,"Above 65 hours - Upto 85 hours")</f>
        <v>0</v>
      </c>
      <c r="I35" s="19">
        <f>COUNTIFS('Whole Data'!$K:$K,"&gt;8",'Whole Data'!$K:$K,"&lt;9",'Whole Data'!$O:$O,"More than 85 hours")</f>
        <v>0</v>
      </c>
      <c r="J35" s="23">
        <f t="shared" si="9"/>
        <v>32</v>
      </c>
      <c r="N35" t="s">
        <v>467</v>
      </c>
      <c r="Q35" s="27">
        <f>E33*SUM(F34:I36)</f>
        <v>325</v>
      </c>
      <c r="S35" s="26">
        <f>G34*SUM(D35:F36)</f>
        <v>264</v>
      </c>
    </row>
    <row r="36" spans="2:22" ht="24" customHeight="1">
      <c r="B36" s="83"/>
      <c r="C36" s="24" t="s">
        <v>50</v>
      </c>
      <c r="D36" s="20">
        <f>COUNTIFS('Whole Data'!$K:$K,"&gt;9",'Whole Data'!$O:$O,"Less than 5 hours")</f>
        <v>4</v>
      </c>
      <c r="E36" s="21">
        <f>COUNTIFS('Whole Data'!$K:$K,"&gt;9",'Whole Data'!$O:$O,"Above 5 hours - Upto 25 hours")</f>
        <v>9</v>
      </c>
      <c r="F36" s="21">
        <f>COUNTIFS('Whole Data'!$K:$K,"&gt;9",'Whole Data'!$O:$O,"Above 25 hours - Upto 45 hours")</f>
        <v>2</v>
      </c>
      <c r="G36" s="21">
        <f>COUNTIFS('Whole Data'!$K:$K,"&gt;9",'Whole Data'!$O:$O,"Above 45 hours - Upto 65 hours")</f>
        <v>0</v>
      </c>
      <c r="H36" s="21">
        <f>COUNTIFS('Whole Data'!$K:$K,"&gt;9",'Whole Data'!$O:$O,"Above 65 hours - Upto 85 hours")</f>
        <v>0</v>
      </c>
      <c r="I36" s="22">
        <f>COUNTIFS('Whole Data'!$K:$K,"&gt;9",'Whole Data'!$O:$O,"More than 85 hours")</f>
        <v>1</v>
      </c>
      <c r="J36" s="23">
        <f t="shared" si="9"/>
        <v>16</v>
      </c>
      <c r="N36" t="s">
        <v>431</v>
      </c>
      <c r="Q36" s="27">
        <f>F33*SUM(G34:I36)</f>
        <v>30</v>
      </c>
      <c r="S36" s="26">
        <f>F34*SUM(D35:E36)</f>
        <v>170</v>
      </c>
    </row>
    <row r="37" spans="2:22" ht="24" customHeight="1">
      <c r="B37" s="83"/>
      <c r="C37" s="23" t="s">
        <v>449</v>
      </c>
      <c r="D37" s="23">
        <f t="shared" ref="D37" si="10">SUM(D32:D36)</f>
        <v>29</v>
      </c>
      <c r="E37" s="23">
        <f t="shared" ref="E37" si="11">SUM(E32:E36)</f>
        <v>62</v>
      </c>
      <c r="F37" s="23">
        <f t="shared" ref="F37" si="12">SUM(F32:F36)</f>
        <v>18</v>
      </c>
      <c r="G37" s="23">
        <f t="shared" ref="G37" si="13">SUM(G32:G36)</f>
        <v>9</v>
      </c>
      <c r="H37" s="23">
        <f t="shared" ref="H37" si="14">SUM(H32:H36)</f>
        <v>0</v>
      </c>
      <c r="I37" s="23">
        <f t="shared" ref="I37" si="15">SUM(I32:I36)</f>
        <v>1</v>
      </c>
      <c r="J37" s="23">
        <f>SUM(D37:I37)</f>
        <v>119</v>
      </c>
      <c r="N37" t="s">
        <v>433</v>
      </c>
      <c r="Q37" s="27">
        <f>D34*SUM(E35:I36)</f>
        <v>455</v>
      </c>
      <c r="S37" s="26">
        <f>E34*SUM(D35:D36)</f>
        <v>338</v>
      </c>
    </row>
    <row r="38" spans="2:22" ht="24" customHeight="1">
      <c r="N38" t="s">
        <v>432</v>
      </c>
      <c r="Q38" s="27">
        <f>E34*SUM(F35:I36)</f>
        <v>364</v>
      </c>
      <c r="S38" s="26">
        <f>G35*SUM(D36:F36)</f>
        <v>45</v>
      </c>
    </row>
    <row r="39" spans="2:22" ht="24" customHeight="1">
      <c r="N39" t="s">
        <v>434</v>
      </c>
      <c r="Q39" s="27">
        <f>F34*SUM(G35:I36)</f>
        <v>20</v>
      </c>
      <c r="S39" s="26">
        <f>F35*SUM(D36:E36)</f>
        <v>104</v>
      </c>
    </row>
    <row r="40" spans="2:22" ht="24" customHeight="1">
      <c r="N40" t="s">
        <v>458</v>
      </c>
      <c r="Q40" s="27">
        <f>G34*SUM(H35:I36)</f>
        <v>6</v>
      </c>
      <c r="S40" s="26">
        <f>E35*SUM(D36)</f>
        <v>48</v>
      </c>
    </row>
    <row r="41" spans="2:22" ht="24" customHeight="1">
      <c r="Q41" s="27">
        <f>D35*SUM(E36:I36)</f>
        <v>108</v>
      </c>
      <c r="R41" s="25" t="s">
        <v>473</v>
      </c>
      <c r="S41" s="12">
        <f>SUM(S32:S40)</f>
        <v>1582</v>
      </c>
    </row>
    <row r="42" spans="2:22" ht="24" customHeight="1">
      <c r="Q42" s="27">
        <f>E35*SUM(F36:I36)</f>
        <v>36</v>
      </c>
      <c r="U42" s="33" t="s">
        <v>491</v>
      </c>
      <c r="V42" s="12">
        <f>S43*SQRT((Q45+S41)/I10*(1-S43*S43))</f>
        <v>9.8449563021992856E-2</v>
      </c>
    </row>
    <row r="43" spans="2:22" ht="24" customHeight="1">
      <c r="B43" s="23"/>
      <c r="C43" s="23"/>
      <c r="D43" s="84" t="s">
        <v>455</v>
      </c>
      <c r="E43" s="84"/>
      <c r="F43" s="84"/>
      <c r="G43" s="84"/>
      <c r="H43" s="84"/>
      <c r="I43" s="84"/>
      <c r="J43" s="23"/>
      <c r="Q43" s="27">
        <f>F35*SUM(G36:I36)</f>
        <v>8</v>
      </c>
      <c r="R43" s="25" t="s">
        <v>475</v>
      </c>
      <c r="S43" s="12">
        <f>(Q45-S41)/(Q45+S41)</f>
        <v>1.8914728682170541E-2</v>
      </c>
      <c r="U43" s="33" t="s">
        <v>488</v>
      </c>
      <c r="V43" s="33">
        <f>TDIST(V42,118,2)</f>
        <v>0.92174236311904278</v>
      </c>
    </row>
    <row r="44" spans="2:22" ht="24" customHeight="1">
      <c r="B44" s="23"/>
      <c r="C44" s="23"/>
      <c r="D44" s="23" t="str">
        <f t="array" ref="D44:H44">TRANSPOSE(N48:N52)</f>
        <v>Less than 5 hr</v>
      </c>
      <c r="E44" s="23" t="str">
        <v>5-25 hr</v>
      </c>
      <c r="F44" s="23" t="str">
        <v>25-45 hr</v>
      </c>
      <c r="G44" s="23" t="str">
        <v>45-65 hr</v>
      </c>
      <c r="H44" s="23" t="str">
        <v>65-85 hr</v>
      </c>
      <c r="I44" s="23" t="s">
        <v>454</v>
      </c>
      <c r="J44" s="23" t="s">
        <v>449</v>
      </c>
      <c r="Q44" s="27">
        <f>G35*SUM(H36:I36)</f>
        <v>3</v>
      </c>
    </row>
    <row r="45" spans="2:22" ht="24" customHeight="1">
      <c r="B45" s="83" t="s">
        <v>448</v>
      </c>
      <c r="C45" s="13" t="s">
        <v>442</v>
      </c>
      <c r="D45" s="14">
        <f>COUNTIFS('Whole Data'!$K:$K,"&lt;6",'Whole Data'!$P:$P,"Less than 5 hours")</f>
        <v>2</v>
      </c>
      <c r="E45" s="15">
        <f>COUNTIFS('Whole Data'!$K:$K,"&lt;6",'Whole Data'!$P:$P,"Above 5 hours - Upto 25 hours")</f>
        <v>1</v>
      </c>
      <c r="F45" s="15">
        <f>COUNTIFS('Whole Data'!$K:$K,"&lt;6",'Whole Data'!$P:$P,"Above 25 hours - Upto 45 hours")</f>
        <v>0</v>
      </c>
      <c r="G45" s="15">
        <f>COUNTIFS('Whole Data'!$K:$K,"&lt;6",'Whole Data'!$P:$P,"Above 45 hours - Upto 65 hours")</f>
        <v>0</v>
      </c>
      <c r="H45" s="15">
        <f>COUNTIFS('Whole Data'!$K:$K,"&lt;6",'Whole Data'!$P:$P,"Above 65 hours - Upto 85 hours")</f>
        <v>0</v>
      </c>
      <c r="I45" s="16">
        <f>COUNTIFS('Whole Data'!$K:$K,"&lt;6",'Whole Data'!$P:$P,"More than 85 hours")</f>
        <v>0</v>
      </c>
      <c r="J45" s="23">
        <f>SUM(D45:I45)</f>
        <v>3</v>
      </c>
      <c r="P45" s="25" t="s">
        <v>472</v>
      </c>
      <c r="Q45" s="12">
        <f>SUM(Q32:Q44)</f>
        <v>1643</v>
      </c>
    </row>
    <row r="46" spans="2:22" ht="24" customHeight="1">
      <c r="B46" s="83"/>
      <c r="C46" s="23" t="s">
        <v>443</v>
      </c>
      <c r="D46" s="17">
        <f>COUNTIFS('Whole Data'!$K:$K,"&gt;6",'Whole Data'!$K:$K,"&lt;7",'Whole Data'!$P:$P,"Less than 5 hours")</f>
        <v>14</v>
      </c>
      <c r="E46" s="18">
        <f>COUNTIFS('Whole Data'!$K:$K,"&gt;6",'Whole Data'!$K:$K,"&lt;7",'Whole Data'!$P:$P,"Above 5 hours - Upto 25 hours")</f>
        <v>4</v>
      </c>
      <c r="F46" s="18">
        <f>COUNTIFS('Whole Data'!$K:$K,"&gt;6",'Whole Data'!$K:$K,"&lt;7",'Whole Data'!$P:$P,"Above 25 hours - Upto 45 hours")</f>
        <v>0</v>
      </c>
      <c r="G46" s="18">
        <f>COUNTIFS('Whole Data'!$K:$K,"&gt;6",'Whole Data'!$K:$K,"&lt;7",'Whole Data'!$P:$P,"Above 45 hours - Upto 65 hours")</f>
        <v>0</v>
      </c>
      <c r="H46" s="18">
        <f>COUNTIFS('Whole Data'!$K:$K,"&gt;6",'Whole Data'!$K:$K,"&lt;7",'Whole Data'!$P:$P,"Above 65 hours - Upto 85 hours")</f>
        <v>0</v>
      </c>
      <c r="I46" s="19">
        <f>COUNTIFS('Whole Data'!$K:$K,"&gt;6",'Whole Data'!$K:$K,"&lt;7",'Whole Data'!$P:$P,"More than 85 hours")</f>
        <v>0</v>
      </c>
      <c r="J46" s="23">
        <f t="shared" ref="J46:J49" si="16">SUM(D46:I46)</f>
        <v>18</v>
      </c>
    </row>
    <row r="47" spans="2:22" ht="24" customHeight="1">
      <c r="B47" s="83"/>
      <c r="C47" s="23" t="s">
        <v>444</v>
      </c>
      <c r="D47" s="17">
        <f>COUNTIFS('Whole Data'!$K:$K,"&gt;7",'Whole Data'!$K:$K,"&lt;8",'Whole Data'!$P:$P,"Less than 5 hours")</f>
        <v>44</v>
      </c>
      <c r="E47" s="18">
        <f>COUNTIFS('Whole Data'!$K:$K,"&gt;7",'Whole Data'!$K:$K,"&lt;8",'Whole Data'!$P:$P,"Above 5 hours - Upto 25 hours")</f>
        <v>4</v>
      </c>
      <c r="F47" s="18">
        <f>COUNTIFS('Whole Data'!$K:$K,"&gt;7",'Whole Data'!$K:$K,"&lt;8",'Whole Data'!$P:$P,"Above 25 hours - Upto 45 hours")</f>
        <v>2</v>
      </c>
      <c r="G47" s="18">
        <f>COUNTIFS('Whole Data'!$K:$K,"&gt;7",'Whole Data'!$K:$K,"&lt;8",'Whole Data'!$P:$P,"Above 45 hours - Upto 65 hours")</f>
        <v>0</v>
      </c>
      <c r="H47" s="18">
        <f>COUNTIFS('Whole Data'!$K:$K,"&gt;7",'Whole Data'!$K:$K,"&lt;8",'Whole Data'!$P:$P,"Above 65 hours - Upto 85 hours")</f>
        <v>0</v>
      </c>
      <c r="I47" s="19">
        <f>COUNTIFS('Whole Data'!$K:$K,"&gt;7",'Whole Data'!$K:$K,"&lt;8",'Whole Data'!$P:$P,"More than 85 hours")</f>
        <v>0</v>
      </c>
      <c r="J47" s="23">
        <f t="shared" si="16"/>
        <v>50</v>
      </c>
      <c r="Q47" s="27">
        <f>D45*SUM(E46:I49)</f>
        <v>44</v>
      </c>
      <c r="S47" s="26">
        <f>E45*SUM(D46:D49)</f>
        <v>94</v>
      </c>
    </row>
    <row r="48" spans="2:22" ht="24" customHeight="1">
      <c r="B48" s="83"/>
      <c r="C48" s="23" t="s">
        <v>445</v>
      </c>
      <c r="D48" s="17">
        <f>COUNTIFS('Whole Data'!$K:$K,"&gt;8",'Whole Data'!$K:$K,"&lt;9",'Whole Data'!$P:$P,"Less than 5 hours")</f>
        <v>26</v>
      </c>
      <c r="E48" s="18">
        <f>COUNTIFS('Whole Data'!$K:$K,"&gt;8",'Whole Data'!$K:$K,"&lt;9",'Whole Data'!$P:$P,"Above 5 hours - Upto 25 hours")</f>
        <v>2</v>
      </c>
      <c r="F48" s="18">
        <f>COUNTIFS('Whole Data'!$K:$K,"&gt;8",'Whole Data'!$K:$K,"&lt;9",'Whole Data'!$P:$P,"Above 25 hours - Upto 45 hours")</f>
        <v>4</v>
      </c>
      <c r="G48" s="18">
        <f>COUNTIFS('Whole Data'!$K:$K,"&gt;8",'Whole Data'!$K:$K,"&lt;9",'Whole Data'!$P:$P,"Above 45 hours - Upto 65 hours")</f>
        <v>0</v>
      </c>
      <c r="H48" s="18">
        <f>COUNTIFS('Whole Data'!$K:$K,"&gt;8",'Whole Data'!$K:$K,"&lt;9",'Whole Data'!$P:$P,"Above 65 hours - Upto 85 hours")</f>
        <v>0</v>
      </c>
      <c r="I48" s="19">
        <f>COUNTIFS('Whole Data'!$K:$K,"&gt;8",'Whole Data'!$K:$K,"&lt;9",'Whole Data'!$P:$P,"More than 85 hours")</f>
        <v>0</v>
      </c>
      <c r="J48" s="23">
        <f t="shared" si="16"/>
        <v>32</v>
      </c>
      <c r="N48" t="s">
        <v>467</v>
      </c>
      <c r="Q48" s="27">
        <f>E45*SUM(F46:I49)</f>
        <v>8</v>
      </c>
      <c r="S48" s="26">
        <f>E46*SUM(D47:D49)</f>
        <v>320</v>
      </c>
    </row>
    <row r="49" spans="2:22" ht="24" customHeight="1">
      <c r="B49" s="83"/>
      <c r="C49" s="24" t="s">
        <v>50</v>
      </c>
      <c r="D49" s="20">
        <f>COUNTIFS('Whole Data'!$K:$K,"&gt;9",'Whole Data'!$P:$P,"Less than 5 hours")</f>
        <v>10</v>
      </c>
      <c r="E49" s="21">
        <f>COUNTIFS('Whole Data'!$K:$K,"&gt;9",'Whole Data'!$P:$P,"Above 5 hours - Upto 25 hours")</f>
        <v>4</v>
      </c>
      <c r="F49" s="21">
        <f>COUNTIFS('Whole Data'!$K:$K,"&gt;9",'Whole Data'!$P:$P,"Above 25 hours - Upto 45 hours")</f>
        <v>1</v>
      </c>
      <c r="G49" s="21">
        <f>COUNTIFS('Whole Data'!$K:$K,"&gt;9",'Whole Data'!$P:$P,"Above 45 hours - Upto 65 hours")</f>
        <v>0</v>
      </c>
      <c r="H49" s="21">
        <f>COUNTIFS('Whole Data'!$K:$K,"&gt;9",'Whole Data'!$P:$P,"Above 65 hours - Upto 85 hours")</f>
        <v>0</v>
      </c>
      <c r="I49" s="22">
        <f>COUNTIFS('Whole Data'!$K:$K,"&gt;9",'Whole Data'!$P:$P,"More than 85 hours")</f>
        <v>1</v>
      </c>
      <c r="J49" s="23">
        <f t="shared" si="16"/>
        <v>16</v>
      </c>
      <c r="N49" t="s">
        <v>431</v>
      </c>
      <c r="Q49" s="27">
        <f>D46*SUM(E47:I49)</f>
        <v>252</v>
      </c>
      <c r="S49" s="26">
        <f>F47*SUM(D48:E49)</f>
        <v>84</v>
      </c>
    </row>
    <row r="50" spans="2:22" ht="24" customHeight="1">
      <c r="B50" s="83"/>
      <c r="C50" s="23" t="s">
        <v>449</v>
      </c>
      <c r="D50" s="23">
        <f t="shared" ref="D50" si="17">SUM(D45:D49)</f>
        <v>96</v>
      </c>
      <c r="E50" s="23">
        <f t="shared" ref="E50" si="18">SUM(E45:E49)</f>
        <v>15</v>
      </c>
      <c r="F50" s="23">
        <f t="shared" ref="F50" si="19">SUM(F45:F49)</f>
        <v>7</v>
      </c>
      <c r="G50" s="23">
        <f t="shared" ref="G50" si="20">SUM(G45:G49)</f>
        <v>0</v>
      </c>
      <c r="H50" s="23">
        <f t="shared" ref="H50" si="21">SUM(H45:H49)</f>
        <v>0</v>
      </c>
      <c r="I50" s="23">
        <f t="shared" ref="I50" si="22">SUM(I45:I49)</f>
        <v>1</v>
      </c>
      <c r="J50" s="23">
        <f>SUM(D50:I50)</f>
        <v>119</v>
      </c>
      <c r="N50" t="s">
        <v>433</v>
      </c>
      <c r="Q50" s="27">
        <f>E46*SUM(F47:I49)</f>
        <v>32</v>
      </c>
      <c r="S50" s="26">
        <f>E47*SUM(D48:D49)</f>
        <v>144</v>
      </c>
    </row>
    <row r="51" spans="2:22" ht="24" customHeight="1">
      <c r="N51" t="s">
        <v>432</v>
      </c>
      <c r="Q51" s="27">
        <f>D47*SUM(E48:I49)</f>
        <v>528</v>
      </c>
      <c r="S51" s="26">
        <f>F48*SUM(D49:E49)</f>
        <v>56</v>
      </c>
    </row>
    <row r="52" spans="2:22" ht="24" customHeight="1">
      <c r="N52" t="s">
        <v>434</v>
      </c>
      <c r="Q52" s="27">
        <f>E47*SUM(F48:I49)</f>
        <v>24</v>
      </c>
      <c r="S52" s="26">
        <f>E48*SUM(D49)</f>
        <v>20</v>
      </c>
    </row>
    <row r="53" spans="2:22" ht="24" customHeight="1">
      <c r="N53" t="s">
        <v>458</v>
      </c>
      <c r="Q53" s="27">
        <f>F47*SUM(G48:I49)</f>
        <v>2</v>
      </c>
      <c r="R53" s="25" t="s">
        <v>473</v>
      </c>
      <c r="S53" s="12">
        <f>SUM(S47:S52)</f>
        <v>718</v>
      </c>
    </row>
    <row r="54" spans="2:22" ht="24" customHeight="1">
      <c r="Q54" s="27">
        <f>D48*SUM(E49:I49)</f>
        <v>156</v>
      </c>
      <c r="U54" s="33" t="s">
        <v>491</v>
      </c>
      <c r="V54" s="12">
        <f>S55*SQRT((Q57+S53)/I10*(1-S55*S55))</f>
        <v>0.71842716198811507</v>
      </c>
    </row>
    <row r="55" spans="2:22" ht="24" customHeight="1">
      <c r="B55" s="23"/>
      <c r="C55" s="23"/>
      <c r="D55" s="84" t="s">
        <v>456</v>
      </c>
      <c r="E55" s="84"/>
      <c r="F55" s="84"/>
      <c r="G55" s="84"/>
      <c r="H55" s="84"/>
      <c r="I55" s="84"/>
      <c r="J55" s="23"/>
      <c r="Q55" s="27">
        <f>E48*SUM(F49:I49)</f>
        <v>4</v>
      </c>
      <c r="R55" s="25" t="s">
        <v>475</v>
      </c>
      <c r="S55" s="12">
        <f>(Q57-S53)/(Q57+S53)</f>
        <v>0.18961625282167044</v>
      </c>
      <c r="U55" s="33" t="s">
        <v>488</v>
      </c>
      <c r="V55" s="33">
        <f>TDIST(V54,118,2)</f>
        <v>0.47391406939202663</v>
      </c>
    </row>
    <row r="56" spans="2:22" ht="24" customHeight="1">
      <c r="B56" s="23"/>
      <c r="C56" s="23"/>
      <c r="D56" s="23" t="str">
        <f t="array" ref="D56:H56">TRANSPOSE(N60:N64)</f>
        <v>Less than 5 hr</v>
      </c>
      <c r="E56" s="23" t="str">
        <v>5-25 hr</v>
      </c>
      <c r="F56" s="23" t="str">
        <v>25-45 hr</v>
      </c>
      <c r="G56" s="23" t="str">
        <v>45-65 hr</v>
      </c>
      <c r="H56" s="23" t="str">
        <v>65-85 hr</v>
      </c>
      <c r="I56" s="23" t="s">
        <v>454</v>
      </c>
      <c r="J56" s="23" t="s">
        <v>449</v>
      </c>
      <c r="Q56" s="27">
        <f>F48*SUM(G49:I49)</f>
        <v>4</v>
      </c>
    </row>
    <row r="57" spans="2:22" ht="24" customHeight="1">
      <c r="B57" s="83" t="s">
        <v>448</v>
      </c>
      <c r="C57" s="13" t="s">
        <v>442</v>
      </c>
      <c r="D57" s="14">
        <f>COUNTIFS('Whole Data'!$K:$K,"&lt;6",'Whole Data'!$Q:$Q,"Less than 5 hours")</f>
        <v>1</v>
      </c>
      <c r="E57" s="15">
        <f>COUNTIFS('Whole Data'!$K:$K,"&lt;6",'Whole Data'!$Q:$Q,"Above 5 hours - Upto 25 hours")</f>
        <v>0</v>
      </c>
      <c r="F57" s="15">
        <f>COUNTIFS('Whole Data'!$K:$K,"&lt;6",'Whole Data'!$Q:$Q,"Above 25 hours - Upto 45 hours")</f>
        <v>2</v>
      </c>
      <c r="G57" s="15">
        <f>COUNTIFS('Whole Data'!$K:$K,"&lt;6",'Whole Data'!$Q:$Q,"Above 45 hours - Upto 65 hours")</f>
        <v>0</v>
      </c>
      <c r="H57" s="15">
        <f>COUNTIFS('Whole Data'!$K:$K,"&lt;6",'Whole Data'!$Q:$Q,"Above 65 hours - Upto 85 hours")</f>
        <v>0</v>
      </c>
      <c r="I57" s="16">
        <f>COUNTIFS('Whole Data'!$K:$K,"&lt;6",'Whole Data'!$Q:$Q,"More than 85 hours")</f>
        <v>0</v>
      </c>
      <c r="J57" s="23">
        <f>SUM(D57:I57)</f>
        <v>3</v>
      </c>
      <c r="P57" s="25" t="s">
        <v>472</v>
      </c>
      <c r="Q57" s="12">
        <f>SUM(Q47:Q56)</f>
        <v>1054</v>
      </c>
    </row>
    <row r="58" spans="2:22" ht="24" customHeight="1">
      <c r="B58" s="83"/>
      <c r="C58" s="23" t="s">
        <v>443</v>
      </c>
      <c r="D58" s="17">
        <f>COUNTIFS('Whole Data'!$K:$K,"&gt;6",'Whole Data'!$K:$K,"&lt;7",'Whole Data'!$Q:$Q,"Less than 5 hours")</f>
        <v>6</v>
      </c>
      <c r="E58" s="18">
        <f>COUNTIFS('Whole Data'!$K:$K,"&gt;6",'Whole Data'!$K:$K,"&lt;7",'Whole Data'!$Q:$Q,"Above 5 hours - Upto 25 hours")</f>
        <v>10</v>
      </c>
      <c r="F58" s="18">
        <f>COUNTIFS('Whole Data'!$K:$K,"&gt;6",'Whole Data'!$K:$K,"&lt;7",'Whole Data'!$Q:$Q,"Above 25 hours - Upto 45 hours")</f>
        <v>2</v>
      </c>
      <c r="G58" s="18">
        <f>COUNTIFS('Whole Data'!$K:$K,"&gt;6",'Whole Data'!$K:$K,"&lt;7",'Whole Data'!$Q:$Q,"Above 45 hours - Upto 65 hours")</f>
        <v>0</v>
      </c>
      <c r="H58" s="18">
        <f>COUNTIFS('Whole Data'!$K:$K,"&gt;6",'Whole Data'!$K:$K,"&lt;7",'Whole Data'!$Q:$Q,"Above 65 hours - Upto 85 hours")</f>
        <v>0</v>
      </c>
      <c r="I58" s="19">
        <f>COUNTIFS('Whole Data'!$K:$K,"&gt;6",'Whole Data'!$K:$K,"&lt;7",'Whole Data'!$Q:$Q,"More than 85 hours")</f>
        <v>0</v>
      </c>
      <c r="J58" s="23">
        <f t="shared" ref="J58:J61" si="23">SUM(D58:I58)</f>
        <v>18</v>
      </c>
    </row>
    <row r="59" spans="2:22" ht="24" customHeight="1">
      <c r="B59" s="83"/>
      <c r="C59" s="23" t="s">
        <v>444</v>
      </c>
      <c r="D59" s="17">
        <f>COUNTIFS('Whole Data'!$K:$K,"&gt;7",'Whole Data'!$K:$K,"&lt;8",'Whole Data'!$Q:$Q,"Less than 5 hours")</f>
        <v>8</v>
      </c>
      <c r="E59" s="18">
        <f>COUNTIFS('Whole Data'!$K:$K,"&gt;7",'Whole Data'!$K:$K,"&lt;8",'Whole Data'!$Q:$Q,"Above 5 hours - Upto 25 hours")</f>
        <v>23</v>
      </c>
      <c r="F59" s="18">
        <f>COUNTIFS('Whole Data'!$K:$K,"&gt;7",'Whole Data'!$K:$K,"&lt;8",'Whole Data'!$Q:$Q,"Above 25 hours - Upto 45 hours")</f>
        <v>12</v>
      </c>
      <c r="G59" s="18">
        <f>COUNTIFS('Whole Data'!$K:$K,"&gt;7",'Whole Data'!$K:$K,"&lt;8",'Whole Data'!$Q:$Q,"Above 45 hours - Upto 65 hours")</f>
        <v>6</v>
      </c>
      <c r="H59" s="18">
        <f>COUNTIFS('Whole Data'!$K:$K,"&gt;7",'Whole Data'!$K:$K,"&lt;8",'Whole Data'!$Q:$Q,"Above 65 hours - Upto 85 hours")</f>
        <v>1</v>
      </c>
      <c r="I59" s="19">
        <f>COUNTIFS('Whole Data'!$K:$K,"&gt;7",'Whole Data'!$K:$K,"&lt;8",'Whole Data'!$Q:$Q,"More than 85 hours")</f>
        <v>0</v>
      </c>
      <c r="J59" s="23">
        <f t="shared" si="23"/>
        <v>50</v>
      </c>
      <c r="Q59" s="27">
        <f>D57*SUM(E58:I61)</f>
        <v>87</v>
      </c>
      <c r="R59" s="27">
        <f>D60*SUM(E61:I61)</f>
        <v>132</v>
      </c>
      <c r="S59" s="26">
        <f>F57*SUM(D58:E61)</f>
        <v>168</v>
      </c>
    </row>
    <row r="60" spans="2:22" ht="24" customHeight="1">
      <c r="B60" s="83"/>
      <c r="C60" s="23" t="s">
        <v>445</v>
      </c>
      <c r="D60" s="17">
        <f>COUNTIFS('Whole Data'!$K:$K,"&gt;8",'Whole Data'!$K:$K,"&lt;9",'Whole Data'!$Q:$Q,"Less than 5 hours")</f>
        <v>11</v>
      </c>
      <c r="E60" s="18">
        <f>COUNTIFS('Whole Data'!$K:$K,"&gt;8",'Whole Data'!$K:$K,"&lt;9",'Whole Data'!$Q:$Q,"Above 5 hours - Upto 25 hours")</f>
        <v>14</v>
      </c>
      <c r="F60" s="18">
        <f>COUNTIFS('Whole Data'!$K:$K,"&gt;8",'Whole Data'!$K:$K,"&lt;9",'Whole Data'!$Q:$Q,"Above 25 hours - Upto 45 hours")</f>
        <v>5</v>
      </c>
      <c r="G60" s="18">
        <f>COUNTIFS('Whole Data'!$K:$K,"&gt;8",'Whole Data'!$K:$K,"&lt;9",'Whole Data'!$Q:$Q,"Above 45 hours - Upto 65 hours")</f>
        <v>2</v>
      </c>
      <c r="H60" s="18">
        <f>COUNTIFS('Whole Data'!$K:$K,"&gt;8",'Whole Data'!$K:$K,"&lt;9",'Whole Data'!$Q:$Q,"Above 65 hours - Upto 85 hours")</f>
        <v>0</v>
      </c>
      <c r="I60" s="19">
        <f>COUNTIFS('Whole Data'!$K:$K,"&gt;8",'Whole Data'!$K:$K,"&lt;9",'Whole Data'!$Q:$Q,"More than 85 hours")</f>
        <v>0</v>
      </c>
      <c r="J60" s="23">
        <f t="shared" si="23"/>
        <v>32</v>
      </c>
      <c r="N60" t="s">
        <v>467</v>
      </c>
      <c r="Q60" s="27">
        <f>F57*SUM(G58:I61)</f>
        <v>20</v>
      </c>
      <c r="R60" s="27">
        <f>E60*SUM(F61:I61)</f>
        <v>56</v>
      </c>
      <c r="S60" s="26">
        <f>F58*SUM(D59:E61)</f>
        <v>136</v>
      </c>
    </row>
    <row r="61" spans="2:22" ht="24" customHeight="1">
      <c r="B61" s="83"/>
      <c r="C61" s="24" t="s">
        <v>50</v>
      </c>
      <c r="D61" s="20">
        <f>COUNTIFS('Whole Data'!$K:$K,"&gt;9",'Whole Data'!$Q:$Q,"Less than 5 hours")</f>
        <v>4</v>
      </c>
      <c r="E61" s="21">
        <f>COUNTIFS('Whole Data'!$K:$K,"&gt;9",'Whole Data'!$Q:$Q,"Above 5 hours - Upto 25 hours")</f>
        <v>8</v>
      </c>
      <c r="F61" s="21">
        <f>COUNTIFS('Whole Data'!$K:$K,"&gt;9",'Whole Data'!$Q:$Q,"Above 25 hours - Upto 45 hours")</f>
        <v>3</v>
      </c>
      <c r="G61" s="21">
        <f>COUNTIFS('Whole Data'!$K:$K,"&gt;9",'Whole Data'!$Q:$Q,"Above 45 hours - Upto 65 hours")</f>
        <v>0</v>
      </c>
      <c r="H61" s="21">
        <f>COUNTIFS('Whole Data'!$K:$K,"&gt;9",'Whole Data'!$Q:$Q,"Above 65 hours - Upto 85 hours")</f>
        <v>0</v>
      </c>
      <c r="I61" s="22">
        <f>COUNTIFS('Whole Data'!$K:$K,"&gt;9",'Whole Data'!$Q:$Q,"More than 85 hours")</f>
        <v>1</v>
      </c>
      <c r="J61" s="23">
        <f t="shared" si="23"/>
        <v>16</v>
      </c>
      <c r="N61" t="s">
        <v>431</v>
      </c>
      <c r="Q61" s="27">
        <f>D58*SUM(E59:I61)</f>
        <v>450</v>
      </c>
      <c r="R61" s="27">
        <f>F60*SUM(G61:I61)</f>
        <v>5</v>
      </c>
      <c r="S61" s="26">
        <f>E58*SUM(D59:D61)</f>
        <v>230</v>
      </c>
    </row>
    <row r="62" spans="2:22" ht="24" customHeight="1">
      <c r="B62" s="83"/>
      <c r="C62" s="23" t="s">
        <v>449</v>
      </c>
      <c r="D62" s="23">
        <f t="shared" ref="D62" si="24">SUM(D57:D61)</f>
        <v>30</v>
      </c>
      <c r="E62" s="23">
        <f t="shared" ref="E62" si="25">SUM(E57:E61)</f>
        <v>55</v>
      </c>
      <c r="F62" s="23">
        <f t="shared" ref="F62" si="26">SUM(F57:F61)</f>
        <v>24</v>
      </c>
      <c r="G62" s="23">
        <f t="shared" ref="G62" si="27">SUM(G57:G61)</f>
        <v>8</v>
      </c>
      <c r="H62" s="23">
        <f t="shared" ref="H62" si="28">SUM(H57:H61)</f>
        <v>1</v>
      </c>
      <c r="I62" s="23">
        <f t="shared" ref="I62" si="29">SUM(I57:I61)</f>
        <v>1</v>
      </c>
      <c r="J62" s="23">
        <f>SUM(D62:I62)</f>
        <v>119</v>
      </c>
      <c r="N62" t="s">
        <v>433</v>
      </c>
      <c r="Q62" s="27">
        <f>E58*SUM(F59:I61)</f>
        <v>300</v>
      </c>
      <c r="R62" s="27">
        <f>G60*SUM(H61:I61)</f>
        <v>2</v>
      </c>
      <c r="S62" s="26">
        <f>H59*SUM(D60:G61)</f>
        <v>47</v>
      </c>
    </row>
    <row r="63" spans="2:22" ht="24" customHeight="1">
      <c r="N63" t="s">
        <v>432</v>
      </c>
      <c r="Q63" s="27">
        <f>F58*SUM(G59:I61)</f>
        <v>20</v>
      </c>
      <c r="S63" s="26">
        <f>G59*SUM(D60:F61)</f>
        <v>270</v>
      </c>
    </row>
    <row r="64" spans="2:22" ht="24" customHeight="1">
      <c r="N64" t="s">
        <v>434</v>
      </c>
      <c r="Q64" s="27">
        <f>D59*SUM(E60:I61)</f>
        <v>264</v>
      </c>
      <c r="S64" s="26">
        <f>F59*SUM(D60:E61)</f>
        <v>444</v>
      </c>
    </row>
    <row r="65" spans="2:22" s="25" customFormat="1" ht="24" customHeight="1">
      <c r="N65" t="s">
        <v>458</v>
      </c>
      <c r="Q65" s="27">
        <f>E59*SUM(F60:I61)</f>
        <v>253</v>
      </c>
      <c r="S65" s="26">
        <f>E59*SUM(D60:D61)</f>
        <v>345</v>
      </c>
    </row>
    <row r="66" spans="2:22" ht="24" customHeight="1">
      <c r="Q66" s="27">
        <f>F59*SUM(G60:I61)</f>
        <v>36</v>
      </c>
      <c r="S66" s="26">
        <f>G60*SUM(D61:F61)</f>
        <v>30</v>
      </c>
    </row>
    <row r="67" spans="2:22" s="25" customFormat="1" ht="24" customHeight="1">
      <c r="N67"/>
      <c r="Q67" s="27">
        <f>G59*SUM(H60:I61)</f>
        <v>6</v>
      </c>
      <c r="S67" s="26">
        <f>F60*SUM(D61:E61)</f>
        <v>60</v>
      </c>
    </row>
    <row r="68" spans="2:22" s="25" customFormat="1" ht="24" customHeight="1">
      <c r="N68"/>
      <c r="Q68" s="27">
        <f>H59*SUM(I60:I61)</f>
        <v>1</v>
      </c>
      <c r="S68" s="26">
        <f>E60*SUM(D61)</f>
        <v>56</v>
      </c>
    </row>
    <row r="69" spans="2:22" ht="24" customHeight="1">
      <c r="P69" s="25" t="s">
        <v>472</v>
      </c>
      <c r="Q69" s="12">
        <f>SUM(Q59:R68)</f>
        <v>1632</v>
      </c>
      <c r="R69" s="25" t="s">
        <v>473</v>
      </c>
      <c r="S69" s="12">
        <f>SUM(S59:S68)</f>
        <v>1786</v>
      </c>
      <c r="U69" s="33" t="s">
        <v>491</v>
      </c>
      <c r="V69" s="12">
        <f>S70*SQRT((Q69+S69)/I10*(1-S70*S70))</f>
        <v>-0.24122368785063919</v>
      </c>
    </row>
    <row r="70" spans="2:22" ht="24" customHeight="1">
      <c r="B70" s="23"/>
      <c r="C70" s="23"/>
      <c r="D70" s="84" t="s">
        <v>457</v>
      </c>
      <c r="E70" s="84"/>
      <c r="F70" s="84"/>
      <c r="G70" s="84"/>
      <c r="H70" s="84"/>
      <c r="I70" s="84"/>
      <c r="J70" s="23"/>
      <c r="P70" s="25"/>
      <c r="R70" s="25" t="s">
        <v>475</v>
      </c>
      <c r="S70" s="12">
        <f>(Q69-S69)/(Q69+S69)</f>
        <v>-4.5055588063194853E-2</v>
      </c>
      <c r="U70" s="33" t="s">
        <v>488</v>
      </c>
      <c r="V70" s="33">
        <f>TDIST(ABS(V69),118,2)</f>
        <v>0.80980041169035755</v>
      </c>
    </row>
    <row r="71" spans="2:22" ht="24" customHeight="1">
      <c r="B71" s="23"/>
      <c r="C71" s="23"/>
      <c r="D71" s="23" t="str">
        <f t="array" ref="D71:H71">TRANSPOSE(N75:N79)</f>
        <v>Less than 5 hr</v>
      </c>
      <c r="E71" s="23" t="str">
        <v>5-25 hr</v>
      </c>
      <c r="F71" s="23" t="str">
        <v>25-45 hr</v>
      </c>
      <c r="G71" s="23" t="str">
        <v>45-65 hr</v>
      </c>
      <c r="H71" s="23" t="str">
        <v>65-85 hr</v>
      </c>
      <c r="I71" s="23" t="s">
        <v>454</v>
      </c>
      <c r="J71" s="23" t="s">
        <v>449</v>
      </c>
    </row>
    <row r="72" spans="2:22" ht="24" customHeight="1">
      <c r="B72" s="83" t="s">
        <v>448</v>
      </c>
      <c r="C72" s="13" t="s">
        <v>442</v>
      </c>
      <c r="D72" s="14">
        <f>COUNTIFS('Whole Data'!$K:$K,"&lt;6",'Whole Data'!$R:$R,"Less than 5 hours")</f>
        <v>1</v>
      </c>
      <c r="E72" s="15">
        <f>COUNTIFS('Whole Data'!$K:$K,"&lt;6",'Whole Data'!$R:$R,"Above 5 hours - Upto 25 hours")</f>
        <v>2</v>
      </c>
      <c r="F72" s="15">
        <f>COUNTIFS('Whole Data'!$K:$K,"&lt;6",'Whole Data'!$R:$R,"Above 25 hours - Upto 45 hours")</f>
        <v>0</v>
      </c>
      <c r="G72" s="15">
        <f>COUNTIFS('Whole Data'!$K:$K,"&lt;6",'Whole Data'!$R:$R,"Above 45 hours - Upto 65 hours")</f>
        <v>0</v>
      </c>
      <c r="H72" s="15">
        <f>COUNTIFS('Whole Data'!$K:$K,"&lt;6",'Whole Data'!$R:$R,"Above 65 hours - Upto 85 hours")</f>
        <v>0</v>
      </c>
      <c r="I72" s="16">
        <f>COUNTIFS('Whole Data'!$K:$K,"&lt;6",'Whole Data'!$R:$R,"More than 85 hours")</f>
        <v>0</v>
      </c>
      <c r="J72" s="23">
        <f>SUM(D72:I72)</f>
        <v>3</v>
      </c>
      <c r="Q72" s="27">
        <f>D72*SUM(E73:I76)</f>
        <v>68</v>
      </c>
      <c r="R72" s="27">
        <f>D75*SUM(E76:I76)</f>
        <v>192</v>
      </c>
      <c r="S72" s="28">
        <f>E72*SUM(D73:D76)</f>
        <v>96</v>
      </c>
    </row>
    <row r="73" spans="2:22" ht="24" customHeight="1">
      <c r="B73" s="83"/>
      <c r="C73" s="23" t="s">
        <v>443</v>
      </c>
      <c r="D73" s="17">
        <f>COUNTIFS('Whole Data'!$K:$K,"&gt;6",'Whole Data'!$K:$K,"&lt;7",'Whole Data'!$R:$R,"Less than 5 hours")</f>
        <v>9</v>
      </c>
      <c r="E73" s="18">
        <f>COUNTIFS('Whole Data'!$K:$K,"&gt;6",'Whole Data'!$K:$K,"&lt;7",'Whole Data'!$R:$R,"Above 5 hours - Upto 25 hours")</f>
        <v>9</v>
      </c>
      <c r="F73" s="18">
        <f>COUNTIFS('Whole Data'!$K:$K,"&gt;6",'Whole Data'!$K:$K,"&lt;7",'Whole Data'!$R:$R,"Above 25 hours - Upto 45 hours")</f>
        <v>0</v>
      </c>
      <c r="G73" s="18">
        <f>COUNTIFS('Whole Data'!$K:$K,"&gt;6",'Whole Data'!$K:$K,"&lt;7",'Whole Data'!$R:$R,"Above 45 hours - Upto 65 hours")</f>
        <v>0</v>
      </c>
      <c r="H73" s="18">
        <f>COUNTIFS('Whole Data'!$K:$K,"&gt;6",'Whole Data'!$K:$K,"&lt;7",'Whole Data'!$R:$R,"Above 65 hours - Upto 85 hours")</f>
        <v>0</v>
      </c>
      <c r="I73" s="19">
        <f>COUNTIFS('Whole Data'!$K:$K,"&gt;6",'Whole Data'!$K:$K,"&lt;7",'Whole Data'!$R:$R,"More than 85 hours")</f>
        <v>0</v>
      </c>
      <c r="J73" s="23">
        <f t="shared" ref="J73:J76" si="30">SUM(D73:I73)</f>
        <v>18</v>
      </c>
      <c r="Q73" s="27">
        <f>E72*SUM(F73:I76)</f>
        <v>46</v>
      </c>
      <c r="R73" s="27">
        <f>E75*SUM(F76:I76)</f>
        <v>60</v>
      </c>
      <c r="S73" s="28">
        <f>E73*SUM(D74:D76)</f>
        <v>351</v>
      </c>
    </row>
    <row r="74" spans="2:22" ht="24" customHeight="1">
      <c r="B74" s="83"/>
      <c r="C74" s="23" t="s">
        <v>444</v>
      </c>
      <c r="D74" s="17">
        <f>COUNTIFS('Whole Data'!$K:$K,"&gt;7",'Whole Data'!$K:$K,"&lt;8",'Whole Data'!$R:$R,"Less than 5 hours")</f>
        <v>19</v>
      </c>
      <c r="E74" s="18">
        <f>COUNTIFS('Whole Data'!$K:$K,"&gt;7",'Whole Data'!$K:$K,"&lt;8",'Whole Data'!$R:$R,"Above 5 hours - Upto 25 hours")</f>
        <v>17</v>
      </c>
      <c r="F74" s="18">
        <f>COUNTIFS('Whole Data'!$K:$K,"&gt;7",'Whole Data'!$K:$K,"&lt;8",'Whole Data'!$R:$R,"Above 25 hours - Upto 45 hours")</f>
        <v>6</v>
      </c>
      <c r="G74" s="18">
        <f>COUNTIFS('Whole Data'!$K:$K,"&gt;7",'Whole Data'!$K:$K,"&lt;8",'Whole Data'!$R:$R,"Above 45 hours - Upto 65 hours")</f>
        <v>5</v>
      </c>
      <c r="H74" s="18">
        <f>COUNTIFS('Whole Data'!$K:$K,"&gt;7",'Whole Data'!$K:$K,"&lt;8",'Whole Data'!$R:$R,"Above 65 hours - Upto 85 hours")</f>
        <v>2</v>
      </c>
      <c r="I74" s="19">
        <f>COUNTIFS('Whole Data'!$K:$K,"&gt;7",'Whole Data'!$K:$K,"&lt;8",'Whole Data'!$R:$R,"More than 85 hours")</f>
        <v>1</v>
      </c>
      <c r="J74" s="23">
        <f t="shared" si="30"/>
        <v>50</v>
      </c>
      <c r="Q74" s="27">
        <f>D73*SUM(E74:I76)</f>
        <v>531</v>
      </c>
      <c r="R74" s="27">
        <f>F75*SUM(G76:I76)</f>
        <v>6</v>
      </c>
      <c r="S74" s="28">
        <f>I74*SUM(D75:H76)</f>
        <v>47</v>
      </c>
    </row>
    <row r="75" spans="2:22" ht="24" customHeight="1">
      <c r="B75" s="83"/>
      <c r="C75" s="23" t="s">
        <v>445</v>
      </c>
      <c r="D75" s="17">
        <f>COUNTIFS('Whole Data'!$K:$K,"&gt;8",'Whole Data'!$K:$K,"&lt;9",'Whole Data'!$R:$R,"Less than 5 hours")</f>
        <v>16</v>
      </c>
      <c r="E75" s="18">
        <f>COUNTIFS('Whole Data'!$K:$K,"&gt;8",'Whole Data'!$K:$K,"&lt;9",'Whole Data'!$R:$R,"Above 5 hours - Upto 25 hours")</f>
        <v>12</v>
      </c>
      <c r="F75" s="18">
        <f>COUNTIFS('Whole Data'!$K:$K,"&gt;8",'Whole Data'!$K:$K,"&lt;9",'Whole Data'!$R:$R,"Above 25 hours - Upto 45 hours")</f>
        <v>3</v>
      </c>
      <c r="G75" s="18">
        <f>COUNTIFS('Whole Data'!$K:$K,"&gt;8",'Whole Data'!$K:$K,"&lt;9",'Whole Data'!$R:$R,"Above 45 hours - Upto 65 hours")</f>
        <v>1</v>
      </c>
      <c r="H75" s="18">
        <f>COUNTIFS('Whole Data'!$K:$K,"&gt;8",'Whole Data'!$K:$K,"&lt;9",'Whole Data'!$R:$R,"Above 65 hours - Upto 85 hours")</f>
        <v>0</v>
      </c>
      <c r="I75" s="19">
        <f>COUNTIFS('Whole Data'!$K:$K,"&gt;8",'Whole Data'!$K:$K,"&lt;9",'Whole Data'!$R:$R,"More than 85 hours")</f>
        <v>0</v>
      </c>
      <c r="J75" s="23">
        <f t="shared" si="30"/>
        <v>32</v>
      </c>
      <c r="N75" t="s">
        <v>467</v>
      </c>
      <c r="Q75" s="27">
        <f>E73*SUM(F74:I76)</f>
        <v>207</v>
      </c>
      <c r="R75" s="27">
        <f>G75*SUM(H76:I76)</f>
        <v>1</v>
      </c>
      <c r="S75" s="28">
        <f>H74*SUM(D75:G76)</f>
        <v>94</v>
      </c>
    </row>
    <row r="76" spans="2:22" ht="24" customHeight="1">
      <c r="B76" s="83"/>
      <c r="C76" s="24" t="s">
        <v>50</v>
      </c>
      <c r="D76" s="20">
        <f>COUNTIFS('Whole Data'!$K:$K,"&gt;9",'Whole Data'!$R:$R,"Less than 5 hours")</f>
        <v>4</v>
      </c>
      <c r="E76" s="21">
        <f>COUNTIFS('Whole Data'!$K:$K,"&gt;9",'Whole Data'!$R:$R,"Above 5 hours - Upto 25 hours")</f>
        <v>7</v>
      </c>
      <c r="F76" s="21">
        <f>COUNTIFS('Whole Data'!$K:$K,"&gt;9",'Whole Data'!$R:$R,"Above 25 hours - Upto 45 hours")</f>
        <v>3</v>
      </c>
      <c r="G76" s="21">
        <f>COUNTIFS('Whole Data'!$K:$K,"&gt;9",'Whole Data'!$R:$R,"Above 45 hours - Upto 65 hours")</f>
        <v>1</v>
      </c>
      <c r="H76" s="21">
        <f>COUNTIFS('Whole Data'!$K:$K,"&gt;9",'Whole Data'!$R:$R,"Above 65 hours - Upto 85 hours")</f>
        <v>0</v>
      </c>
      <c r="I76" s="22">
        <f>COUNTIFS('Whole Data'!$K:$K,"&gt;9",'Whole Data'!$R:$R,"More than 85 hours")</f>
        <v>1</v>
      </c>
      <c r="J76" s="23">
        <f t="shared" si="30"/>
        <v>16</v>
      </c>
      <c r="N76" t="s">
        <v>431</v>
      </c>
      <c r="Q76" s="27">
        <f>D74*SUM(E75:I76)</f>
        <v>532</v>
      </c>
      <c r="S76" s="28">
        <f>G74*SUM(D75:F76)</f>
        <v>225</v>
      </c>
    </row>
    <row r="77" spans="2:22" ht="24" customHeight="1">
      <c r="B77" s="83"/>
      <c r="C77" s="23" t="s">
        <v>449</v>
      </c>
      <c r="D77" s="23">
        <f t="shared" ref="D77" si="31">SUM(D72:D76)</f>
        <v>49</v>
      </c>
      <c r="E77" s="23">
        <f t="shared" ref="E77" si="32">SUM(E72:E76)</f>
        <v>47</v>
      </c>
      <c r="F77" s="23">
        <f t="shared" ref="F77" si="33">SUM(F72:F76)</f>
        <v>12</v>
      </c>
      <c r="G77" s="23">
        <f t="shared" ref="G77" si="34">SUM(G72:G76)</f>
        <v>7</v>
      </c>
      <c r="H77" s="23">
        <f t="shared" ref="H77" si="35">SUM(H72:H76)</f>
        <v>2</v>
      </c>
      <c r="I77" s="23">
        <f t="shared" ref="I77" si="36">SUM(I72:I76)</f>
        <v>2</v>
      </c>
      <c r="J77" s="23">
        <f>SUM(D77:I77)</f>
        <v>119</v>
      </c>
      <c r="N77" t="s">
        <v>433</v>
      </c>
      <c r="Q77" s="27">
        <f>E74*SUM(F75:I76)</f>
        <v>153</v>
      </c>
      <c r="S77" s="28">
        <f>F74*SUM(D75:E76)</f>
        <v>234</v>
      </c>
    </row>
    <row r="78" spans="2:22" ht="24" customHeight="1">
      <c r="N78" t="s">
        <v>432</v>
      </c>
      <c r="Q78" s="27">
        <f>F74*SUM(G75:I76)</f>
        <v>18</v>
      </c>
      <c r="S78" s="28">
        <f>E74*SUM(D75:D76)</f>
        <v>340</v>
      </c>
    </row>
    <row r="79" spans="2:22" ht="24" customHeight="1">
      <c r="N79" t="s">
        <v>434</v>
      </c>
      <c r="Q79" s="27">
        <f>G74*SUM(H75:I76)</f>
        <v>5</v>
      </c>
      <c r="S79" s="28">
        <f>G75*SUM(D76:F76)</f>
        <v>14</v>
      </c>
    </row>
    <row r="80" spans="2:22" ht="24" customHeight="1">
      <c r="N80" t="s">
        <v>458</v>
      </c>
      <c r="Q80" s="27">
        <f>H74*SUM(I75:I76)</f>
        <v>2</v>
      </c>
      <c r="S80" s="28">
        <f>F75*SUM(D76:E76)</f>
        <v>33</v>
      </c>
    </row>
    <row r="81" spans="2:22" ht="24" customHeight="1">
      <c r="P81" s="25" t="s">
        <v>472</v>
      </c>
      <c r="Q81" s="12">
        <f>SUM(Q72:R80)</f>
        <v>1821</v>
      </c>
      <c r="S81" s="28">
        <f>E75*SUM(D76)</f>
        <v>48</v>
      </c>
    </row>
    <row r="82" spans="2:22" ht="24" customHeight="1">
      <c r="B82" s="24"/>
      <c r="C82" s="24"/>
      <c r="D82" s="84" t="s">
        <v>459</v>
      </c>
      <c r="E82" s="84"/>
      <c r="F82" s="84"/>
      <c r="G82" s="84"/>
      <c r="H82" s="84"/>
      <c r="I82" s="84"/>
      <c r="J82" s="24"/>
      <c r="R82" s="25" t="s">
        <v>473</v>
      </c>
      <c r="S82" s="12">
        <f>SUM(S72:S81)</f>
        <v>1482</v>
      </c>
      <c r="U82" s="33" t="s">
        <v>491</v>
      </c>
      <c r="V82" s="12">
        <f>S83*SQRT((Q81+S82)/I10*(1-S83*S83))</f>
        <v>0.53786393813004907</v>
      </c>
    </row>
    <row r="83" spans="2:22" ht="24" customHeight="1">
      <c r="B83" s="24"/>
      <c r="C83" s="24"/>
      <c r="D83" s="24" t="str">
        <f t="array" ref="D83:H83">TRANSPOSE(N87:N91)</f>
        <v>Less than 5 hr</v>
      </c>
      <c r="E83" s="24" t="str">
        <v>5-25 hr</v>
      </c>
      <c r="F83" s="24" t="str">
        <v>25-45 hr</v>
      </c>
      <c r="G83" s="24" t="str">
        <v>45-65 hr</v>
      </c>
      <c r="H83" s="24" t="str">
        <v>65-85 hr</v>
      </c>
      <c r="I83" s="24" t="s">
        <v>454</v>
      </c>
      <c r="J83" s="24" t="s">
        <v>449</v>
      </c>
      <c r="R83" s="25" t="s">
        <v>475</v>
      </c>
      <c r="S83" s="12">
        <f>(Q81-S82)/(Q81+S82)</f>
        <v>0.10263396911898275</v>
      </c>
      <c r="U83" s="33" t="s">
        <v>488</v>
      </c>
      <c r="V83" s="33">
        <f>TDIST(V82,118,2)</f>
        <v>0.59168398624865115</v>
      </c>
    </row>
    <row r="84" spans="2:22" ht="24" customHeight="1">
      <c r="B84" s="83" t="s">
        <v>448</v>
      </c>
      <c r="C84" s="13" t="s">
        <v>442</v>
      </c>
      <c r="D84" s="14">
        <f>COUNTIFS('Whole Data'!$K:$K,"&lt;6",'Whole Data'!$S:$S,"Less than 5 hours")</f>
        <v>1</v>
      </c>
      <c r="E84" s="15">
        <f>COUNTIFS('Whole Data'!$K:$K,"&lt;6",'Whole Data'!$S:$S,"Above 5 hours - Upto 25 hours")</f>
        <v>1</v>
      </c>
      <c r="F84" s="15">
        <f>COUNTIFS('Whole Data'!$K:$K,"&lt;6",'Whole Data'!$S:$S,"Above 25 hours - Upto 45 hours")</f>
        <v>1</v>
      </c>
      <c r="G84" s="15">
        <f>COUNTIFS('Whole Data'!$K:$K,"&lt;6",'Whole Data'!$S:$S,"Above 45 hours - Upto 65 hours")</f>
        <v>0</v>
      </c>
      <c r="H84" s="15">
        <f>COUNTIFS('Whole Data'!$K:$K,"&lt;6",'Whole Data'!$S:$S,"Above 65 hours - Upto 85 hours")</f>
        <v>0</v>
      </c>
      <c r="I84" s="16">
        <f>COUNTIFS('Whole Data'!$K:$K,"&lt;6",'Whole Data'!$S:$S,"More than 85 hours")</f>
        <v>0</v>
      </c>
      <c r="J84" s="24">
        <f>SUM(D84:I84)</f>
        <v>3</v>
      </c>
    </row>
    <row r="85" spans="2:22" ht="24" customHeight="1">
      <c r="B85" s="83"/>
      <c r="C85" s="24" t="s">
        <v>443</v>
      </c>
      <c r="D85" s="17">
        <f>COUNTIFS('Whole Data'!$K:$K,"&gt;6",'Whole Data'!$K:$K,"&lt;7",'Whole Data'!$S:$S,"Less than 5 hours")</f>
        <v>10</v>
      </c>
      <c r="E85" s="18">
        <f>COUNTIFS('Whole Data'!$K:$K,"&gt;6",'Whole Data'!$K:$K,"&lt;7",'Whole Data'!$S:$S,"Above 5 hours - Upto 25 hours")</f>
        <v>6</v>
      </c>
      <c r="F85" s="18">
        <f>COUNTIFS('Whole Data'!$K:$K,"&gt;6",'Whole Data'!$K:$K,"&lt;7",'Whole Data'!$S:$S,"Above 25 hours - Upto 45 hours")</f>
        <v>2</v>
      </c>
      <c r="G85" s="18">
        <f>COUNTIFS('Whole Data'!$K:$K,"&gt;6",'Whole Data'!$K:$K,"&lt;7",'Whole Data'!$S:$S,"Above 45 hours - Upto 65 hours")</f>
        <v>0</v>
      </c>
      <c r="H85" s="18">
        <f>COUNTIFS('Whole Data'!$K:$K,"&gt;6",'Whole Data'!$K:$K,"&lt;7",'Whole Data'!$S:$S,"Above 65 hours - Upto 85 hours")</f>
        <v>0</v>
      </c>
      <c r="I85" s="19">
        <f>COUNTIFS('Whole Data'!$K:$K,"&gt;6",'Whole Data'!$K:$K,"&lt;7",'Whole Data'!$S:$S,"More than 85 hours")</f>
        <v>0</v>
      </c>
      <c r="J85" s="24">
        <f t="shared" ref="J85:J88" si="37">SUM(D85:I85)</f>
        <v>18</v>
      </c>
      <c r="Q85" s="27">
        <f>D84*SUM(E85:I88)</f>
        <v>76</v>
      </c>
      <c r="R85" s="27">
        <f>D87*SUM(E88:I88)</f>
        <v>156</v>
      </c>
      <c r="S85" s="26">
        <f>F84*SUM(D85:E88)</f>
        <v>94</v>
      </c>
    </row>
    <row r="86" spans="2:22" ht="24" customHeight="1">
      <c r="B86" s="83"/>
      <c r="C86" s="24" t="s">
        <v>444</v>
      </c>
      <c r="D86" s="17">
        <f>COUNTIFS('Whole Data'!$K:$K,"&gt;7",'Whole Data'!$K:$K,"&lt;8",'Whole Data'!$S:$S,"Less than 5 hours")</f>
        <v>15</v>
      </c>
      <c r="E86" s="18">
        <f>COUNTIFS('Whole Data'!$K:$K,"&gt;7",'Whole Data'!$K:$K,"&lt;8",'Whole Data'!$S:$S,"Above 5 hours - Upto 25 hours")</f>
        <v>25</v>
      </c>
      <c r="F86" s="18">
        <f>COUNTIFS('Whole Data'!$K:$K,"&gt;7",'Whole Data'!$K:$K,"&lt;8",'Whole Data'!$S:$S,"Above 25 hours - Upto 45 hours")</f>
        <v>6</v>
      </c>
      <c r="G86" s="18">
        <f>COUNTIFS('Whole Data'!$K:$K,"&gt;7",'Whole Data'!$K:$K,"&lt;8",'Whole Data'!$S:$S,"Above 45 hours - Upto 65 hours")</f>
        <v>4</v>
      </c>
      <c r="H86" s="18">
        <f>COUNTIFS('Whole Data'!$K:$K,"&gt;7",'Whole Data'!$K:$K,"&lt;8",'Whole Data'!$S:$S,"Above 65 hours - Upto 85 hours")</f>
        <v>0</v>
      </c>
      <c r="I86" s="19">
        <f>COUNTIFS('Whole Data'!$K:$K,"&gt;7",'Whole Data'!$K:$K,"&lt;8",'Whole Data'!$S:$S,"More than 85 hours")</f>
        <v>0</v>
      </c>
      <c r="J86" s="24">
        <f t="shared" si="37"/>
        <v>50</v>
      </c>
      <c r="Q86" s="27">
        <f>E84*SUM(F85:I88)</f>
        <v>22</v>
      </c>
      <c r="R86" s="27">
        <f>E87*SUM(F88:I88)</f>
        <v>75</v>
      </c>
      <c r="S86" s="26">
        <f>E84*SUM(D85:D88)</f>
        <v>40</v>
      </c>
    </row>
    <row r="87" spans="2:22" ht="24" customHeight="1">
      <c r="B87" s="83"/>
      <c r="C87" s="24" t="s">
        <v>445</v>
      </c>
      <c r="D87" s="17">
        <f>COUNTIFS('Whole Data'!$K:$K,"&gt;8",'Whole Data'!$K:$K,"&lt;9",'Whole Data'!$S:$S,"Less than 5 hours")</f>
        <v>12</v>
      </c>
      <c r="E87" s="18">
        <f>COUNTIFS('Whole Data'!$K:$K,"&gt;8",'Whole Data'!$K:$K,"&lt;9",'Whole Data'!$S:$S,"Above 5 hours - Upto 25 hours")</f>
        <v>15</v>
      </c>
      <c r="F87" s="18">
        <f>COUNTIFS('Whole Data'!$K:$K,"&gt;8",'Whole Data'!$K:$K,"&lt;9",'Whole Data'!$S:$S,"Above 25 hours - Upto 45 hours")</f>
        <v>4</v>
      </c>
      <c r="G87" s="18">
        <f>COUNTIFS('Whole Data'!$K:$K,"&gt;8",'Whole Data'!$K:$K,"&lt;9",'Whole Data'!$S:$S,"Above 45 hours - Upto 65 hours")</f>
        <v>1</v>
      </c>
      <c r="H87" s="18">
        <f>COUNTIFS('Whole Data'!$K:$K,"&gt;8",'Whole Data'!$K:$K,"&lt;9",'Whole Data'!$S:$S,"Above 65 hours - Upto 85 hours")</f>
        <v>0</v>
      </c>
      <c r="I87" s="19">
        <f>COUNTIFS('Whole Data'!$K:$K,"&gt;8",'Whole Data'!$K:$K,"&lt;9",'Whole Data'!$S:$S,"More than 85 hours")</f>
        <v>0</v>
      </c>
      <c r="J87" s="24">
        <f t="shared" si="37"/>
        <v>32</v>
      </c>
      <c r="N87" t="s">
        <v>467</v>
      </c>
      <c r="Q87" s="27">
        <f>F84*SUM(G85:I88)</f>
        <v>7</v>
      </c>
      <c r="R87" s="27">
        <f>F87*SUM(G88:I88)</f>
        <v>8</v>
      </c>
      <c r="S87" s="26">
        <f>F85*SUM(D86:E88)</f>
        <v>156</v>
      </c>
    </row>
    <row r="88" spans="2:22" ht="24" customHeight="1">
      <c r="B88" s="83"/>
      <c r="C88" s="24" t="s">
        <v>50</v>
      </c>
      <c r="D88" s="20">
        <f>COUNTIFS('Whole Data'!$K:$K,"&gt;9",'Whole Data'!$S:$S,"Less than 5 hours")</f>
        <v>3</v>
      </c>
      <c r="E88" s="21">
        <f>COUNTIFS('Whole Data'!$K:$K,"&gt;9",'Whole Data'!$S:$S,"Above 5 hours - Upto 25 hours")</f>
        <v>8</v>
      </c>
      <c r="F88" s="21">
        <f>COUNTIFS('Whole Data'!$K:$K,"&gt;9",'Whole Data'!$S:$S,"Above 25 hours - Upto 45 hours")</f>
        <v>3</v>
      </c>
      <c r="G88" s="21">
        <f>COUNTIFS('Whole Data'!$K:$K,"&gt;9",'Whole Data'!$S:$S,"Above 45 hours - Upto 65 hours")</f>
        <v>1</v>
      </c>
      <c r="H88" s="21">
        <f>COUNTIFS('Whole Data'!$K:$K,"&gt;9",'Whole Data'!$S:$S,"Above 65 hours - Upto 85 hours")</f>
        <v>0</v>
      </c>
      <c r="I88" s="22">
        <f>COUNTIFS('Whole Data'!$K:$K,"&gt;9",'Whole Data'!$S:$S,"More than 85 hours")</f>
        <v>1</v>
      </c>
      <c r="J88" s="24">
        <f t="shared" si="37"/>
        <v>16</v>
      </c>
      <c r="N88" t="s">
        <v>431</v>
      </c>
      <c r="Q88" s="27">
        <f>D85*SUM(E86:I88)</f>
        <v>680</v>
      </c>
      <c r="R88" s="27">
        <f>G87*SUM(H88:I88)</f>
        <v>1</v>
      </c>
      <c r="S88" s="26">
        <f>E85*SUM(D86:D88)</f>
        <v>180</v>
      </c>
    </row>
    <row r="89" spans="2:22" ht="24" customHeight="1">
      <c r="B89" s="83"/>
      <c r="C89" s="24" t="s">
        <v>449</v>
      </c>
      <c r="D89" s="24">
        <f t="shared" ref="D89" si="38">SUM(D84:D88)</f>
        <v>41</v>
      </c>
      <c r="E89" s="24">
        <f t="shared" ref="E89:I89" si="39">SUM(E84:E88)</f>
        <v>55</v>
      </c>
      <c r="F89" s="24">
        <f t="shared" si="39"/>
        <v>16</v>
      </c>
      <c r="G89" s="24">
        <f t="shared" si="39"/>
        <v>6</v>
      </c>
      <c r="H89" s="24">
        <f t="shared" si="39"/>
        <v>0</v>
      </c>
      <c r="I89" s="24">
        <f t="shared" si="39"/>
        <v>1</v>
      </c>
      <c r="J89" s="24">
        <f>SUM(D89:I89)</f>
        <v>119</v>
      </c>
      <c r="N89" t="s">
        <v>433</v>
      </c>
      <c r="Q89" s="27">
        <f>E85*SUM(F86:I88)</f>
        <v>120</v>
      </c>
      <c r="S89" s="26">
        <f>G86*SUM(D87:F88)</f>
        <v>180</v>
      </c>
    </row>
    <row r="90" spans="2:22" ht="24" customHeight="1">
      <c r="N90" t="s">
        <v>432</v>
      </c>
      <c r="Q90" s="27">
        <f>F85*SUM(G86:I88)</f>
        <v>14</v>
      </c>
      <c r="S90" s="26">
        <f>F86*SUM(D87:E88)</f>
        <v>228</v>
      </c>
    </row>
    <row r="91" spans="2:22" ht="24" customHeight="1">
      <c r="N91" t="s">
        <v>434</v>
      </c>
      <c r="Q91" s="27">
        <f>D86*SUM(E87:I88)</f>
        <v>495</v>
      </c>
      <c r="S91" s="26">
        <f>E86*SUM(D87:D88)</f>
        <v>375</v>
      </c>
    </row>
    <row r="92" spans="2:22" ht="24" customHeight="1">
      <c r="N92" t="s">
        <v>458</v>
      </c>
      <c r="Q92" s="27">
        <f>E86*SUM(F87:I88)</f>
        <v>250</v>
      </c>
      <c r="S92" s="26">
        <f>G87*SUM(D88:F88)</f>
        <v>14</v>
      </c>
    </row>
    <row r="93" spans="2:22" ht="24" customHeight="1">
      <c r="Q93" s="27">
        <f>F86*SUM(G87:I88)</f>
        <v>18</v>
      </c>
      <c r="S93" s="26">
        <f>F87*SUM(D88:E88)</f>
        <v>44</v>
      </c>
    </row>
    <row r="94" spans="2:22" ht="24" customHeight="1">
      <c r="Q94" s="27">
        <f>G86*SUM(H87:I88)</f>
        <v>4</v>
      </c>
      <c r="S94" s="26">
        <f>E87*SUM(D88)</f>
        <v>45</v>
      </c>
    </row>
    <row r="95" spans="2:22" ht="24" customHeight="1">
      <c r="B95" s="24"/>
      <c r="C95" s="24"/>
      <c r="D95" s="84" t="s">
        <v>460</v>
      </c>
      <c r="E95" s="84"/>
      <c r="F95" s="84"/>
      <c r="G95" s="84"/>
      <c r="H95" s="84"/>
      <c r="I95" s="84"/>
      <c r="J95" s="24"/>
      <c r="K95" s="24"/>
      <c r="L95" s="24"/>
      <c r="M95" s="24"/>
      <c r="N95" s="24"/>
      <c r="P95" s="25" t="s">
        <v>472</v>
      </c>
      <c r="Q95" s="12">
        <f>SUM(Q85:R94)</f>
        <v>1926</v>
      </c>
      <c r="R95" s="25" t="s">
        <v>473</v>
      </c>
      <c r="S95" s="12">
        <f>SUM(S85:S94)</f>
        <v>1356</v>
      </c>
      <c r="U95" s="33" t="s">
        <v>491</v>
      </c>
      <c r="V95" s="12">
        <f>S96*SQRT((Q95+S95)/I10*(1-S96*S96))</f>
        <v>0.89821745768853123</v>
      </c>
    </row>
    <row r="96" spans="2:22" ht="24" customHeight="1">
      <c r="B96" s="24"/>
      <c r="C96" s="24"/>
      <c r="D96" s="24" t="str">
        <f t="array" ref="D96:H96">TRANSPOSE(N100:N104)</f>
        <v>Less than 5 hr</v>
      </c>
      <c r="E96" s="24" t="str">
        <v>5-25 hr</v>
      </c>
      <c r="F96" s="24" t="str">
        <v>25-45 hr</v>
      </c>
      <c r="G96" s="24" t="str">
        <v>45-65 hr</v>
      </c>
      <c r="H96" s="24" t="str">
        <v>65-85 hr</v>
      </c>
      <c r="I96" s="24" t="s">
        <v>454</v>
      </c>
      <c r="J96" s="24" t="s">
        <v>449</v>
      </c>
      <c r="K96" s="24"/>
      <c r="L96" s="24"/>
      <c r="M96" s="24"/>
      <c r="N96" s="24"/>
      <c r="R96" s="25" t="s">
        <v>475</v>
      </c>
      <c r="S96" s="12">
        <f>(Q95-S95)/(Q95+S95)</f>
        <v>0.17367458866544791</v>
      </c>
      <c r="U96" s="33" t="s">
        <v>488</v>
      </c>
      <c r="V96" s="33">
        <f>TDIST(V95,118,2)</f>
        <v>0.37089874883131879</v>
      </c>
    </row>
    <row r="97" spans="2:22" ht="24" customHeight="1">
      <c r="B97" s="83" t="s">
        <v>448</v>
      </c>
      <c r="C97" s="13" t="s">
        <v>442</v>
      </c>
      <c r="D97" s="14">
        <f>COUNTIFS('Whole Data'!$K:$K,"&lt;6",'Whole Data'!$T:$T,"Less than 5 hours")</f>
        <v>2</v>
      </c>
      <c r="E97" s="15">
        <f>COUNTIFS('Whole Data'!$K:$K,"&lt;6",'Whole Data'!$T:$T,"Above 5 hours - Upto 25 hours")</f>
        <v>1</v>
      </c>
      <c r="F97" s="15">
        <f>COUNTIFS('Whole Data'!$K:$K,"&lt;6",'Whole Data'!$T:$T,"Above 25 hours - Upto 45 hours")</f>
        <v>0</v>
      </c>
      <c r="G97" s="15">
        <f>COUNTIFS('Whole Data'!$K:$K,"&lt;6",'Whole Data'!$T:$T,"Above 45 hours - Upto 65 hours")</f>
        <v>0</v>
      </c>
      <c r="H97" s="15">
        <f>COUNTIFS('Whole Data'!$K:$K,"&lt;6",'Whole Data'!$T:$T,"Above 65 hours - Upto 85 hours")</f>
        <v>0</v>
      </c>
      <c r="I97" s="16">
        <f>COUNTIFS('Whole Data'!$K:$K,"&lt;6",'Whole Data'!$T:$T,"More than 85 hours")</f>
        <v>0</v>
      </c>
      <c r="J97" s="24">
        <f>SUM(D97:I97)</f>
        <v>3</v>
      </c>
      <c r="K97" s="24"/>
      <c r="L97" s="24"/>
      <c r="M97" s="24"/>
      <c r="N97" s="24"/>
    </row>
    <row r="98" spans="2:22" ht="24" customHeight="1">
      <c r="B98" s="83"/>
      <c r="C98" s="24" t="s">
        <v>443</v>
      </c>
      <c r="D98" s="17">
        <f>COUNTIFS('Whole Data'!$K:$K,"&gt;6",'Whole Data'!$K:$K,"&lt;7",'Whole Data'!$T:$T,"Less than 5 hours")</f>
        <v>9</v>
      </c>
      <c r="E98" s="18">
        <f>COUNTIFS('Whole Data'!$K:$K,"&gt;6",'Whole Data'!$K:$K,"&lt;7",'Whole Data'!$T:$T,"Above 5 hours - Upto 25 hours")</f>
        <v>6</v>
      </c>
      <c r="F98" s="18">
        <f>COUNTIFS('Whole Data'!$K:$K,"&gt;6",'Whole Data'!$K:$K,"&lt;7",'Whole Data'!$T:$T,"Above 25 hours - Upto 45 hours")</f>
        <v>3</v>
      </c>
      <c r="G98" s="18">
        <f>COUNTIFS('Whole Data'!$K:$K,"&gt;6",'Whole Data'!$K:$K,"&lt;7",'Whole Data'!$T:$T,"Above 45 hours - Upto 65 hours")</f>
        <v>0</v>
      </c>
      <c r="H98" s="18">
        <f>COUNTIFS('Whole Data'!$K:$K,"&gt;6",'Whole Data'!$K:$K,"&lt;7",'Whole Data'!$T:$T,"Above 65 hours - Upto 85 hours")</f>
        <v>0</v>
      </c>
      <c r="I98" s="19">
        <f>COUNTIFS('Whole Data'!$K:$K,"&gt;6",'Whole Data'!$K:$K,"&lt;7",'Whole Data'!$T:$T,"More than 85 hours")</f>
        <v>0</v>
      </c>
      <c r="J98" s="24">
        <f t="shared" ref="J98:J101" si="40">SUM(D98:I98)</f>
        <v>18</v>
      </c>
      <c r="K98" s="24"/>
      <c r="L98" s="24"/>
      <c r="M98" s="24"/>
      <c r="N98" s="24"/>
      <c r="Q98" s="27">
        <f>D97*SUM(E98:I101)</f>
        <v>92</v>
      </c>
      <c r="S98" s="26">
        <f>E97*SUM(D98:D101)</f>
        <v>70</v>
      </c>
    </row>
    <row r="99" spans="2:22" ht="24" customHeight="1">
      <c r="B99" s="83"/>
      <c r="C99" s="24" t="s">
        <v>444</v>
      </c>
      <c r="D99" s="17">
        <f>COUNTIFS('Whole Data'!$K:$K,"&gt;7",'Whole Data'!$K:$K,"&lt;8",'Whole Data'!$T:$T,"Less than 5 hours")</f>
        <v>30</v>
      </c>
      <c r="E99" s="18">
        <f>COUNTIFS('Whole Data'!$K:$K,"&gt;7",'Whole Data'!$K:$K,"&lt;8",'Whole Data'!$T:$T,"Above 5 hours - Upto 25 hours")</f>
        <v>14</v>
      </c>
      <c r="F99" s="18">
        <f>COUNTIFS('Whole Data'!$K:$K,"&gt;7",'Whole Data'!$K:$K,"&lt;8",'Whole Data'!$T:$T,"Above 25 hours - Upto 45 hours")</f>
        <v>4</v>
      </c>
      <c r="G99" s="18">
        <f>COUNTIFS('Whole Data'!$K:$K,"&gt;7",'Whole Data'!$K:$K,"&lt;8",'Whole Data'!$T:$T,"Above 45 hours - Upto 65 hours")</f>
        <v>2</v>
      </c>
      <c r="H99" s="18">
        <f>COUNTIFS('Whole Data'!$K:$K,"&gt;7",'Whole Data'!$K:$K,"&lt;8",'Whole Data'!$T:$T,"Above 65 hours - Upto 85 hours")</f>
        <v>0</v>
      </c>
      <c r="I99" s="19">
        <f>COUNTIFS('Whole Data'!$K:$K,"&gt;7",'Whole Data'!$K:$K,"&lt;8",'Whole Data'!$T:$T,"More than 85 hours")</f>
        <v>0</v>
      </c>
      <c r="J99" s="24">
        <f t="shared" si="40"/>
        <v>50</v>
      </c>
      <c r="K99" s="24"/>
      <c r="L99" s="24"/>
      <c r="M99" s="24"/>
      <c r="N99" s="24"/>
      <c r="Q99" s="27">
        <f>E97*SUM(F98:I101)</f>
        <v>10</v>
      </c>
      <c r="S99" s="26">
        <f>F98*SUM(D99:E101)</f>
        <v>273</v>
      </c>
    </row>
    <row r="100" spans="2:22" ht="24" customHeight="1">
      <c r="B100" s="83"/>
      <c r="C100" s="24" t="s">
        <v>445</v>
      </c>
      <c r="D100" s="17">
        <f>COUNTIFS('Whole Data'!$K:$K,"&gt;8",'Whole Data'!$K:$K,"&lt;9",'Whole Data'!$T:$T,"Less than 5 hours")</f>
        <v>20</v>
      </c>
      <c r="E100" s="18">
        <f>COUNTIFS('Whole Data'!$K:$K,"&gt;8",'Whole Data'!$K:$K,"&lt;9",'Whole Data'!$T:$T,"Above 5 hours - Upto 25 hours")</f>
        <v>11</v>
      </c>
      <c r="F100" s="18">
        <f>COUNTIFS('Whole Data'!$K:$K,"&gt;8",'Whole Data'!$K:$K,"&lt;9",'Whole Data'!$T:$T,"Above 25 hours - Upto 45 hours")</f>
        <v>1</v>
      </c>
      <c r="G100" s="18">
        <f>COUNTIFS('Whole Data'!$K:$K,"&gt;8",'Whole Data'!$K:$K,"&lt;9",'Whole Data'!$T:$T,"Above 45 hours - Upto 65 hours")</f>
        <v>0</v>
      </c>
      <c r="H100" s="18">
        <f>COUNTIFS('Whole Data'!$K:$K,"&gt;8",'Whole Data'!$K:$K,"&lt;9",'Whole Data'!$T:$T,"Above 65 hours - Upto 85 hours")</f>
        <v>0</v>
      </c>
      <c r="I100" s="19">
        <f>COUNTIFS('Whole Data'!$K:$K,"&gt;8",'Whole Data'!$K:$K,"&lt;9",'Whole Data'!$T:$T,"More than 85 hours")</f>
        <v>0</v>
      </c>
      <c r="J100" s="24">
        <f t="shared" si="40"/>
        <v>32</v>
      </c>
      <c r="K100" s="24"/>
      <c r="L100" s="24"/>
      <c r="M100" s="24"/>
      <c r="N100" t="s">
        <v>467</v>
      </c>
      <c r="Q100" s="27">
        <f>D98*SUM(E99:I101)</f>
        <v>333</v>
      </c>
      <c r="S100" s="26">
        <f>E98*SUM(D99:D101)</f>
        <v>366</v>
      </c>
    </row>
    <row r="101" spans="2:22" ht="24" customHeight="1">
      <c r="B101" s="83"/>
      <c r="C101" s="24" t="s">
        <v>50</v>
      </c>
      <c r="D101" s="20">
        <f>COUNTIFS('Whole Data'!$K:$K,"&gt;9",'Whole Data'!$T:$T,"Less than 5 hours")</f>
        <v>11</v>
      </c>
      <c r="E101" s="21">
        <f>COUNTIFS('Whole Data'!$K:$K,"&gt;9",'Whole Data'!$T:$T,"Above 5 hours - Upto 25 hours")</f>
        <v>5</v>
      </c>
      <c r="F101" s="21">
        <f>COUNTIFS('Whole Data'!$K:$K,"&gt;9",'Whole Data'!$T:$T,"Above 25 hours - Upto 45 hours")</f>
        <v>0</v>
      </c>
      <c r="G101" s="21">
        <f>COUNTIFS('Whole Data'!$K:$K,"&gt;9",'Whole Data'!$T:$T,"Above 45 hours - Upto 65 hours")</f>
        <v>0</v>
      </c>
      <c r="H101" s="21">
        <f>COUNTIFS('Whole Data'!$K:$K,"&gt;9",'Whole Data'!$T:$T,"Above 65 hours - Upto 85 hours")</f>
        <v>0</v>
      </c>
      <c r="I101" s="22">
        <f>COUNTIFS('Whole Data'!$K:$K,"&gt;9",'Whole Data'!$T:$T,"More than 85 hours")</f>
        <v>0</v>
      </c>
      <c r="J101" s="24">
        <f t="shared" si="40"/>
        <v>16</v>
      </c>
      <c r="K101" s="24"/>
      <c r="L101" s="24"/>
      <c r="M101" s="24"/>
      <c r="N101" t="s">
        <v>431</v>
      </c>
      <c r="Q101" s="27">
        <f>E98*SUM(F99:I101)</f>
        <v>42</v>
      </c>
      <c r="S101" s="26">
        <f>G99*SUM(D100:F101)</f>
        <v>96</v>
      </c>
    </row>
    <row r="102" spans="2:22" ht="24" customHeight="1">
      <c r="B102" s="83"/>
      <c r="C102" s="24" t="s">
        <v>449</v>
      </c>
      <c r="D102" s="24">
        <f t="shared" ref="D102" si="41">SUM(D97:D101)</f>
        <v>72</v>
      </c>
      <c r="E102" s="24">
        <f t="shared" ref="E102:I102" si="42">SUM(E97:E101)</f>
        <v>37</v>
      </c>
      <c r="F102" s="24">
        <f t="shared" si="42"/>
        <v>8</v>
      </c>
      <c r="G102" s="24">
        <f t="shared" si="42"/>
        <v>2</v>
      </c>
      <c r="H102" s="24">
        <f t="shared" si="42"/>
        <v>0</v>
      </c>
      <c r="I102" s="24">
        <f t="shared" si="42"/>
        <v>0</v>
      </c>
      <c r="J102" s="24">
        <f>SUM(D102:I102)</f>
        <v>119</v>
      </c>
      <c r="K102" s="24"/>
      <c r="L102" s="24"/>
      <c r="M102" s="24"/>
      <c r="N102" t="s">
        <v>433</v>
      </c>
      <c r="Q102" s="27">
        <f>F98*SUM(G99:I101)</f>
        <v>6</v>
      </c>
      <c r="S102" s="26">
        <f>F99*SUM(D100:E101)</f>
        <v>188</v>
      </c>
    </row>
    <row r="103" spans="2:22" ht="24" customHeight="1">
      <c r="B103" s="24"/>
      <c r="C103" s="24"/>
      <c r="D103" s="24"/>
      <c r="E103" s="24"/>
      <c r="F103" s="24"/>
      <c r="G103" s="24"/>
      <c r="H103" s="24"/>
      <c r="I103" s="24"/>
      <c r="J103" s="24"/>
      <c r="K103" s="24"/>
      <c r="L103" s="24"/>
      <c r="M103" s="24"/>
      <c r="N103" t="s">
        <v>432</v>
      </c>
      <c r="Q103" s="27">
        <f>D99*SUM(E100:I101)</f>
        <v>510</v>
      </c>
      <c r="S103" s="26">
        <f>E99*SUM(D100:D101)</f>
        <v>434</v>
      </c>
    </row>
    <row r="104" spans="2:22" ht="24" customHeight="1">
      <c r="B104" s="24"/>
      <c r="C104" s="24"/>
      <c r="D104" s="24"/>
      <c r="E104" s="24"/>
      <c r="F104" s="24"/>
      <c r="G104" s="24"/>
      <c r="H104" s="24"/>
      <c r="I104" s="24"/>
      <c r="J104" s="24"/>
      <c r="K104" s="24"/>
      <c r="L104" s="24"/>
      <c r="M104" s="24"/>
      <c r="N104" t="s">
        <v>434</v>
      </c>
      <c r="Q104" s="27">
        <f>E99*SUM(F100:I101)</f>
        <v>14</v>
      </c>
      <c r="S104" s="26">
        <f>F100*SUM(D101:E101)</f>
        <v>16</v>
      </c>
    </row>
    <row r="105" spans="2:22" ht="24" customHeight="1">
      <c r="B105" s="24"/>
      <c r="C105" s="24"/>
      <c r="D105" s="24"/>
      <c r="E105" s="24"/>
      <c r="F105" s="24"/>
      <c r="G105" s="24"/>
      <c r="H105" s="24"/>
      <c r="I105" s="24"/>
      <c r="J105" s="24"/>
      <c r="K105" s="24"/>
      <c r="L105" s="24"/>
      <c r="M105" s="24"/>
      <c r="N105" t="s">
        <v>468</v>
      </c>
      <c r="Q105" s="27">
        <f>D100*SUM(E101:I101)</f>
        <v>100</v>
      </c>
      <c r="S105" s="26">
        <f>E100*SUM(D101)</f>
        <v>121</v>
      </c>
    </row>
    <row r="106" spans="2:22" ht="24" customHeight="1">
      <c r="P106" s="25" t="s">
        <v>472</v>
      </c>
      <c r="Q106" s="12">
        <f>SUM(Q98:Q105)</f>
        <v>1107</v>
      </c>
      <c r="R106" s="25" t="s">
        <v>473</v>
      </c>
      <c r="S106" s="12">
        <f>SUM(S98:S105)</f>
        <v>1564</v>
      </c>
      <c r="U106" s="33" t="s">
        <v>491</v>
      </c>
      <c r="V106" s="12">
        <f>S107*SQRT((Q106+S106)/I10*(1-S107*S107))</f>
        <v>-0.79864553466973587</v>
      </c>
    </row>
    <row r="107" spans="2:22" ht="24" customHeight="1">
      <c r="B107" s="24"/>
      <c r="C107" s="24"/>
      <c r="D107" s="84" t="s">
        <v>461</v>
      </c>
      <c r="E107" s="84"/>
      <c r="F107" s="84"/>
      <c r="G107" s="84"/>
      <c r="H107" s="84"/>
      <c r="I107" s="84"/>
      <c r="J107" s="24"/>
      <c r="R107" s="25" t="s">
        <v>475</v>
      </c>
      <c r="S107" s="12">
        <f>(Q106-S106)/(Q106+S106)</f>
        <v>-0.17109696742792962</v>
      </c>
      <c r="U107" s="33" t="s">
        <v>488</v>
      </c>
      <c r="V107" s="33">
        <f>TDIST(ABS(V106),118,2)</f>
        <v>0.42610048400844502</v>
      </c>
    </row>
    <row r="108" spans="2:22" ht="24" customHeight="1">
      <c r="B108" s="24"/>
      <c r="C108" s="24"/>
      <c r="D108" s="24" t="str">
        <f t="array" ref="D108:H108">TRANSPOSE(N112:N116)</f>
        <v>Less than 10 hr</v>
      </c>
      <c r="E108" s="24" t="str">
        <v>10-30 hr</v>
      </c>
      <c r="F108" s="24" t="str">
        <v>30-50 hr</v>
      </c>
      <c r="G108" s="24" t="str">
        <v>50-70 hr</v>
      </c>
      <c r="H108" s="24" t="str">
        <v>More than 70 hr</v>
      </c>
      <c r="I108" s="24" t="s">
        <v>43</v>
      </c>
      <c r="J108" s="24" t="s">
        <v>449</v>
      </c>
    </row>
    <row r="109" spans="2:22" ht="24" customHeight="1">
      <c r="B109" s="83" t="s">
        <v>448</v>
      </c>
      <c r="C109" s="13" t="s">
        <v>442</v>
      </c>
      <c r="D109" s="14">
        <f>COUNTIFS('Whole Data'!$K:$K,"&lt;6",'Whole Data'!$Y:$Y,"Less than 10 hours")</f>
        <v>1</v>
      </c>
      <c r="E109" s="15">
        <f>COUNTIFS('Whole Data'!$K:$K,"&lt;6",'Whole Data'!$Y:$Y,"Above 10 hours - Upto 30 hours")</f>
        <v>0</v>
      </c>
      <c r="F109" s="15">
        <f>COUNTIFS('Whole Data'!$K:$K,"&lt;6",'Whole Data'!$Y:$Y,"Above 30 hours - Upto 50 hours")</f>
        <v>0</v>
      </c>
      <c r="G109" s="15">
        <f>COUNTIFS('Whole Data'!$K:$K,"&lt;6",'Whole Data'!$Y:$Y,"Above 50 hours - Upto 70 hours")</f>
        <v>0</v>
      </c>
      <c r="H109" s="15">
        <f>COUNTIFS('Whole Data'!$K:$K,"&lt;6",'Whole Data'!$Y:$Y,"More than 70 hours")</f>
        <v>0</v>
      </c>
      <c r="I109" s="16">
        <f>COUNTIFS('Whole Data'!$K:$K,"&lt;6",'Whole Data'!$Y:$Y,"NO")</f>
        <v>2</v>
      </c>
      <c r="J109" s="24">
        <f>SUM(D109:I109)</f>
        <v>3</v>
      </c>
      <c r="Q109" s="27">
        <f>D109*SUM(E110:I113)</f>
        <v>78</v>
      </c>
      <c r="S109" s="26">
        <f>I109*SUM(D110:H113)</f>
        <v>102</v>
      </c>
    </row>
    <row r="110" spans="2:22" ht="24" customHeight="1">
      <c r="B110" s="83"/>
      <c r="C110" s="24" t="s">
        <v>443</v>
      </c>
      <c r="D110" s="17">
        <f>COUNTIFS('Whole Data'!$K:$K,"&gt;6",'Whole Data'!$K:$K,"&lt;7",'Whole Data'!$Y:$Y,"Less than 10 hours")</f>
        <v>3</v>
      </c>
      <c r="E110" s="18">
        <f>COUNTIFS('Whole Data'!$K:$K,"&gt;6",'Whole Data'!$K:$K,"&lt;7",'Whole Data'!$Y:$Y,"Above 10 hours - Upto 30 hours")</f>
        <v>2</v>
      </c>
      <c r="F110" s="18">
        <f>COUNTIFS('Whole Data'!$K:$K,"&gt;6",'Whole Data'!$K:$K,"&lt;7",'Whole Data'!$Y:$Y,"Above 30 hours - Upto 50 hours")</f>
        <v>0</v>
      </c>
      <c r="G110" s="18">
        <f>COUNTIFS('Whole Data'!$K:$K,"&gt;6",'Whole Data'!$K:$K,"&lt;7",'Whole Data'!$Y:$Y,"Above 50 hours - Upto 70 hours")</f>
        <v>0</v>
      </c>
      <c r="H110" s="18">
        <f>COUNTIFS('Whole Data'!$K:$K,"&gt;6",'Whole Data'!$K:$K,"&lt;7",'Whole Data'!$Y:$Y,"More than 70 hours")</f>
        <v>0</v>
      </c>
      <c r="I110" s="19">
        <f>COUNTIFS('Whole Data'!$K:$K,"&gt;6",'Whole Data'!$K:$K,"&lt;7",'Whole Data'!$Y:$Y,"NO")</f>
        <v>13</v>
      </c>
      <c r="J110" s="24">
        <f t="shared" ref="J110:J113" si="43">SUM(D110:I110)</f>
        <v>18</v>
      </c>
      <c r="Q110" s="27">
        <f>D110*SUM(E111:I113)</f>
        <v>189</v>
      </c>
      <c r="S110" s="26">
        <f>I110*SUM(D111:H113)</f>
        <v>598</v>
      </c>
    </row>
    <row r="111" spans="2:22" ht="24" customHeight="1">
      <c r="B111" s="83"/>
      <c r="C111" s="24" t="s">
        <v>444</v>
      </c>
      <c r="D111" s="17">
        <f>COUNTIFS('Whole Data'!$K:$K,"&gt;7",'Whole Data'!$K:$K,"&lt;8",'Whole Data'!$Y:$Y,"Less than 10 hours")</f>
        <v>14</v>
      </c>
      <c r="E111" s="18">
        <f>COUNTIFS('Whole Data'!$K:$K,"&gt;7",'Whole Data'!$K:$K,"&lt;8",'Whole Data'!$Y:$Y,"Above 10 hours - Upto 30 hours")</f>
        <v>5</v>
      </c>
      <c r="F111" s="18">
        <f>COUNTIFS('Whole Data'!$K:$K,"&gt;7",'Whole Data'!$K:$K,"&lt;8",'Whole Data'!$Y:$Y,"Above 30 hours - Upto 50 hours")</f>
        <v>0</v>
      </c>
      <c r="G111" s="18">
        <f>COUNTIFS('Whole Data'!$K:$K,"&gt;7",'Whole Data'!$K:$K,"&lt;8",'Whole Data'!$Y:$Y,"Above 50 hours - Upto 70 hours")</f>
        <v>0</v>
      </c>
      <c r="H111" s="18">
        <f>COUNTIFS('Whole Data'!$K:$K,"&gt;7",'Whole Data'!$K:$K,"&lt;8",'Whole Data'!$Y:$Y,"More than 70 hours")</f>
        <v>0</v>
      </c>
      <c r="I111" s="19">
        <f>COUNTIFS('Whole Data'!$K:$K,"&gt;7",'Whole Data'!$K:$K,"&lt;8",'Whole Data'!$Y:$Y,"NO")</f>
        <v>31</v>
      </c>
      <c r="J111" s="24">
        <f t="shared" si="43"/>
        <v>50</v>
      </c>
      <c r="Q111" s="27">
        <f>E110*SUM(F111:I113)</f>
        <v>108</v>
      </c>
      <c r="S111" s="26">
        <f>E110*SUM(D111:D113)</f>
        <v>70</v>
      </c>
    </row>
    <row r="112" spans="2:22" ht="24" customHeight="1">
      <c r="B112" s="83"/>
      <c r="C112" s="24" t="s">
        <v>445</v>
      </c>
      <c r="D112" s="17">
        <f>COUNTIFS('Whole Data'!$K:$K,"&gt;8",'Whole Data'!$K:$K,"&lt;9",'Whole Data'!$Y:$Y,"Less than 10 hours")</f>
        <v>14</v>
      </c>
      <c r="E112" s="18">
        <f>COUNTIFS('Whole Data'!$K:$K,"&gt;8",'Whole Data'!$K:$K,"&lt;9",'Whole Data'!$Y:$Y,"Above 10 hours - Upto 30 hours")</f>
        <v>3</v>
      </c>
      <c r="F112" s="18">
        <f>COUNTIFS('Whole Data'!$K:$K,"&gt;8",'Whole Data'!$K:$K,"&lt;9",'Whole Data'!$Y:$Y,"Above 30 hours - Upto 50 hours")</f>
        <v>0</v>
      </c>
      <c r="G112" s="18">
        <f>COUNTIFS('Whole Data'!$K:$K,"&gt;8",'Whole Data'!$K:$K,"&lt;9",'Whole Data'!$Y:$Y,"Above 50 hours - Upto 70 hours")</f>
        <v>0</v>
      </c>
      <c r="H112" s="18">
        <f>COUNTIFS('Whole Data'!$K:$K,"&gt;8",'Whole Data'!$K:$K,"&lt;9",'Whole Data'!$Y:$Y,"More than 70 hours")</f>
        <v>0</v>
      </c>
      <c r="I112" s="19">
        <f>COUNTIFS('Whole Data'!$K:$K,"&gt;8",'Whole Data'!$K:$K,"&lt;9",'Whole Data'!$Y:$Y,"NO")</f>
        <v>15</v>
      </c>
      <c r="J112" s="24">
        <f t="shared" si="43"/>
        <v>32</v>
      </c>
      <c r="N112" t="s">
        <v>465</v>
      </c>
      <c r="Q112" s="27">
        <f>D111*SUM(E112:I113)</f>
        <v>378</v>
      </c>
      <c r="S112" s="26">
        <f>I111*SUM(D112:H113)</f>
        <v>837</v>
      </c>
    </row>
    <row r="113" spans="2:22" ht="24" customHeight="1">
      <c r="B113" s="83"/>
      <c r="C113" s="24" t="s">
        <v>50</v>
      </c>
      <c r="D113" s="20">
        <f>COUNTIFS('Whole Data'!$K:$K,"&gt;9",'Whole Data'!$Y:$Y,"Less than 10 hours")</f>
        <v>7</v>
      </c>
      <c r="E113" s="21">
        <f>COUNTIFS('Whole Data'!$K:$K,"&gt;9",'Whole Data'!$Y:$Y,"Above 10 hours - Upto 30 hours")</f>
        <v>1</v>
      </c>
      <c r="F113" s="21">
        <f>COUNTIFS('Whole Data'!$K:$K,"&gt;9",'Whole Data'!$Y:$Y,"Above 30 hours - Upto 50 hours")</f>
        <v>2</v>
      </c>
      <c r="G113" s="21">
        <f>COUNTIFS('Whole Data'!$K:$K,"&gt;9",'Whole Data'!$Y:$Y,"Above 50 hours - Upto 70 hours")</f>
        <v>0</v>
      </c>
      <c r="H113" s="21">
        <f>COUNTIFS('Whole Data'!$K:$K,"&gt;9",'Whole Data'!$Y:$Y,"More than 70 hours")</f>
        <v>0</v>
      </c>
      <c r="I113" s="22">
        <f>COUNTIFS('Whole Data'!$K:$K,"&gt;9",'Whole Data'!$Y:$Y,"NO")</f>
        <v>6</v>
      </c>
      <c r="J113" s="24">
        <f t="shared" si="43"/>
        <v>16</v>
      </c>
      <c r="N113" t="s">
        <v>425</v>
      </c>
      <c r="Q113" s="27">
        <f>E111*SUM(F112:I113)</f>
        <v>115</v>
      </c>
      <c r="S113" s="26">
        <f>E111*SUM(D112:D113)</f>
        <v>105</v>
      </c>
    </row>
    <row r="114" spans="2:22" ht="24" customHeight="1">
      <c r="B114" s="83"/>
      <c r="C114" s="24" t="s">
        <v>449</v>
      </c>
      <c r="D114" s="24">
        <f t="shared" ref="D114" si="44">SUM(D109:D113)</f>
        <v>39</v>
      </c>
      <c r="E114" s="24">
        <f t="shared" ref="E114:I114" si="45">SUM(E109:E113)</f>
        <v>11</v>
      </c>
      <c r="F114" s="24">
        <f t="shared" si="45"/>
        <v>2</v>
      </c>
      <c r="G114" s="24">
        <f t="shared" si="45"/>
        <v>0</v>
      </c>
      <c r="H114" s="24">
        <f t="shared" si="45"/>
        <v>0</v>
      </c>
      <c r="I114" s="24">
        <f t="shared" si="45"/>
        <v>67</v>
      </c>
      <c r="J114" s="24">
        <f>SUM(D114:I114)</f>
        <v>119</v>
      </c>
      <c r="N114" t="s">
        <v>426</v>
      </c>
      <c r="Q114" s="27">
        <f>D112*SUM(E113:I113)</f>
        <v>126</v>
      </c>
      <c r="S114" s="26">
        <f>I112*SUM(D113:H113)</f>
        <v>150</v>
      </c>
    </row>
    <row r="115" spans="2:22" ht="24" customHeight="1">
      <c r="B115" s="24"/>
      <c r="C115" s="24"/>
      <c r="D115" s="24"/>
      <c r="E115" s="24"/>
      <c r="F115" s="24"/>
      <c r="G115" s="24"/>
      <c r="H115" s="24"/>
      <c r="I115" s="24"/>
      <c r="J115" s="24"/>
      <c r="N115" t="s">
        <v>427</v>
      </c>
      <c r="Q115" s="27">
        <f>E112*SUM(F113:I113)</f>
        <v>24</v>
      </c>
      <c r="S115" s="26">
        <f>E112*SUM(D113)</f>
        <v>21</v>
      </c>
    </row>
    <row r="116" spans="2:22" ht="24" customHeight="1">
      <c r="N116" t="s">
        <v>466</v>
      </c>
      <c r="P116" s="25" t="s">
        <v>472</v>
      </c>
      <c r="Q116" s="12">
        <f>SUM(Q109:Q115)</f>
        <v>1018</v>
      </c>
      <c r="S116" s="12">
        <f>SUM(S109:S115)</f>
        <v>1883</v>
      </c>
    </row>
    <row r="117" spans="2:22" ht="24" customHeight="1">
      <c r="N117" t="s">
        <v>42</v>
      </c>
      <c r="R117" s="25" t="s">
        <v>475</v>
      </c>
      <c r="S117" s="12">
        <f>(Q116-S116)/(Q116+S116)</f>
        <v>-0.29817304377800757</v>
      </c>
      <c r="U117" s="33" t="s">
        <v>491</v>
      </c>
      <c r="V117" s="12">
        <f>S117*SQRT((Q116+S116)/I10*(1-S117*S117))</f>
        <v>-1.4052386241787216</v>
      </c>
    </row>
    <row r="118" spans="2:22" ht="24" customHeight="1">
      <c r="U118" s="33" t="s">
        <v>488</v>
      </c>
      <c r="V118" s="12">
        <f>TDIST(ABS(V117),118,2)</f>
        <v>0.16257761718768615</v>
      </c>
    </row>
    <row r="120" spans="2:22" ht="24" customHeight="1">
      <c r="B120" s="24"/>
      <c r="C120" s="24"/>
      <c r="D120" s="84" t="s">
        <v>462</v>
      </c>
      <c r="E120" s="84"/>
      <c r="F120" s="84"/>
      <c r="G120" s="84"/>
      <c r="H120" s="84"/>
      <c r="I120" s="84"/>
      <c r="J120" s="24"/>
      <c r="K120" s="24"/>
      <c r="L120" s="24"/>
      <c r="M120" s="24"/>
      <c r="N120" s="24"/>
      <c r="Q120" s="27">
        <f>D122*SUM(E123:I126)</f>
        <v>58</v>
      </c>
      <c r="S120" s="26">
        <f>I122*SUM(D123:H126)</f>
        <v>82</v>
      </c>
    </row>
    <row r="121" spans="2:22" ht="24" customHeight="1">
      <c r="B121" s="24"/>
      <c r="C121" s="24"/>
      <c r="D121" s="24" t="str">
        <f t="array" ref="D121:H121">TRANSPOSE(N125:N129)</f>
        <v>Less than 10 hr</v>
      </c>
      <c r="E121" s="24" t="str">
        <v>10-30 hr</v>
      </c>
      <c r="F121" s="24" t="str">
        <v>30-50 hr</v>
      </c>
      <c r="G121" s="24" t="str">
        <v>50-70 hr</v>
      </c>
      <c r="H121" s="24" t="str">
        <v>More than 70 hr</v>
      </c>
      <c r="I121" s="24" t="s">
        <v>43</v>
      </c>
      <c r="J121" s="24" t="s">
        <v>449</v>
      </c>
      <c r="K121" s="24"/>
      <c r="L121" s="24"/>
      <c r="M121" s="24"/>
      <c r="N121" s="24"/>
      <c r="Q121" s="27">
        <f>E122*SUM(F123:I126)</f>
        <v>38</v>
      </c>
      <c r="S121" s="26">
        <f>E122*SUM(D123:D126)</f>
        <v>58</v>
      </c>
    </row>
    <row r="122" spans="2:22" ht="24" customHeight="1">
      <c r="B122" s="83" t="s">
        <v>448</v>
      </c>
      <c r="C122" s="13" t="s">
        <v>442</v>
      </c>
      <c r="D122" s="14">
        <f>COUNTIFS('Whole Data'!$K:$K,"&lt;6",'Whole Data'!$AA:AA,"Less than 10 hours")</f>
        <v>1</v>
      </c>
      <c r="E122" s="15">
        <f>COUNTIFS('Whole Data'!$K:$K,"&lt;6",'Whole Data'!$AA:$AA,"Above 10 hours - Upto 30 hours")</f>
        <v>1</v>
      </c>
      <c r="F122" s="15">
        <f>COUNTIFS('Whole Data'!$K:$K,"&lt;6",'Whole Data'!$AA:$AA,"Above 30 hours - Upto 50 hours")</f>
        <v>0</v>
      </c>
      <c r="G122" s="15">
        <f>COUNTIFS('Whole Data'!$K:$K,"&lt;6",'Whole Data'!$AA:$AA,"Above 50 hours - Upto 70 hours")</f>
        <v>0</v>
      </c>
      <c r="H122" s="15">
        <f>COUNTIFS('Whole Data'!$K:$K,"&lt;6",'Whole Data'!$AA:$AA,"More than 70 hours")</f>
        <v>0</v>
      </c>
      <c r="I122" s="16">
        <f>COUNTIFS('Whole Data'!$K:$K,"&lt;6",'Whole Data'!$AA:$AA,"NO")</f>
        <v>1</v>
      </c>
      <c r="J122" s="24">
        <f>SUM(D122:I122)</f>
        <v>3</v>
      </c>
      <c r="K122" s="24"/>
      <c r="L122" s="24"/>
      <c r="M122" s="24"/>
      <c r="N122" s="24"/>
      <c r="Q122" s="27">
        <f>D123*SUM(E124:I126)</f>
        <v>441</v>
      </c>
      <c r="S122" s="26">
        <f>I123*SUM(D124:H126)</f>
        <v>201</v>
      </c>
    </row>
    <row r="123" spans="2:22" ht="24" customHeight="1">
      <c r="B123" s="83"/>
      <c r="C123" s="24" t="s">
        <v>443</v>
      </c>
      <c r="D123" s="17">
        <f>COUNTIFS('Whole Data'!$K:$K,"&gt;6",'Whole Data'!$K:$K,"&lt;7",'Whole Data'!$AA:$AA,"Less than 10 hours")</f>
        <v>9</v>
      </c>
      <c r="E123" s="18">
        <f>COUNTIFS('Whole Data'!$K:$K,"&gt;6",'Whole Data'!$K:$K,"&lt;7",'Whole Data'!$AA:$AA,"Above 10 hours - Upto 30 hours")</f>
        <v>5</v>
      </c>
      <c r="F123" s="18">
        <f>COUNTIFS('Whole Data'!$K:$K,"&gt;6",'Whole Data'!$K:$K,"&lt;7",'Whole Data'!$AA:$AA,"Above 30 hours - Upto 50 hours")</f>
        <v>1</v>
      </c>
      <c r="G123" s="18">
        <f>COUNTIFS('Whole Data'!$K:$K,"&gt;6",'Whole Data'!$K:$K,"&lt;7",'Whole Data'!$AA:$AA,"Above 50 hours - Upto 70 hours")</f>
        <v>0</v>
      </c>
      <c r="H123" s="18">
        <f>COUNTIFS('Whole Data'!$K:$K,"&gt;6",'Whole Data'!$K:$K,"&lt;7",'Whole Data'!$AA:$AA,"More than 70 hours")</f>
        <v>0</v>
      </c>
      <c r="I123" s="19">
        <f>COUNTIFS('Whole Data'!$K:$K,"&gt;6",'Whole Data'!$K:$K,"&lt;7",'Whole Data'!$AA:$AA,"NO")</f>
        <v>3</v>
      </c>
      <c r="J123" s="24">
        <f t="shared" ref="J123:J126" si="46">SUM(D123:I123)</f>
        <v>18</v>
      </c>
      <c r="K123" s="24"/>
      <c r="L123" s="24"/>
      <c r="M123" s="24"/>
      <c r="N123" s="24"/>
      <c r="Q123" s="27">
        <f>E123*SUM(F124:I126)</f>
        <v>170</v>
      </c>
      <c r="S123" s="26">
        <f>F123*SUM(D124:E126)</f>
        <v>64</v>
      </c>
    </row>
    <row r="124" spans="2:22" ht="24" customHeight="1">
      <c r="B124" s="83"/>
      <c r="C124" s="24" t="s">
        <v>444</v>
      </c>
      <c r="D124" s="17">
        <f>COUNTIFS('Whole Data'!$K:$K,"&gt;7",'Whole Data'!$K:$K,"&lt;8",'Whole Data'!$AA:$AA,"Less than 10 hours")</f>
        <v>27</v>
      </c>
      <c r="E124" s="18">
        <f>COUNTIFS('Whole Data'!$K:$K,"&gt;7",'Whole Data'!$K:$K,"&lt;8",'Whole Data'!$AA:$AA,"Above 10 hours - Upto 30 hours")</f>
        <v>6</v>
      </c>
      <c r="F124" s="18">
        <f>COUNTIFS('Whole Data'!$K:$K,"&gt;7",'Whole Data'!$K:$K,"&lt;8",'Whole Data'!$AA:$AA,"Above 30 hours - Upto 50 hours")</f>
        <v>2</v>
      </c>
      <c r="G124" s="18">
        <f>COUNTIFS('Whole Data'!$K:$K,"&gt;7",'Whole Data'!$K:$K,"&lt;8",'Whole Data'!$AA:$AA,"Above 50 hours - Upto 70 hours")</f>
        <v>0</v>
      </c>
      <c r="H124" s="18">
        <f>COUNTIFS('Whole Data'!$K:$K,"&gt;7",'Whole Data'!$K:$K,"&lt;8",'Whole Data'!$AA:$AA,"More than 70 hours")</f>
        <v>0</v>
      </c>
      <c r="I124" s="19">
        <f>COUNTIFS('Whole Data'!$K:$K,"&gt;7",'Whole Data'!$K:$K,"&lt;8",'Whole Data'!$AA:$AA,"NO")</f>
        <v>15</v>
      </c>
      <c r="J124" s="24">
        <f t="shared" si="46"/>
        <v>50</v>
      </c>
      <c r="K124" s="24"/>
      <c r="L124" s="24"/>
      <c r="M124" s="24"/>
      <c r="N124" s="24"/>
      <c r="Q124" s="27">
        <f>F123*SUM(G124:I126)</f>
        <v>31</v>
      </c>
      <c r="S124" s="26">
        <f>E123*SUM(D124:D126)</f>
        <v>245</v>
      </c>
    </row>
    <row r="125" spans="2:22" ht="24" customHeight="1">
      <c r="B125" s="83"/>
      <c r="C125" s="24" t="s">
        <v>445</v>
      </c>
      <c r="D125" s="17">
        <f>COUNTIFS('Whole Data'!$K:$K,"&gt;8",'Whole Data'!$K:$K,"&lt;9",'Whole Data'!$AA:$AA,"Less than 10 hours")</f>
        <v>14</v>
      </c>
      <c r="E125" s="18">
        <f>COUNTIFS('Whole Data'!$K:$K,"&gt;8",'Whole Data'!$K:$K,"&lt;9",'Whole Data'!$AA:$AA,"Above 10 hours - Upto 30 hours")</f>
        <v>7</v>
      </c>
      <c r="F125" s="18">
        <f>COUNTIFS('Whole Data'!$K:$K,"&gt;8",'Whole Data'!$K:$K,"&lt;9",'Whole Data'!$AA:$AA,"Above 30 hours - Upto 50 hours")</f>
        <v>0</v>
      </c>
      <c r="G125" s="18">
        <f>COUNTIFS('Whole Data'!$K:$K,"&gt;8",'Whole Data'!$K:$K,"&lt;9",'Whole Data'!$AA:$AA,"Above 50 hours - Upto 70 hours")</f>
        <v>0</v>
      </c>
      <c r="H125" s="18">
        <f>COUNTIFS('Whole Data'!$K:$K,"&gt;8",'Whole Data'!$K:$K,"&lt;9",'Whole Data'!$AA:$AA,"More than 70 hours")</f>
        <v>0</v>
      </c>
      <c r="I125" s="19">
        <f>COUNTIFS('Whole Data'!$K:$K,"&gt;8",'Whole Data'!$K:$K,"&lt;9",'Whole Data'!$AA:$AA,"NO")</f>
        <v>11</v>
      </c>
      <c r="J125" s="24">
        <f t="shared" si="46"/>
        <v>32</v>
      </c>
      <c r="K125" s="24"/>
      <c r="L125" s="24"/>
      <c r="M125" s="24"/>
      <c r="N125" t="s">
        <v>465</v>
      </c>
      <c r="Q125" s="27">
        <f>D124*SUM(E125:I126)</f>
        <v>702</v>
      </c>
      <c r="S125" s="26">
        <f>I124*SUM(D125:H126)</f>
        <v>480</v>
      </c>
    </row>
    <row r="126" spans="2:22" ht="24" customHeight="1">
      <c r="B126" s="83"/>
      <c r="C126" s="24" t="s">
        <v>50</v>
      </c>
      <c r="D126" s="20">
        <f>COUNTIFS('Whole Data'!$K:$K,"&gt;9",'Whole Data'!$AA:$AA,"Less than 10 hours")</f>
        <v>8</v>
      </c>
      <c r="E126" s="21">
        <f>COUNTIFS('Whole Data'!$K:$K,"&gt;9",'Whole Data'!$AA:$AA,"Above 10 hours - Upto 30 hours")</f>
        <v>2</v>
      </c>
      <c r="F126" s="21">
        <f>COUNTIFS('Whole Data'!$K:$K,"&gt;9",'Whole Data'!$AA:$AA,"Above 30 hours - Upto 50 hours")</f>
        <v>1</v>
      </c>
      <c r="G126" s="21">
        <f>COUNTIFS('Whole Data'!$K:$K,"&gt;9",'Whole Data'!$AA:$AA,"Above 50 hours - Upto 70 hours")</f>
        <v>0</v>
      </c>
      <c r="H126" s="21">
        <f>COUNTIFS('Whole Data'!$K:$K,"&gt;9",'Whole Data'!$AA:$AA,"More than 70 hours")</f>
        <v>0</v>
      </c>
      <c r="I126" s="22">
        <f>COUNTIFS('Whole Data'!$K:$K,"&gt;9",'Whole Data'!$AA:$AA,"NO")</f>
        <v>5</v>
      </c>
      <c r="J126" s="24">
        <f t="shared" si="46"/>
        <v>16</v>
      </c>
      <c r="K126" s="24"/>
      <c r="L126" s="24"/>
      <c r="M126" s="24"/>
      <c r="N126" t="s">
        <v>425</v>
      </c>
      <c r="Q126" s="27">
        <f>E124*SUM(F125:I126)</f>
        <v>102</v>
      </c>
      <c r="S126" s="26">
        <f>F124*SUM(D125:E126)</f>
        <v>62</v>
      </c>
    </row>
    <row r="127" spans="2:22" ht="24" customHeight="1">
      <c r="B127" s="83"/>
      <c r="C127" s="24" t="s">
        <v>449</v>
      </c>
      <c r="D127" s="24">
        <f t="shared" ref="D127" si="47">SUM(D122:D126)</f>
        <v>59</v>
      </c>
      <c r="E127" s="24">
        <f t="shared" ref="E127:I127" si="48">SUM(E122:E126)</f>
        <v>21</v>
      </c>
      <c r="F127" s="24">
        <f t="shared" si="48"/>
        <v>4</v>
      </c>
      <c r="G127" s="24">
        <f t="shared" si="48"/>
        <v>0</v>
      </c>
      <c r="H127" s="24">
        <f t="shared" si="48"/>
        <v>0</v>
      </c>
      <c r="I127" s="24">
        <f t="shared" si="48"/>
        <v>35</v>
      </c>
      <c r="J127" s="24">
        <f>SUM(D127:I127)</f>
        <v>119</v>
      </c>
      <c r="K127" s="24"/>
      <c r="L127" s="24"/>
      <c r="M127" s="24"/>
      <c r="N127" t="s">
        <v>426</v>
      </c>
      <c r="Q127" s="27">
        <f>F124*SUM(G125:I126)</f>
        <v>32</v>
      </c>
      <c r="S127" s="26">
        <f>E124*SUM(D125:D126)</f>
        <v>132</v>
      </c>
    </row>
    <row r="128" spans="2:22" ht="24" customHeight="1">
      <c r="B128" s="24"/>
      <c r="C128" s="24"/>
      <c r="D128" s="24"/>
      <c r="E128" s="24"/>
      <c r="F128" s="24"/>
      <c r="G128" s="24"/>
      <c r="H128" s="24"/>
      <c r="I128" s="24"/>
      <c r="J128" s="24"/>
      <c r="K128" s="24"/>
      <c r="L128" s="24"/>
      <c r="M128" s="24"/>
      <c r="N128" t="s">
        <v>427</v>
      </c>
      <c r="Q128" s="27">
        <f>D125*SUM(E126:I126)</f>
        <v>112</v>
      </c>
      <c r="S128" s="26">
        <f>I125*SUM(D126:H126)</f>
        <v>121</v>
      </c>
    </row>
    <row r="129" spans="2:22" ht="24" customHeight="1">
      <c r="B129" s="24"/>
      <c r="C129" s="24"/>
      <c r="D129" s="24"/>
      <c r="E129" s="24"/>
      <c r="F129" s="24"/>
      <c r="G129" s="24"/>
      <c r="H129" s="24"/>
      <c r="I129" s="24"/>
      <c r="J129" s="24"/>
      <c r="K129" s="24"/>
      <c r="L129" s="24"/>
      <c r="M129" s="24"/>
      <c r="N129" t="s">
        <v>466</v>
      </c>
      <c r="Q129" s="27">
        <f>E125*SUM(F126:I126)</f>
        <v>42</v>
      </c>
      <c r="S129" s="26">
        <f>E125*SUM(D126)</f>
        <v>56</v>
      </c>
    </row>
    <row r="130" spans="2:22" ht="24" customHeight="1">
      <c r="B130" s="24"/>
      <c r="C130" s="24"/>
      <c r="D130" s="24"/>
      <c r="E130" s="24"/>
      <c r="F130" s="24"/>
      <c r="G130" s="24"/>
      <c r="H130" s="24"/>
      <c r="I130" s="24"/>
      <c r="J130" s="24"/>
      <c r="K130" s="24"/>
      <c r="L130" s="24"/>
      <c r="M130" s="24"/>
      <c r="N130" t="s">
        <v>42</v>
      </c>
      <c r="P130" s="25" t="s">
        <v>472</v>
      </c>
      <c r="Q130" s="12">
        <f>SUM(Q120:Q129)</f>
        <v>1728</v>
      </c>
      <c r="R130" s="25" t="s">
        <v>473</v>
      </c>
      <c r="S130" s="12">
        <f>SUM(S120:S129)</f>
        <v>1501</v>
      </c>
    </row>
    <row r="131" spans="2:22" ht="24" customHeight="1">
      <c r="R131" s="25" t="s">
        <v>475</v>
      </c>
      <c r="S131" s="12">
        <f>(Q130-S130)/(Q130+S130)</f>
        <v>7.0300402601424589E-2</v>
      </c>
      <c r="U131" s="33" t="s">
        <v>491</v>
      </c>
      <c r="V131" s="12">
        <f>S131*SQRT((Q130+S130)/I10*(1-S131*S131))</f>
        <v>0.36529398393399543</v>
      </c>
    </row>
    <row r="132" spans="2:22" ht="24" customHeight="1">
      <c r="B132" s="24"/>
      <c r="C132" s="24"/>
      <c r="D132" s="84" t="s">
        <v>463</v>
      </c>
      <c r="E132" s="84"/>
      <c r="F132" s="84"/>
      <c r="G132" s="84"/>
      <c r="H132" s="84"/>
      <c r="I132" s="84"/>
      <c r="J132" s="24"/>
      <c r="K132" s="24"/>
      <c r="L132" s="24"/>
      <c r="M132" s="24"/>
      <c r="N132" s="24"/>
      <c r="U132" s="33" t="s">
        <v>488</v>
      </c>
      <c r="V132" s="12">
        <f>TDIST(V131,118,2)</f>
        <v>0.715545921227979</v>
      </c>
    </row>
    <row r="133" spans="2:22" ht="24" customHeight="1">
      <c r="B133" s="24"/>
      <c r="C133" s="24"/>
      <c r="D133" s="24" t="str">
        <f t="array" ref="D133:H133">TRANSPOSE(N137:N141)</f>
        <v>Less than 2 hr</v>
      </c>
      <c r="E133" s="24" t="str">
        <v>2-4 hr</v>
      </c>
      <c r="F133" s="24" t="str">
        <v>4-6 hr</v>
      </c>
      <c r="G133" s="24" t="str">
        <v>6-8 hr</v>
      </c>
      <c r="H133" s="24" t="str">
        <v>8-10 hr</v>
      </c>
      <c r="I133" s="24" t="s">
        <v>464</v>
      </c>
      <c r="J133" s="24" t="s">
        <v>449</v>
      </c>
      <c r="K133" s="24"/>
      <c r="L133" s="24"/>
      <c r="M133" s="24"/>
      <c r="N133" s="24"/>
      <c r="Q133" s="27">
        <f>D134*SUM(E135:I138)</f>
        <v>116</v>
      </c>
      <c r="S133" s="26">
        <f>I134*SUM(D135:H138)</f>
        <v>113</v>
      </c>
    </row>
    <row r="134" spans="2:22" ht="24" customHeight="1">
      <c r="B134" s="83" t="s">
        <v>448</v>
      </c>
      <c r="C134" s="13" t="s">
        <v>442</v>
      </c>
      <c r="D134" s="14">
        <f>COUNTIFS('Whole Data'!$K:$K,"&lt;6",'Whole Data'!$AC:AC,"Less than 2 hours")</f>
        <v>1</v>
      </c>
      <c r="E134" s="15">
        <f>COUNTIFS('Whole Data'!$K:$K,"&lt;6",'Whole Data'!$AC:$AC,"Above 2 hours - Upto 4 hours")</f>
        <v>0</v>
      </c>
      <c r="F134" s="15">
        <f>COUNTIFS('Whole Data'!$K:$K,"&lt;6",'Whole Data'!$AC:$AC,"Above 4 hours - Upto 6 hours")</f>
        <v>0</v>
      </c>
      <c r="G134" s="15">
        <f>COUNTIFS('Whole Data'!$K:$K,"&lt;6",'Whole Data'!$AC:$AC,"Above 6 hours - Upto 8 hours")</f>
        <v>1</v>
      </c>
      <c r="H134" s="15">
        <f>COUNTIFS('Whole Data'!$K:$K,"&lt;6",'Whole Data'!$AC:$AC,"Above 8 hours - Upto 10 hours")</f>
        <v>0</v>
      </c>
      <c r="I134" s="16">
        <f>COUNTIFS('Whole Data'!$K:$K,"&lt;6",'Whole Data'!$AC:$AC,"More than 10 hours")</f>
        <v>1</v>
      </c>
      <c r="J134" s="24">
        <f>SUM(D134:I134)</f>
        <v>3</v>
      </c>
      <c r="K134" s="24"/>
      <c r="L134" s="24"/>
      <c r="M134" s="24"/>
      <c r="N134" s="24"/>
      <c r="Q134" s="27">
        <f>G134*SUM(H135:I138)</f>
        <v>18</v>
      </c>
      <c r="S134" s="26">
        <f>G134*SUM(D135:F138)</f>
        <v>33</v>
      </c>
    </row>
    <row r="135" spans="2:22" ht="24" customHeight="1">
      <c r="B135" s="83"/>
      <c r="C135" s="24" t="s">
        <v>443</v>
      </c>
      <c r="D135" s="17">
        <f>COUNTIFS('Whole Data'!$K:$K,"&gt;6",'Whole Data'!$K:$K,"&lt;7",'Whole Data'!$AC:$AC,"Less than 2 hours")</f>
        <v>0</v>
      </c>
      <c r="E135" s="18">
        <f>COUNTIFS('Whole Data'!$K:$K,"&gt;6",'Whole Data'!$K:$K,"&lt;7",'Whole Data'!$AC:$AC,"Above 2 hours - Upto 4 hours")</f>
        <v>0</v>
      </c>
      <c r="F135" s="18">
        <f>COUNTIFS('Whole Data'!$K:$K,"&gt;6",'Whole Data'!$K:$K,"&lt;7",'Whole Data'!$AC:$AC,"Above 4 hours - Upto 6 hours")</f>
        <v>6</v>
      </c>
      <c r="G135" s="18">
        <f>COUNTIFS('Whole Data'!$K:$K,"&gt;6",'Whole Data'!$K:$K,"&lt;7",'Whole Data'!$AC:$AC,"Above 6 hours - Upto 8 hours")</f>
        <v>7</v>
      </c>
      <c r="H135" s="18">
        <f>COUNTIFS('Whole Data'!$K:$K,"&gt;6",'Whole Data'!$K:$K,"&lt;7",'Whole Data'!$AC:$AC,"Above 8 hours - Upto 10 hours")</f>
        <v>5</v>
      </c>
      <c r="I135" s="19">
        <f>COUNTIFS('Whole Data'!$K:$K,"&gt;6",'Whole Data'!$K:$K,"&lt;7",'Whole Data'!$AC:$AC,"More than 10 hours")</f>
        <v>0</v>
      </c>
      <c r="J135" s="24">
        <f t="shared" ref="J135:J138" si="49">SUM(D135:I135)</f>
        <v>18</v>
      </c>
      <c r="K135" s="24"/>
      <c r="L135" s="24"/>
      <c r="M135" s="24"/>
      <c r="N135" s="24"/>
      <c r="Q135" s="27">
        <f>F135*SUM(G136:I138)</f>
        <v>426</v>
      </c>
      <c r="S135" s="26">
        <f>H135*SUM(D136:G138)</f>
        <v>425</v>
      </c>
    </row>
    <row r="136" spans="2:22" ht="24" customHeight="1">
      <c r="B136" s="83"/>
      <c r="C136" s="24" t="s">
        <v>444</v>
      </c>
      <c r="D136" s="17">
        <f>COUNTIFS('Whole Data'!$K:$K,"&gt;7",'Whole Data'!$K:$K,"&lt;8",'Whole Data'!$AC:$AC,"Less than 2 hours")</f>
        <v>0</v>
      </c>
      <c r="E136" s="18">
        <f>COUNTIFS('Whole Data'!$K:$K,"&gt;7",'Whole Data'!$K:$K,"&lt;8",'Whole Data'!$AC:$AC,"Above 2 hours - Upto 4 hours")</f>
        <v>2</v>
      </c>
      <c r="F136" s="18">
        <f>COUNTIFS('Whole Data'!$K:$K,"&gt;7",'Whole Data'!$K:$K,"&lt;8",'Whole Data'!$AC:$AC,"Above 4 hours - Upto 6 hours")</f>
        <v>14</v>
      </c>
      <c r="G136" s="18">
        <f>COUNTIFS('Whole Data'!$K:$K,"&gt;7",'Whole Data'!$K:$K,"&lt;8",'Whole Data'!$AC:$AC,"Above 6 hours - Upto 8 hours")</f>
        <v>26</v>
      </c>
      <c r="H136" s="18">
        <f>COUNTIFS('Whole Data'!$K:$K,"&gt;7",'Whole Data'!$K:$K,"&lt;8",'Whole Data'!$AC:$AC,"Above 8 hours - Upto 10 hours")</f>
        <v>7</v>
      </c>
      <c r="I136" s="19">
        <f>COUNTIFS('Whole Data'!$K:$K,"&gt;7",'Whole Data'!$K:$K,"&lt;8",'Whole Data'!$AC:$AC,"More than 10 hours")</f>
        <v>1</v>
      </c>
      <c r="J136" s="24">
        <f t="shared" si="49"/>
        <v>50</v>
      </c>
      <c r="K136" s="24"/>
      <c r="L136" s="24"/>
      <c r="M136" s="24"/>
      <c r="N136" s="24"/>
      <c r="Q136" s="27">
        <f>G135*SUM(H136:I138)</f>
        <v>91</v>
      </c>
      <c r="S136" s="26">
        <f>G135*SUM(D136:F138)</f>
        <v>189</v>
      </c>
    </row>
    <row r="137" spans="2:22" ht="24" customHeight="1">
      <c r="B137" s="83"/>
      <c r="C137" s="24" t="s">
        <v>445</v>
      </c>
      <c r="D137" s="17">
        <f>COUNTIFS('Whole Data'!$K:$K,"&gt;8",'Whole Data'!$K:$K,"&lt;9",'Whole Data'!$AC:$AC,"Less than 2 hours")</f>
        <v>0</v>
      </c>
      <c r="E137" s="18">
        <f>COUNTIFS('Whole Data'!$K:$K,"&gt;8",'Whole Data'!$K:$K,"&lt;9",'Whole Data'!$AC:$AC,"Above 2 hours - Upto 4 hours")</f>
        <v>2</v>
      </c>
      <c r="F137" s="18">
        <f>COUNTIFS('Whole Data'!$K:$K,"&gt;8",'Whole Data'!$K:$K,"&lt;9",'Whole Data'!$AC:$AC,"Above 4 hours - Upto 6 hours")</f>
        <v>3</v>
      </c>
      <c r="G137" s="18">
        <f>COUNTIFS('Whole Data'!$K:$K,"&gt;8",'Whole Data'!$K:$K,"&lt;9",'Whole Data'!$AC:$AC,"Above 6 hours - Upto 8 hours")</f>
        <v>24</v>
      </c>
      <c r="H137" s="18">
        <f>COUNTIFS('Whole Data'!$K:$K,"&gt;8",'Whole Data'!$K:$K,"&lt;9",'Whole Data'!$AC:$AC,"Above 8 hours - Upto 10 hours")</f>
        <v>2</v>
      </c>
      <c r="I137" s="19">
        <f>COUNTIFS('Whole Data'!$K:$K,"&gt;8",'Whole Data'!$K:$K,"&lt;9",'Whole Data'!$AC:$AC,"More than 10 hours")</f>
        <v>1</v>
      </c>
      <c r="J137" s="24">
        <f t="shared" si="49"/>
        <v>32</v>
      </c>
      <c r="K137" s="24"/>
      <c r="L137" s="24"/>
      <c r="M137" s="24"/>
      <c r="N137" t="s">
        <v>470</v>
      </c>
      <c r="Q137" s="27">
        <f>H135*SUM(I136:I138)</f>
        <v>15</v>
      </c>
      <c r="S137" s="26">
        <f>F135*SUM(D136:E138)</f>
        <v>24</v>
      </c>
    </row>
    <row r="138" spans="2:22" ht="24" customHeight="1">
      <c r="B138" s="83"/>
      <c r="C138" s="24" t="s">
        <v>50</v>
      </c>
      <c r="D138" s="20">
        <f>COUNTIFS('Whole Data'!$K:$K,"&gt;9",'Whole Data'!$AC:$AC,"Less than 2 hours")</f>
        <v>0</v>
      </c>
      <c r="E138" s="21">
        <f>COUNTIFS('Whole Data'!$K:$K,"&gt;9",'Whole Data'!$AC:$AC,"Above 2 hours - Upto 4 hours")</f>
        <v>0</v>
      </c>
      <c r="F138" s="21">
        <f>COUNTIFS('Whole Data'!$K:$K,"&gt;9",'Whole Data'!$AC:$AC,"Above 4 hours - Upto 6 hours")</f>
        <v>6</v>
      </c>
      <c r="G138" s="21">
        <f>COUNTIFS('Whole Data'!$K:$K,"&gt;9",'Whole Data'!$AC:$AC,"Above 6 hours - Upto 8 hours")</f>
        <v>8</v>
      </c>
      <c r="H138" s="21">
        <f>COUNTIFS('Whole Data'!$K:$K,"&gt;9",'Whole Data'!$AC:$AC,"Above 8 hours - Upto 10 hours")</f>
        <v>1</v>
      </c>
      <c r="I138" s="22">
        <f>COUNTIFS('Whole Data'!$K:$K,"&gt;9",'Whole Data'!$AC:$AC,"More than 10 hours")</f>
        <v>1</v>
      </c>
      <c r="J138" s="24">
        <f t="shared" si="49"/>
        <v>16</v>
      </c>
      <c r="K138" s="24"/>
      <c r="L138" s="24"/>
      <c r="M138" s="24"/>
      <c r="N138" t="s">
        <v>437</v>
      </c>
      <c r="Q138" s="27">
        <f>E136*SUM(F137:I138)</f>
        <v>92</v>
      </c>
      <c r="S138" s="26">
        <f>I136*SUM(D137:H138)</f>
        <v>46</v>
      </c>
    </row>
    <row r="139" spans="2:22" ht="24" customHeight="1">
      <c r="B139" s="83"/>
      <c r="C139" s="24" t="s">
        <v>449</v>
      </c>
      <c r="D139" s="24">
        <f t="shared" ref="D139:I139" si="50">SUM(D134:D138)</f>
        <v>1</v>
      </c>
      <c r="E139" s="24">
        <f t="shared" si="50"/>
        <v>4</v>
      </c>
      <c r="F139" s="24">
        <f t="shared" si="50"/>
        <v>29</v>
      </c>
      <c r="G139" s="24">
        <f t="shared" si="50"/>
        <v>66</v>
      </c>
      <c r="H139" s="24">
        <f t="shared" si="50"/>
        <v>15</v>
      </c>
      <c r="I139" s="24">
        <f t="shared" si="50"/>
        <v>4</v>
      </c>
      <c r="J139" s="24">
        <f>SUM(D139:I139)</f>
        <v>119</v>
      </c>
      <c r="K139" s="24"/>
      <c r="L139" s="24"/>
      <c r="M139" s="24"/>
      <c r="N139" t="s">
        <v>438</v>
      </c>
      <c r="Q139" s="27">
        <f>F136*SUM(G137:I138)</f>
        <v>518</v>
      </c>
      <c r="S139" s="26">
        <f>H136*SUM(D137:G138)</f>
        <v>301</v>
      </c>
    </row>
    <row r="140" spans="2:22" ht="24" customHeight="1">
      <c r="B140" s="24"/>
      <c r="C140" s="24"/>
      <c r="D140" s="24"/>
      <c r="E140" s="24"/>
      <c r="F140" s="24"/>
      <c r="G140" s="24"/>
      <c r="H140" s="24"/>
      <c r="I140" s="24"/>
      <c r="J140" s="24"/>
      <c r="K140" s="24"/>
      <c r="L140" s="24"/>
      <c r="M140" s="24"/>
      <c r="N140" t="s">
        <v>439</v>
      </c>
      <c r="Q140" s="27">
        <f>G136*SUM(H137:I138)</f>
        <v>130</v>
      </c>
      <c r="S140" s="26">
        <f>G136*SUM(D137:F138)</f>
        <v>286</v>
      </c>
    </row>
    <row r="141" spans="2:22" ht="24" customHeight="1">
      <c r="B141" s="24"/>
      <c r="C141" s="24"/>
      <c r="D141" s="24"/>
      <c r="E141" s="24"/>
      <c r="F141" s="24"/>
      <c r="G141" s="24"/>
      <c r="H141" s="24"/>
      <c r="I141" s="24"/>
      <c r="J141" s="24"/>
      <c r="K141" s="24"/>
      <c r="L141" s="24"/>
      <c r="M141" s="24"/>
      <c r="N141" t="s">
        <v>440</v>
      </c>
      <c r="Q141" s="27">
        <f>H136*SUM(I137:I138)</f>
        <v>14</v>
      </c>
      <c r="S141" s="26">
        <f>F136*SUM(D137:E138)</f>
        <v>28</v>
      </c>
    </row>
    <row r="142" spans="2:22" ht="24" customHeight="1">
      <c r="B142" s="24"/>
      <c r="C142" s="24"/>
      <c r="D142" s="24"/>
      <c r="E142" s="24"/>
      <c r="F142" s="24"/>
      <c r="G142" s="24"/>
      <c r="H142" s="24"/>
      <c r="I142" s="24"/>
      <c r="J142" s="24"/>
      <c r="K142" s="24"/>
      <c r="L142" s="24"/>
      <c r="M142" s="24"/>
      <c r="N142" t="s">
        <v>441</v>
      </c>
      <c r="Q142" s="27">
        <f>E137*SUM(F138:I138)</f>
        <v>32</v>
      </c>
      <c r="S142" s="26">
        <f>I137*SUM(D138:H138)</f>
        <v>15</v>
      </c>
    </row>
    <row r="143" spans="2:22" ht="24" customHeight="1">
      <c r="Q143" s="27">
        <f>F137*SUM(G138:I138)</f>
        <v>30</v>
      </c>
      <c r="S143" s="26">
        <f>H137*SUM(D138:G138)</f>
        <v>28</v>
      </c>
    </row>
    <row r="144" spans="2:22" ht="24" customHeight="1">
      <c r="Q144" s="27">
        <f>G137*SUM(H138:I138)</f>
        <v>48</v>
      </c>
      <c r="S144" s="26">
        <f>G137*SUM(D138:F138)</f>
        <v>144</v>
      </c>
    </row>
    <row r="145" spans="16:22" ht="24" customHeight="1">
      <c r="Q145" s="27">
        <f>H137*SUM(I138)</f>
        <v>2</v>
      </c>
      <c r="R145" s="25" t="s">
        <v>473</v>
      </c>
      <c r="S145" s="12">
        <f>SUM(S133:S144)</f>
        <v>1632</v>
      </c>
      <c r="U145" s="33" t="s">
        <v>491</v>
      </c>
      <c r="V145" s="12">
        <f>S146*SQRT((Q146+S145)/I10*(1-S146*S146))</f>
        <v>-0.16288881452117068</v>
      </c>
    </row>
    <row r="146" spans="16:22" ht="24" customHeight="1">
      <c r="P146" s="25" t="s">
        <v>472</v>
      </c>
      <c r="Q146" s="12">
        <f>SUM(Q133:Q145)</f>
        <v>1532</v>
      </c>
      <c r="R146" s="25" t="s">
        <v>475</v>
      </c>
      <c r="S146" s="12">
        <f>(Q146-S145)/(Q146+S145)</f>
        <v>-3.1605562579013903E-2</v>
      </c>
      <c r="U146" s="33" t="s">
        <v>488</v>
      </c>
      <c r="V146" s="33">
        <f>TDIST(ABS(V145),118,2)</f>
        <v>0.8708846073028319</v>
      </c>
    </row>
  </sheetData>
  <mergeCells count="22">
    <mergeCell ref="D70:I70"/>
    <mergeCell ref="B72:B77"/>
    <mergeCell ref="B32:B37"/>
    <mergeCell ref="D43:I43"/>
    <mergeCell ref="B45:B50"/>
    <mergeCell ref="D55:I55"/>
    <mergeCell ref="B57:B62"/>
    <mergeCell ref="D3:I3"/>
    <mergeCell ref="B5:B10"/>
    <mergeCell ref="D17:I17"/>
    <mergeCell ref="B19:B24"/>
    <mergeCell ref="D30:I30"/>
    <mergeCell ref="D82:I82"/>
    <mergeCell ref="B84:B89"/>
    <mergeCell ref="D95:I95"/>
    <mergeCell ref="B97:B102"/>
    <mergeCell ref="D107:I107"/>
    <mergeCell ref="B109:B114"/>
    <mergeCell ref="D120:I120"/>
    <mergeCell ref="B122:B127"/>
    <mergeCell ref="D132:I132"/>
    <mergeCell ref="B134:B13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AD121"/>
  <sheetViews>
    <sheetView zoomScale="80" zoomScaleNormal="80" workbookViewId="0">
      <selection activeCell="A30" sqref="A30"/>
    </sheetView>
  </sheetViews>
  <sheetFormatPr defaultRowHeight="15"/>
  <cols>
    <col min="1" max="1" width="37.140625" bestFit="1" customWidth="1"/>
    <col min="2" max="2" width="28.85546875" customWidth="1"/>
    <col min="3" max="3" width="10.5703125" bestFit="1" customWidth="1"/>
    <col min="4" max="4" width="71.5703125" bestFit="1" customWidth="1"/>
    <col min="5" max="5" width="52.42578125" bestFit="1" customWidth="1"/>
    <col min="6" max="6" width="63.5703125" bestFit="1" customWidth="1"/>
    <col min="7" max="9" width="64.140625" bestFit="1" customWidth="1"/>
    <col min="10" max="10" width="13.5703125" bestFit="1" customWidth="1"/>
    <col min="11" max="11" width="61.5703125" bestFit="1" customWidth="1"/>
    <col min="12" max="12" width="92.42578125" bestFit="1" customWidth="1"/>
    <col min="13" max="13" width="85.42578125" bestFit="1" customWidth="1"/>
    <col min="14" max="14" width="64.85546875" bestFit="1" customWidth="1"/>
    <col min="15" max="15" width="74" bestFit="1" customWidth="1"/>
    <col min="16" max="16" width="75.85546875" bestFit="1" customWidth="1"/>
    <col min="17" max="17" width="87.28515625" bestFit="1" customWidth="1"/>
    <col min="18" max="18" width="76.7109375" bestFit="1" customWidth="1"/>
    <col min="19" max="19" width="91.7109375" bestFit="1" customWidth="1"/>
    <col min="20" max="20" width="103.85546875" bestFit="1" customWidth="1"/>
    <col min="21" max="21" width="74.5703125" bestFit="1" customWidth="1"/>
    <col min="22" max="22" width="78.28515625" bestFit="1" customWidth="1"/>
    <col min="23" max="23" width="57.140625" bestFit="1" customWidth="1"/>
    <col min="24" max="24" width="127.42578125" bestFit="1" customWidth="1"/>
    <col min="25" max="25" width="64.85546875" bestFit="1" customWidth="1"/>
    <col min="26" max="26" width="127.42578125" bestFit="1" customWidth="1"/>
    <col min="27" max="27" width="82.140625" bestFit="1" customWidth="1"/>
    <col min="28" max="28" width="127.42578125" bestFit="1" customWidth="1"/>
    <col min="29" max="29" width="52.5703125" bestFit="1" customWidth="1"/>
    <col min="30" max="30" width="175.28515625" bestFit="1" customWidth="1"/>
  </cols>
  <sheetData>
    <row r="1" spans="1:30" ht="30">
      <c r="A1" t="s">
        <v>0</v>
      </c>
      <c r="B1" t="s">
        <v>1</v>
      </c>
      <c r="C1" t="s">
        <v>2</v>
      </c>
      <c r="D1" t="s">
        <v>3</v>
      </c>
      <c r="E1" t="s">
        <v>4</v>
      </c>
      <c r="F1" t="s">
        <v>5</v>
      </c>
      <c r="G1" s="1" t="s">
        <v>6</v>
      </c>
      <c r="H1" s="1" t="s">
        <v>7</v>
      </c>
      <c r="I1" s="1" t="s">
        <v>8</v>
      </c>
      <c r="J1" s="1" t="s">
        <v>447</v>
      </c>
      <c r="K1" s="1" t="s">
        <v>9</v>
      </c>
      <c r="L1" t="s">
        <v>10</v>
      </c>
      <c r="M1" t="s">
        <v>11</v>
      </c>
      <c r="N1" s="1" t="s">
        <v>12</v>
      </c>
      <c r="O1" t="s">
        <v>13</v>
      </c>
      <c r="P1" t="s">
        <v>14</v>
      </c>
      <c r="Q1" t="s">
        <v>15</v>
      </c>
      <c r="R1" t="s">
        <v>16</v>
      </c>
      <c r="S1" t="s">
        <v>17</v>
      </c>
      <c r="T1" t="s">
        <v>18</v>
      </c>
      <c r="U1" t="s">
        <v>19</v>
      </c>
      <c r="V1" t="s">
        <v>20</v>
      </c>
      <c r="W1" t="s">
        <v>21</v>
      </c>
      <c r="X1" s="1" t="s">
        <v>22</v>
      </c>
      <c r="Y1" s="1" t="s">
        <v>23</v>
      </c>
      <c r="Z1" s="1" t="s">
        <v>24</v>
      </c>
      <c r="AA1" s="1" t="s">
        <v>25</v>
      </c>
      <c r="AB1" s="1" t="s">
        <v>26</v>
      </c>
      <c r="AC1" t="s">
        <v>27</v>
      </c>
      <c r="AD1" t="s">
        <v>28</v>
      </c>
    </row>
    <row r="2" spans="1:30">
      <c r="A2" t="s">
        <v>29</v>
      </c>
      <c r="B2" t="s">
        <v>30</v>
      </c>
      <c r="C2" t="s">
        <v>31</v>
      </c>
      <c r="D2" t="s">
        <v>32</v>
      </c>
      <c r="E2" t="s">
        <v>33</v>
      </c>
      <c r="F2" t="s">
        <v>34</v>
      </c>
      <c r="G2">
        <v>9.1</v>
      </c>
      <c r="H2">
        <v>6.4</v>
      </c>
      <c r="I2">
        <v>6.8</v>
      </c>
      <c r="J2" s="4">
        <f>SUM(G2:I2)/4</f>
        <v>5.5750000000000002</v>
      </c>
      <c r="K2">
        <v>7.3</v>
      </c>
      <c r="L2" t="s">
        <v>35</v>
      </c>
      <c r="M2" t="s">
        <v>35</v>
      </c>
      <c r="N2" t="s">
        <v>36</v>
      </c>
      <c r="O2" t="s">
        <v>37</v>
      </c>
      <c r="P2" t="s">
        <v>37</v>
      </c>
      <c r="Q2" t="s">
        <v>38</v>
      </c>
      <c r="R2" t="s">
        <v>37</v>
      </c>
      <c r="S2" t="s">
        <v>39</v>
      </c>
      <c r="T2" t="s">
        <v>39</v>
      </c>
      <c r="U2" t="s">
        <v>40</v>
      </c>
      <c r="V2" t="s">
        <v>41</v>
      </c>
      <c r="W2" t="s">
        <v>42</v>
      </c>
      <c r="X2">
        <v>4</v>
      </c>
      <c r="Y2" t="s">
        <v>43</v>
      </c>
      <c r="Z2">
        <v>5</v>
      </c>
      <c r="AA2" t="s">
        <v>43</v>
      </c>
      <c r="AB2">
        <v>4</v>
      </c>
      <c r="AC2" t="s">
        <v>44</v>
      </c>
    </row>
    <row r="3" spans="1:30">
      <c r="A3" t="s">
        <v>56</v>
      </c>
      <c r="B3" t="s">
        <v>57</v>
      </c>
      <c r="C3" t="s">
        <v>31</v>
      </c>
      <c r="D3" t="s">
        <v>58</v>
      </c>
      <c r="E3" t="s">
        <v>33</v>
      </c>
      <c r="F3" t="s">
        <v>34</v>
      </c>
      <c r="G3">
        <v>8.6</v>
      </c>
      <c r="H3">
        <v>8.1199999999999992</v>
      </c>
      <c r="I3">
        <v>6.19</v>
      </c>
      <c r="J3" s="4">
        <f t="shared" ref="J3:J66" si="0">SUM(G3:I3)/4</f>
        <v>5.7275</v>
      </c>
      <c r="K3">
        <v>7.5</v>
      </c>
      <c r="L3" t="s">
        <v>35</v>
      </c>
      <c r="M3" t="s">
        <v>35</v>
      </c>
      <c r="N3" t="s">
        <v>36</v>
      </c>
      <c r="O3" t="s">
        <v>37</v>
      </c>
      <c r="P3" t="s">
        <v>39</v>
      </c>
      <c r="Q3" t="s">
        <v>37</v>
      </c>
      <c r="R3" t="s">
        <v>38</v>
      </c>
      <c r="S3" t="s">
        <v>37</v>
      </c>
      <c r="T3" t="s">
        <v>38</v>
      </c>
      <c r="U3" t="s">
        <v>59</v>
      </c>
      <c r="V3" t="s">
        <v>60</v>
      </c>
      <c r="W3" t="s">
        <v>54</v>
      </c>
      <c r="X3">
        <v>3</v>
      </c>
      <c r="Y3" t="s">
        <v>43</v>
      </c>
      <c r="Z3">
        <v>3</v>
      </c>
      <c r="AA3" t="s">
        <v>61</v>
      </c>
      <c r="AB3">
        <v>5</v>
      </c>
      <c r="AC3" t="s">
        <v>62</v>
      </c>
    </row>
    <row r="4" spans="1:30">
      <c r="A4" t="s">
        <v>70</v>
      </c>
      <c r="B4" t="s">
        <v>71</v>
      </c>
      <c r="C4" t="s">
        <v>31</v>
      </c>
      <c r="D4" t="s">
        <v>72</v>
      </c>
      <c r="E4" t="s">
        <v>33</v>
      </c>
      <c r="F4" t="s">
        <v>34</v>
      </c>
      <c r="G4">
        <v>9.3000000000000007</v>
      </c>
      <c r="H4">
        <v>8.6</v>
      </c>
      <c r="I4">
        <v>8.3000000000000007</v>
      </c>
      <c r="J4" s="4">
        <f t="shared" si="0"/>
        <v>6.55</v>
      </c>
      <c r="K4">
        <v>8.1</v>
      </c>
      <c r="L4" t="s">
        <v>67</v>
      </c>
      <c r="M4" t="s">
        <v>67</v>
      </c>
      <c r="N4" t="s">
        <v>68</v>
      </c>
      <c r="O4" t="s">
        <v>39</v>
      </c>
      <c r="P4" t="s">
        <v>73</v>
      </c>
      <c r="Q4" t="s">
        <v>37</v>
      </c>
      <c r="R4" t="s">
        <v>73</v>
      </c>
      <c r="S4" t="s">
        <v>39</v>
      </c>
      <c r="T4" t="s">
        <v>39</v>
      </c>
      <c r="U4" t="s">
        <v>52</v>
      </c>
      <c r="V4" t="s">
        <v>60</v>
      </c>
      <c r="W4" t="s">
        <v>42</v>
      </c>
      <c r="X4">
        <v>1</v>
      </c>
      <c r="Y4" t="s">
        <v>51</v>
      </c>
      <c r="Z4">
        <v>4</v>
      </c>
      <c r="AA4" t="s">
        <v>51</v>
      </c>
      <c r="AB4">
        <v>3</v>
      </c>
      <c r="AC4" t="s">
        <v>74</v>
      </c>
    </row>
    <row r="5" spans="1:30">
      <c r="A5" t="s">
        <v>75</v>
      </c>
      <c r="B5" t="s">
        <v>76</v>
      </c>
      <c r="C5" t="s">
        <v>31</v>
      </c>
      <c r="D5" t="s">
        <v>77</v>
      </c>
      <c r="E5" t="s">
        <v>78</v>
      </c>
      <c r="F5" t="s">
        <v>34</v>
      </c>
      <c r="G5">
        <v>7.96</v>
      </c>
      <c r="H5">
        <v>8.34</v>
      </c>
      <c r="I5">
        <v>8.24</v>
      </c>
      <c r="J5" s="4">
        <f t="shared" si="0"/>
        <v>6.1349999999999998</v>
      </c>
      <c r="K5">
        <v>7.96</v>
      </c>
      <c r="L5" t="s">
        <v>67</v>
      </c>
      <c r="M5" t="s">
        <v>67</v>
      </c>
      <c r="N5" t="s">
        <v>51</v>
      </c>
      <c r="O5" t="s">
        <v>39</v>
      </c>
      <c r="P5" t="s">
        <v>39</v>
      </c>
      <c r="Q5" t="s">
        <v>37</v>
      </c>
      <c r="R5" t="s">
        <v>39</v>
      </c>
      <c r="S5" t="s">
        <v>39</v>
      </c>
      <c r="T5" t="s">
        <v>39</v>
      </c>
      <c r="U5" t="s">
        <v>40</v>
      </c>
      <c r="V5" t="s">
        <v>79</v>
      </c>
      <c r="W5" t="s">
        <v>54</v>
      </c>
      <c r="X5">
        <v>2</v>
      </c>
      <c r="Y5" t="s">
        <v>51</v>
      </c>
      <c r="Z5">
        <v>5</v>
      </c>
      <c r="AA5" t="s">
        <v>51</v>
      </c>
      <c r="AB5">
        <v>3</v>
      </c>
      <c r="AC5" t="s">
        <v>62</v>
      </c>
    </row>
    <row r="6" spans="1:30">
      <c r="A6" t="s">
        <v>84</v>
      </c>
      <c r="B6" t="s">
        <v>85</v>
      </c>
      <c r="C6" t="s">
        <v>86</v>
      </c>
      <c r="D6" t="s">
        <v>87</v>
      </c>
      <c r="E6" t="s">
        <v>83</v>
      </c>
      <c r="F6" t="s">
        <v>34</v>
      </c>
      <c r="G6">
        <v>9.6999999999999993</v>
      </c>
      <c r="H6">
        <v>9.4</v>
      </c>
      <c r="I6">
        <v>6.7</v>
      </c>
      <c r="J6" s="4">
        <f t="shared" si="0"/>
        <v>6.45</v>
      </c>
      <c r="K6">
        <v>6.4</v>
      </c>
      <c r="L6" t="s">
        <v>35</v>
      </c>
      <c r="M6" t="s">
        <v>35</v>
      </c>
      <c r="N6" t="s">
        <v>51</v>
      </c>
      <c r="O6" t="s">
        <v>73</v>
      </c>
      <c r="P6" t="s">
        <v>39</v>
      </c>
      <c r="Q6" t="s">
        <v>73</v>
      </c>
      <c r="R6" t="s">
        <v>37</v>
      </c>
      <c r="S6" t="s">
        <v>37</v>
      </c>
      <c r="T6" t="s">
        <v>37</v>
      </c>
      <c r="U6" t="s">
        <v>59</v>
      </c>
      <c r="V6" t="s">
        <v>41</v>
      </c>
      <c r="W6" t="s">
        <v>54</v>
      </c>
      <c r="X6">
        <v>1</v>
      </c>
      <c r="Y6" t="s">
        <v>43</v>
      </c>
      <c r="Z6">
        <v>4</v>
      </c>
      <c r="AA6" t="s">
        <v>51</v>
      </c>
      <c r="AB6">
        <v>5</v>
      </c>
      <c r="AC6" t="s">
        <v>62</v>
      </c>
    </row>
    <row r="7" spans="1:30">
      <c r="A7" t="s">
        <v>96</v>
      </c>
      <c r="B7" t="s">
        <v>416</v>
      </c>
      <c r="C7" t="s">
        <v>31</v>
      </c>
      <c r="D7" t="s">
        <v>417</v>
      </c>
      <c r="E7" t="s">
        <v>97</v>
      </c>
      <c r="F7" t="s">
        <v>34</v>
      </c>
      <c r="G7">
        <v>9.1</v>
      </c>
      <c r="H7">
        <v>9.0299999999999994</v>
      </c>
      <c r="I7">
        <v>9.1</v>
      </c>
      <c r="J7" s="4">
        <f t="shared" si="0"/>
        <v>6.8074999999999992</v>
      </c>
      <c r="K7">
        <v>9.3000000000000007</v>
      </c>
      <c r="L7" t="s">
        <v>35</v>
      </c>
      <c r="M7" t="s">
        <v>67</v>
      </c>
      <c r="N7" t="s">
        <v>98</v>
      </c>
      <c r="O7" t="s">
        <v>39</v>
      </c>
      <c r="P7" t="s">
        <v>37</v>
      </c>
      <c r="Q7" t="s">
        <v>73</v>
      </c>
      <c r="R7" t="s">
        <v>38</v>
      </c>
      <c r="S7" t="s">
        <v>38</v>
      </c>
      <c r="T7" t="s">
        <v>39</v>
      </c>
      <c r="U7" t="s">
        <v>59</v>
      </c>
      <c r="V7" t="s">
        <v>41</v>
      </c>
      <c r="W7" t="s">
        <v>54</v>
      </c>
      <c r="X7">
        <v>1</v>
      </c>
      <c r="Y7" t="s">
        <v>43</v>
      </c>
      <c r="Z7">
        <v>5</v>
      </c>
      <c r="AA7" t="s">
        <v>43</v>
      </c>
      <c r="AB7">
        <v>1</v>
      </c>
      <c r="AC7" t="s">
        <v>99</v>
      </c>
      <c r="AD7" t="s">
        <v>100</v>
      </c>
    </row>
    <row r="8" spans="1:30">
      <c r="A8" t="s">
        <v>105</v>
      </c>
      <c r="B8" t="s">
        <v>106</v>
      </c>
      <c r="C8" t="s">
        <v>31</v>
      </c>
      <c r="D8" t="s">
        <v>107</v>
      </c>
      <c r="E8" t="s">
        <v>108</v>
      </c>
      <c r="F8" t="s">
        <v>34</v>
      </c>
      <c r="G8">
        <v>8.6999999999999993</v>
      </c>
      <c r="H8">
        <v>8.5</v>
      </c>
      <c r="I8">
        <v>8.1999999999999993</v>
      </c>
      <c r="J8" s="4">
        <f t="shared" si="0"/>
        <v>6.35</v>
      </c>
      <c r="K8">
        <v>8.4</v>
      </c>
      <c r="L8" t="s">
        <v>67</v>
      </c>
      <c r="M8" t="s">
        <v>67</v>
      </c>
      <c r="N8" t="s">
        <v>51</v>
      </c>
      <c r="O8" t="s">
        <v>39</v>
      </c>
      <c r="P8" t="s">
        <v>39</v>
      </c>
      <c r="Q8" t="s">
        <v>39</v>
      </c>
      <c r="R8" t="s">
        <v>39</v>
      </c>
      <c r="S8" t="s">
        <v>39</v>
      </c>
      <c r="T8" t="s">
        <v>39</v>
      </c>
      <c r="U8" t="s">
        <v>59</v>
      </c>
      <c r="V8" t="s">
        <v>53</v>
      </c>
      <c r="W8" t="s">
        <v>42</v>
      </c>
      <c r="X8">
        <v>1</v>
      </c>
      <c r="Y8" t="s">
        <v>61</v>
      </c>
      <c r="Z8">
        <v>1</v>
      </c>
      <c r="AA8" t="s">
        <v>61</v>
      </c>
      <c r="AB8">
        <v>2</v>
      </c>
      <c r="AC8" t="s">
        <v>62</v>
      </c>
    </row>
    <row r="9" spans="1:30" ht="30">
      <c r="A9" t="s">
        <v>118</v>
      </c>
      <c r="B9" t="s">
        <v>119</v>
      </c>
      <c r="C9" t="s">
        <v>31</v>
      </c>
      <c r="D9" t="s">
        <v>32</v>
      </c>
      <c r="E9" t="s">
        <v>33</v>
      </c>
      <c r="F9" t="s">
        <v>34</v>
      </c>
      <c r="G9">
        <v>9.3000000000000007</v>
      </c>
      <c r="H9">
        <v>5.6</v>
      </c>
      <c r="I9">
        <v>6.2</v>
      </c>
      <c r="J9" s="4">
        <f t="shared" si="0"/>
        <v>5.2750000000000004</v>
      </c>
      <c r="K9">
        <v>6</v>
      </c>
      <c r="L9" t="s">
        <v>35</v>
      </c>
      <c r="M9" t="s">
        <v>35</v>
      </c>
      <c r="N9" t="s">
        <v>36</v>
      </c>
      <c r="O9" t="s">
        <v>37</v>
      </c>
      <c r="P9" t="s">
        <v>39</v>
      </c>
      <c r="Q9" t="s">
        <v>39</v>
      </c>
      <c r="R9" t="s">
        <v>37</v>
      </c>
      <c r="S9" t="s">
        <v>39</v>
      </c>
      <c r="T9" t="s">
        <v>39</v>
      </c>
      <c r="U9" t="s">
        <v>40</v>
      </c>
      <c r="V9" t="s">
        <v>41</v>
      </c>
      <c r="W9" t="s">
        <v>54</v>
      </c>
      <c r="X9">
        <v>2</v>
      </c>
      <c r="Y9" t="s">
        <v>51</v>
      </c>
      <c r="Z9">
        <v>4</v>
      </c>
      <c r="AA9" t="s">
        <v>51</v>
      </c>
      <c r="AB9">
        <v>4</v>
      </c>
      <c r="AC9" t="s">
        <v>62</v>
      </c>
      <c r="AD9" s="1" t="s">
        <v>120</v>
      </c>
    </row>
    <row r="10" spans="1:30">
      <c r="A10" t="s">
        <v>131</v>
      </c>
      <c r="B10" t="s">
        <v>132</v>
      </c>
      <c r="C10" t="s">
        <v>31</v>
      </c>
      <c r="D10" t="s">
        <v>32</v>
      </c>
      <c r="E10" t="s">
        <v>33</v>
      </c>
      <c r="F10" t="s">
        <v>34</v>
      </c>
      <c r="G10">
        <v>8.125</v>
      </c>
      <c r="H10">
        <v>6.7190000000000003</v>
      </c>
      <c r="I10">
        <v>6.952</v>
      </c>
      <c r="J10" s="4">
        <f t="shared" si="0"/>
        <v>5.4489999999999998</v>
      </c>
      <c r="K10">
        <v>7.19</v>
      </c>
      <c r="L10" t="s">
        <v>112</v>
      </c>
      <c r="M10" t="s">
        <v>112</v>
      </c>
      <c r="N10" t="s">
        <v>126</v>
      </c>
      <c r="O10" t="s">
        <v>39</v>
      </c>
      <c r="P10" t="s">
        <v>39</v>
      </c>
      <c r="Q10" t="s">
        <v>37</v>
      </c>
      <c r="R10" t="s">
        <v>133</v>
      </c>
      <c r="S10" t="s">
        <v>37</v>
      </c>
      <c r="T10" t="s">
        <v>37</v>
      </c>
      <c r="U10" t="s">
        <v>59</v>
      </c>
      <c r="V10" t="s">
        <v>60</v>
      </c>
      <c r="W10" t="s">
        <v>42</v>
      </c>
      <c r="X10">
        <v>3</v>
      </c>
      <c r="Y10" t="s">
        <v>43</v>
      </c>
      <c r="Z10">
        <v>3</v>
      </c>
      <c r="AA10" t="s">
        <v>51</v>
      </c>
      <c r="AB10">
        <v>3</v>
      </c>
      <c r="AC10" t="s">
        <v>62</v>
      </c>
    </row>
    <row r="11" spans="1:30">
      <c r="A11" t="s">
        <v>136</v>
      </c>
      <c r="B11" t="s">
        <v>137</v>
      </c>
      <c r="C11" t="s">
        <v>86</v>
      </c>
      <c r="D11" t="s">
        <v>32</v>
      </c>
      <c r="E11" t="s">
        <v>33</v>
      </c>
      <c r="F11" t="s">
        <v>34</v>
      </c>
      <c r="G11">
        <v>9.2750000000000004</v>
      </c>
      <c r="H11">
        <v>6.69</v>
      </c>
      <c r="I11">
        <v>6.9089999999999998</v>
      </c>
      <c r="J11" s="4">
        <f t="shared" si="0"/>
        <v>5.7184999999999997</v>
      </c>
      <c r="K11">
        <v>7.2489999999999997</v>
      </c>
      <c r="L11" t="s">
        <v>35</v>
      </c>
      <c r="M11" t="s">
        <v>112</v>
      </c>
      <c r="N11" t="s">
        <v>36</v>
      </c>
      <c r="O11" t="s">
        <v>37</v>
      </c>
      <c r="P11" t="s">
        <v>39</v>
      </c>
      <c r="Q11" t="s">
        <v>37</v>
      </c>
      <c r="R11" t="s">
        <v>37</v>
      </c>
      <c r="S11" t="s">
        <v>39</v>
      </c>
      <c r="T11" t="s">
        <v>39</v>
      </c>
      <c r="U11" t="s">
        <v>52</v>
      </c>
      <c r="V11" t="s">
        <v>41</v>
      </c>
      <c r="W11" t="s">
        <v>54</v>
      </c>
      <c r="X11">
        <v>1</v>
      </c>
      <c r="Y11" t="s">
        <v>43</v>
      </c>
      <c r="Z11">
        <v>3</v>
      </c>
      <c r="AA11" t="s">
        <v>51</v>
      </c>
      <c r="AB11">
        <v>5</v>
      </c>
      <c r="AC11" t="s">
        <v>62</v>
      </c>
    </row>
    <row r="12" spans="1:30">
      <c r="A12" t="s">
        <v>138</v>
      </c>
      <c r="B12" t="s">
        <v>139</v>
      </c>
      <c r="C12" t="s">
        <v>31</v>
      </c>
      <c r="D12" t="s">
        <v>140</v>
      </c>
      <c r="E12" t="s">
        <v>33</v>
      </c>
      <c r="F12" t="s">
        <v>34</v>
      </c>
      <c r="G12">
        <v>8.66</v>
      </c>
      <c r="H12">
        <v>8.61</v>
      </c>
      <c r="I12">
        <v>6.94</v>
      </c>
      <c r="J12" s="4">
        <f t="shared" si="0"/>
        <v>6.0525000000000002</v>
      </c>
      <c r="K12">
        <v>7.44</v>
      </c>
      <c r="L12" t="s">
        <v>35</v>
      </c>
      <c r="M12" t="s">
        <v>67</v>
      </c>
      <c r="N12" t="s">
        <v>36</v>
      </c>
      <c r="O12" t="s">
        <v>37</v>
      </c>
      <c r="P12" t="s">
        <v>37</v>
      </c>
      <c r="Q12" t="s">
        <v>37</v>
      </c>
      <c r="R12" t="s">
        <v>39</v>
      </c>
      <c r="S12" t="s">
        <v>73</v>
      </c>
      <c r="T12" t="s">
        <v>39</v>
      </c>
      <c r="U12" t="s">
        <v>59</v>
      </c>
      <c r="V12" t="s">
        <v>79</v>
      </c>
      <c r="W12" t="s">
        <v>54</v>
      </c>
      <c r="X12">
        <v>2</v>
      </c>
      <c r="Y12" t="s">
        <v>43</v>
      </c>
      <c r="Z12">
        <v>3</v>
      </c>
      <c r="AA12" t="s">
        <v>61</v>
      </c>
      <c r="AB12">
        <v>4</v>
      </c>
      <c r="AC12" t="s">
        <v>62</v>
      </c>
    </row>
    <row r="13" spans="1:30">
      <c r="A13" t="s">
        <v>144</v>
      </c>
      <c r="B13" t="s">
        <v>145</v>
      </c>
      <c r="C13" t="s">
        <v>31</v>
      </c>
      <c r="D13" t="s">
        <v>146</v>
      </c>
      <c r="E13" t="s">
        <v>83</v>
      </c>
      <c r="F13" t="s">
        <v>34</v>
      </c>
      <c r="G13">
        <v>9.6999999999999993</v>
      </c>
      <c r="H13">
        <v>9.6</v>
      </c>
      <c r="I13">
        <v>9.2100000000000009</v>
      </c>
      <c r="J13" s="4">
        <f t="shared" si="0"/>
        <v>7.1274999999999995</v>
      </c>
      <c r="K13">
        <v>8.69</v>
      </c>
      <c r="L13" t="s">
        <v>49</v>
      </c>
      <c r="M13" t="s">
        <v>50</v>
      </c>
      <c r="N13" t="s">
        <v>61</v>
      </c>
      <c r="O13" t="s">
        <v>39</v>
      </c>
      <c r="P13" t="s">
        <v>39</v>
      </c>
      <c r="Q13" t="s">
        <v>39</v>
      </c>
      <c r="R13" t="s">
        <v>39</v>
      </c>
      <c r="S13" t="s">
        <v>73</v>
      </c>
      <c r="T13" t="s">
        <v>37</v>
      </c>
      <c r="U13" t="s">
        <v>52</v>
      </c>
      <c r="V13" t="s">
        <v>79</v>
      </c>
      <c r="W13" t="s">
        <v>42</v>
      </c>
      <c r="X13">
        <v>3</v>
      </c>
      <c r="Y13" t="s">
        <v>51</v>
      </c>
      <c r="Z13">
        <v>2</v>
      </c>
      <c r="AA13" t="s">
        <v>51</v>
      </c>
      <c r="AB13">
        <v>4</v>
      </c>
      <c r="AC13" t="s">
        <v>62</v>
      </c>
    </row>
    <row r="14" spans="1:30">
      <c r="A14" t="s">
        <v>150</v>
      </c>
      <c r="B14" t="s">
        <v>151</v>
      </c>
      <c r="C14" t="s">
        <v>86</v>
      </c>
      <c r="D14" t="s">
        <v>152</v>
      </c>
      <c r="E14" t="s">
        <v>33</v>
      </c>
      <c r="F14" t="s">
        <v>34</v>
      </c>
      <c r="G14">
        <v>9.23</v>
      </c>
      <c r="H14">
        <v>6.9</v>
      </c>
      <c r="I14">
        <v>8.3000000000000007</v>
      </c>
      <c r="J14" s="4">
        <f t="shared" si="0"/>
        <v>6.1075000000000008</v>
      </c>
      <c r="K14">
        <v>7.9</v>
      </c>
      <c r="L14" t="s">
        <v>67</v>
      </c>
      <c r="M14" t="s">
        <v>67</v>
      </c>
      <c r="N14" t="s">
        <v>98</v>
      </c>
      <c r="O14" t="s">
        <v>38</v>
      </c>
      <c r="P14" t="s">
        <v>39</v>
      </c>
      <c r="Q14" t="s">
        <v>38</v>
      </c>
      <c r="R14" t="s">
        <v>39</v>
      </c>
      <c r="S14" t="s">
        <v>73</v>
      </c>
      <c r="T14" t="s">
        <v>37</v>
      </c>
      <c r="U14" t="s">
        <v>59</v>
      </c>
      <c r="V14" t="s">
        <v>79</v>
      </c>
      <c r="W14" t="s">
        <v>54</v>
      </c>
      <c r="X14">
        <v>3</v>
      </c>
      <c r="Y14" t="s">
        <v>51</v>
      </c>
      <c r="Z14">
        <v>4</v>
      </c>
      <c r="AA14" t="s">
        <v>51</v>
      </c>
      <c r="AB14">
        <v>4</v>
      </c>
      <c r="AC14" t="s">
        <v>62</v>
      </c>
    </row>
    <row r="15" spans="1:30">
      <c r="A15" t="s">
        <v>153</v>
      </c>
      <c r="B15" t="s">
        <v>154</v>
      </c>
      <c r="C15" t="s">
        <v>31</v>
      </c>
      <c r="D15" t="s">
        <v>82</v>
      </c>
      <c r="E15" t="s">
        <v>83</v>
      </c>
      <c r="F15" t="s">
        <v>34</v>
      </c>
      <c r="G15">
        <v>8.6999999999999993</v>
      </c>
      <c r="H15">
        <v>6.5</v>
      </c>
      <c r="I15">
        <v>6.9</v>
      </c>
      <c r="J15" s="4">
        <f t="shared" si="0"/>
        <v>5.5250000000000004</v>
      </c>
      <c r="K15">
        <v>6.7</v>
      </c>
      <c r="L15" t="s">
        <v>112</v>
      </c>
      <c r="M15" t="s">
        <v>35</v>
      </c>
      <c r="N15" t="s">
        <v>61</v>
      </c>
      <c r="O15" t="s">
        <v>39</v>
      </c>
      <c r="P15" t="s">
        <v>39</v>
      </c>
      <c r="Q15" t="s">
        <v>37</v>
      </c>
      <c r="R15" t="s">
        <v>39</v>
      </c>
      <c r="S15" t="s">
        <v>39</v>
      </c>
      <c r="T15" t="s">
        <v>73</v>
      </c>
      <c r="U15" t="s">
        <v>59</v>
      </c>
      <c r="V15" t="s">
        <v>41</v>
      </c>
      <c r="W15" t="s">
        <v>42</v>
      </c>
      <c r="X15">
        <v>3</v>
      </c>
      <c r="Y15" t="s">
        <v>51</v>
      </c>
      <c r="Z15">
        <v>1</v>
      </c>
      <c r="AA15" t="s">
        <v>36</v>
      </c>
      <c r="AB15">
        <v>2</v>
      </c>
      <c r="AC15" t="s">
        <v>62</v>
      </c>
      <c r="AD15" t="s">
        <v>155</v>
      </c>
    </row>
    <row r="16" spans="1:30">
      <c r="A16" t="s">
        <v>158</v>
      </c>
      <c r="B16" t="s">
        <v>159</v>
      </c>
      <c r="C16" t="s">
        <v>86</v>
      </c>
      <c r="D16" t="s">
        <v>160</v>
      </c>
      <c r="E16" t="s">
        <v>33</v>
      </c>
      <c r="F16" t="s">
        <v>34</v>
      </c>
      <c r="G16">
        <v>9.3089999999999993</v>
      </c>
      <c r="H16">
        <v>6.4779999999999998</v>
      </c>
      <c r="I16">
        <v>6.1020000000000003</v>
      </c>
      <c r="J16" s="4">
        <f t="shared" si="0"/>
        <v>5.4722499999999998</v>
      </c>
      <c r="K16">
        <v>6.9960000000000004</v>
      </c>
      <c r="L16" t="s">
        <v>35</v>
      </c>
      <c r="M16" t="s">
        <v>112</v>
      </c>
      <c r="N16" t="s">
        <v>61</v>
      </c>
      <c r="O16" t="s">
        <v>37</v>
      </c>
      <c r="P16" t="s">
        <v>39</v>
      </c>
      <c r="Q16" t="s">
        <v>37</v>
      </c>
      <c r="R16" t="s">
        <v>73</v>
      </c>
      <c r="S16" t="s">
        <v>39</v>
      </c>
      <c r="T16" t="s">
        <v>37</v>
      </c>
      <c r="U16" t="s">
        <v>59</v>
      </c>
      <c r="V16" t="s">
        <v>60</v>
      </c>
      <c r="W16" t="s">
        <v>54</v>
      </c>
      <c r="X16">
        <v>3</v>
      </c>
      <c r="Y16" t="s">
        <v>43</v>
      </c>
      <c r="Z16">
        <v>3</v>
      </c>
      <c r="AA16" t="s">
        <v>51</v>
      </c>
      <c r="AB16">
        <v>3</v>
      </c>
      <c r="AC16" t="s">
        <v>99</v>
      </c>
      <c r="AD16" t="s">
        <v>161</v>
      </c>
    </row>
    <row r="17" spans="1:30" ht="13.5" customHeight="1">
      <c r="A17" t="s">
        <v>171</v>
      </c>
      <c r="B17" t="s">
        <v>172</v>
      </c>
      <c r="C17" t="s">
        <v>86</v>
      </c>
      <c r="D17" t="s">
        <v>173</v>
      </c>
      <c r="E17" t="s">
        <v>33</v>
      </c>
      <c r="F17" t="s">
        <v>34</v>
      </c>
      <c r="G17">
        <v>7.1</v>
      </c>
      <c r="H17">
        <v>6.1</v>
      </c>
      <c r="I17">
        <v>6.5</v>
      </c>
      <c r="J17" s="4">
        <f t="shared" si="0"/>
        <v>4.9249999999999998</v>
      </c>
      <c r="K17">
        <v>5.4</v>
      </c>
      <c r="L17" t="s">
        <v>111</v>
      </c>
      <c r="M17" t="s">
        <v>111</v>
      </c>
      <c r="N17" t="s">
        <v>36</v>
      </c>
      <c r="O17" t="s">
        <v>73</v>
      </c>
      <c r="P17" t="s">
        <v>39</v>
      </c>
      <c r="Q17" t="s">
        <v>37</v>
      </c>
      <c r="R17" t="s">
        <v>37</v>
      </c>
      <c r="S17" t="s">
        <v>39</v>
      </c>
      <c r="T17" t="s">
        <v>73</v>
      </c>
      <c r="U17" t="s">
        <v>40</v>
      </c>
      <c r="V17" t="s">
        <v>60</v>
      </c>
      <c r="W17" t="s">
        <v>54</v>
      </c>
      <c r="X17">
        <v>4</v>
      </c>
      <c r="Y17" t="s">
        <v>43</v>
      </c>
      <c r="Z17">
        <v>4</v>
      </c>
      <c r="AA17" t="s">
        <v>36</v>
      </c>
      <c r="AB17">
        <v>5</v>
      </c>
      <c r="AC17" t="s">
        <v>62</v>
      </c>
      <c r="AD17" t="s">
        <v>174</v>
      </c>
    </row>
    <row r="18" spans="1:30">
      <c r="A18" t="s">
        <v>187</v>
      </c>
      <c r="B18" t="s">
        <v>188</v>
      </c>
      <c r="C18" t="s">
        <v>86</v>
      </c>
      <c r="D18" t="s">
        <v>189</v>
      </c>
      <c r="E18" t="s">
        <v>33</v>
      </c>
      <c r="F18" t="s">
        <v>34</v>
      </c>
      <c r="G18">
        <v>8.3000000000000007</v>
      </c>
      <c r="H18">
        <v>6.9</v>
      </c>
      <c r="I18">
        <v>6.4</v>
      </c>
      <c r="J18" s="4">
        <f t="shared" si="0"/>
        <v>5.4</v>
      </c>
      <c r="K18">
        <v>7.5</v>
      </c>
      <c r="L18" t="s">
        <v>35</v>
      </c>
      <c r="M18" t="s">
        <v>35</v>
      </c>
      <c r="N18" t="s">
        <v>98</v>
      </c>
      <c r="O18" t="s">
        <v>39</v>
      </c>
      <c r="P18" t="s">
        <v>37</v>
      </c>
      <c r="Q18" t="s">
        <v>73</v>
      </c>
      <c r="R18" t="s">
        <v>37</v>
      </c>
      <c r="S18" t="s">
        <v>73</v>
      </c>
      <c r="T18" t="s">
        <v>39</v>
      </c>
      <c r="U18" t="s">
        <v>40</v>
      </c>
      <c r="V18" t="s">
        <v>41</v>
      </c>
      <c r="W18" t="s">
        <v>42</v>
      </c>
      <c r="X18">
        <v>1</v>
      </c>
      <c r="Y18" t="s">
        <v>43</v>
      </c>
      <c r="Z18">
        <v>4</v>
      </c>
      <c r="AA18" t="s">
        <v>43</v>
      </c>
      <c r="AB18">
        <v>4</v>
      </c>
      <c r="AC18" t="s">
        <v>99</v>
      </c>
    </row>
    <row r="19" spans="1:30">
      <c r="A19" t="s">
        <v>190</v>
      </c>
      <c r="B19" t="s">
        <v>191</v>
      </c>
      <c r="C19" t="s">
        <v>31</v>
      </c>
      <c r="D19" t="s">
        <v>32</v>
      </c>
      <c r="E19" t="s">
        <v>33</v>
      </c>
      <c r="F19" t="s">
        <v>34</v>
      </c>
      <c r="G19">
        <v>9.1999999999999993</v>
      </c>
      <c r="H19">
        <v>6.8</v>
      </c>
      <c r="I19">
        <v>7.3</v>
      </c>
      <c r="J19" s="4">
        <f t="shared" si="0"/>
        <v>5.8250000000000002</v>
      </c>
      <c r="K19">
        <v>7.5</v>
      </c>
      <c r="L19" t="s">
        <v>35</v>
      </c>
      <c r="M19" t="s">
        <v>67</v>
      </c>
      <c r="N19" t="s">
        <v>68</v>
      </c>
      <c r="O19" t="s">
        <v>73</v>
      </c>
      <c r="P19" t="s">
        <v>39</v>
      </c>
      <c r="Q19" t="s">
        <v>38</v>
      </c>
      <c r="R19" t="s">
        <v>38</v>
      </c>
      <c r="S19" t="s">
        <v>37</v>
      </c>
      <c r="T19" t="s">
        <v>39</v>
      </c>
      <c r="U19" t="s">
        <v>40</v>
      </c>
      <c r="V19" t="s">
        <v>41</v>
      </c>
      <c r="W19" t="s">
        <v>54</v>
      </c>
      <c r="X19">
        <v>2</v>
      </c>
      <c r="Y19" t="s">
        <v>51</v>
      </c>
      <c r="Z19">
        <v>4</v>
      </c>
      <c r="AA19" t="s">
        <v>61</v>
      </c>
      <c r="AB19">
        <v>4</v>
      </c>
      <c r="AC19" t="s">
        <v>62</v>
      </c>
    </row>
    <row r="20" spans="1:30">
      <c r="A20" t="s">
        <v>192</v>
      </c>
      <c r="B20" t="s">
        <v>193</v>
      </c>
      <c r="C20" t="s">
        <v>86</v>
      </c>
      <c r="D20" t="s">
        <v>194</v>
      </c>
      <c r="E20" t="s">
        <v>33</v>
      </c>
      <c r="F20" t="s">
        <v>34</v>
      </c>
      <c r="G20">
        <v>6.6619999999999999</v>
      </c>
      <c r="H20">
        <v>5.6</v>
      </c>
      <c r="I20">
        <v>5.8</v>
      </c>
      <c r="J20" s="4">
        <f t="shared" si="0"/>
        <v>4.5155000000000003</v>
      </c>
      <c r="K20">
        <v>5.3</v>
      </c>
      <c r="L20" t="s">
        <v>111</v>
      </c>
      <c r="M20" t="s">
        <v>112</v>
      </c>
      <c r="N20" t="s">
        <v>61</v>
      </c>
      <c r="O20" t="s">
        <v>37</v>
      </c>
      <c r="P20" t="s">
        <v>39</v>
      </c>
      <c r="Q20" t="s">
        <v>73</v>
      </c>
      <c r="R20" t="s">
        <v>37</v>
      </c>
      <c r="S20" t="s">
        <v>37</v>
      </c>
      <c r="T20" t="s">
        <v>37</v>
      </c>
      <c r="U20" t="s">
        <v>40</v>
      </c>
      <c r="V20" t="s">
        <v>41</v>
      </c>
      <c r="W20" t="s">
        <v>54</v>
      </c>
      <c r="X20">
        <v>3</v>
      </c>
      <c r="Y20" t="s">
        <v>43</v>
      </c>
      <c r="Z20">
        <v>3</v>
      </c>
      <c r="AA20" t="s">
        <v>61</v>
      </c>
      <c r="AB20">
        <v>4</v>
      </c>
      <c r="AC20" t="s">
        <v>91</v>
      </c>
    </row>
    <row r="21" spans="1:30">
      <c r="A21" t="s">
        <v>197</v>
      </c>
      <c r="B21" t="s">
        <v>198</v>
      </c>
      <c r="C21" t="s">
        <v>31</v>
      </c>
      <c r="D21" t="s">
        <v>199</v>
      </c>
      <c r="E21" t="s">
        <v>33</v>
      </c>
      <c r="F21" t="s">
        <v>34</v>
      </c>
      <c r="G21">
        <v>7.6</v>
      </c>
      <c r="H21">
        <v>6.9</v>
      </c>
      <c r="I21">
        <v>5.4</v>
      </c>
      <c r="J21" s="4">
        <f t="shared" si="0"/>
        <v>4.9749999999999996</v>
      </c>
      <c r="K21">
        <v>6.4</v>
      </c>
      <c r="L21" t="s">
        <v>112</v>
      </c>
      <c r="M21" t="s">
        <v>112</v>
      </c>
      <c r="N21" t="s">
        <v>98</v>
      </c>
      <c r="O21" t="s">
        <v>73</v>
      </c>
      <c r="P21" t="s">
        <v>39</v>
      </c>
      <c r="Q21" t="s">
        <v>37</v>
      </c>
      <c r="R21" t="s">
        <v>37</v>
      </c>
      <c r="S21" t="s">
        <v>39</v>
      </c>
      <c r="T21" t="s">
        <v>37</v>
      </c>
      <c r="U21" t="s">
        <v>52</v>
      </c>
      <c r="V21" t="s">
        <v>60</v>
      </c>
      <c r="W21" t="s">
        <v>54</v>
      </c>
      <c r="X21">
        <v>3</v>
      </c>
      <c r="Y21" t="s">
        <v>61</v>
      </c>
      <c r="Z21">
        <v>3</v>
      </c>
      <c r="AA21" t="s">
        <v>61</v>
      </c>
      <c r="AB21">
        <v>3</v>
      </c>
      <c r="AC21" t="s">
        <v>99</v>
      </c>
    </row>
    <row r="22" spans="1:30">
      <c r="A22" t="s">
        <v>204</v>
      </c>
      <c r="B22" t="s">
        <v>205</v>
      </c>
      <c r="C22" t="s">
        <v>86</v>
      </c>
      <c r="D22" t="s">
        <v>65</v>
      </c>
      <c r="E22" t="s">
        <v>65</v>
      </c>
      <c r="F22" t="s">
        <v>34</v>
      </c>
      <c r="G22">
        <v>7.88</v>
      </c>
      <c r="H22">
        <v>7.79</v>
      </c>
      <c r="I22">
        <v>7.73</v>
      </c>
      <c r="J22" s="4">
        <f t="shared" si="0"/>
        <v>5.85</v>
      </c>
      <c r="K22">
        <v>7.76</v>
      </c>
      <c r="L22" t="s">
        <v>35</v>
      </c>
      <c r="M22" t="s">
        <v>35</v>
      </c>
      <c r="N22" t="s">
        <v>36</v>
      </c>
      <c r="O22" t="s">
        <v>37</v>
      </c>
      <c r="P22" t="s">
        <v>39</v>
      </c>
      <c r="Q22" t="s">
        <v>37</v>
      </c>
      <c r="R22" t="s">
        <v>37</v>
      </c>
      <c r="S22" t="s">
        <v>37</v>
      </c>
      <c r="T22" t="s">
        <v>37</v>
      </c>
      <c r="U22" t="s">
        <v>40</v>
      </c>
      <c r="V22" t="s">
        <v>41</v>
      </c>
      <c r="W22" t="s">
        <v>54</v>
      </c>
      <c r="X22">
        <v>2</v>
      </c>
      <c r="Y22" t="s">
        <v>43</v>
      </c>
      <c r="Z22">
        <v>3</v>
      </c>
      <c r="AA22" t="s">
        <v>43</v>
      </c>
      <c r="AB22">
        <v>4</v>
      </c>
      <c r="AC22" t="s">
        <v>99</v>
      </c>
    </row>
    <row r="23" spans="1:30">
      <c r="A23" t="s">
        <v>206</v>
      </c>
      <c r="B23" t="s">
        <v>207</v>
      </c>
      <c r="C23" t="s">
        <v>31</v>
      </c>
      <c r="D23" t="s">
        <v>208</v>
      </c>
      <c r="E23" t="s">
        <v>33</v>
      </c>
      <c r="F23" t="s">
        <v>34</v>
      </c>
      <c r="G23">
        <v>8.9</v>
      </c>
      <c r="H23">
        <v>6.8</v>
      </c>
      <c r="I23">
        <v>6.7</v>
      </c>
      <c r="J23" s="4">
        <f t="shared" si="0"/>
        <v>5.6</v>
      </c>
      <c r="K23">
        <v>7.25</v>
      </c>
      <c r="L23" t="s">
        <v>35</v>
      </c>
      <c r="M23" t="s">
        <v>112</v>
      </c>
      <c r="N23" t="s">
        <v>51</v>
      </c>
      <c r="O23" t="s">
        <v>39</v>
      </c>
      <c r="P23" t="s">
        <v>39</v>
      </c>
      <c r="Q23" t="s">
        <v>38</v>
      </c>
      <c r="R23" t="s">
        <v>37</v>
      </c>
      <c r="S23" t="s">
        <v>38</v>
      </c>
      <c r="T23" t="s">
        <v>73</v>
      </c>
      <c r="U23" t="s">
        <v>40</v>
      </c>
      <c r="V23" t="s">
        <v>41</v>
      </c>
      <c r="W23" t="s">
        <v>54</v>
      </c>
      <c r="X23">
        <v>3</v>
      </c>
      <c r="Y23" t="s">
        <v>51</v>
      </c>
      <c r="Z23">
        <v>3</v>
      </c>
      <c r="AA23" t="s">
        <v>43</v>
      </c>
      <c r="AB23">
        <v>3</v>
      </c>
      <c r="AC23" t="s">
        <v>99</v>
      </c>
    </row>
    <row r="24" spans="1:30">
      <c r="A24" t="s">
        <v>209</v>
      </c>
      <c r="B24" t="s">
        <v>210</v>
      </c>
      <c r="C24" t="s">
        <v>86</v>
      </c>
      <c r="D24" t="s">
        <v>32</v>
      </c>
      <c r="E24" t="s">
        <v>33</v>
      </c>
      <c r="F24" t="s">
        <v>34</v>
      </c>
      <c r="G24">
        <v>8.7899999999999991</v>
      </c>
      <c r="H24">
        <v>7.13</v>
      </c>
      <c r="I24">
        <v>6.79</v>
      </c>
      <c r="J24" s="4">
        <f t="shared" si="0"/>
        <v>5.6774999999999993</v>
      </c>
      <c r="K24">
        <v>7.47</v>
      </c>
      <c r="L24" t="s">
        <v>35</v>
      </c>
      <c r="M24" t="s">
        <v>35</v>
      </c>
      <c r="N24" t="s">
        <v>61</v>
      </c>
      <c r="O24" t="s">
        <v>39</v>
      </c>
      <c r="P24" t="s">
        <v>39</v>
      </c>
      <c r="Q24" t="s">
        <v>37</v>
      </c>
      <c r="R24" t="s">
        <v>39</v>
      </c>
      <c r="S24" t="s">
        <v>39</v>
      </c>
      <c r="T24" t="s">
        <v>39</v>
      </c>
      <c r="U24" t="s">
        <v>59</v>
      </c>
      <c r="V24" t="s">
        <v>79</v>
      </c>
      <c r="W24" t="s">
        <v>54</v>
      </c>
      <c r="X24">
        <v>3</v>
      </c>
      <c r="Y24" t="s">
        <v>43</v>
      </c>
      <c r="Z24">
        <v>3</v>
      </c>
      <c r="AA24" t="s">
        <v>51</v>
      </c>
      <c r="AB24">
        <v>4</v>
      </c>
      <c r="AC24" t="s">
        <v>62</v>
      </c>
    </row>
    <row r="25" spans="1:30">
      <c r="A25" t="s">
        <v>220</v>
      </c>
      <c r="B25" t="s">
        <v>221</v>
      </c>
      <c r="C25" t="s">
        <v>31</v>
      </c>
      <c r="D25" t="s">
        <v>32</v>
      </c>
      <c r="E25" t="s">
        <v>33</v>
      </c>
      <c r="F25" t="s">
        <v>34</v>
      </c>
      <c r="G25">
        <v>8.4</v>
      </c>
      <c r="H25">
        <v>6.9</v>
      </c>
      <c r="I25">
        <v>6.6</v>
      </c>
      <c r="J25" s="4">
        <f t="shared" si="0"/>
        <v>5.4749999999999996</v>
      </c>
      <c r="K25">
        <v>6.2</v>
      </c>
      <c r="L25" t="s">
        <v>112</v>
      </c>
      <c r="M25" t="s">
        <v>111</v>
      </c>
      <c r="N25" t="s">
        <v>98</v>
      </c>
      <c r="O25" t="s">
        <v>37</v>
      </c>
      <c r="P25" t="s">
        <v>39</v>
      </c>
      <c r="Q25" t="s">
        <v>73</v>
      </c>
      <c r="R25" t="s">
        <v>39</v>
      </c>
      <c r="S25" t="s">
        <v>37</v>
      </c>
      <c r="T25" t="s">
        <v>39</v>
      </c>
      <c r="U25" t="s">
        <v>40</v>
      </c>
      <c r="V25" t="s">
        <v>41</v>
      </c>
      <c r="W25" t="s">
        <v>54</v>
      </c>
      <c r="X25">
        <v>3</v>
      </c>
      <c r="Y25" t="s">
        <v>51</v>
      </c>
      <c r="Z25">
        <v>4</v>
      </c>
      <c r="AA25" t="s">
        <v>43</v>
      </c>
      <c r="AB25">
        <v>3</v>
      </c>
      <c r="AC25" t="s">
        <v>44</v>
      </c>
    </row>
    <row r="26" spans="1:30">
      <c r="A26" t="s">
        <v>222</v>
      </c>
      <c r="B26" t="s">
        <v>223</v>
      </c>
      <c r="C26" t="s">
        <v>31</v>
      </c>
      <c r="D26" t="s">
        <v>224</v>
      </c>
      <c r="E26" t="s">
        <v>33</v>
      </c>
      <c r="F26" t="s">
        <v>34</v>
      </c>
      <c r="G26">
        <v>8.5169999999999995</v>
      </c>
      <c r="H26">
        <v>6.665</v>
      </c>
      <c r="I26">
        <v>5.992</v>
      </c>
      <c r="J26" s="4">
        <f t="shared" si="0"/>
        <v>5.2934999999999999</v>
      </c>
      <c r="K26">
        <v>6.3650000000000002</v>
      </c>
      <c r="L26" t="s">
        <v>35</v>
      </c>
      <c r="M26" t="s">
        <v>35</v>
      </c>
      <c r="N26" t="s">
        <v>51</v>
      </c>
      <c r="O26" t="s">
        <v>37</v>
      </c>
      <c r="P26" t="s">
        <v>39</v>
      </c>
      <c r="Q26" t="s">
        <v>39</v>
      </c>
      <c r="R26" t="s">
        <v>39</v>
      </c>
      <c r="S26" t="s">
        <v>39</v>
      </c>
      <c r="T26" t="s">
        <v>39</v>
      </c>
      <c r="U26" t="s">
        <v>40</v>
      </c>
      <c r="V26" t="s">
        <v>60</v>
      </c>
      <c r="W26" t="s">
        <v>54</v>
      </c>
      <c r="X26">
        <v>1</v>
      </c>
      <c r="Y26" t="s">
        <v>43</v>
      </c>
      <c r="Z26">
        <v>3</v>
      </c>
      <c r="AA26" t="s">
        <v>51</v>
      </c>
      <c r="AB26">
        <v>4</v>
      </c>
      <c r="AC26" t="s">
        <v>99</v>
      </c>
      <c r="AD26" t="s">
        <v>225</v>
      </c>
    </row>
    <row r="27" spans="1:30">
      <c r="A27" t="s">
        <v>226</v>
      </c>
      <c r="B27" t="s">
        <v>227</v>
      </c>
      <c r="C27" t="s">
        <v>86</v>
      </c>
      <c r="D27" t="s">
        <v>149</v>
      </c>
      <c r="E27" t="s">
        <v>33</v>
      </c>
      <c r="F27" t="s">
        <v>34</v>
      </c>
      <c r="G27">
        <v>8.1999999999999993</v>
      </c>
      <c r="H27">
        <v>6.3</v>
      </c>
      <c r="I27">
        <v>7.3</v>
      </c>
      <c r="J27" s="4">
        <f t="shared" si="0"/>
        <v>5.45</v>
      </c>
      <c r="K27">
        <v>7</v>
      </c>
      <c r="L27" t="s">
        <v>35</v>
      </c>
      <c r="M27" t="s">
        <v>112</v>
      </c>
      <c r="N27" t="s">
        <v>61</v>
      </c>
      <c r="O27" t="s">
        <v>37</v>
      </c>
      <c r="P27" t="s">
        <v>39</v>
      </c>
      <c r="Q27" t="s">
        <v>37</v>
      </c>
      <c r="R27" t="s">
        <v>37</v>
      </c>
      <c r="S27" t="s">
        <v>37</v>
      </c>
      <c r="T27" t="s">
        <v>37</v>
      </c>
      <c r="U27" t="s">
        <v>40</v>
      </c>
      <c r="V27" t="s">
        <v>79</v>
      </c>
      <c r="W27" t="s">
        <v>54</v>
      </c>
      <c r="X27">
        <v>3</v>
      </c>
      <c r="Y27" t="s">
        <v>51</v>
      </c>
      <c r="Z27">
        <v>3</v>
      </c>
      <c r="AA27" t="s">
        <v>51</v>
      </c>
      <c r="AB27">
        <v>3</v>
      </c>
      <c r="AC27" t="s">
        <v>62</v>
      </c>
    </row>
    <row r="28" spans="1:30">
      <c r="A28" t="s">
        <v>230</v>
      </c>
      <c r="B28" t="s">
        <v>231</v>
      </c>
      <c r="C28" t="s">
        <v>31</v>
      </c>
      <c r="D28" t="s">
        <v>213</v>
      </c>
      <c r="E28" t="s">
        <v>33</v>
      </c>
      <c r="F28" t="s">
        <v>34</v>
      </c>
      <c r="G28">
        <v>8.65</v>
      </c>
      <c r="H28">
        <v>6.57</v>
      </c>
      <c r="I28">
        <v>6.84</v>
      </c>
      <c r="J28" s="4">
        <f t="shared" si="0"/>
        <v>5.5150000000000006</v>
      </c>
      <c r="K28">
        <v>6.84</v>
      </c>
      <c r="L28" t="s">
        <v>35</v>
      </c>
      <c r="M28" t="s">
        <v>35</v>
      </c>
      <c r="N28" t="s">
        <v>98</v>
      </c>
      <c r="O28" t="s">
        <v>37</v>
      </c>
      <c r="P28" t="s">
        <v>39</v>
      </c>
      <c r="Q28" t="s">
        <v>37</v>
      </c>
      <c r="R28" t="s">
        <v>39</v>
      </c>
      <c r="S28" t="s">
        <v>37</v>
      </c>
      <c r="T28" t="s">
        <v>37</v>
      </c>
      <c r="U28" t="s">
        <v>40</v>
      </c>
      <c r="V28" t="s">
        <v>41</v>
      </c>
      <c r="W28" t="s">
        <v>54</v>
      </c>
      <c r="X28">
        <v>3</v>
      </c>
      <c r="Y28" t="s">
        <v>51</v>
      </c>
      <c r="Z28">
        <v>3</v>
      </c>
      <c r="AA28" t="s">
        <v>51</v>
      </c>
      <c r="AB28">
        <v>4</v>
      </c>
      <c r="AC28" t="s">
        <v>99</v>
      </c>
    </row>
    <row r="29" spans="1:30">
      <c r="A29" t="s">
        <v>232</v>
      </c>
      <c r="B29" t="s">
        <v>233</v>
      </c>
      <c r="C29" t="s">
        <v>31</v>
      </c>
      <c r="D29" t="s">
        <v>234</v>
      </c>
      <c r="E29" t="s">
        <v>33</v>
      </c>
      <c r="F29" t="s">
        <v>34</v>
      </c>
      <c r="G29">
        <v>8.9</v>
      </c>
      <c r="H29">
        <v>6.3</v>
      </c>
      <c r="I29">
        <v>6.2</v>
      </c>
      <c r="J29" s="4">
        <f t="shared" si="0"/>
        <v>5.35</v>
      </c>
      <c r="K29">
        <v>5.5</v>
      </c>
      <c r="L29" t="s">
        <v>111</v>
      </c>
      <c r="M29" t="s">
        <v>111</v>
      </c>
      <c r="N29" t="s">
        <v>61</v>
      </c>
      <c r="O29" t="s">
        <v>73</v>
      </c>
      <c r="P29" t="s">
        <v>37</v>
      </c>
      <c r="Q29" t="s">
        <v>37</v>
      </c>
      <c r="R29" t="s">
        <v>37</v>
      </c>
      <c r="S29" t="s">
        <v>39</v>
      </c>
      <c r="T29" t="s">
        <v>73</v>
      </c>
      <c r="U29" t="s">
        <v>59</v>
      </c>
      <c r="V29" t="s">
        <v>79</v>
      </c>
      <c r="W29" t="s">
        <v>54</v>
      </c>
      <c r="X29">
        <v>3</v>
      </c>
      <c r="Y29" t="s">
        <v>51</v>
      </c>
      <c r="Z29">
        <v>2</v>
      </c>
      <c r="AA29" t="s">
        <v>61</v>
      </c>
      <c r="AB29">
        <v>1</v>
      </c>
      <c r="AC29" t="s">
        <v>99</v>
      </c>
    </row>
    <row r="30" spans="1:30">
      <c r="A30" t="s">
        <v>235</v>
      </c>
      <c r="B30" t="s">
        <v>236</v>
      </c>
      <c r="C30" t="s">
        <v>86</v>
      </c>
      <c r="D30" t="s">
        <v>116</v>
      </c>
      <c r="E30" t="s">
        <v>33</v>
      </c>
      <c r="F30" t="s">
        <v>34</v>
      </c>
      <c r="G30">
        <v>9.02</v>
      </c>
      <c r="H30">
        <v>6.45</v>
      </c>
      <c r="I30">
        <v>6.82</v>
      </c>
      <c r="J30" s="4">
        <f t="shared" si="0"/>
        <v>5.5724999999999998</v>
      </c>
      <c r="K30">
        <v>7.26</v>
      </c>
      <c r="L30" t="s">
        <v>112</v>
      </c>
      <c r="M30" t="s">
        <v>112</v>
      </c>
      <c r="N30" t="s">
        <v>61</v>
      </c>
      <c r="O30" t="s">
        <v>37</v>
      </c>
      <c r="P30" t="s">
        <v>39</v>
      </c>
      <c r="Q30" t="s">
        <v>37</v>
      </c>
      <c r="R30" t="s">
        <v>39</v>
      </c>
      <c r="S30" t="s">
        <v>39</v>
      </c>
      <c r="T30" t="s">
        <v>39</v>
      </c>
      <c r="U30" t="s">
        <v>40</v>
      </c>
      <c r="V30" t="s">
        <v>41</v>
      </c>
      <c r="W30" t="s">
        <v>54</v>
      </c>
      <c r="X30">
        <v>2</v>
      </c>
      <c r="Y30" t="s">
        <v>43</v>
      </c>
      <c r="Z30">
        <v>3</v>
      </c>
      <c r="AA30" t="s">
        <v>43</v>
      </c>
      <c r="AB30">
        <v>3</v>
      </c>
      <c r="AC30" t="s">
        <v>99</v>
      </c>
    </row>
    <row r="31" spans="1:30">
      <c r="A31" t="s">
        <v>237</v>
      </c>
      <c r="B31" t="s">
        <v>238</v>
      </c>
      <c r="C31" t="s">
        <v>86</v>
      </c>
      <c r="D31" t="s">
        <v>239</v>
      </c>
      <c r="E31" t="s">
        <v>33</v>
      </c>
      <c r="F31" t="s">
        <v>34</v>
      </c>
      <c r="G31">
        <v>9.1999999999999993</v>
      </c>
      <c r="H31">
        <v>6.8</v>
      </c>
      <c r="I31">
        <v>7.9</v>
      </c>
      <c r="J31" s="4">
        <f t="shared" si="0"/>
        <v>5.9749999999999996</v>
      </c>
      <c r="K31">
        <v>7.8</v>
      </c>
      <c r="L31" t="s">
        <v>35</v>
      </c>
      <c r="M31" t="s">
        <v>35</v>
      </c>
      <c r="N31" t="s">
        <v>36</v>
      </c>
      <c r="O31" t="s">
        <v>37</v>
      </c>
      <c r="P31" t="s">
        <v>39</v>
      </c>
      <c r="Q31" t="s">
        <v>39</v>
      </c>
      <c r="R31" t="s">
        <v>37</v>
      </c>
      <c r="S31" t="s">
        <v>37</v>
      </c>
      <c r="T31" t="s">
        <v>39</v>
      </c>
      <c r="U31" t="s">
        <v>52</v>
      </c>
      <c r="V31" t="s">
        <v>41</v>
      </c>
      <c r="W31" t="s">
        <v>54</v>
      </c>
      <c r="X31">
        <v>2</v>
      </c>
      <c r="Y31" t="s">
        <v>51</v>
      </c>
      <c r="Z31">
        <v>5</v>
      </c>
      <c r="AA31" t="s">
        <v>51</v>
      </c>
      <c r="AB31">
        <v>5</v>
      </c>
      <c r="AC31" t="s">
        <v>62</v>
      </c>
      <c r="AD31" t="s">
        <v>240</v>
      </c>
    </row>
    <row r="32" spans="1:30">
      <c r="A32" t="s">
        <v>241</v>
      </c>
      <c r="B32" t="s">
        <v>242</v>
      </c>
      <c r="C32" t="s">
        <v>86</v>
      </c>
      <c r="D32" t="s">
        <v>243</v>
      </c>
      <c r="E32" t="s">
        <v>33</v>
      </c>
      <c r="F32" t="s">
        <v>34</v>
      </c>
      <c r="G32">
        <v>9.1999999999999993</v>
      </c>
      <c r="H32">
        <v>8.4</v>
      </c>
      <c r="I32">
        <v>8.3000000000000007</v>
      </c>
      <c r="J32" s="4">
        <f t="shared" si="0"/>
        <v>6.4750000000000005</v>
      </c>
      <c r="K32">
        <v>8.1</v>
      </c>
      <c r="L32" t="s">
        <v>67</v>
      </c>
      <c r="M32" t="s">
        <v>35</v>
      </c>
      <c r="N32" t="s">
        <v>61</v>
      </c>
      <c r="O32" t="s">
        <v>37</v>
      </c>
      <c r="P32" t="s">
        <v>39</v>
      </c>
      <c r="Q32" t="s">
        <v>37</v>
      </c>
      <c r="R32" t="s">
        <v>37</v>
      </c>
      <c r="S32" t="s">
        <v>37</v>
      </c>
      <c r="T32" t="s">
        <v>39</v>
      </c>
      <c r="U32" t="s">
        <v>52</v>
      </c>
      <c r="V32" t="s">
        <v>60</v>
      </c>
      <c r="W32" t="s">
        <v>54</v>
      </c>
      <c r="X32">
        <v>3</v>
      </c>
      <c r="Y32" t="s">
        <v>43</v>
      </c>
      <c r="Z32">
        <v>4</v>
      </c>
      <c r="AA32" t="s">
        <v>43</v>
      </c>
      <c r="AB32">
        <v>4</v>
      </c>
      <c r="AC32" t="s">
        <v>62</v>
      </c>
    </row>
    <row r="33" spans="1:30">
      <c r="A33" t="s">
        <v>244</v>
      </c>
      <c r="B33" t="s">
        <v>245</v>
      </c>
      <c r="C33" t="s">
        <v>86</v>
      </c>
      <c r="D33" t="s">
        <v>72</v>
      </c>
      <c r="E33" t="s">
        <v>33</v>
      </c>
      <c r="F33" t="s">
        <v>34</v>
      </c>
      <c r="G33">
        <v>8.3000000000000007</v>
      </c>
      <c r="H33">
        <v>7.2</v>
      </c>
      <c r="I33">
        <v>6.7</v>
      </c>
      <c r="J33" s="4">
        <f t="shared" si="0"/>
        <v>5.55</v>
      </c>
      <c r="K33">
        <v>6.9</v>
      </c>
      <c r="L33" t="s">
        <v>112</v>
      </c>
      <c r="M33" t="s">
        <v>112</v>
      </c>
      <c r="N33" t="s">
        <v>61</v>
      </c>
      <c r="O33" t="s">
        <v>39</v>
      </c>
      <c r="P33" t="s">
        <v>39</v>
      </c>
      <c r="Q33" t="s">
        <v>39</v>
      </c>
      <c r="R33" t="s">
        <v>39</v>
      </c>
      <c r="S33" t="s">
        <v>39</v>
      </c>
      <c r="T33" t="s">
        <v>39</v>
      </c>
      <c r="U33" t="s">
        <v>40</v>
      </c>
      <c r="V33" t="s">
        <v>41</v>
      </c>
      <c r="W33" t="s">
        <v>54</v>
      </c>
      <c r="X33">
        <v>2</v>
      </c>
      <c r="Y33" t="s">
        <v>43</v>
      </c>
      <c r="Z33">
        <v>3</v>
      </c>
      <c r="AA33" t="s">
        <v>51</v>
      </c>
      <c r="AB33">
        <v>3</v>
      </c>
      <c r="AC33" t="s">
        <v>62</v>
      </c>
    </row>
    <row r="34" spans="1:30">
      <c r="A34" t="s">
        <v>246</v>
      </c>
      <c r="B34" t="s">
        <v>247</v>
      </c>
      <c r="C34" t="s">
        <v>31</v>
      </c>
      <c r="D34" t="s">
        <v>248</v>
      </c>
      <c r="E34" t="s">
        <v>33</v>
      </c>
      <c r="F34" t="s">
        <v>34</v>
      </c>
      <c r="G34">
        <v>8.9049999999999994</v>
      </c>
      <c r="H34">
        <v>6.9770000000000003</v>
      </c>
      <c r="I34">
        <v>7.8739999999999997</v>
      </c>
      <c r="J34" s="4">
        <f t="shared" si="0"/>
        <v>5.9390000000000001</v>
      </c>
      <c r="K34">
        <v>7.7930000000000001</v>
      </c>
      <c r="L34" t="s">
        <v>35</v>
      </c>
      <c r="M34" t="s">
        <v>35</v>
      </c>
      <c r="N34" t="s">
        <v>126</v>
      </c>
      <c r="O34" t="s">
        <v>38</v>
      </c>
      <c r="P34" t="s">
        <v>39</v>
      </c>
      <c r="Q34" t="s">
        <v>38</v>
      </c>
      <c r="R34" t="s">
        <v>127</v>
      </c>
      <c r="S34" t="s">
        <v>73</v>
      </c>
      <c r="T34" t="s">
        <v>37</v>
      </c>
      <c r="U34" t="s">
        <v>40</v>
      </c>
      <c r="V34" t="s">
        <v>41</v>
      </c>
      <c r="W34" t="s">
        <v>54</v>
      </c>
      <c r="X34">
        <v>3</v>
      </c>
      <c r="Y34" t="s">
        <v>61</v>
      </c>
      <c r="Z34">
        <v>5</v>
      </c>
      <c r="AA34" t="s">
        <v>61</v>
      </c>
      <c r="AB34">
        <v>4</v>
      </c>
      <c r="AC34" t="s">
        <v>62</v>
      </c>
    </row>
    <row r="35" spans="1:30">
      <c r="A35" t="s">
        <v>249</v>
      </c>
      <c r="B35" t="s">
        <v>250</v>
      </c>
      <c r="C35" t="s">
        <v>31</v>
      </c>
      <c r="D35" t="s">
        <v>251</v>
      </c>
      <c r="E35" t="s">
        <v>252</v>
      </c>
      <c r="F35" t="s">
        <v>34</v>
      </c>
      <c r="G35">
        <v>9.61</v>
      </c>
      <c r="H35">
        <v>10</v>
      </c>
      <c r="I35">
        <v>9.9600000000000009</v>
      </c>
      <c r="J35" s="4">
        <f t="shared" si="0"/>
        <v>7.3925000000000001</v>
      </c>
      <c r="K35">
        <v>9.9600000000000009</v>
      </c>
      <c r="L35" t="s">
        <v>49</v>
      </c>
      <c r="M35" t="s">
        <v>50</v>
      </c>
      <c r="N35" t="s">
        <v>61</v>
      </c>
      <c r="O35" t="s">
        <v>37</v>
      </c>
      <c r="P35" t="s">
        <v>39</v>
      </c>
      <c r="Q35" t="s">
        <v>37</v>
      </c>
      <c r="R35" t="s">
        <v>37</v>
      </c>
      <c r="S35" t="s">
        <v>39</v>
      </c>
      <c r="T35" t="s">
        <v>39</v>
      </c>
      <c r="U35" t="s">
        <v>59</v>
      </c>
      <c r="V35" t="s">
        <v>41</v>
      </c>
      <c r="W35" t="s">
        <v>54</v>
      </c>
      <c r="X35">
        <v>3</v>
      </c>
      <c r="Y35" t="s">
        <v>51</v>
      </c>
      <c r="Z35">
        <v>3</v>
      </c>
      <c r="AA35" t="s">
        <v>51</v>
      </c>
      <c r="AB35">
        <v>3</v>
      </c>
      <c r="AC35" t="s">
        <v>62</v>
      </c>
    </row>
    <row r="36" spans="1:30">
      <c r="A36" t="s">
        <v>253</v>
      </c>
      <c r="B36" t="s">
        <v>254</v>
      </c>
      <c r="C36" t="s">
        <v>31</v>
      </c>
      <c r="D36" t="s">
        <v>255</v>
      </c>
      <c r="E36" t="s">
        <v>255</v>
      </c>
      <c r="F36" t="s">
        <v>34</v>
      </c>
      <c r="G36">
        <v>8.91</v>
      </c>
      <c r="H36">
        <v>8</v>
      </c>
      <c r="I36">
        <v>6.52</v>
      </c>
      <c r="J36" s="4">
        <f t="shared" si="0"/>
        <v>5.8574999999999999</v>
      </c>
      <c r="K36">
        <v>8.8699999999999992</v>
      </c>
      <c r="L36" t="s">
        <v>67</v>
      </c>
      <c r="M36" t="s">
        <v>67</v>
      </c>
      <c r="N36" t="s">
        <v>36</v>
      </c>
      <c r="O36" t="s">
        <v>37</v>
      </c>
      <c r="P36" t="s">
        <v>39</v>
      </c>
      <c r="Q36" t="s">
        <v>37</v>
      </c>
      <c r="R36" t="s">
        <v>39</v>
      </c>
      <c r="S36" t="s">
        <v>39</v>
      </c>
      <c r="T36" t="s">
        <v>39</v>
      </c>
      <c r="U36" t="s">
        <v>52</v>
      </c>
      <c r="V36" t="s">
        <v>79</v>
      </c>
      <c r="W36" t="s">
        <v>54</v>
      </c>
      <c r="X36">
        <v>3</v>
      </c>
      <c r="Y36" t="s">
        <v>51</v>
      </c>
      <c r="Z36">
        <v>4</v>
      </c>
      <c r="AA36" t="s">
        <v>43</v>
      </c>
      <c r="AB36">
        <v>3</v>
      </c>
      <c r="AC36" t="s">
        <v>62</v>
      </c>
    </row>
    <row r="37" spans="1:30">
      <c r="A37" t="s">
        <v>256</v>
      </c>
      <c r="B37" t="s">
        <v>257</v>
      </c>
      <c r="C37" t="s">
        <v>31</v>
      </c>
      <c r="D37" t="s">
        <v>258</v>
      </c>
      <c r="E37" t="s">
        <v>83</v>
      </c>
      <c r="F37" t="s">
        <v>34</v>
      </c>
      <c r="G37">
        <v>7.76</v>
      </c>
      <c r="H37">
        <v>7.78</v>
      </c>
      <c r="I37">
        <v>8.3699999999999992</v>
      </c>
      <c r="J37" s="4">
        <f t="shared" si="0"/>
        <v>5.9774999999999991</v>
      </c>
      <c r="K37">
        <v>8.25</v>
      </c>
      <c r="L37" t="s">
        <v>67</v>
      </c>
      <c r="M37" t="s">
        <v>50</v>
      </c>
      <c r="N37" t="s">
        <v>61</v>
      </c>
      <c r="O37" t="s">
        <v>39</v>
      </c>
      <c r="P37" t="s">
        <v>39</v>
      </c>
      <c r="Q37" t="s">
        <v>37</v>
      </c>
      <c r="R37" t="s">
        <v>37</v>
      </c>
      <c r="S37" t="s">
        <v>37</v>
      </c>
      <c r="T37" t="s">
        <v>37</v>
      </c>
      <c r="U37" t="s">
        <v>59</v>
      </c>
      <c r="V37" t="s">
        <v>41</v>
      </c>
      <c r="W37" t="s">
        <v>54</v>
      </c>
      <c r="X37">
        <v>2</v>
      </c>
      <c r="Y37" t="s">
        <v>43</v>
      </c>
      <c r="Z37">
        <v>4</v>
      </c>
      <c r="AA37" t="s">
        <v>51</v>
      </c>
      <c r="AB37">
        <v>3</v>
      </c>
      <c r="AC37" t="s">
        <v>44</v>
      </c>
      <c r="AD37" t="s">
        <v>259</v>
      </c>
    </row>
    <row r="38" spans="1:30">
      <c r="A38" t="s">
        <v>267</v>
      </c>
      <c r="B38" t="s">
        <v>268</v>
      </c>
      <c r="C38" t="s">
        <v>31</v>
      </c>
      <c r="D38" t="s">
        <v>213</v>
      </c>
      <c r="E38" t="s">
        <v>33</v>
      </c>
      <c r="F38" t="s">
        <v>34</v>
      </c>
      <c r="G38">
        <v>9.09</v>
      </c>
      <c r="H38">
        <v>8.8000000000000007</v>
      </c>
      <c r="I38">
        <v>8.1199999999999992</v>
      </c>
      <c r="J38" s="4">
        <f t="shared" si="0"/>
        <v>6.5024999999999995</v>
      </c>
      <c r="K38">
        <v>8.84</v>
      </c>
      <c r="L38" t="s">
        <v>49</v>
      </c>
      <c r="M38" t="s">
        <v>67</v>
      </c>
      <c r="N38" t="s">
        <v>36</v>
      </c>
      <c r="O38" t="s">
        <v>37</v>
      </c>
      <c r="P38" t="s">
        <v>73</v>
      </c>
      <c r="Q38" t="s">
        <v>39</v>
      </c>
      <c r="R38" t="s">
        <v>37</v>
      </c>
      <c r="S38" t="s">
        <v>37</v>
      </c>
      <c r="T38" t="s">
        <v>39</v>
      </c>
      <c r="U38" t="s">
        <v>40</v>
      </c>
      <c r="V38" t="s">
        <v>79</v>
      </c>
      <c r="W38" t="s">
        <v>54</v>
      </c>
      <c r="X38">
        <v>1</v>
      </c>
      <c r="Y38" t="s">
        <v>51</v>
      </c>
      <c r="Z38">
        <v>2</v>
      </c>
      <c r="AA38" t="s">
        <v>51</v>
      </c>
      <c r="AB38">
        <v>1</v>
      </c>
      <c r="AC38" t="s">
        <v>99</v>
      </c>
    </row>
    <row r="39" spans="1:30">
      <c r="A39" t="s">
        <v>269</v>
      </c>
      <c r="B39" t="s">
        <v>270</v>
      </c>
      <c r="C39" t="s">
        <v>86</v>
      </c>
      <c r="D39" t="s">
        <v>271</v>
      </c>
      <c r="E39" t="s">
        <v>33</v>
      </c>
      <c r="F39" t="s">
        <v>34</v>
      </c>
      <c r="G39">
        <v>9.01</v>
      </c>
      <c r="H39">
        <v>7.07</v>
      </c>
      <c r="I39">
        <v>8.08</v>
      </c>
      <c r="J39" s="4">
        <f t="shared" si="0"/>
        <v>6.0399999999999991</v>
      </c>
      <c r="K39">
        <v>8.23</v>
      </c>
      <c r="L39" t="s">
        <v>67</v>
      </c>
      <c r="M39" t="s">
        <v>67</v>
      </c>
      <c r="N39" t="s">
        <v>61</v>
      </c>
      <c r="O39" t="s">
        <v>37</v>
      </c>
      <c r="P39" t="s">
        <v>39</v>
      </c>
      <c r="Q39" t="s">
        <v>39</v>
      </c>
      <c r="R39" t="s">
        <v>39</v>
      </c>
      <c r="S39" t="s">
        <v>39</v>
      </c>
      <c r="T39" t="s">
        <v>39</v>
      </c>
      <c r="U39" t="s">
        <v>40</v>
      </c>
      <c r="V39" t="s">
        <v>41</v>
      </c>
      <c r="W39" t="s">
        <v>54</v>
      </c>
      <c r="X39">
        <v>3</v>
      </c>
      <c r="Y39" t="s">
        <v>43</v>
      </c>
      <c r="Z39">
        <v>3</v>
      </c>
      <c r="AA39" t="s">
        <v>43</v>
      </c>
      <c r="AB39">
        <v>3</v>
      </c>
      <c r="AC39" t="s">
        <v>62</v>
      </c>
    </row>
    <row r="40" spans="1:30">
      <c r="A40" t="s">
        <v>274</v>
      </c>
      <c r="B40" t="s">
        <v>275</v>
      </c>
      <c r="C40" t="s">
        <v>31</v>
      </c>
      <c r="D40" t="s">
        <v>32</v>
      </c>
      <c r="E40" t="s">
        <v>33</v>
      </c>
      <c r="F40" t="s">
        <v>34</v>
      </c>
      <c r="G40">
        <v>9.4</v>
      </c>
      <c r="H40">
        <v>8.1999999999999993</v>
      </c>
      <c r="I40">
        <v>9.1</v>
      </c>
      <c r="J40" s="4">
        <f t="shared" si="0"/>
        <v>6.6750000000000007</v>
      </c>
      <c r="K40">
        <v>8.6999999999999993</v>
      </c>
      <c r="L40" t="s">
        <v>35</v>
      </c>
      <c r="M40" t="s">
        <v>112</v>
      </c>
      <c r="N40" t="s">
        <v>36</v>
      </c>
      <c r="O40" t="s">
        <v>39</v>
      </c>
      <c r="P40" t="s">
        <v>39</v>
      </c>
      <c r="Q40" t="s">
        <v>37</v>
      </c>
      <c r="R40" t="s">
        <v>37</v>
      </c>
      <c r="S40" t="s">
        <v>37</v>
      </c>
      <c r="T40" t="s">
        <v>37</v>
      </c>
      <c r="U40" t="s">
        <v>59</v>
      </c>
      <c r="V40" t="s">
        <v>79</v>
      </c>
      <c r="W40" t="s">
        <v>42</v>
      </c>
      <c r="X40">
        <v>2</v>
      </c>
      <c r="Y40" t="s">
        <v>43</v>
      </c>
      <c r="Z40">
        <v>3</v>
      </c>
      <c r="AA40" t="s">
        <v>61</v>
      </c>
      <c r="AB40">
        <v>3</v>
      </c>
      <c r="AC40" t="s">
        <v>62</v>
      </c>
    </row>
    <row r="41" spans="1:30">
      <c r="A41" t="s">
        <v>276</v>
      </c>
      <c r="B41" t="s">
        <v>277</v>
      </c>
      <c r="C41" t="s">
        <v>86</v>
      </c>
      <c r="D41" t="s">
        <v>278</v>
      </c>
      <c r="E41" t="s">
        <v>33</v>
      </c>
      <c r="F41" t="s">
        <v>34</v>
      </c>
      <c r="G41">
        <v>7.359</v>
      </c>
      <c r="H41">
        <v>6.133</v>
      </c>
      <c r="I41">
        <v>5.7169999999999996</v>
      </c>
      <c r="J41" s="4">
        <f t="shared" si="0"/>
        <v>4.8022499999999999</v>
      </c>
      <c r="K41">
        <v>6.5410000000000004</v>
      </c>
      <c r="L41" t="s">
        <v>112</v>
      </c>
      <c r="M41" t="s">
        <v>112</v>
      </c>
      <c r="N41" t="s">
        <v>36</v>
      </c>
      <c r="O41" t="s">
        <v>37</v>
      </c>
      <c r="P41" t="s">
        <v>39</v>
      </c>
      <c r="Q41" t="s">
        <v>37</v>
      </c>
      <c r="R41" t="s">
        <v>37</v>
      </c>
      <c r="S41" t="s">
        <v>37</v>
      </c>
      <c r="T41" t="s">
        <v>37</v>
      </c>
      <c r="U41" t="s">
        <v>40</v>
      </c>
      <c r="V41" t="s">
        <v>41</v>
      </c>
      <c r="W41" t="s">
        <v>54</v>
      </c>
      <c r="X41">
        <v>2</v>
      </c>
      <c r="Y41" t="s">
        <v>43</v>
      </c>
      <c r="Z41">
        <v>3</v>
      </c>
      <c r="AA41" t="s">
        <v>61</v>
      </c>
      <c r="AB41">
        <v>3</v>
      </c>
      <c r="AC41" t="s">
        <v>62</v>
      </c>
    </row>
    <row r="42" spans="1:30">
      <c r="A42" t="s">
        <v>283</v>
      </c>
      <c r="B42" t="s">
        <v>284</v>
      </c>
      <c r="C42" t="s">
        <v>31</v>
      </c>
      <c r="D42" t="s">
        <v>285</v>
      </c>
      <c r="E42" t="s">
        <v>252</v>
      </c>
      <c r="F42" t="s">
        <v>34</v>
      </c>
      <c r="G42">
        <v>9.41</v>
      </c>
      <c r="H42">
        <v>8.73</v>
      </c>
      <c r="I42">
        <v>9.14</v>
      </c>
      <c r="J42" s="4">
        <f t="shared" si="0"/>
        <v>6.82</v>
      </c>
      <c r="K42">
        <v>9.1999999999999993</v>
      </c>
      <c r="L42" t="s">
        <v>35</v>
      </c>
      <c r="M42" t="s">
        <v>67</v>
      </c>
      <c r="N42" t="s">
        <v>61</v>
      </c>
      <c r="O42" t="s">
        <v>73</v>
      </c>
      <c r="P42" t="s">
        <v>39</v>
      </c>
      <c r="Q42" t="s">
        <v>39</v>
      </c>
      <c r="R42" t="s">
        <v>39</v>
      </c>
      <c r="S42" t="s">
        <v>37</v>
      </c>
      <c r="T42" t="s">
        <v>39</v>
      </c>
      <c r="U42" t="s">
        <v>59</v>
      </c>
      <c r="V42" t="s">
        <v>79</v>
      </c>
      <c r="W42" t="s">
        <v>54</v>
      </c>
      <c r="X42">
        <v>3</v>
      </c>
      <c r="Y42" t="s">
        <v>51</v>
      </c>
      <c r="Z42">
        <v>4</v>
      </c>
      <c r="AA42" t="s">
        <v>51</v>
      </c>
      <c r="AB42">
        <v>4</v>
      </c>
      <c r="AC42" t="s">
        <v>99</v>
      </c>
    </row>
    <row r="43" spans="1:30">
      <c r="A43" t="s">
        <v>286</v>
      </c>
      <c r="B43" t="s">
        <v>287</v>
      </c>
      <c r="C43" t="s">
        <v>31</v>
      </c>
      <c r="D43" t="s">
        <v>288</v>
      </c>
      <c r="E43" t="s">
        <v>288</v>
      </c>
      <c r="F43" t="s">
        <v>34</v>
      </c>
      <c r="G43">
        <v>6.5</v>
      </c>
      <c r="H43">
        <v>6.2</v>
      </c>
      <c r="I43">
        <v>7.1</v>
      </c>
      <c r="J43" s="4">
        <f t="shared" si="0"/>
        <v>4.9499999999999993</v>
      </c>
      <c r="K43">
        <v>7.5</v>
      </c>
      <c r="L43" t="s">
        <v>35</v>
      </c>
      <c r="M43" t="s">
        <v>67</v>
      </c>
      <c r="N43" t="s">
        <v>61</v>
      </c>
      <c r="O43" t="s">
        <v>37</v>
      </c>
      <c r="P43" t="s">
        <v>39</v>
      </c>
      <c r="Q43" t="s">
        <v>37</v>
      </c>
      <c r="R43" t="s">
        <v>37</v>
      </c>
      <c r="S43" t="s">
        <v>73</v>
      </c>
      <c r="T43" t="s">
        <v>73</v>
      </c>
      <c r="U43" t="s">
        <v>40</v>
      </c>
      <c r="V43" t="s">
        <v>41</v>
      </c>
      <c r="W43" t="s">
        <v>54</v>
      </c>
      <c r="X43">
        <v>4</v>
      </c>
      <c r="Y43" t="s">
        <v>43</v>
      </c>
      <c r="Z43">
        <v>3</v>
      </c>
      <c r="AA43" t="s">
        <v>61</v>
      </c>
      <c r="AB43">
        <v>5</v>
      </c>
      <c r="AC43" t="s">
        <v>62</v>
      </c>
      <c r="AD43" t="s">
        <v>289</v>
      </c>
    </row>
    <row r="44" spans="1:30">
      <c r="A44" t="s">
        <v>302</v>
      </c>
      <c r="B44" t="s">
        <v>303</v>
      </c>
      <c r="C44" t="s">
        <v>86</v>
      </c>
      <c r="D44" t="s">
        <v>304</v>
      </c>
      <c r="E44" t="s">
        <v>65</v>
      </c>
      <c r="F44" t="s">
        <v>34</v>
      </c>
      <c r="G44">
        <v>7.55</v>
      </c>
      <c r="H44">
        <v>6</v>
      </c>
      <c r="I44">
        <v>6</v>
      </c>
      <c r="J44" s="4">
        <f t="shared" si="0"/>
        <v>4.8875000000000002</v>
      </c>
      <c r="K44">
        <v>8.64</v>
      </c>
      <c r="L44" t="s">
        <v>35</v>
      </c>
      <c r="M44" t="s">
        <v>67</v>
      </c>
      <c r="N44" t="s">
        <v>36</v>
      </c>
      <c r="O44" t="s">
        <v>37</v>
      </c>
      <c r="P44" t="s">
        <v>39</v>
      </c>
      <c r="Q44" t="s">
        <v>73</v>
      </c>
      <c r="R44" t="s">
        <v>73</v>
      </c>
      <c r="S44" t="s">
        <v>39</v>
      </c>
      <c r="T44" t="s">
        <v>39</v>
      </c>
      <c r="U44" t="s">
        <v>40</v>
      </c>
      <c r="V44" t="s">
        <v>41</v>
      </c>
      <c r="W44" t="s">
        <v>54</v>
      </c>
      <c r="X44">
        <v>3</v>
      </c>
      <c r="Y44" t="s">
        <v>51</v>
      </c>
      <c r="Z44">
        <v>4</v>
      </c>
      <c r="AA44" t="s">
        <v>51</v>
      </c>
      <c r="AB44">
        <v>4</v>
      </c>
      <c r="AC44" t="s">
        <v>62</v>
      </c>
    </row>
    <row r="45" spans="1:30">
      <c r="A45" t="s">
        <v>326</v>
      </c>
      <c r="B45" t="s">
        <v>327</v>
      </c>
      <c r="C45" t="s">
        <v>86</v>
      </c>
      <c r="D45" t="s">
        <v>328</v>
      </c>
      <c r="E45" t="s">
        <v>33</v>
      </c>
      <c r="F45" t="s">
        <v>34</v>
      </c>
      <c r="G45">
        <v>9.31</v>
      </c>
      <c r="H45">
        <v>6.91</v>
      </c>
      <c r="I45">
        <v>6.01</v>
      </c>
      <c r="J45" s="4">
        <f t="shared" si="0"/>
        <v>5.5574999999999992</v>
      </c>
      <c r="K45">
        <v>7.4</v>
      </c>
      <c r="L45" t="s">
        <v>35</v>
      </c>
      <c r="M45" t="s">
        <v>112</v>
      </c>
      <c r="N45" t="s">
        <v>36</v>
      </c>
      <c r="O45" t="s">
        <v>37</v>
      </c>
      <c r="P45" t="s">
        <v>39</v>
      </c>
      <c r="Q45" t="s">
        <v>73</v>
      </c>
      <c r="R45" t="s">
        <v>39</v>
      </c>
      <c r="S45" t="s">
        <v>37</v>
      </c>
      <c r="T45" t="s">
        <v>39</v>
      </c>
      <c r="U45" t="s">
        <v>59</v>
      </c>
      <c r="V45" t="s">
        <v>79</v>
      </c>
      <c r="W45" t="s">
        <v>54</v>
      </c>
      <c r="X45">
        <v>2</v>
      </c>
      <c r="Y45" t="s">
        <v>43</v>
      </c>
      <c r="Z45">
        <v>5</v>
      </c>
      <c r="AA45" t="s">
        <v>43</v>
      </c>
      <c r="AB45">
        <v>4</v>
      </c>
      <c r="AC45" t="s">
        <v>44</v>
      </c>
      <c r="AD45" t="s">
        <v>329</v>
      </c>
    </row>
    <row r="46" spans="1:30">
      <c r="A46" t="s">
        <v>334</v>
      </c>
      <c r="B46" t="s">
        <v>335</v>
      </c>
      <c r="C46" t="s">
        <v>31</v>
      </c>
      <c r="D46" t="s">
        <v>336</v>
      </c>
      <c r="E46" t="s">
        <v>83</v>
      </c>
      <c r="F46" t="s">
        <v>34</v>
      </c>
      <c r="G46">
        <v>9.3000000000000007</v>
      </c>
      <c r="H46">
        <v>8.64</v>
      </c>
      <c r="I46">
        <v>6.5</v>
      </c>
      <c r="J46" s="4">
        <f t="shared" si="0"/>
        <v>6.11</v>
      </c>
      <c r="K46">
        <v>6.3</v>
      </c>
      <c r="L46" t="s">
        <v>35</v>
      </c>
      <c r="M46" t="s">
        <v>112</v>
      </c>
      <c r="N46" t="s">
        <v>68</v>
      </c>
      <c r="O46" t="s">
        <v>37</v>
      </c>
      <c r="P46" t="s">
        <v>37</v>
      </c>
      <c r="Q46" t="s">
        <v>73</v>
      </c>
      <c r="R46" t="s">
        <v>73</v>
      </c>
      <c r="S46" t="s">
        <v>39</v>
      </c>
      <c r="T46" t="s">
        <v>39</v>
      </c>
      <c r="U46" t="s">
        <v>40</v>
      </c>
      <c r="V46" t="s">
        <v>41</v>
      </c>
      <c r="W46" t="s">
        <v>42</v>
      </c>
      <c r="X46">
        <v>2</v>
      </c>
      <c r="Y46" t="s">
        <v>51</v>
      </c>
      <c r="Z46">
        <v>3</v>
      </c>
      <c r="AA46" t="s">
        <v>51</v>
      </c>
      <c r="AB46">
        <v>3</v>
      </c>
      <c r="AC46" t="s">
        <v>62</v>
      </c>
    </row>
    <row r="47" spans="1:30">
      <c r="A47" t="s">
        <v>339</v>
      </c>
      <c r="B47" t="s">
        <v>340</v>
      </c>
      <c r="C47" t="s">
        <v>86</v>
      </c>
      <c r="D47" t="s">
        <v>149</v>
      </c>
      <c r="E47" t="s">
        <v>33</v>
      </c>
      <c r="F47" t="s">
        <v>34</v>
      </c>
      <c r="G47">
        <v>8</v>
      </c>
      <c r="H47">
        <v>6.2</v>
      </c>
      <c r="I47">
        <v>7.02</v>
      </c>
      <c r="J47" s="4">
        <f t="shared" si="0"/>
        <v>5.3049999999999997</v>
      </c>
      <c r="K47">
        <v>6.2</v>
      </c>
      <c r="L47" t="s">
        <v>112</v>
      </c>
      <c r="M47" t="s">
        <v>111</v>
      </c>
      <c r="N47" t="s">
        <v>36</v>
      </c>
      <c r="O47" t="s">
        <v>37</v>
      </c>
      <c r="P47" t="s">
        <v>39</v>
      </c>
      <c r="Q47" t="s">
        <v>37</v>
      </c>
      <c r="R47" t="s">
        <v>37</v>
      </c>
      <c r="S47" t="s">
        <v>39</v>
      </c>
      <c r="T47" t="s">
        <v>37</v>
      </c>
      <c r="U47" t="s">
        <v>52</v>
      </c>
      <c r="V47" t="s">
        <v>41</v>
      </c>
      <c r="W47" t="s">
        <v>54</v>
      </c>
      <c r="X47">
        <v>2</v>
      </c>
      <c r="Y47" t="s">
        <v>43</v>
      </c>
      <c r="Z47">
        <v>3</v>
      </c>
      <c r="AA47" t="s">
        <v>51</v>
      </c>
      <c r="AB47">
        <v>4</v>
      </c>
      <c r="AC47" t="s">
        <v>62</v>
      </c>
    </row>
    <row r="48" spans="1:30">
      <c r="A48" t="s">
        <v>341</v>
      </c>
      <c r="B48" t="s">
        <v>342</v>
      </c>
      <c r="C48" t="s">
        <v>86</v>
      </c>
      <c r="D48" t="s">
        <v>343</v>
      </c>
      <c r="E48" t="s">
        <v>33</v>
      </c>
      <c r="F48" t="s">
        <v>34</v>
      </c>
      <c r="G48">
        <v>9.1199999999999992</v>
      </c>
      <c r="H48">
        <v>6.5</v>
      </c>
      <c r="I48">
        <v>8</v>
      </c>
      <c r="J48" s="4">
        <f t="shared" si="0"/>
        <v>5.9049999999999994</v>
      </c>
      <c r="K48">
        <v>7.06</v>
      </c>
      <c r="L48" t="s">
        <v>35</v>
      </c>
      <c r="M48" t="s">
        <v>35</v>
      </c>
      <c r="N48" t="s">
        <v>61</v>
      </c>
      <c r="O48" t="s">
        <v>39</v>
      </c>
      <c r="P48" t="s">
        <v>39</v>
      </c>
      <c r="Q48" t="s">
        <v>39</v>
      </c>
      <c r="R48" t="s">
        <v>39</v>
      </c>
      <c r="S48" t="s">
        <v>37</v>
      </c>
      <c r="T48" t="s">
        <v>39</v>
      </c>
      <c r="U48" t="s">
        <v>59</v>
      </c>
      <c r="V48" t="s">
        <v>263</v>
      </c>
      <c r="W48" t="s">
        <v>54</v>
      </c>
      <c r="X48">
        <v>2</v>
      </c>
      <c r="Y48" t="s">
        <v>43</v>
      </c>
      <c r="Z48">
        <v>3</v>
      </c>
      <c r="AA48" t="s">
        <v>51</v>
      </c>
      <c r="AB48">
        <v>4</v>
      </c>
      <c r="AC48" t="s">
        <v>99</v>
      </c>
    </row>
    <row r="49" spans="1:30">
      <c r="A49" t="s">
        <v>344</v>
      </c>
      <c r="B49" t="s">
        <v>345</v>
      </c>
      <c r="C49" t="s">
        <v>31</v>
      </c>
      <c r="D49" t="s">
        <v>251</v>
      </c>
      <c r="E49" t="s">
        <v>33</v>
      </c>
      <c r="F49" t="s">
        <v>34</v>
      </c>
      <c r="G49">
        <v>9.86</v>
      </c>
      <c r="H49">
        <v>9.2200000000000006</v>
      </c>
      <c r="I49">
        <v>9.48</v>
      </c>
      <c r="J49" s="4">
        <f t="shared" si="0"/>
        <v>7.14</v>
      </c>
      <c r="K49">
        <v>9.24</v>
      </c>
      <c r="L49" t="s">
        <v>49</v>
      </c>
      <c r="M49" t="s">
        <v>50</v>
      </c>
      <c r="N49" t="s">
        <v>98</v>
      </c>
      <c r="O49" t="s">
        <v>37</v>
      </c>
      <c r="P49" t="s">
        <v>39</v>
      </c>
      <c r="Q49" t="s">
        <v>73</v>
      </c>
      <c r="R49" t="s">
        <v>73</v>
      </c>
      <c r="S49" t="s">
        <v>73</v>
      </c>
      <c r="T49" t="s">
        <v>37</v>
      </c>
      <c r="U49" t="s">
        <v>40</v>
      </c>
      <c r="V49" t="s">
        <v>41</v>
      </c>
      <c r="W49" t="s">
        <v>54</v>
      </c>
      <c r="X49">
        <v>3</v>
      </c>
      <c r="Y49" t="s">
        <v>36</v>
      </c>
      <c r="Z49">
        <v>5</v>
      </c>
      <c r="AA49" t="s">
        <v>61</v>
      </c>
      <c r="AB49">
        <v>4</v>
      </c>
      <c r="AC49" t="s">
        <v>99</v>
      </c>
    </row>
    <row r="50" spans="1:30">
      <c r="A50" t="s">
        <v>352</v>
      </c>
      <c r="B50" t="s">
        <v>353</v>
      </c>
      <c r="C50" t="s">
        <v>86</v>
      </c>
      <c r="D50" t="s">
        <v>354</v>
      </c>
      <c r="E50" t="s">
        <v>33</v>
      </c>
      <c r="F50" t="s">
        <v>34</v>
      </c>
      <c r="G50">
        <v>8.5</v>
      </c>
      <c r="H50">
        <v>5.5</v>
      </c>
      <c r="I50">
        <v>5.6</v>
      </c>
      <c r="J50" s="4">
        <f t="shared" si="0"/>
        <v>4.9000000000000004</v>
      </c>
      <c r="K50">
        <v>7.6</v>
      </c>
      <c r="L50" t="s">
        <v>35</v>
      </c>
      <c r="M50" t="s">
        <v>35</v>
      </c>
      <c r="N50" t="s">
        <v>61</v>
      </c>
      <c r="O50" t="s">
        <v>37</v>
      </c>
      <c r="P50" t="s">
        <v>37</v>
      </c>
      <c r="Q50" t="s">
        <v>39</v>
      </c>
      <c r="R50" t="s">
        <v>39</v>
      </c>
      <c r="S50" t="s">
        <v>37</v>
      </c>
      <c r="T50" t="s">
        <v>39</v>
      </c>
      <c r="U50" t="s">
        <v>52</v>
      </c>
      <c r="V50" t="s">
        <v>79</v>
      </c>
      <c r="W50" t="s">
        <v>54</v>
      </c>
      <c r="X50">
        <v>1</v>
      </c>
      <c r="Y50" t="s">
        <v>43</v>
      </c>
      <c r="Z50">
        <v>3</v>
      </c>
      <c r="AA50" t="s">
        <v>43</v>
      </c>
      <c r="AB50">
        <v>3</v>
      </c>
      <c r="AC50" t="s">
        <v>44</v>
      </c>
    </row>
    <row r="51" spans="1:30">
      <c r="A51" t="s">
        <v>358</v>
      </c>
      <c r="B51" t="s">
        <v>359</v>
      </c>
      <c r="C51" t="s">
        <v>31</v>
      </c>
      <c r="D51" t="s">
        <v>360</v>
      </c>
      <c r="E51" t="s">
        <v>97</v>
      </c>
      <c r="F51" t="s">
        <v>34</v>
      </c>
      <c r="G51">
        <v>10</v>
      </c>
      <c r="H51">
        <v>10</v>
      </c>
      <c r="I51">
        <v>8.1999999999999993</v>
      </c>
      <c r="J51" s="4">
        <f t="shared" si="0"/>
        <v>7.05</v>
      </c>
      <c r="K51">
        <v>9.3000000000000007</v>
      </c>
      <c r="L51" t="s">
        <v>49</v>
      </c>
      <c r="M51" t="s">
        <v>50</v>
      </c>
      <c r="N51" t="s">
        <v>36</v>
      </c>
      <c r="O51" t="s">
        <v>37</v>
      </c>
      <c r="P51" t="s">
        <v>37</v>
      </c>
      <c r="Q51" t="s">
        <v>39</v>
      </c>
      <c r="R51" t="s">
        <v>37</v>
      </c>
      <c r="S51" t="s">
        <v>37</v>
      </c>
      <c r="T51" t="s">
        <v>39</v>
      </c>
      <c r="U51" t="s">
        <v>40</v>
      </c>
      <c r="V51" t="s">
        <v>41</v>
      </c>
      <c r="W51" t="s">
        <v>54</v>
      </c>
      <c r="X51">
        <v>2</v>
      </c>
      <c r="Y51" t="s">
        <v>51</v>
      </c>
      <c r="Z51">
        <v>4</v>
      </c>
      <c r="AA51" t="s">
        <v>43</v>
      </c>
      <c r="AB51">
        <v>3</v>
      </c>
      <c r="AC51" t="s">
        <v>99</v>
      </c>
    </row>
    <row r="52" spans="1:30">
      <c r="A52" t="s">
        <v>361</v>
      </c>
      <c r="B52" t="s">
        <v>362</v>
      </c>
      <c r="C52" t="s">
        <v>86</v>
      </c>
      <c r="D52" t="s">
        <v>363</v>
      </c>
      <c r="E52" t="s">
        <v>252</v>
      </c>
      <c r="F52" t="s">
        <v>34</v>
      </c>
      <c r="G52">
        <v>9.4</v>
      </c>
      <c r="H52">
        <v>9.5</v>
      </c>
      <c r="I52">
        <v>9.6</v>
      </c>
      <c r="J52" s="4">
        <f t="shared" si="0"/>
        <v>7.125</v>
      </c>
      <c r="K52">
        <v>9.5</v>
      </c>
      <c r="L52" t="s">
        <v>49</v>
      </c>
      <c r="M52" t="s">
        <v>50</v>
      </c>
      <c r="N52" t="s">
        <v>36</v>
      </c>
      <c r="O52" t="s">
        <v>37</v>
      </c>
      <c r="P52" t="s">
        <v>39</v>
      </c>
      <c r="Q52" t="s">
        <v>37</v>
      </c>
      <c r="R52" t="s">
        <v>37</v>
      </c>
      <c r="S52" t="s">
        <v>37</v>
      </c>
      <c r="T52" t="s">
        <v>37</v>
      </c>
      <c r="U52" t="s">
        <v>59</v>
      </c>
      <c r="V52" t="s">
        <v>79</v>
      </c>
      <c r="W52" t="s">
        <v>54</v>
      </c>
      <c r="X52">
        <v>3</v>
      </c>
      <c r="Y52" t="s">
        <v>51</v>
      </c>
      <c r="Z52">
        <v>4</v>
      </c>
      <c r="AA52" t="s">
        <v>51</v>
      </c>
      <c r="AB52">
        <v>3</v>
      </c>
      <c r="AC52" t="s">
        <v>62</v>
      </c>
    </row>
    <row r="53" spans="1:30">
      <c r="A53" t="s">
        <v>371</v>
      </c>
      <c r="B53" t="s">
        <v>372</v>
      </c>
      <c r="C53" t="s">
        <v>86</v>
      </c>
      <c r="D53" t="s">
        <v>373</v>
      </c>
      <c r="E53" t="s">
        <v>83</v>
      </c>
      <c r="F53" t="s">
        <v>34</v>
      </c>
      <c r="G53">
        <v>8.74</v>
      </c>
      <c r="H53">
        <v>8.9700000000000006</v>
      </c>
      <c r="I53">
        <v>8.34</v>
      </c>
      <c r="J53" s="4">
        <f t="shared" si="0"/>
        <v>6.5125000000000002</v>
      </c>
      <c r="K53">
        <v>8.98</v>
      </c>
      <c r="L53" t="s">
        <v>49</v>
      </c>
      <c r="M53" t="s">
        <v>67</v>
      </c>
      <c r="N53" t="s">
        <v>61</v>
      </c>
      <c r="O53" t="s">
        <v>73</v>
      </c>
      <c r="P53" t="s">
        <v>39</v>
      </c>
      <c r="Q53" t="s">
        <v>39</v>
      </c>
      <c r="R53" t="s">
        <v>39</v>
      </c>
      <c r="S53" t="s">
        <v>37</v>
      </c>
      <c r="T53" t="s">
        <v>37</v>
      </c>
      <c r="U53" t="s">
        <v>40</v>
      </c>
      <c r="V53" t="s">
        <v>79</v>
      </c>
      <c r="W53" t="s">
        <v>42</v>
      </c>
      <c r="X53">
        <v>3</v>
      </c>
      <c r="Y53" t="s">
        <v>43</v>
      </c>
      <c r="Z53">
        <v>5</v>
      </c>
      <c r="AA53" t="s">
        <v>61</v>
      </c>
      <c r="AB53">
        <v>4</v>
      </c>
      <c r="AC53" t="s">
        <v>99</v>
      </c>
    </row>
    <row r="54" spans="1:30">
      <c r="A54" t="s">
        <v>391</v>
      </c>
      <c r="B54" t="s">
        <v>392</v>
      </c>
      <c r="C54" t="s">
        <v>31</v>
      </c>
      <c r="D54" t="s">
        <v>32</v>
      </c>
      <c r="E54" t="s">
        <v>33</v>
      </c>
      <c r="F54" t="s">
        <v>34</v>
      </c>
      <c r="G54">
        <v>8</v>
      </c>
      <c r="H54">
        <v>7.2880000000000003</v>
      </c>
      <c r="I54">
        <v>6.89</v>
      </c>
      <c r="J54" s="4">
        <f t="shared" si="0"/>
        <v>5.5445000000000002</v>
      </c>
      <c r="K54">
        <v>7.4450000000000003</v>
      </c>
      <c r="L54" t="s">
        <v>35</v>
      </c>
      <c r="M54" t="s">
        <v>35</v>
      </c>
      <c r="N54" t="s">
        <v>51</v>
      </c>
      <c r="O54" t="s">
        <v>39</v>
      </c>
      <c r="P54" t="s">
        <v>39</v>
      </c>
      <c r="Q54" t="s">
        <v>37</v>
      </c>
      <c r="R54" t="s">
        <v>39</v>
      </c>
      <c r="S54" t="s">
        <v>39</v>
      </c>
      <c r="T54" t="s">
        <v>39</v>
      </c>
      <c r="U54" t="s">
        <v>52</v>
      </c>
      <c r="V54" t="s">
        <v>79</v>
      </c>
      <c r="W54" t="s">
        <v>42</v>
      </c>
      <c r="X54">
        <v>3</v>
      </c>
      <c r="Y54" t="s">
        <v>43</v>
      </c>
      <c r="Z54">
        <v>3</v>
      </c>
      <c r="AA54" t="s">
        <v>61</v>
      </c>
      <c r="AB54">
        <v>4</v>
      </c>
      <c r="AC54" t="s">
        <v>62</v>
      </c>
    </row>
    <row r="55" spans="1:30">
      <c r="A55" t="s">
        <v>393</v>
      </c>
      <c r="B55" t="s">
        <v>394</v>
      </c>
      <c r="C55" t="s">
        <v>86</v>
      </c>
      <c r="D55" t="s">
        <v>32</v>
      </c>
      <c r="E55" t="s">
        <v>33</v>
      </c>
      <c r="F55" t="s">
        <v>34</v>
      </c>
      <c r="G55">
        <v>8.24</v>
      </c>
      <c r="H55">
        <v>7.23</v>
      </c>
      <c r="I55">
        <v>6.9880000000000004</v>
      </c>
      <c r="J55" s="4">
        <f t="shared" si="0"/>
        <v>5.6145000000000005</v>
      </c>
      <c r="K55">
        <v>6.9870000000000001</v>
      </c>
      <c r="L55" t="s">
        <v>35</v>
      </c>
      <c r="M55" t="s">
        <v>35</v>
      </c>
      <c r="N55" t="s">
        <v>98</v>
      </c>
      <c r="O55" t="s">
        <v>39</v>
      </c>
      <c r="P55" t="s">
        <v>39</v>
      </c>
      <c r="Q55" t="s">
        <v>73</v>
      </c>
      <c r="R55" t="s">
        <v>37</v>
      </c>
      <c r="S55" t="s">
        <v>37</v>
      </c>
      <c r="T55" t="s">
        <v>39</v>
      </c>
      <c r="U55" t="s">
        <v>40</v>
      </c>
      <c r="V55" t="s">
        <v>41</v>
      </c>
      <c r="W55" t="s">
        <v>54</v>
      </c>
      <c r="X55">
        <v>3</v>
      </c>
      <c r="Y55" t="s">
        <v>43</v>
      </c>
      <c r="Z55">
        <v>3</v>
      </c>
      <c r="AA55" t="s">
        <v>43</v>
      </c>
      <c r="AB55">
        <v>3</v>
      </c>
      <c r="AC55" t="s">
        <v>44</v>
      </c>
    </row>
    <row r="56" spans="1:30">
      <c r="A56" t="s">
        <v>402</v>
      </c>
      <c r="B56" t="s">
        <v>403</v>
      </c>
      <c r="C56" t="s">
        <v>86</v>
      </c>
      <c r="D56" t="s">
        <v>404</v>
      </c>
      <c r="E56" t="s">
        <v>33</v>
      </c>
      <c r="F56" t="s">
        <v>34</v>
      </c>
      <c r="G56">
        <v>8.0530000000000008</v>
      </c>
      <c r="H56">
        <v>7.2060000000000004</v>
      </c>
      <c r="I56">
        <v>6.5140000000000002</v>
      </c>
      <c r="J56" s="4">
        <f t="shared" si="0"/>
        <v>5.4432499999999999</v>
      </c>
      <c r="K56">
        <v>6.86</v>
      </c>
      <c r="L56" t="s">
        <v>112</v>
      </c>
      <c r="M56" t="s">
        <v>35</v>
      </c>
      <c r="N56" t="s">
        <v>61</v>
      </c>
      <c r="O56" t="s">
        <v>37</v>
      </c>
      <c r="P56" t="s">
        <v>39</v>
      </c>
      <c r="Q56" t="s">
        <v>73</v>
      </c>
      <c r="R56" t="s">
        <v>127</v>
      </c>
      <c r="S56" t="s">
        <v>37</v>
      </c>
      <c r="T56" t="s">
        <v>39</v>
      </c>
      <c r="U56" t="s">
        <v>52</v>
      </c>
      <c r="V56" t="s">
        <v>79</v>
      </c>
      <c r="W56" t="s">
        <v>54</v>
      </c>
      <c r="X56">
        <v>4</v>
      </c>
      <c r="Y56" t="s">
        <v>51</v>
      </c>
      <c r="Z56">
        <v>5</v>
      </c>
      <c r="AA56" t="s">
        <v>61</v>
      </c>
      <c r="AB56">
        <v>4</v>
      </c>
      <c r="AC56" t="s">
        <v>62</v>
      </c>
    </row>
    <row r="57" spans="1:30">
      <c r="A57" t="s">
        <v>405</v>
      </c>
      <c r="B57" t="s">
        <v>406</v>
      </c>
      <c r="C57" t="s">
        <v>86</v>
      </c>
      <c r="D57" t="s">
        <v>32</v>
      </c>
      <c r="E57" t="s">
        <v>33</v>
      </c>
      <c r="F57" t="s">
        <v>34</v>
      </c>
      <c r="G57">
        <v>7.7</v>
      </c>
      <c r="H57">
        <v>6.6</v>
      </c>
      <c r="I57">
        <v>6.7</v>
      </c>
      <c r="J57" s="4">
        <f t="shared" si="0"/>
        <v>5.25</v>
      </c>
      <c r="K57">
        <v>6.3</v>
      </c>
      <c r="L57" t="s">
        <v>112</v>
      </c>
      <c r="M57" t="s">
        <v>35</v>
      </c>
      <c r="N57" t="s">
        <v>61</v>
      </c>
      <c r="O57" t="s">
        <v>37</v>
      </c>
      <c r="P57" t="s">
        <v>39</v>
      </c>
      <c r="Q57" t="s">
        <v>39</v>
      </c>
      <c r="R57" t="s">
        <v>39</v>
      </c>
      <c r="S57" t="s">
        <v>39</v>
      </c>
      <c r="T57" t="s">
        <v>39</v>
      </c>
      <c r="U57" t="s">
        <v>40</v>
      </c>
      <c r="V57" t="s">
        <v>60</v>
      </c>
      <c r="W57" t="s">
        <v>54</v>
      </c>
      <c r="X57">
        <v>4</v>
      </c>
      <c r="Y57" t="s">
        <v>43</v>
      </c>
      <c r="Z57">
        <v>3</v>
      </c>
      <c r="AA57" t="s">
        <v>43</v>
      </c>
      <c r="AB57">
        <v>3</v>
      </c>
      <c r="AC57" t="s">
        <v>99</v>
      </c>
    </row>
    <row r="58" spans="1:30">
      <c r="A58" t="s">
        <v>407</v>
      </c>
      <c r="B58" t="s">
        <v>408</v>
      </c>
      <c r="C58" t="s">
        <v>31</v>
      </c>
      <c r="D58" t="s">
        <v>123</v>
      </c>
      <c r="E58" t="s">
        <v>33</v>
      </c>
      <c r="F58" t="s">
        <v>34</v>
      </c>
      <c r="G58">
        <v>8.81</v>
      </c>
      <c r="H58">
        <v>6.82</v>
      </c>
      <c r="I58">
        <v>6.9</v>
      </c>
      <c r="J58" s="4">
        <f t="shared" si="0"/>
        <v>5.6325000000000003</v>
      </c>
      <c r="K58">
        <v>7.2</v>
      </c>
      <c r="L58" t="s">
        <v>35</v>
      </c>
      <c r="M58" t="s">
        <v>112</v>
      </c>
      <c r="N58" t="s">
        <v>36</v>
      </c>
      <c r="O58" t="s">
        <v>38</v>
      </c>
      <c r="P58" t="s">
        <v>39</v>
      </c>
      <c r="Q58" t="s">
        <v>73</v>
      </c>
      <c r="R58" t="s">
        <v>38</v>
      </c>
      <c r="S58" t="s">
        <v>73</v>
      </c>
      <c r="T58" t="s">
        <v>39</v>
      </c>
      <c r="U58" t="s">
        <v>59</v>
      </c>
      <c r="V58" t="s">
        <v>60</v>
      </c>
      <c r="W58" t="s">
        <v>54</v>
      </c>
      <c r="X58">
        <v>1</v>
      </c>
      <c r="Y58" t="s">
        <v>43</v>
      </c>
      <c r="Z58">
        <v>1</v>
      </c>
      <c r="AA58" t="s">
        <v>51</v>
      </c>
      <c r="AB58">
        <v>2</v>
      </c>
      <c r="AC58" t="s">
        <v>44</v>
      </c>
    </row>
    <row r="59" spans="1:30">
      <c r="A59" t="s">
        <v>411</v>
      </c>
      <c r="B59" t="s">
        <v>412</v>
      </c>
      <c r="C59" t="s">
        <v>31</v>
      </c>
      <c r="D59" t="s">
        <v>32</v>
      </c>
      <c r="E59" t="s">
        <v>33</v>
      </c>
      <c r="F59" t="s">
        <v>34</v>
      </c>
      <c r="G59">
        <v>7.5</v>
      </c>
      <c r="H59">
        <v>6</v>
      </c>
      <c r="I59">
        <v>6.2</v>
      </c>
      <c r="J59" s="4">
        <f t="shared" si="0"/>
        <v>4.9249999999999998</v>
      </c>
      <c r="K59">
        <v>6.4</v>
      </c>
      <c r="L59" t="s">
        <v>112</v>
      </c>
      <c r="M59" t="s">
        <v>112</v>
      </c>
      <c r="N59" t="s">
        <v>61</v>
      </c>
      <c r="O59" t="s">
        <v>37</v>
      </c>
      <c r="P59" t="s">
        <v>39</v>
      </c>
      <c r="Q59" t="s">
        <v>37</v>
      </c>
      <c r="R59" t="s">
        <v>39</v>
      </c>
      <c r="S59" t="s">
        <v>39</v>
      </c>
      <c r="T59" t="s">
        <v>37</v>
      </c>
      <c r="U59" t="s">
        <v>40</v>
      </c>
      <c r="V59" t="s">
        <v>79</v>
      </c>
      <c r="W59" t="s">
        <v>54</v>
      </c>
      <c r="X59">
        <v>3</v>
      </c>
      <c r="Y59" t="s">
        <v>43</v>
      </c>
      <c r="Z59">
        <v>3</v>
      </c>
      <c r="AA59" t="s">
        <v>51</v>
      </c>
      <c r="AB59">
        <v>3</v>
      </c>
      <c r="AC59" t="s">
        <v>62</v>
      </c>
    </row>
    <row r="60" spans="1:30">
      <c r="A60" t="s">
        <v>114</v>
      </c>
      <c r="B60" t="s">
        <v>115</v>
      </c>
      <c r="C60" t="s">
        <v>86</v>
      </c>
      <c r="D60" t="s">
        <v>116</v>
      </c>
      <c r="E60" t="s">
        <v>33</v>
      </c>
      <c r="F60" t="s">
        <v>117</v>
      </c>
      <c r="G60">
        <v>7.9130000000000003</v>
      </c>
      <c r="H60">
        <v>6.9809999999999999</v>
      </c>
      <c r="I60">
        <v>6.6719999999999997</v>
      </c>
      <c r="J60" s="4">
        <f t="shared" si="0"/>
        <v>5.3914999999999997</v>
      </c>
      <c r="K60">
        <v>6.65</v>
      </c>
      <c r="L60" t="s">
        <v>35</v>
      </c>
      <c r="M60" t="s">
        <v>112</v>
      </c>
      <c r="N60" t="s">
        <v>36</v>
      </c>
      <c r="O60" t="s">
        <v>37</v>
      </c>
      <c r="P60" t="s">
        <v>39</v>
      </c>
      <c r="Q60" t="s">
        <v>38</v>
      </c>
      <c r="R60" t="s">
        <v>37</v>
      </c>
      <c r="S60" t="s">
        <v>37</v>
      </c>
      <c r="T60" t="s">
        <v>39</v>
      </c>
      <c r="U60" t="s">
        <v>59</v>
      </c>
      <c r="V60" t="s">
        <v>60</v>
      </c>
      <c r="W60" t="s">
        <v>54</v>
      </c>
      <c r="X60">
        <v>3</v>
      </c>
      <c r="Y60" t="s">
        <v>51</v>
      </c>
      <c r="Z60">
        <v>4</v>
      </c>
      <c r="AA60" t="s">
        <v>51</v>
      </c>
      <c r="AB60">
        <v>3</v>
      </c>
      <c r="AC60" t="s">
        <v>44</v>
      </c>
    </row>
    <row r="61" spans="1:30">
      <c r="A61" t="s">
        <v>128</v>
      </c>
      <c r="B61" t="s">
        <v>129</v>
      </c>
      <c r="C61" t="s">
        <v>31</v>
      </c>
      <c r="D61" t="s">
        <v>130</v>
      </c>
      <c r="E61" t="s">
        <v>33</v>
      </c>
      <c r="F61" t="s">
        <v>117</v>
      </c>
      <c r="G61">
        <v>9.1999999999999993</v>
      </c>
      <c r="H61">
        <v>7.1</v>
      </c>
      <c r="I61">
        <v>7.3</v>
      </c>
      <c r="J61" s="4">
        <f t="shared" si="0"/>
        <v>5.8999999999999995</v>
      </c>
      <c r="K61">
        <v>7.5</v>
      </c>
      <c r="L61" t="s">
        <v>35</v>
      </c>
      <c r="M61" t="s">
        <v>35</v>
      </c>
      <c r="N61" t="s">
        <v>68</v>
      </c>
      <c r="O61" t="s">
        <v>39</v>
      </c>
      <c r="P61" t="s">
        <v>39</v>
      </c>
      <c r="Q61" t="s">
        <v>39</v>
      </c>
      <c r="R61" t="s">
        <v>39</v>
      </c>
      <c r="S61" t="s">
        <v>37</v>
      </c>
      <c r="T61" t="s">
        <v>39</v>
      </c>
      <c r="U61" t="s">
        <v>52</v>
      </c>
      <c r="V61" t="s">
        <v>79</v>
      </c>
      <c r="W61" t="s">
        <v>54</v>
      </c>
      <c r="X61">
        <v>3</v>
      </c>
      <c r="Y61" t="s">
        <v>51</v>
      </c>
      <c r="Z61">
        <v>5</v>
      </c>
      <c r="AA61" t="s">
        <v>43</v>
      </c>
      <c r="AB61">
        <v>3</v>
      </c>
      <c r="AC61" t="s">
        <v>62</v>
      </c>
    </row>
    <row r="62" spans="1:30">
      <c r="A62" t="s">
        <v>134</v>
      </c>
      <c r="B62" t="s">
        <v>135</v>
      </c>
      <c r="C62" t="s">
        <v>31</v>
      </c>
      <c r="D62" t="s">
        <v>32</v>
      </c>
      <c r="E62" t="s">
        <v>33</v>
      </c>
      <c r="F62" t="s">
        <v>117</v>
      </c>
      <c r="G62">
        <v>9.6</v>
      </c>
      <c r="H62">
        <v>7.6</v>
      </c>
      <c r="I62">
        <v>7.2</v>
      </c>
      <c r="J62" s="4">
        <f t="shared" si="0"/>
        <v>6.1</v>
      </c>
      <c r="K62">
        <v>8</v>
      </c>
      <c r="L62" t="s">
        <v>67</v>
      </c>
      <c r="M62" t="s">
        <v>35</v>
      </c>
      <c r="N62" t="s">
        <v>51</v>
      </c>
      <c r="O62" t="s">
        <v>37</v>
      </c>
      <c r="P62" t="s">
        <v>39</v>
      </c>
      <c r="Q62" t="s">
        <v>39</v>
      </c>
      <c r="R62" t="s">
        <v>39</v>
      </c>
      <c r="S62" t="s">
        <v>39</v>
      </c>
      <c r="T62" t="s">
        <v>39</v>
      </c>
      <c r="U62" t="s">
        <v>59</v>
      </c>
      <c r="V62" t="s">
        <v>79</v>
      </c>
      <c r="W62" t="s">
        <v>54</v>
      </c>
      <c r="X62">
        <v>1</v>
      </c>
      <c r="Y62" t="s">
        <v>43</v>
      </c>
      <c r="Z62">
        <v>3</v>
      </c>
      <c r="AA62" t="s">
        <v>51</v>
      </c>
      <c r="AB62">
        <v>3</v>
      </c>
      <c r="AC62" t="s">
        <v>62</v>
      </c>
    </row>
    <row r="63" spans="1:30">
      <c r="A63" t="s">
        <v>141</v>
      </c>
      <c r="B63" t="s">
        <v>142</v>
      </c>
      <c r="C63" t="s">
        <v>31</v>
      </c>
      <c r="D63" t="s">
        <v>32</v>
      </c>
      <c r="E63" t="s">
        <v>33</v>
      </c>
      <c r="F63" t="s">
        <v>117</v>
      </c>
      <c r="G63">
        <v>9.4359999999999999</v>
      </c>
      <c r="H63">
        <v>7.5759999999999996</v>
      </c>
      <c r="I63">
        <v>8.782</v>
      </c>
      <c r="J63" s="4">
        <f t="shared" si="0"/>
        <v>6.4485000000000001</v>
      </c>
      <c r="K63">
        <v>8.5340000000000007</v>
      </c>
      <c r="L63" t="s">
        <v>67</v>
      </c>
      <c r="M63" t="s">
        <v>67</v>
      </c>
      <c r="N63" t="s">
        <v>36</v>
      </c>
      <c r="O63" t="s">
        <v>37</v>
      </c>
      <c r="P63" t="s">
        <v>39</v>
      </c>
      <c r="Q63" t="s">
        <v>37</v>
      </c>
      <c r="R63" t="s">
        <v>37</v>
      </c>
      <c r="S63" t="s">
        <v>37</v>
      </c>
      <c r="T63" t="s">
        <v>39</v>
      </c>
      <c r="U63" t="s">
        <v>40</v>
      </c>
      <c r="V63" t="s">
        <v>41</v>
      </c>
      <c r="W63" t="s">
        <v>54</v>
      </c>
      <c r="X63">
        <v>4</v>
      </c>
      <c r="Y63" t="s">
        <v>61</v>
      </c>
      <c r="Z63">
        <v>5</v>
      </c>
      <c r="AA63" t="s">
        <v>51</v>
      </c>
      <c r="AB63">
        <v>4</v>
      </c>
      <c r="AC63" t="s">
        <v>44</v>
      </c>
      <c r="AD63" t="s">
        <v>143</v>
      </c>
    </row>
    <row r="64" spans="1:30">
      <c r="A64" t="s">
        <v>147</v>
      </c>
      <c r="B64" t="s">
        <v>148</v>
      </c>
      <c r="C64" t="s">
        <v>31</v>
      </c>
      <c r="D64" t="s">
        <v>149</v>
      </c>
      <c r="E64" t="s">
        <v>33</v>
      </c>
      <c r="F64" t="s">
        <v>117</v>
      </c>
      <c r="G64">
        <v>8.7650000000000006</v>
      </c>
      <c r="H64">
        <v>6.8310000000000004</v>
      </c>
      <c r="I64">
        <v>7.7750000000000004</v>
      </c>
      <c r="J64" s="4">
        <f t="shared" si="0"/>
        <v>5.8427500000000006</v>
      </c>
      <c r="K64">
        <v>7.7839999999999998</v>
      </c>
      <c r="L64" t="s">
        <v>35</v>
      </c>
      <c r="M64" t="s">
        <v>67</v>
      </c>
      <c r="N64" t="s">
        <v>51</v>
      </c>
      <c r="O64" t="s">
        <v>37</v>
      </c>
      <c r="P64" t="s">
        <v>39</v>
      </c>
      <c r="Q64" t="s">
        <v>37</v>
      </c>
      <c r="R64" t="s">
        <v>37</v>
      </c>
      <c r="S64" t="s">
        <v>39</v>
      </c>
      <c r="T64" t="s">
        <v>39</v>
      </c>
      <c r="U64" t="s">
        <v>59</v>
      </c>
      <c r="V64" t="s">
        <v>79</v>
      </c>
      <c r="W64" t="s">
        <v>54</v>
      </c>
      <c r="X64">
        <v>2</v>
      </c>
      <c r="Y64" t="s">
        <v>43</v>
      </c>
      <c r="Z64">
        <v>4</v>
      </c>
      <c r="AA64" t="s">
        <v>43</v>
      </c>
      <c r="AB64">
        <v>2</v>
      </c>
      <c r="AC64" t="s">
        <v>44</v>
      </c>
    </row>
    <row r="65" spans="1:30">
      <c r="A65" t="s">
        <v>156</v>
      </c>
      <c r="B65" t="s">
        <v>157</v>
      </c>
      <c r="C65" t="s">
        <v>31</v>
      </c>
      <c r="D65" t="s">
        <v>32</v>
      </c>
      <c r="E65" t="s">
        <v>33</v>
      </c>
      <c r="F65" t="s">
        <v>117</v>
      </c>
      <c r="G65">
        <v>8.9</v>
      </c>
      <c r="H65">
        <v>5.4</v>
      </c>
      <c r="I65">
        <v>6.4</v>
      </c>
      <c r="J65" s="4">
        <f t="shared" si="0"/>
        <v>5.1750000000000007</v>
      </c>
      <c r="K65">
        <v>6.7</v>
      </c>
      <c r="L65" t="s">
        <v>35</v>
      </c>
      <c r="M65" t="s">
        <v>112</v>
      </c>
      <c r="N65" t="s">
        <v>61</v>
      </c>
      <c r="O65" t="s">
        <v>37</v>
      </c>
      <c r="P65" t="s">
        <v>39</v>
      </c>
      <c r="Q65" t="s">
        <v>39</v>
      </c>
      <c r="R65" t="s">
        <v>39</v>
      </c>
      <c r="S65" t="s">
        <v>37</v>
      </c>
      <c r="T65" t="s">
        <v>39</v>
      </c>
      <c r="U65" t="s">
        <v>40</v>
      </c>
      <c r="V65" t="s">
        <v>79</v>
      </c>
      <c r="W65" t="s">
        <v>54</v>
      </c>
      <c r="X65">
        <v>4</v>
      </c>
      <c r="Y65" t="s">
        <v>51</v>
      </c>
      <c r="Z65">
        <v>4</v>
      </c>
      <c r="AA65" t="s">
        <v>51</v>
      </c>
      <c r="AB65">
        <v>3</v>
      </c>
      <c r="AC65" t="s">
        <v>99</v>
      </c>
    </row>
    <row r="66" spans="1:30">
      <c r="A66" t="s">
        <v>165</v>
      </c>
      <c r="B66" t="s">
        <v>166</v>
      </c>
      <c r="C66" t="s">
        <v>86</v>
      </c>
      <c r="D66" t="s">
        <v>167</v>
      </c>
      <c r="E66" t="s">
        <v>33</v>
      </c>
      <c r="F66" t="s">
        <v>117</v>
      </c>
      <c r="G66">
        <v>9.1</v>
      </c>
      <c r="H66">
        <v>8.23</v>
      </c>
      <c r="I66">
        <v>7.4</v>
      </c>
      <c r="J66" s="4">
        <f t="shared" si="0"/>
        <v>6.1824999999999992</v>
      </c>
      <c r="K66">
        <v>8.02</v>
      </c>
      <c r="L66" t="s">
        <v>67</v>
      </c>
      <c r="M66" t="s">
        <v>67</v>
      </c>
      <c r="N66" t="s">
        <v>51</v>
      </c>
      <c r="O66" t="s">
        <v>39</v>
      </c>
      <c r="P66" t="s">
        <v>39</v>
      </c>
      <c r="Q66" t="s">
        <v>39</v>
      </c>
      <c r="R66" t="s">
        <v>39</v>
      </c>
      <c r="S66" t="s">
        <v>39</v>
      </c>
      <c r="T66" t="s">
        <v>39</v>
      </c>
      <c r="U66" t="s">
        <v>52</v>
      </c>
      <c r="V66" t="s">
        <v>79</v>
      </c>
      <c r="W66" t="s">
        <v>54</v>
      </c>
      <c r="X66">
        <v>4</v>
      </c>
      <c r="Y66" t="s">
        <v>43</v>
      </c>
      <c r="Z66">
        <v>3</v>
      </c>
      <c r="AA66" t="s">
        <v>51</v>
      </c>
      <c r="AB66">
        <v>4</v>
      </c>
      <c r="AC66" t="s">
        <v>62</v>
      </c>
    </row>
    <row r="67" spans="1:30">
      <c r="A67" t="s">
        <v>168</v>
      </c>
      <c r="B67" t="s">
        <v>169</v>
      </c>
      <c r="C67" t="s">
        <v>86</v>
      </c>
      <c r="D67" t="s">
        <v>170</v>
      </c>
      <c r="E67" t="s">
        <v>33</v>
      </c>
      <c r="F67" t="s">
        <v>117</v>
      </c>
      <c r="G67">
        <v>9.6</v>
      </c>
      <c r="H67">
        <v>7.5</v>
      </c>
      <c r="I67">
        <v>7.9</v>
      </c>
      <c r="J67" s="4">
        <f t="shared" ref="J67:J121" si="1">SUM(G67:I67)/4</f>
        <v>6.25</v>
      </c>
      <c r="K67">
        <v>7.5</v>
      </c>
      <c r="L67" t="s">
        <v>67</v>
      </c>
      <c r="M67" t="s">
        <v>35</v>
      </c>
      <c r="N67" t="s">
        <v>61</v>
      </c>
      <c r="O67" t="s">
        <v>37</v>
      </c>
      <c r="P67" t="s">
        <v>39</v>
      </c>
      <c r="Q67" t="s">
        <v>39</v>
      </c>
      <c r="R67" t="s">
        <v>39</v>
      </c>
      <c r="S67" t="s">
        <v>37</v>
      </c>
      <c r="T67" t="s">
        <v>73</v>
      </c>
      <c r="U67" t="s">
        <v>52</v>
      </c>
      <c r="V67" t="s">
        <v>79</v>
      </c>
      <c r="W67" t="s">
        <v>54</v>
      </c>
      <c r="X67">
        <v>3</v>
      </c>
      <c r="Y67" t="s">
        <v>43</v>
      </c>
      <c r="Z67">
        <v>3</v>
      </c>
      <c r="AA67" t="s">
        <v>43</v>
      </c>
      <c r="AB67">
        <v>4</v>
      </c>
      <c r="AC67" t="s">
        <v>62</v>
      </c>
    </row>
    <row r="68" spans="1:30">
      <c r="A68" t="s">
        <v>175</v>
      </c>
      <c r="B68" t="s">
        <v>176</v>
      </c>
      <c r="C68" t="s">
        <v>86</v>
      </c>
      <c r="D68" t="s">
        <v>177</v>
      </c>
      <c r="E68" t="s">
        <v>33</v>
      </c>
      <c r="F68" t="s">
        <v>117</v>
      </c>
      <c r="G68">
        <v>8.6</v>
      </c>
      <c r="H68">
        <v>6.3</v>
      </c>
      <c r="I68">
        <v>6.7</v>
      </c>
      <c r="J68" s="4">
        <f t="shared" si="1"/>
        <v>5.3999999999999995</v>
      </c>
      <c r="K68">
        <v>6.9</v>
      </c>
      <c r="L68" t="s">
        <v>35</v>
      </c>
      <c r="M68" t="s">
        <v>35</v>
      </c>
      <c r="N68" t="s">
        <v>61</v>
      </c>
      <c r="O68" t="s">
        <v>38</v>
      </c>
      <c r="P68" t="s">
        <v>39</v>
      </c>
      <c r="Q68" t="s">
        <v>37</v>
      </c>
      <c r="R68" t="s">
        <v>37</v>
      </c>
      <c r="S68" t="s">
        <v>37</v>
      </c>
      <c r="T68" t="s">
        <v>37</v>
      </c>
      <c r="U68" t="s">
        <v>40</v>
      </c>
      <c r="V68" t="s">
        <v>60</v>
      </c>
      <c r="W68" t="s">
        <v>54</v>
      </c>
      <c r="X68">
        <v>3</v>
      </c>
      <c r="Y68" t="s">
        <v>43</v>
      </c>
      <c r="Z68">
        <v>3</v>
      </c>
      <c r="AA68" t="s">
        <v>51</v>
      </c>
      <c r="AB68">
        <v>4</v>
      </c>
      <c r="AC68" t="s">
        <v>62</v>
      </c>
    </row>
    <row r="69" spans="1:30">
      <c r="A69" t="s">
        <v>178</v>
      </c>
      <c r="B69" t="s">
        <v>179</v>
      </c>
      <c r="C69" t="s">
        <v>86</v>
      </c>
      <c r="D69" t="s">
        <v>180</v>
      </c>
      <c r="E69" t="s">
        <v>33</v>
      </c>
      <c r="F69" t="s">
        <v>117</v>
      </c>
      <c r="G69">
        <v>7.5940000000000003</v>
      </c>
      <c r="H69">
        <v>6.4080000000000004</v>
      </c>
      <c r="I69">
        <v>5.9039999999999999</v>
      </c>
      <c r="J69" s="4">
        <f t="shared" si="1"/>
        <v>4.9764999999999997</v>
      </c>
      <c r="K69">
        <v>6.2850000000000001</v>
      </c>
      <c r="L69" t="s">
        <v>35</v>
      </c>
      <c r="M69" t="s">
        <v>35</v>
      </c>
      <c r="N69" t="s">
        <v>61</v>
      </c>
      <c r="O69" t="s">
        <v>37</v>
      </c>
      <c r="P69" t="s">
        <v>39</v>
      </c>
      <c r="Q69" t="s">
        <v>73</v>
      </c>
      <c r="R69" t="s">
        <v>39</v>
      </c>
      <c r="S69" t="s">
        <v>39</v>
      </c>
      <c r="T69" t="s">
        <v>37</v>
      </c>
      <c r="U69" t="s">
        <v>59</v>
      </c>
      <c r="V69" t="s">
        <v>79</v>
      </c>
      <c r="W69" t="s">
        <v>54</v>
      </c>
      <c r="X69">
        <v>3</v>
      </c>
      <c r="Y69" t="s">
        <v>43</v>
      </c>
      <c r="Z69">
        <v>4</v>
      </c>
      <c r="AA69" t="s">
        <v>61</v>
      </c>
      <c r="AB69">
        <v>4</v>
      </c>
      <c r="AC69" t="s">
        <v>62</v>
      </c>
    </row>
    <row r="70" spans="1:30">
      <c r="A70" t="s">
        <v>184</v>
      </c>
      <c r="B70" t="s">
        <v>185</v>
      </c>
      <c r="C70" t="s">
        <v>86</v>
      </c>
      <c r="D70" t="s">
        <v>160</v>
      </c>
      <c r="E70" t="s">
        <v>33</v>
      </c>
      <c r="F70" t="s">
        <v>117</v>
      </c>
      <c r="G70">
        <v>9.4</v>
      </c>
      <c r="H70">
        <v>7.2</v>
      </c>
      <c r="I70">
        <v>8.1999999999999993</v>
      </c>
      <c r="J70" s="4">
        <f t="shared" si="1"/>
        <v>6.2</v>
      </c>
      <c r="K70">
        <v>7.3</v>
      </c>
      <c r="L70" t="s">
        <v>35</v>
      </c>
      <c r="M70" t="s">
        <v>35</v>
      </c>
      <c r="N70" t="s">
        <v>61</v>
      </c>
      <c r="O70" t="s">
        <v>37</v>
      </c>
      <c r="P70" t="s">
        <v>39</v>
      </c>
      <c r="Q70" t="s">
        <v>39</v>
      </c>
      <c r="R70" t="s">
        <v>39</v>
      </c>
      <c r="S70" t="s">
        <v>37</v>
      </c>
      <c r="T70" t="s">
        <v>39</v>
      </c>
      <c r="U70" t="s">
        <v>59</v>
      </c>
      <c r="V70" t="s">
        <v>79</v>
      </c>
      <c r="W70" t="s">
        <v>54</v>
      </c>
      <c r="X70">
        <v>2</v>
      </c>
      <c r="Y70" t="s">
        <v>51</v>
      </c>
      <c r="Z70">
        <v>4</v>
      </c>
      <c r="AA70" t="s">
        <v>43</v>
      </c>
      <c r="AB70">
        <v>4</v>
      </c>
      <c r="AC70" t="s">
        <v>62</v>
      </c>
      <c r="AD70" t="s">
        <v>186</v>
      </c>
    </row>
    <row r="71" spans="1:30">
      <c r="A71" t="s">
        <v>200</v>
      </c>
      <c r="B71" t="s">
        <v>201</v>
      </c>
      <c r="C71" t="s">
        <v>86</v>
      </c>
      <c r="D71" t="s">
        <v>170</v>
      </c>
      <c r="E71" t="s">
        <v>33</v>
      </c>
      <c r="F71" t="s">
        <v>117</v>
      </c>
      <c r="G71">
        <v>9.4499999999999993</v>
      </c>
      <c r="H71">
        <v>9.3000000000000007</v>
      </c>
      <c r="I71">
        <v>9.1999999999999993</v>
      </c>
      <c r="J71" s="4">
        <f t="shared" si="1"/>
        <v>6.9874999999999998</v>
      </c>
      <c r="K71">
        <v>7.45</v>
      </c>
      <c r="L71" t="s">
        <v>35</v>
      </c>
      <c r="M71" t="s">
        <v>35</v>
      </c>
      <c r="N71" t="s">
        <v>51</v>
      </c>
      <c r="O71" t="s">
        <v>73</v>
      </c>
      <c r="P71" t="s">
        <v>39</v>
      </c>
      <c r="Q71" t="s">
        <v>37</v>
      </c>
      <c r="R71" t="s">
        <v>37</v>
      </c>
      <c r="S71" t="s">
        <v>73</v>
      </c>
      <c r="T71" t="s">
        <v>37</v>
      </c>
      <c r="U71" t="s">
        <v>52</v>
      </c>
      <c r="V71" t="s">
        <v>79</v>
      </c>
      <c r="W71" t="s">
        <v>54</v>
      </c>
      <c r="X71">
        <v>3</v>
      </c>
      <c r="Y71" t="s">
        <v>51</v>
      </c>
      <c r="Z71">
        <v>3</v>
      </c>
      <c r="AA71" t="s">
        <v>51</v>
      </c>
      <c r="AB71">
        <v>3</v>
      </c>
      <c r="AC71" t="s">
        <v>62</v>
      </c>
    </row>
    <row r="72" spans="1:30">
      <c r="A72" t="s">
        <v>202</v>
      </c>
      <c r="B72" t="s">
        <v>203</v>
      </c>
      <c r="C72" t="s">
        <v>31</v>
      </c>
      <c r="D72" t="s">
        <v>32</v>
      </c>
      <c r="E72" t="s">
        <v>33</v>
      </c>
      <c r="F72" t="s">
        <v>117</v>
      </c>
      <c r="G72">
        <v>9.5</v>
      </c>
      <c r="H72">
        <v>8.6999999999999993</v>
      </c>
      <c r="I72">
        <v>8.4</v>
      </c>
      <c r="J72" s="4">
        <f t="shared" si="1"/>
        <v>6.65</v>
      </c>
      <c r="K72">
        <v>8.01</v>
      </c>
      <c r="L72" t="s">
        <v>67</v>
      </c>
      <c r="M72" t="s">
        <v>67</v>
      </c>
      <c r="N72" t="s">
        <v>61</v>
      </c>
      <c r="O72" t="s">
        <v>37</v>
      </c>
      <c r="P72" t="s">
        <v>39</v>
      </c>
      <c r="Q72" t="s">
        <v>37</v>
      </c>
      <c r="R72" t="s">
        <v>37</v>
      </c>
      <c r="S72" t="s">
        <v>37</v>
      </c>
      <c r="T72" t="s">
        <v>39</v>
      </c>
      <c r="U72" t="s">
        <v>52</v>
      </c>
      <c r="V72" t="s">
        <v>79</v>
      </c>
      <c r="W72" t="s">
        <v>54</v>
      </c>
      <c r="X72">
        <v>2</v>
      </c>
      <c r="Y72" t="s">
        <v>51</v>
      </c>
      <c r="Z72">
        <v>3</v>
      </c>
      <c r="AA72" t="s">
        <v>43</v>
      </c>
      <c r="AB72">
        <v>3</v>
      </c>
      <c r="AC72" t="s">
        <v>62</v>
      </c>
    </row>
    <row r="73" spans="1:30">
      <c r="A73" t="s">
        <v>211</v>
      </c>
      <c r="B73" t="s">
        <v>212</v>
      </c>
      <c r="C73" t="s">
        <v>31</v>
      </c>
      <c r="D73" t="s">
        <v>213</v>
      </c>
      <c r="E73" t="s">
        <v>33</v>
      </c>
      <c r="F73" t="s">
        <v>117</v>
      </c>
      <c r="G73">
        <v>9.18</v>
      </c>
      <c r="H73">
        <v>9.56</v>
      </c>
      <c r="I73">
        <v>9.7200000000000006</v>
      </c>
      <c r="J73" s="4">
        <f t="shared" si="1"/>
        <v>7.1150000000000002</v>
      </c>
      <c r="K73">
        <v>9.8000000000000007</v>
      </c>
      <c r="L73" t="s">
        <v>49</v>
      </c>
      <c r="M73" t="s">
        <v>50</v>
      </c>
      <c r="N73" t="s">
        <v>98</v>
      </c>
      <c r="O73" t="s">
        <v>37</v>
      </c>
      <c r="P73" t="s">
        <v>37</v>
      </c>
      <c r="Q73" t="s">
        <v>37</v>
      </c>
      <c r="R73" t="s">
        <v>73</v>
      </c>
      <c r="S73" t="s">
        <v>37</v>
      </c>
      <c r="T73" t="s">
        <v>39</v>
      </c>
      <c r="U73" t="s">
        <v>40</v>
      </c>
      <c r="V73" t="s">
        <v>60</v>
      </c>
      <c r="W73" t="s">
        <v>54</v>
      </c>
      <c r="X73">
        <v>2</v>
      </c>
      <c r="Y73" t="s">
        <v>61</v>
      </c>
      <c r="Z73">
        <v>5</v>
      </c>
      <c r="AA73" t="s">
        <v>61</v>
      </c>
      <c r="AB73">
        <v>5</v>
      </c>
      <c r="AC73" t="s">
        <v>62</v>
      </c>
    </row>
    <row r="74" spans="1:30">
      <c r="A74" t="s">
        <v>264</v>
      </c>
      <c r="B74" t="s">
        <v>265</v>
      </c>
      <c r="C74" t="s">
        <v>31</v>
      </c>
      <c r="D74" t="s">
        <v>266</v>
      </c>
      <c r="E74" t="s">
        <v>33</v>
      </c>
      <c r="F74" t="s">
        <v>117</v>
      </c>
      <c r="G74">
        <v>9.02</v>
      </c>
      <c r="H74">
        <v>7.52</v>
      </c>
      <c r="I74">
        <v>8.36</v>
      </c>
      <c r="J74" s="4">
        <f t="shared" si="1"/>
        <v>6.2249999999999996</v>
      </c>
      <c r="K74">
        <v>9.1999999999999993</v>
      </c>
      <c r="L74" t="s">
        <v>49</v>
      </c>
      <c r="M74" t="s">
        <v>50</v>
      </c>
      <c r="N74" t="s">
        <v>98</v>
      </c>
      <c r="O74" t="s">
        <v>73</v>
      </c>
      <c r="P74" t="s">
        <v>39</v>
      </c>
      <c r="Q74" t="s">
        <v>37</v>
      </c>
      <c r="R74" t="s">
        <v>39</v>
      </c>
      <c r="S74" t="s">
        <v>37</v>
      </c>
      <c r="T74" t="s">
        <v>37</v>
      </c>
      <c r="U74" t="s">
        <v>40</v>
      </c>
      <c r="V74" t="s">
        <v>79</v>
      </c>
      <c r="W74" t="s">
        <v>42</v>
      </c>
      <c r="X74">
        <v>4</v>
      </c>
      <c r="Y74" t="s">
        <v>51</v>
      </c>
      <c r="Z74">
        <v>3</v>
      </c>
      <c r="AA74" t="s">
        <v>51</v>
      </c>
      <c r="AB74">
        <v>3</v>
      </c>
      <c r="AC74" t="s">
        <v>62</v>
      </c>
    </row>
    <row r="75" spans="1:30">
      <c r="A75" t="s">
        <v>290</v>
      </c>
      <c r="B75" t="s">
        <v>291</v>
      </c>
      <c r="C75" t="s">
        <v>31</v>
      </c>
      <c r="D75" t="s">
        <v>167</v>
      </c>
      <c r="E75" t="s">
        <v>33</v>
      </c>
      <c r="F75" t="s">
        <v>117</v>
      </c>
      <c r="G75">
        <v>9.3000000000000007</v>
      </c>
      <c r="H75">
        <v>7.8</v>
      </c>
      <c r="I75">
        <v>8.1</v>
      </c>
      <c r="J75" s="4">
        <f t="shared" si="1"/>
        <v>6.3000000000000007</v>
      </c>
      <c r="K75">
        <v>7.7</v>
      </c>
      <c r="L75" t="s">
        <v>67</v>
      </c>
      <c r="M75" t="s">
        <v>35</v>
      </c>
      <c r="N75" t="s">
        <v>61</v>
      </c>
      <c r="O75" t="s">
        <v>73</v>
      </c>
      <c r="P75" t="s">
        <v>39</v>
      </c>
      <c r="Q75" t="s">
        <v>37</v>
      </c>
      <c r="R75" t="s">
        <v>39</v>
      </c>
      <c r="S75" t="s">
        <v>39</v>
      </c>
      <c r="T75" t="s">
        <v>39</v>
      </c>
      <c r="U75" t="s">
        <v>40</v>
      </c>
      <c r="V75" t="s">
        <v>41</v>
      </c>
      <c r="W75" t="s">
        <v>54</v>
      </c>
      <c r="X75">
        <v>4</v>
      </c>
      <c r="Y75" t="s">
        <v>61</v>
      </c>
      <c r="Z75">
        <v>5</v>
      </c>
      <c r="AA75" t="s">
        <v>43</v>
      </c>
      <c r="AB75">
        <v>3</v>
      </c>
      <c r="AC75" t="s">
        <v>62</v>
      </c>
    </row>
    <row r="76" spans="1:30">
      <c r="A76" t="s">
        <v>292</v>
      </c>
      <c r="B76" t="s">
        <v>293</v>
      </c>
      <c r="C76" t="s">
        <v>86</v>
      </c>
      <c r="D76" t="s">
        <v>294</v>
      </c>
      <c r="E76" t="s">
        <v>33</v>
      </c>
      <c r="F76" t="s">
        <v>117</v>
      </c>
      <c r="G76">
        <v>9.1999999999999993</v>
      </c>
      <c r="H76">
        <v>7</v>
      </c>
      <c r="I76">
        <v>8.1999999999999993</v>
      </c>
      <c r="J76" s="4">
        <f t="shared" si="1"/>
        <v>6.1</v>
      </c>
      <c r="K76">
        <v>7.9</v>
      </c>
      <c r="L76" t="s">
        <v>35</v>
      </c>
      <c r="M76" t="s">
        <v>35</v>
      </c>
      <c r="N76" t="s">
        <v>61</v>
      </c>
      <c r="O76" t="s">
        <v>73</v>
      </c>
      <c r="P76" t="s">
        <v>39</v>
      </c>
      <c r="Q76" t="s">
        <v>37</v>
      </c>
      <c r="R76" t="s">
        <v>37</v>
      </c>
      <c r="S76" t="s">
        <v>39</v>
      </c>
      <c r="T76" t="s">
        <v>39</v>
      </c>
      <c r="U76" t="s">
        <v>40</v>
      </c>
      <c r="V76" t="s">
        <v>41</v>
      </c>
      <c r="W76" t="s">
        <v>54</v>
      </c>
      <c r="X76">
        <v>2</v>
      </c>
      <c r="Y76" t="s">
        <v>43</v>
      </c>
      <c r="Z76">
        <v>3</v>
      </c>
      <c r="AA76" t="s">
        <v>43</v>
      </c>
      <c r="AB76">
        <v>3</v>
      </c>
      <c r="AC76" t="s">
        <v>62</v>
      </c>
    </row>
    <row r="77" spans="1:30">
      <c r="A77" t="s">
        <v>295</v>
      </c>
      <c r="B77" t="s">
        <v>296</v>
      </c>
      <c r="C77" t="s">
        <v>31</v>
      </c>
      <c r="D77" t="s">
        <v>297</v>
      </c>
      <c r="E77" t="s">
        <v>298</v>
      </c>
      <c r="F77" t="s">
        <v>117</v>
      </c>
      <c r="G77">
        <v>9</v>
      </c>
      <c r="H77">
        <v>9.4</v>
      </c>
      <c r="I77">
        <v>8.77</v>
      </c>
      <c r="J77" s="4">
        <f t="shared" si="1"/>
        <v>6.7924999999999995</v>
      </c>
      <c r="K77">
        <v>8.5399999999999991</v>
      </c>
      <c r="L77" t="s">
        <v>67</v>
      </c>
      <c r="M77" t="s">
        <v>67</v>
      </c>
      <c r="N77" t="s">
        <v>36</v>
      </c>
      <c r="O77" t="s">
        <v>38</v>
      </c>
      <c r="P77" t="s">
        <v>37</v>
      </c>
      <c r="Q77" t="s">
        <v>39</v>
      </c>
      <c r="R77" t="s">
        <v>37</v>
      </c>
      <c r="S77" t="s">
        <v>73</v>
      </c>
      <c r="T77" t="s">
        <v>39</v>
      </c>
      <c r="U77" t="s">
        <v>40</v>
      </c>
      <c r="V77" t="s">
        <v>41</v>
      </c>
      <c r="W77" t="s">
        <v>54</v>
      </c>
      <c r="X77">
        <v>3</v>
      </c>
      <c r="Y77" t="s">
        <v>43</v>
      </c>
      <c r="Z77">
        <v>3</v>
      </c>
      <c r="AA77" t="s">
        <v>61</v>
      </c>
      <c r="AB77">
        <v>3</v>
      </c>
      <c r="AC77" t="s">
        <v>62</v>
      </c>
      <c r="AD77" t="s">
        <v>299</v>
      </c>
    </row>
    <row r="78" spans="1:30">
      <c r="A78" t="s">
        <v>300</v>
      </c>
      <c r="B78" t="s">
        <v>301</v>
      </c>
      <c r="C78" t="s">
        <v>31</v>
      </c>
      <c r="D78" t="s">
        <v>234</v>
      </c>
      <c r="E78" t="s">
        <v>33</v>
      </c>
      <c r="F78" t="s">
        <v>117</v>
      </c>
      <c r="G78">
        <v>9.3000000000000007</v>
      </c>
      <c r="H78">
        <v>6.8</v>
      </c>
      <c r="I78">
        <v>5.6</v>
      </c>
      <c r="J78" s="4">
        <f t="shared" si="1"/>
        <v>5.4250000000000007</v>
      </c>
      <c r="K78">
        <v>6.8</v>
      </c>
      <c r="L78" t="s">
        <v>112</v>
      </c>
      <c r="M78" t="s">
        <v>35</v>
      </c>
      <c r="N78" t="s">
        <v>36</v>
      </c>
      <c r="O78" t="s">
        <v>73</v>
      </c>
      <c r="P78" t="s">
        <v>39</v>
      </c>
      <c r="Q78" t="s">
        <v>37</v>
      </c>
      <c r="R78" t="s">
        <v>39</v>
      </c>
      <c r="S78" t="s">
        <v>37</v>
      </c>
      <c r="T78" t="s">
        <v>39</v>
      </c>
      <c r="U78" t="s">
        <v>40</v>
      </c>
      <c r="V78" t="s">
        <v>41</v>
      </c>
      <c r="W78" t="s">
        <v>54</v>
      </c>
      <c r="X78">
        <v>5</v>
      </c>
      <c r="Y78" t="s">
        <v>43</v>
      </c>
      <c r="Z78">
        <v>3</v>
      </c>
      <c r="AA78" t="s">
        <v>51</v>
      </c>
      <c r="AB78">
        <v>3</v>
      </c>
      <c r="AC78" t="s">
        <v>99</v>
      </c>
    </row>
    <row r="79" spans="1:30">
      <c r="A79" t="s">
        <v>314</v>
      </c>
      <c r="B79" t="s">
        <v>315</v>
      </c>
      <c r="C79" t="s">
        <v>86</v>
      </c>
      <c r="D79" t="s">
        <v>316</v>
      </c>
      <c r="E79" t="s">
        <v>33</v>
      </c>
      <c r="F79" t="s">
        <v>117</v>
      </c>
      <c r="G79">
        <v>7.8</v>
      </c>
      <c r="H79">
        <v>6.9</v>
      </c>
      <c r="I79">
        <v>7.2</v>
      </c>
      <c r="J79" s="4">
        <f t="shared" si="1"/>
        <v>5.4749999999999996</v>
      </c>
      <c r="K79">
        <v>7.4</v>
      </c>
      <c r="L79" t="s">
        <v>112</v>
      </c>
      <c r="M79" t="s">
        <v>111</v>
      </c>
      <c r="N79" t="s">
        <v>61</v>
      </c>
      <c r="O79" t="s">
        <v>38</v>
      </c>
      <c r="P79" t="s">
        <v>39</v>
      </c>
      <c r="Q79" t="s">
        <v>37</v>
      </c>
      <c r="R79" t="s">
        <v>39</v>
      </c>
      <c r="S79" t="s">
        <v>38</v>
      </c>
      <c r="T79" t="s">
        <v>38</v>
      </c>
      <c r="U79" t="s">
        <v>59</v>
      </c>
      <c r="V79" t="s">
        <v>41</v>
      </c>
      <c r="W79" t="s">
        <v>54</v>
      </c>
      <c r="X79">
        <v>3</v>
      </c>
      <c r="Y79" t="s">
        <v>43</v>
      </c>
      <c r="Z79">
        <v>3</v>
      </c>
      <c r="AA79" t="s">
        <v>51</v>
      </c>
      <c r="AB79">
        <v>5</v>
      </c>
      <c r="AC79" t="s">
        <v>74</v>
      </c>
    </row>
    <row r="80" spans="1:30">
      <c r="A80" t="s">
        <v>320</v>
      </c>
      <c r="B80" t="s">
        <v>321</v>
      </c>
      <c r="C80" t="s">
        <v>86</v>
      </c>
      <c r="D80" t="s">
        <v>322</v>
      </c>
      <c r="E80" t="s">
        <v>97</v>
      </c>
      <c r="F80" t="s">
        <v>117</v>
      </c>
      <c r="G80">
        <v>8.8000000000000007</v>
      </c>
      <c r="H80">
        <v>8.1</v>
      </c>
      <c r="I80">
        <v>7.92</v>
      </c>
      <c r="J80" s="4">
        <f t="shared" si="1"/>
        <v>6.2050000000000001</v>
      </c>
      <c r="K80">
        <v>8.4</v>
      </c>
      <c r="L80" t="s">
        <v>35</v>
      </c>
      <c r="M80" t="s">
        <v>67</v>
      </c>
      <c r="N80" t="s">
        <v>51</v>
      </c>
      <c r="O80" t="s">
        <v>37</v>
      </c>
      <c r="P80" t="s">
        <v>39</v>
      </c>
      <c r="Q80" t="s">
        <v>39</v>
      </c>
      <c r="R80" t="s">
        <v>39</v>
      </c>
      <c r="S80" t="s">
        <v>39</v>
      </c>
      <c r="T80" t="s">
        <v>37</v>
      </c>
      <c r="U80" t="s">
        <v>40</v>
      </c>
      <c r="V80" t="s">
        <v>60</v>
      </c>
      <c r="W80" t="s">
        <v>54</v>
      </c>
      <c r="X80">
        <v>2</v>
      </c>
      <c r="Y80" t="s">
        <v>43</v>
      </c>
      <c r="Z80">
        <v>3</v>
      </c>
      <c r="AA80" t="s">
        <v>51</v>
      </c>
      <c r="AB80">
        <v>5</v>
      </c>
      <c r="AC80" t="s">
        <v>99</v>
      </c>
    </row>
    <row r="81" spans="1:30">
      <c r="A81" t="s">
        <v>349</v>
      </c>
      <c r="B81" t="s">
        <v>350</v>
      </c>
      <c r="C81" t="s">
        <v>31</v>
      </c>
      <c r="D81" t="s">
        <v>149</v>
      </c>
      <c r="E81" t="s">
        <v>33</v>
      </c>
      <c r="F81" t="s">
        <v>117</v>
      </c>
      <c r="G81">
        <v>8.0090000000000003</v>
      </c>
      <c r="H81">
        <v>6.282</v>
      </c>
      <c r="I81">
        <v>7.3529999999999998</v>
      </c>
      <c r="J81" s="4">
        <f t="shared" si="1"/>
        <v>5.4109999999999996</v>
      </c>
      <c r="K81">
        <v>6.8940000000000001</v>
      </c>
      <c r="L81" t="s">
        <v>35</v>
      </c>
      <c r="M81" t="s">
        <v>35</v>
      </c>
      <c r="N81" t="s">
        <v>36</v>
      </c>
      <c r="O81" t="s">
        <v>37</v>
      </c>
      <c r="P81" t="s">
        <v>39</v>
      </c>
      <c r="Q81" t="s">
        <v>37</v>
      </c>
      <c r="R81" t="s">
        <v>37</v>
      </c>
      <c r="S81" t="s">
        <v>37</v>
      </c>
      <c r="T81" t="s">
        <v>37</v>
      </c>
      <c r="U81" t="s">
        <v>40</v>
      </c>
      <c r="V81" t="s">
        <v>41</v>
      </c>
      <c r="W81" t="s">
        <v>54</v>
      </c>
      <c r="X81">
        <v>3</v>
      </c>
      <c r="Y81" t="s">
        <v>43</v>
      </c>
      <c r="Z81">
        <v>2</v>
      </c>
      <c r="AA81" t="s">
        <v>51</v>
      </c>
      <c r="AB81">
        <v>2</v>
      </c>
      <c r="AC81" t="s">
        <v>62</v>
      </c>
      <c r="AD81" t="s">
        <v>351</v>
      </c>
    </row>
    <row r="82" spans="1:30">
      <c r="A82" t="s">
        <v>355</v>
      </c>
      <c r="B82" t="s">
        <v>356</v>
      </c>
      <c r="C82" t="s">
        <v>86</v>
      </c>
      <c r="D82" t="s">
        <v>248</v>
      </c>
      <c r="E82" t="s">
        <v>357</v>
      </c>
      <c r="F82" t="s">
        <v>117</v>
      </c>
      <c r="G82">
        <v>9</v>
      </c>
      <c r="H82">
        <v>9</v>
      </c>
      <c r="I82">
        <v>7.69</v>
      </c>
      <c r="J82" s="4">
        <f t="shared" si="1"/>
        <v>6.4225000000000003</v>
      </c>
      <c r="K82">
        <v>6.69</v>
      </c>
      <c r="L82" t="s">
        <v>112</v>
      </c>
      <c r="M82" t="s">
        <v>112</v>
      </c>
      <c r="N82" t="s">
        <v>61</v>
      </c>
      <c r="O82" t="s">
        <v>39</v>
      </c>
      <c r="P82" t="s">
        <v>39</v>
      </c>
      <c r="Q82" t="s">
        <v>39</v>
      </c>
      <c r="R82" t="s">
        <v>39</v>
      </c>
      <c r="S82" t="s">
        <v>39</v>
      </c>
      <c r="T82" t="s">
        <v>39</v>
      </c>
      <c r="U82" t="s">
        <v>40</v>
      </c>
      <c r="V82" t="s">
        <v>41</v>
      </c>
      <c r="W82" t="s">
        <v>54</v>
      </c>
      <c r="X82">
        <v>4</v>
      </c>
      <c r="Y82" t="s">
        <v>43</v>
      </c>
      <c r="Z82">
        <v>3</v>
      </c>
      <c r="AA82" t="s">
        <v>43</v>
      </c>
      <c r="AB82">
        <v>1</v>
      </c>
      <c r="AC82" t="s">
        <v>62</v>
      </c>
      <c r="AD82" t="s">
        <v>42</v>
      </c>
    </row>
    <row r="83" spans="1:30">
      <c r="A83" t="s">
        <v>364</v>
      </c>
      <c r="B83" t="s">
        <v>365</v>
      </c>
      <c r="C83" t="s">
        <v>86</v>
      </c>
      <c r="D83" t="s">
        <v>366</v>
      </c>
      <c r="E83" t="s">
        <v>33</v>
      </c>
      <c r="F83" t="s">
        <v>117</v>
      </c>
      <c r="G83">
        <v>8.5</v>
      </c>
      <c r="H83">
        <v>6.32</v>
      </c>
      <c r="I83">
        <v>7.49</v>
      </c>
      <c r="J83" s="4">
        <f t="shared" si="1"/>
        <v>5.5775000000000006</v>
      </c>
      <c r="K83">
        <v>7.59</v>
      </c>
      <c r="L83" t="s">
        <v>35</v>
      </c>
      <c r="M83" t="s">
        <v>35</v>
      </c>
      <c r="N83" t="s">
        <v>36</v>
      </c>
      <c r="O83" t="s">
        <v>38</v>
      </c>
      <c r="P83" t="s">
        <v>39</v>
      </c>
      <c r="Q83" t="s">
        <v>37</v>
      </c>
      <c r="R83" t="s">
        <v>39</v>
      </c>
      <c r="S83" t="s">
        <v>37</v>
      </c>
      <c r="T83" t="s">
        <v>39</v>
      </c>
      <c r="U83" t="s">
        <v>52</v>
      </c>
      <c r="V83" t="s">
        <v>79</v>
      </c>
      <c r="W83" t="s">
        <v>54</v>
      </c>
      <c r="X83">
        <v>4</v>
      </c>
      <c r="Y83" t="s">
        <v>43</v>
      </c>
      <c r="Z83">
        <v>3</v>
      </c>
      <c r="AA83" t="s">
        <v>43</v>
      </c>
      <c r="AB83">
        <v>3</v>
      </c>
      <c r="AC83" t="s">
        <v>62</v>
      </c>
      <c r="AD83" t="s">
        <v>367</v>
      </c>
    </row>
    <row r="84" spans="1:30">
      <c r="A84" t="s">
        <v>368</v>
      </c>
      <c r="B84" t="s">
        <v>369</v>
      </c>
      <c r="C84" t="s">
        <v>31</v>
      </c>
      <c r="D84" t="s">
        <v>370</v>
      </c>
      <c r="E84" t="s">
        <v>33</v>
      </c>
      <c r="F84" t="s">
        <v>117</v>
      </c>
      <c r="G84">
        <v>9.3000000000000007</v>
      </c>
      <c r="H84">
        <v>9.61</v>
      </c>
      <c r="I84">
        <v>8.56</v>
      </c>
      <c r="J84" s="4">
        <f t="shared" si="1"/>
        <v>6.8674999999999997</v>
      </c>
      <c r="K84">
        <v>9.2799999999999994</v>
      </c>
      <c r="L84" t="s">
        <v>49</v>
      </c>
      <c r="M84" t="s">
        <v>67</v>
      </c>
      <c r="N84" t="s">
        <v>61</v>
      </c>
      <c r="O84" t="s">
        <v>37</v>
      </c>
      <c r="P84" t="s">
        <v>39</v>
      </c>
      <c r="Q84" t="s">
        <v>37</v>
      </c>
      <c r="R84" t="s">
        <v>37</v>
      </c>
      <c r="S84" t="s">
        <v>39</v>
      </c>
      <c r="T84" t="s">
        <v>39</v>
      </c>
      <c r="U84" t="s">
        <v>59</v>
      </c>
      <c r="V84" t="s">
        <v>41</v>
      </c>
      <c r="W84" t="s">
        <v>54</v>
      </c>
      <c r="X84">
        <v>4</v>
      </c>
      <c r="Y84" t="s">
        <v>43</v>
      </c>
      <c r="Z84">
        <v>3</v>
      </c>
      <c r="AA84" t="s">
        <v>51</v>
      </c>
      <c r="AB84">
        <v>4</v>
      </c>
      <c r="AC84" t="s">
        <v>99</v>
      </c>
    </row>
    <row r="85" spans="1:30">
      <c r="A85" t="s">
        <v>383</v>
      </c>
      <c r="B85" t="s">
        <v>384</v>
      </c>
      <c r="C85" t="s">
        <v>86</v>
      </c>
      <c r="D85" t="s">
        <v>385</v>
      </c>
      <c r="E85" t="s">
        <v>33</v>
      </c>
      <c r="F85" t="s">
        <v>117</v>
      </c>
      <c r="G85">
        <v>9.4</v>
      </c>
      <c r="H85">
        <v>7.1139999999999999</v>
      </c>
      <c r="I85">
        <v>8.3000000000000007</v>
      </c>
      <c r="J85" s="4">
        <f t="shared" si="1"/>
        <v>6.2035</v>
      </c>
      <c r="K85">
        <v>8.6</v>
      </c>
      <c r="L85" t="s">
        <v>67</v>
      </c>
      <c r="M85" t="s">
        <v>67</v>
      </c>
      <c r="N85" t="s">
        <v>36</v>
      </c>
      <c r="O85" t="s">
        <v>37</v>
      </c>
      <c r="P85" t="s">
        <v>39</v>
      </c>
      <c r="Q85" t="s">
        <v>37</v>
      </c>
      <c r="R85" t="s">
        <v>39</v>
      </c>
      <c r="S85" t="s">
        <v>37</v>
      </c>
      <c r="T85" t="s">
        <v>39</v>
      </c>
      <c r="U85" t="s">
        <v>59</v>
      </c>
      <c r="V85" t="s">
        <v>41</v>
      </c>
      <c r="W85" t="s">
        <v>42</v>
      </c>
      <c r="X85">
        <v>3</v>
      </c>
      <c r="Y85" t="s">
        <v>43</v>
      </c>
      <c r="Z85">
        <v>3</v>
      </c>
      <c r="AA85" t="s">
        <v>51</v>
      </c>
      <c r="AB85">
        <v>4</v>
      </c>
      <c r="AC85" t="s">
        <v>62</v>
      </c>
    </row>
    <row r="86" spans="1:30">
      <c r="A86" t="s">
        <v>386</v>
      </c>
      <c r="B86" t="s">
        <v>387</v>
      </c>
      <c r="C86" t="s">
        <v>31</v>
      </c>
      <c r="D86" t="s">
        <v>32</v>
      </c>
      <c r="E86" t="s">
        <v>33</v>
      </c>
      <c r="F86" t="s">
        <v>117</v>
      </c>
      <c r="G86">
        <v>8.2970000000000006</v>
      </c>
      <c r="H86">
        <v>7.8970000000000002</v>
      </c>
      <c r="I86">
        <v>8.2789999999999999</v>
      </c>
      <c r="J86" s="4">
        <f t="shared" si="1"/>
        <v>6.1182500000000006</v>
      </c>
      <c r="K86">
        <v>7.9660000000000002</v>
      </c>
      <c r="L86" t="s">
        <v>67</v>
      </c>
      <c r="M86" t="s">
        <v>67</v>
      </c>
      <c r="N86" t="s">
        <v>61</v>
      </c>
      <c r="O86" t="s">
        <v>73</v>
      </c>
      <c r="P86" t="s">
        <v>39</v>
      </c>
      <c r="Q86" t="s">
        <v>73</v>
      </c>
      <c r="R86" t="s">
        <v>37</v>
      </c>
      <c r="S86" t="s">
        <v>39</v>
      </c>
      <c r="T86" t="s">
        <v>37</v>
      </c>
      <c r="U86" t="s">
        <v>40</v>
      </c>
      <c r="V86" t="s">
        <v>41</v>
      </c>
      <c r="W86" t="s">
        <v>54</v>
      </c>
      <c r="X86">
        <v>4</v>
      </c>
      <c r="Y86" t="s">
        <v>51</v>
      </c>
      <c r="Z86">
        <v>4</v>
      </c>
      <c r="AA86" t="s">
        <v>61</v>
      </c>
      <c r="AB86">
        <v>4</v>
      </c>
      <c r="AC86" t="s">
        <v>62</v>
      </c>
    </row>
    <row r="87" spans="1:30">
      <c r="A87" t="s">
        <v>45</v>
      </c>
      <c r="B87" t="s">
        <v>46</v>
      </c>
      <c r="C87" t="s">
        <v>31</v>
      </c>
      <c r="D87" t="s">
        <v>47</v>
      </c>
      <c r="E87" t="s">
        <v>47</v>
      </c>
      <c r="F87" t="s">
        <v>48</v>
      </c>
      <c r="G87">
        <v>9.33</v>
      </c>
      <c r="H87">
        <v>9.5399999999999991</v>
      </c>
      <c r="I87">
        <v>9.43</v>
      </c>
      <c r="J87" s="4">
        <f t="shared" si="1"/>
        <v>7.0749999999999993</v>
      </c>
      <c r="K87">
        <v>9.77</v>
      </c>
      <c r="L87" t="s">
        <v>49</v>
      </c>
      <c r="M87" t="s">
        <v>50</v>
      </c>
      <c r="N87" t="s">
        <v>51</v>
      </c>
      <c r="O87" t="s">
        <v>39</v>
      </c>
      <c r="P87" t="s">
        <v>39</v>
      </c>
      <c r="Q87" t="s">
        <v>39</v>
      </c>
      <c r="R87" t="s">
        <v>39</v>
      </c>
      <c r="S87" t="s">
        <v>39</v>
      </c>
      <c r="T87" t="s">
        <v>39</v>
      </c>
      <c r="U87" t="s">
        <v>52</v>
      </c>
      <c r="V87" t="s">
        <v>53</v>
      </c>
      <c r="W87" t="s">
        <v>54</v>
      </c>
      <c r="X87">
        <v>4</v>
      </c>
      <c r="Y87" t="s">
        <v>51</v>
      </c>
      <c r="Z87">
        <v>5</v>
      </c>
      <c r="AA87" t="s">
        <v>43</v>
      </c>
      <c r="AB87">
        <v>4</v>
      </c>
      <c r="AC87" t="s">
        <v>44</v>
      </c>
      <c r="AD87" t="s">
        <v>55</v>
      </c>
    </row>
    <row r="88" spans="1:30">
      <c r="A88" t="s">
        <v>88</v>
      </c>
      <c r="B88" t="s">
        <v>89</v>
      </c>
      <c r="C88" t="s">
        <v>31</v>
      </c>
      <c r="D88" t="s">
        <v>90</v>
      </c>
      <c r="E88" t="s">
        <v>33</v>
      </c>
      <c r="F88" t="s">
        <v>48</v>
      </c>
      <c r="G88">
        <v>9.3989999999999991</v>
      </c>
      <c r="H88">
        <v>7.6079999999999997</v>
      </c>
      <c r="I88">
        <v>8.3800000000000008</v>
      </c>
      <c r="J88" s="4">
        <f t="shared" si="1"/>
        <v>6.3467500000000001</v>
      </c>
      <c r="K88">
        <v>7.7130000000000001</v>
      </c>
      <c r="L88" t="s">
        <v>35</v>
      </c>
      <c r="M88" t="s">
        <v>35</v>
      </c>
      <c r="N88" t="s">
        <v>68</v>
      </c>
      <c r="O88" t="s">
        <v>73</v>
      </c>
      <c r="P88" t="s">
        <v>73</v>
      </c>
      <c r="Q88" t="s">
        <v>73</v>
      </c>
      <c r="R88" t="s">
        <v>37</v>
      </c>
      <c r="S88" t="s">
        <v>37</v>
      </c>
      <c r="T88" t="s">
        <v>39</v>
      </c>
      <c r="U88" t="s">
        <v>59</v>
      </c>
      <c r="V88" t="s">
        <v>41</v>
      </c>
      <c r="W88" t="s">
        <v>54</v>
      </c>
      <c r="X88">
        <v>3</v>
      </c>
      <c r="Y88" t="s">
        <v>43</v>
      </c>
      <c r="Z88">
        <v>3</v>
      </c>
      <c r="AA88" t="s">
        <v>43</v>
      </c>
      <c r="AB88">
        <v>3</v>
      </c>
      <c r="AC88" t="s">
        <v>91</v>
      </c>
      <c r="AD88" t="s">
        <v>92</v>
      </c>
    </row>
    <row r="89" spans="1:30">
      <c r="A89" t="s">
        <v>181</v>
      </c>
      <c r="B89" t="s">
        <v>182</v>
      </c>
      <c r="C89" t="s">
        <v>86</v>
      </c>
      <c r="D89" t="s">
        <v>183</v>
      </c>
      <c r="E89" t="s">
        <v>33</v>
      </c>
      <c r="F89" t="s">
        <v>48</v>
      </c>
      <c r="G89">
        <v>8.5</v>
      </c>
      <c r="H89">
        <v>8.3000000000000007</v>
      </c>
      <c r="I89">
        <v>6.5</v>
      </c>
      <c r="J89" s="4">
        <f t="shared" si="1"/>
        <v>5.8250000000000002</v>
      </c>
      <c r="K89">
        <v>7.8</v>
      </c>
      <c r="L89" t="s">
        <v>67</v>
      </c>
      <c r="M89" t="s">
        <v>35</v>
      </c>
      <c r="N89" t="s">
        <v>36</v>
      </c>
      <c r="O89" t="s">
        <v>37</v>
      </c>
      <c r="P89" t="s">
        <v>39</v>
      </c>
      <c r="Q89" t="s">
        <v>39</v>
      </c>
      <c r="R89" t="s">
        <v>39</v>
      </c>
      <c r="S89" t="s">
        <v>37</v>
      </c>
      <c r="T89" t="s">
        <v>73</v>
      </c>
      <c r="U89" t="s">
        <v>40</v>
      </c>
      <c r="V89" t="s">
        <v>41</v>
      </c>
      <c r="W89" t="s">
        <v>54</v>
      </c>
      <c r="X89">
        <v>3</v>
      </c>
      <c r="Y89" t="s">
        <v>61</v>
      </c>
      <c r="Z89">
        <v>5</v>
      </c>
      <c r="AA89" t="s">
        <v>51</v>
      </c>
      <c r="AB89">
        <v>4</v>
      </c>
      <c r="AC89" t="s">
        <v>99</v>
      </c>
    </row>
    <row r="90" spans="1:30">
      <c r="A90" t="s">
        <v>228</v>
      </c>
      <c r="B90" t="s">
        <v>229</v>
      </c>
      <c r="C90" t="s">
        <v>86</v>
      </c>
      <c r="D90" t="s">
        <v>32</v>
      </c>
      <c r="E90" t="s">
        <v>33</v>
      </c>
      <c r="F90" t="s">
        <v>48</v>
      </c>
      <c r="G90">
        <v>9.8000000000000007</v>
      </c>
      <c r="H90">
        <v>6.7</v>
      </c>
      <c r="I90">
        <v>7</v>
      </c>
      <c r="J90" s="4">
        <f t="shared" si="1"/>
        <v>5.875</v>
      </c>
      <c r="K90">
        <v>7</v>
      </c>
      <c r="L90" t="s">
        <v>35</v>
      </c>
      <c r="M90" t="s">
        <v>112</v>
      </c>
      <c r="N90" t="s">
        <v>51</v>
      </c>
      <c r="O90" t="s">
        <v>73</v>
      </c>
      <c r="P90" t="s">
        <v>39</v>
      </c>
      <c r="Q90" t="s">
        <v>39</v>
      </c>
      <c r="R90" t="s">
        <v>39</v>
      </c>
      <c r="S90" t="s">
        <v>39</v>
      </c>
      <c r="T90" t="s">
        <v>39</v>
      </c>
      <c r="U90" t="s">
        <v>40</v>
      </c>
      <c r="V90" t="s">
        <v>41</v>
      </c>
      <c r="W90" t="s">
        <v>42</v>
      </c>
      <c r="X90">
        <v>3</v>
      </c>
      <c r="Y90" t="s">
        <v>43</v>
      </c>
      <c r="Z90">
        <v>3</v>
      </c>
      <c r="AA90" t="s">
        <v>43</v>
      </c>
      <c r="AB90">
        <v>3</v>
      </c>
      <c r="AC90" t="s">
        <v>62</v>
      </c>
    </row>
    <row r="91" spans="1:30">
      <c r="A91" t="s">
        <v>330</v>
      </c>
      <c r="B91" t="s">
        <v>331</v>
      </c>
      <c r="C91" t="s">
        <v>31</v>
      </c>
      <c r="D91" t="s">
        <v>332</v>
      </c>
      <c r="E91" t="s">
        <v>333</v>
      </c>
      <c r="F91" t="s">
        <v>48</v>
      </c>
      <c r="G91">
        <v>8.09</v>
      </c>
      <c r="H91">
        <v>7.11</v>
      </c>
      <c r="I91">
        <v>8.36</v>
      </c>
      <c r="J91" s="4">
        <f t="shared" si="1"/>
        <v>5.89</v>
      </c>
      <c r="K91">
        <v>7.59</v>
      </c>
      <c r="L91" t="s">
        <v>67</v>
      </c>
      <c r="M91" t="s">
        <v>67</v>
      </c>
      <c r="N91" t="s">
        <v>98</v>
      </c>
      <c r="O91" t="s">
        <v>37</v>
      </c>
      <c r="P91" t="s">
        <v>39</v>
      </c>
      <c r="Q91" t="s">
        <v>37</v>
      </c>
      <c r="R91" t="s">
        <v>39</v>
      </c>
      <c r="S91" t="s">
        <v>37</v>
      </c>
      <c r="T91" t="s">
        <v>37</v>
      </c>
      <c r="U91" t="s">
        <v>59</v>
      </c>
      <c r="V91" t="s">
        <v>41</v>
      </c>
      <c r="W91" t="s">
        <v>54</v>
      </c>
      <c r="X91">
        <v>5</v>
      </c>
      <c r="Y91" t="s">
        <v>61</v>
      </c>
      <c r="Z91">
        <v>5</v>
      </c>
      <c r="AA91" t="s">
        <v>51</v>
      </c>
      <c r="AB91">
        <v>5</v>
      </c>
      <c r="AC91" t="s">
        <v>62</v>
      </c>
    </row>
    <row r="92" spans="1:30">
      <c r="A92" t="s">
        <v>63</v>
      </c>
      <c r="B92" t="s">
        <v>64</v>
      </c>
      <c r="C92" t="s">
        <v>31</v>
      </c>
      <c r="D92" t="s">
        <v>65</v>
      </c>
      <c r="E92" t="s">
        <v>65</v>
      </c>
      <c r="F92" t="s">
        <v>66</v>
      </c>
      <c r="G92">
        <v>7.82</v>
      </c>
      <c r="H92">
        <v>7.91</v>
      </c>
      <c r="I92">
        <v>6.59</v>
      </c>
      <c r="J92" s="4">
        <f t="shared" si="1"/>
        <v>5.58</v>
      </c>
      <c r="K92">
        <v>8.86</v>
      </c>
      <c r="L92" t="s">
        <v>67</v>
      </c>
      <c r="M92" t="s">
        <v>35</v>
      </c>
      <c r="N92" t="s">
        <v>68</v>
      </c>
      <c r="O92" t="s">
        <v>39</v>
      </c>
      <c r="P92" t="s">
        <v>39</v>
      </c>
      <c r="Q92" t="s">
        <v>38</v>
      </c>
      <c r="R92" t="s">
        <v>38</v>
      </c>
      <c r="S92" t="s">
        <v>39</v>
      </c>
      <c r="T92" t="s">
        <v>39</v>
      </c>
      <c r="U92" t="s">
        <v>40</v>
      </c>
      <c r="V92" t="s">
        <v>41</v>
      </c>
      <c r="W92" t="s">
        <v>42</v>
      </c>
      <c r="X92">
        <v>3</v>
      </c>
      <c r="Y92" t="s">
        <v>43</v>
      </c>
      <c r="Z92">
        <v>1</v>
      </c>
      <c r="AA92" t="s">
        <v>51</v>
      </c>
      <c r="AB92">
        <v>3</v>
      </c>
      <c r="AC92" t="s">
        <v>62</v>
      </c>
      <c r="AD92" t="s">
        <v>69</v>
      </c>
    </row>
    <row r="93" spans="1:30">
      <c r="A93" t="s">
        <v>80</v>
      </c>
      <c r="B93" t="s">
        <v>81</v>
      </c>
      <c r="C93" t="s">
        <v>31</v>
      </c>
      <c r="D93" t="s">
        <v>82</v>
      </c>
      <c r="E93" t="s">
        <v>83</v>
      </c>
      <c r="F93" t="s">
        <v>66</v>
      </c>
      <c r="G93">
        <v>8.77</v>
      </c>
      <c r="H93">
        <v>7.5</v>
      </c>
      <c r="I93">
        <v>8.01</v>
      </c>
      <c r="J93" s="4">
        <f t="shared" si="1"/>
        <v>6.07</v>
      </c>
      <c r="K93">
        <v>8.4</v>
      </c>
      <c r="L93" t="s">
        <v>67</v>
      </c>
      <c r="M93" t="s">
        <v>50</v>
      </c>
      <c r="N93" t="s">
        <v>68</v>
      </c>
      <c r="O93" t="s">
        <v>38</v>
      </c>
      <c r="P93" t="s">
        <v>39</v>
      </c>
      <c r="Q93" t="s">
        <v>73</v>
      </c>
      <c r="R93" t="s">
        <v>73</v>
      </c>
      <c r="S93" t="s">
        <v>37</v>
      </c>
      <c r="T93" t="s">
        <v>39</v>
      </c>
      <c r="U93" t="s">
        <v>59</v>
      </c>
      <c r="V93" t="s">
        <v>41</v>
      </c>
      <c r="W93" t="s">
        <v>54</v>
      </c>
      <c r="X93">
        <v>3</v>
      </c>
      <c r="Y93" t="s">
        <v>51</v>
      </c>
      <c r="Z93">
        <v>5</v>
      </c>
      <c r="AA93" t="s">
        <v>61</v>
      </c>
      <c r="AB93">
        <v>5</v>
      </c>
      <c r="AC93" t="s">
        <v>62</v>
      </c>
    </row>
    <row r="94" spans="1:30">
      <c r="A94" t="s">
        <v>93</v>
      </c>
      <c r="B94" t="s">
        <v>94</v>
      </c>
      <c r="C94" t="s">
        <v>86</v>
      </c>
      <c r="D94" t="s">
        <v>95</v>
      </c>
      <c r="E94" t="s">
        <v>83</v>
      </c>
      <c r="F94" t="s">
        <v>66</v>
      </c>
      <c r="G94">
        <v>9.4600000000000009</v>
      </c>
      <c r="H94">
        <v>9.44</v>
      </c>
      <c r="I94">
        <v>8.59</v>
      </c>
      <c r="J94" s="4">
        <f t="shared" si="1"/>
        <v>6.8724999999999996</v>
      </c>
      <c r="K94">
        <v>8.81</v>
      </c>
      <c r="L94" t="s">
        <v>67</v>
      </c>
      <c r="M94" t="s">
        <v>67</v>
      </c>
      <c r="N94" t="s">
        <v>36</v>
      </c>
      <c r="O94" t="s">
        <v>37</v>
      </c>
      <c r="P94" t="s">
        <v>37</v>
      </c>
      <c r="Q94" t="s">
        <v>37</v>
      </c>
      <c r="R94" t="s">
        <v>37</v>
      </c>
      <c r="S94" t="s">
        <v>73</v>
      </c>
      <c r="T94" t="s">
        <v>39</v>
      </c>
      <c r="U94" t="s">
        <v>59</v>
      </c>
      <c r="V94" t="s">
        <v>41</v>
      </c>
      <c r="W94" t="s">
        <v>54</v>
      </c>
      <c r="X94">
        <v>3</v>
      </c>
      <c r="Y94" t="s">
        <v>51</v>
      </c>
      <c r="Z94">
        <v>3</v>
      </c>
      <c r="AA94" t="s">
        <v>51</v>
      </c>
      <c r="AB94">
        <v>3</v>
      </c>
      <c r="AC94" t="s">
        <v>62</v>
      </c>
    </row>
    <row r="95" spans="1:30">
      <c r="A95" t="s">
        <v>109</v>
      </c>
      <c r="B95" t="s">
        <v>110</v>
      </c>
      <c r="C95" t="s">
        <v>31</v>
      </c>
      <c r="D95" t="s">
        <v>65</v>
      </c>
      <c r="E95" t="s">
        <v>65</v>
      </c>
      <c r="F95" t="s">
        <v>66</v>
      </c>
      <c r="G95">
        <v>7</v>
      </c>
      <c r="H95">
        <v>6.09</v>
      </c>
      <c r="I95">
        <v>4.29</v>
      </c>
      <c r="J95" s="4">
        <f t="shared" si="1"/>
        <v>4.3449999999999998</v>
      </c>
      <c r="K95">
        <v>6.5</v>
      </c>
      <c r="L95" t="s">
        <v>111</v>
      </c>
      <c r="M95" t="s">
        <v>112</v>
      </c>
      <c r="N95" t="s">
        <v>36</v>
      </c>
      <c r="O95" t="s">
        <v>37</v>
      </c>
      <c r="P95" t="s">
        <v>37</v>
      </c>
      <c r="Q95" t="s">
        <v>73</v>
      </c>
      <c r="R95" t="s">
        <v>37</v>
      </c>
      <c r="S95" t="s">
        <v>73</v>
      </c>
      <c r="T95" t="s">
        <v>39</v>
      </c>
      <c r="U95" t="s">
        <v>40</v>
      </c>
      <c r="V95" t="s">
        <v>79</v>
      </c>
      <c r="W95" t="s">
        <v>54</v>
      </c>
      <c r="X95">
        <v>5</v>
      </c>
      <c r="Y95" t="s">
        <v>43</v>
      </c>
      <c r="Z95">
        <v>4</v>
      </c>
      <c r="AA95" t="s">
        <v>43</v>
      </c>
      <c r="AB95">
        <v>2</v>
      </c>
      <c r="AC95" t="s">
        <v>62</v>
      </c>
      <c r="AD95" t="s">
        <v>113</v>
      </c>
    </row>
    <row r="96" spans="1:30">
      <c r="A96" t="s">
        <v>121</v>
      </c>
      <c r="B96" t="s">
        <v>122</v>
      </c>
      <c r="C96" t="s">
        <v>86</v>
      </c>
      <c r="D96" t="s">
        <v>123</v>
      </c>
      <c r="E96" t="s">
        <v>33</v>
      </c>
      <c r="F96" t="s">
        <v>66</v>
      </c>
      <c r="G96">
        <v>9.6</v>
      </c>
      <c r="H96">
        <v>7.4</v>
      </c>
      <c r="I96">
        <v>7.2</v>
      </c>
      <c r="J96" s="4">
        <f t="shared" si="1"/>
        <v>6.05</v>
      </c>
      <c r="K96">
        <v>7.8</v>
      </c>
      <c r="L96" t="s">
        <v>35</v>
      </c>
      <c r="M96" t="s">
        <v>35</v>
      </c>
      <c r="N96" t="s">
        <v>68</v>
      </c>
      <c r="O96" t="s">
        <v>39</v>
      </c>
      <c r="P96" t="s">
        <v>39</v>
      </c>
      <c r="Q96" t="s">
        <v>73</v>
      </c>
      <c r="R96" t="s">
        <v>39</v>
      </c>
      <c r="S96" t="s">
        <v>38</v>
      </c>
      <c r="T96" t="s">
        <v>38</v>
      </c>
      <c r="U96" t="s">
        <v>59</v>
      </c>
      <c r="V96" t="s">
        <v>79</v>
      </c>
      <c r="W96" t="s">
        <v>54</v>
      </c>
      <c r="X96">
        <v>3</v>
      </c>
      <c r="Y96" t="s">
        <v>51</v>
      </c>
      <c r="Z96">
        <v>4</v>
      </c>
      <c r="AA96" t="s">
        <v>51</v>
      </c>
      <c r="AB96">
        <v>3</v>
      </c>
      <c r="AC96" t="s">
        <v>62</v>
      </c>
    </row>
    <row r="97" spans="1:30">
      <c r="A97" t="s">
        <v>124</v>
      </c>
      <c r="B97" t="s">
        <v>125</v>
      </c>
      <c r="C97" t="s">
        <v>31</v>
      </c>
      <c r="D97" t="s">
        <v>32</v>
      </c>
      <c r="E97" t="s">
        <v>33</v>
      </c>
      <c r="F97" t="s">
        <v>66</v>
      </c>
      <c r="G97">
        <v>8.9920000000000009</v>
      </c>
      <c r="H97">
        <v>7.1239999999999997</v>
      </c>
      <c r="I97">
        <v>6.1820000000000004</v>
      </c>
      <c r="J97" s="4">
        <f t="shared" si="1"/>
        <v>5.5745000000000005</v>
      </c>
      <c r="K97">
        <v>7.1749999999999998</v>
      </c>
      <c r="L97" t="s">
        <v>111</v>
      </c>
      <c r="M97" t="s">
        <v>111</v>
      </c>
      <c r="N97" t="s">
        <v>126</v>
      </c>
      <c r="O97" t="s">
        <v>37</v>
      </c>
      <c r="P97" t="s">
        <v>39</v>
      </c>
      <c r="Q97" t="s">
        <v>127</v>
      </c>
      <c r="R97" t="s">
        <v>38</v>
      </c>
      <c r="S97" t="s">
        <v>38</v>
      </c>
      <c r="T97" t="s">
        <v>37</v>
      </c>
      <c r="U97" t="s">
        <v>40</v>
      </c>
      <c r="V97" t="s">
        <v>41</v>
      </c>
      <c r="W97" t="s">
        <v>54</v>
      </c>
      <c r="X97">
        <v>2</v>
      </c>
      <c r="Y97" t="s">
        <v>43</v>
      </c>
      <c r="Z97">
        <v>3</v>
      </c>
      <c r="AA97" t="s">
        <v>43</v>
      </c>
      <c r="AB97">
        <v>3</v>
      </c>
      <c r="AC97" t="s">
        <v>62</v>
      </c>
    </row>
    <row r="98" spans="1:30">
      <c r="A98" t="s">
        <v>162</v>
      </c>
      <c r="B98" t="s">
        <v>163</v>
      </c>
      <c r="C98" t="s">
        <v>31</v>
      </c>
      <c r="D98" t="s">
        <v>164</v>
      </c>
      <c r="E98" t="s">
        <v>33</v>
      </c>
      <c r="F98" t="s">
        <v>66</v>
      </c>
      <c r="G98">
        <v>9.39</v>
      </c>
      <c r="H98">
        <v>9.1300000000000008</v>
      </c>
      <c r="I98">
        <v>9.34</v>
      </c>
      <c r="J98" s="4">
        <f t="shared" si="1"/>
        <v>6.9650000000000007</v>
      </c>
      <c r="K98">
        <v>8.64</v>
      </c>
      <c r="L98" t="s">
        <v>49</v>
      </c>
      <c r="M98" t="s">
        <v>50</v>
      </c>
      <c r="N98" t="s">
        <v>98</v>
      </c>
      <c r="O98" t="s">
        <v>39</v>
      </c>
      <c r="P98" t="s">
        <v>39</v>
      </c>
      <c r="Q98" t="s">
        <v>37</v>
      </c>
      <c r="R98" t="s">
        <v>37</v>
      </c>
      <c r="S98" t="s">
        <v>37</v>
      </c>
      <c r="T98" t="s">
        <v>37</v>
      </c>
      <c r="U98" t="s">
        <v>59</v>
      </c>
      <c r="V98" t="s">
        <v>41</v>
      </c>
      <c r="W98" t="s">
        <v>54</v>
      </c>
      <c r="X98">
        <v>2</v>
      </c>
      <c r="Y98" t="s">
        <v>43</v>
      </c>
      <c r="Z98">
        <v>4</v>
      </c>
      <c r="AA98" t="s">
        <v>36</v>
      </c>
      <c r="AB98">
        <v>4</v>
      </c>
      <c r="AC98" t="s">
        <v>62</v>
      </c>
    </row>
    <row r="99" spans="1:30">
      <c r="A99" t="s">
        <v>195</v>
      </c>
      <c r="B99" t="s">
        <v>57</v>
      </c>
      <c r="C99" t="s">
        <v>31</v>
      </c>
      <c r="D99" t="s">
        <v>196</v>
      </c>
      <c r="E99" t="s">
        <v>33</v>
      </c>
      <c r="F99" t="s">
        <v>66</v>
      </c>
      <c r="G99">
        <v>9.8000000000000007</v>
      </c>
      <c r="H99">
        <v>9.9499999999999993</v>
      </c>
      <c r="I99">
        <v>10</v>
      </c>
      <c r="J99" s="4">
        <f t="shared" si="1"/>
        <v>7.4375</v>
      </c>
      <c r="K99">
        <v>9.5</v>
      </c>
      <c r="L99" t="s">
        <v>49</v>
      </c>
      <c r="M99" t="s">
        <v>50</v>
      </c>
      <c r="N99" t="s">
        <v>36</v>
      </c>
      <c r="O99" t="s">
        <v>37</v>
      </c>
      <c r="P99" t="s">
        <v>39</v>
      </c>
      <c r="Q99" t="s">
        <v>37</v>
      </c>
      <c r="R99" t="s">
        <v>37</v>
      </c>
      <c r="S99" t="s">
        <v>37</v>
      </c>
      <c r="T99" t="s">
        <v>39</v>
      </c>
      <c r="U99" t="s">
        <v>59</v>
      </c>
      <c r="V99" t="s">
        <v>79</v>
      </c>
      <c r="W99" t="s">
        <v>54</v>
      </c>
      <c r="X99">
        <v>3</v>
      </c>
      <c r="Y99" t="s">
        <v>43</v>
      </c>
      <c r="Z99">
        <v>3</v>
      </c>
      <c r="AA99" t="s">
        <v>51</v>
      </c>
      <c r="AB99">
        <v>3</v>
      </c>
      <c r="AC99" t="s">
        <v>62</v>
      </c>
    </row>
    <row r="100" spans="1:30">
      <c r="A100" t="s">
        <v>214</v>
      </c>
      <c r="B100" t="s">
        <v>215</v>
      </c>
      <c r="C100" t="s">
        <v>31</v>
      </c>
      <c r="D100" t="s">
        <v>116</v>
      </c>
      <c r="E100" t="s">
        <v>33</v>
      </c>
      <c r="F100" t="s">
        <v>66</v>
      </c>
      <c r="G100">
        <v>8.6999999999999993</v>
      </c>
      <c r="H100">
        <v>7.2</v>
      </c>
      <c r="I100">
        <v>6.8</v>
      </c>
      <c r="J100" s="4">
        <f t="shared" si="1"/>
        <v>5.6749999999999998</v>
      </c>
      <c r="K100">
        <v>6.2</v>
      </c>
      <c r="L100" t="s">
        <v>112</v>
      </c>
      <c r="M100" t="s">
        <v>112</v>
      </c>
      <c r="N100" t="s">
        <v>51</v>
      </c>
      <c r="O100" t="s">
        <v>73</v>
      </c>
      <c r="P100" t="s">
        <v>73</v>
      </c>
      <c r="Q100" t="s">
        <v>73</v>
      </c>
      <c r="R100" t="s">
        <v>37</v>
      </c>
      <c r="S100" t="s">
        <v>37</v>
      </c>
      <c r="T100" t="s">
        <v>37</v>
      </c>
      <c r="U100" t="s">
        <v>59</v>
      </c>
      <c r="V100" t="s">
        <v>41</v>
      </c>
      <c r="W100" t="s">
        <v>54</v>
      </c>
      <c r="X100">
        <v>4</v>
      </c>
      <c r="Y100" t="s">
        <v>61</v>
      </c>
      <c r="Z100">
        <v>4</v>
      </c>
      <c r="AA100" t="s">
        <v>36</v>
      </c>
      <c r="AB100">
        <v>5</v>
      </c>
      <c r="AC100" t="s">
        <v>91</v>
      </c>
    </row>
    <row r="101" spans="1:30">
      <c r="A101" t="s">
        <v>216</v>
      </c>
      <c r="B101" t="s">
        <v>217</v>
      </c>
      <c r="C101" t="s">
        <v>86</v>
      </c>
      <c r="D101" t="s">
        <v>218</v>
      </c>
      <c r="E101" t="s">
        <v>219</v>
      </c>
      <c r="F101" t="s">
        <v>66</v>
      </c>
      <c r="G101">
        <v>7.01</v>
      </c>
      <c r="H101">
        <v>7.5</v>
      </c>
      <c r="I101">
        <v>6.36</v>
      </c>
      <c r="J101" s="4">
        <f t="shared" si="1"/>
        <v>5.2175000000000002</v>
      </c>
      <c r="K101">
        <v>5</v>
      </c>
      <c r="L101" t="s">
        <v>112</v>
      </c>
      <c r="M101" t="s">
        <v>112</v>
      </c>
      <c r="N101" t="s">
        <v>61</v>
      </c>
      <c r="O101" t="s">
        <v>37</v>
      </c>
      <c r="P101" t="s">
        <v>39</v>
      </c>
      <c r="Q101" t="s">
        <v>37</v>
      </c>
      <c r="R101" t="s">
        <v>39</v>
      </c>
      <c r="S101" t="s">
        <v>37</v>
      </c>
      <c r="T101" t="s">
        <v>39</v>
      </c>
      <c r="U101" t="s">
        <v>59</v>
      </c>
      <c r="V101" t="s">
        <v>79</v>
      </c>
      <c r="W101" t="s">
        <v>42</v>
      </c>
      <c r="X101">
        <v>3</v>
      </c>
      <c r="Y101" t="s">
        <v>43</v>
      </c>
      <c r="Z101">
        <v>3</v>
      </c>
      <c r="AA101" t="s">
        <v>51</v>
      </c>
      <c r="AB101">
        <v>3</v>
      </c>
      <c r="AC101" t="s">
        <v>44</v>
      </c>
    </row>
    <row r="102" spans="1:30">
      <c r="A102" t="s">
        <v>260</v>
      </c>
      <c r="B102" t="s">
        <v>261</v>
      </c>
      <c r="C102" t="s">
        <v>31</v>
      </c>
      <c r="D102" t="s">
        <v>262</v>
      </c>
      <c r="E102" t="s">
        <v>83</v>
      </c>
      <c r="F102" t="s">
        <v>66</v>
      </c>
      <c r="G102">
        <v>9.77</v>
      </c>
      <c r="H102">
        <v>9.69</v>
      </c>
      <c r="I102">
        <v>8.64</v>
      </c>
      <c r="J102" s="4">
        <f t="shared" si="1"/>
        <v>7.0250000000000004</v>
      </c>
      <c r="K102">
        <v>7.89</v>
      </c>
      <c r="L102" t="s">
        <v>67</v>
      </c>
      <c r="M102" t="s">
        <v>67</v>
      </c>
      <c r="N102" t="s">
        <v>98</v>
      </c>
      <c r="O102" t="s">
        <v>37</v>
      </c>
      <c r="P102" t="s">
        <v>73</v>
      </c>
      <c r="Q102" t="s">
        <v>38</v>
      </c>
      <c r="R102" t="s">
        <v>38</v>
      </c>
      <c r="S102" t="s">
        <v>38</v>
      </c>
      <c r="T102" t="s">
        <v>37</v>
      </c>
      <c r="U102" t="s">
        <v>59</v>
      </c>
      <c r="V102" t="s">
        <v>263</v>
      </c>
      <c r="W102" t="s">
        <v>54</v>
      </c>
      <c r="X102">
        <v>2</v>
      </c>
      <c r="Y102" t="s">
        <v>51</v>
      </c>
      <c r="Z102">
        <v>4</v>
      </c>
      <c r="AA102" t="s">
        <v>61</v>
      </c>
      <c r="AB102">
        <v>4</v>
      </c>
      <c r="AC102" t="s">
        <v>74</v>
      </c>
    </row>
    <row r="103" spans="1:30">
      <c r="A103" t="s">
        <v>272</v>
      </c>
      <c r="B103" t="s">
        <v>273</v>
      </c>
      <c r="C103" t="s">
        <v>86</v>
      </c>
      <c r="D103" t="s">
        <v>32</v>
      </c>
      <c r="E103" t="s">
        <v>33</v>
      </c>
      <c r="F103" t="s">
        <v>66</v>
      </c>
      <c r="G103">
        <v>8.98</v>
      </c>
      <c r="H103">
        <v>7.1</v>
      </c>
      <c r="I103">
        <v>6.6</v>
      </c>
      <c r="J103" s="4">
        <f t="shared" si="1"/>
        <v>5.67</v>
      </c>
      <c r="K103">
        <v>8.3979999999999997</v>
      </c>
      <c r="L103" t="s">
        <v>67</v>
      </c>
      <c r="M103" t="s">
        <v>35</v>
      </c>
      <c r="N103" t="s">
        <v>61</v>
      </c>
      <c r="O103" t="s">
        <v>73</v>
      </c>
      <c r="P103" t="s">
        <v>39</v>
      </c>
      <c r="Q103" t="s">
        <v>73</v>
      </c>
      <c r="R103" t="s">
        <v>73</v>
      </c>
      <c r="S103" t="s">
        <v>73</v>
      </c>
      <c r="T103" t="s">
        <v>37</v>
      </c>
      <c r="U103" t="s">
        <v>52</v>
      </c>
      <c r="V103" t="s">
        <v>79</v>
      </c>
      <c r="W103" t="s">
        <v>54</v>
      </c>
      <c r="X103">
        <v>3</v>
      </c>
      <c r="Y103" t="s">
        <v>43</v>
      </c>
      <c r="Z103">
        <v>3</v>
      </c>
      <c r="AA103" t="s">
        <v>51</v>
      </c>
      <c r="AB103">
        <v>3</v>
      </c>
      <c r="AC103" t="s">
        <v>62</v>
      </c>
    </row>
    <row r="104" spans="1:30">
      <c r="A104" t="s">
        <v>279</v>
      </c>
      <c r="B104" t="s">
        <v>280</v>
      </c>
      <c r="C104" t="s">
        <v>31</v>
      </c>
      <c r="D104" t="s">
        <v>116</v>
      </c>
      <c r="E104" t="s">
        <v>33</v>
      </c>
      <c r="F104" t="s">
        <v>66</v>
      </c>
      <c r="G104">
        <v>6.2</v>
      </c>
      <c r="H104">
        <v>5.2</v>
      </c>
      <c r="I104">
        <v>5.3</v>
      </c>
      <c r="J104" s="4">
        <f t="shared" si="1"/>
        <v>4.1749999999999998</v>
      </c>
      <c r="K104">
        <v>5.6</v>
      </c>
      <c r="L104" t="s">
        <v>281</v>
      </c>
      <c r="M104" t="s">
        <v>281</v>
      </c>
      <c r="N104" t="s">
        <v>51</v>
      </c>
      <c r="O104" t="s">
        <v>39</v>
      </c>
      <c r="P104" t="s">
        <v>39</v>
      </c>
      <c r="Q104" t="s">
        <v>39</v>
      </c>
      <c r="R104" t="s">
        <v>39</v>
      </c>
      <c r="S104" t="s">
        <v>39</v>
      </c>
      <c r="T104" t="s">
        <v>39</v>
      </c>
      <c r="U104" t="s">
        <v>40</v>
      </c>
      <c r="V104" t="s">
        <v>41</v>
      </c>
      <c r="W104" t="s">
        <v>54</v>
      </c>
      <c r="X104">
        <v>4</v>
      </c>
      <c r="Y104" t="s">
        <v>51</v>
      </c>
      <c r="Z104">
        <v>3</v>
      </c>
      <c r="AA104" t="s">
        <v>51</v>
      </c>
      <c r="AB104">
        <v>1</v>
      </c>
      <c r="AC104" t="s">
        <v>66</v>
      </c>
      <c r="AD104" t="s">
        <v>282</v>
      </c>
    </row>
    <row r="105" spans="1:30">
      <c r="A105" t="s">
        <v>309</v>
      </c>
      <c r="B105" t="s">
        <v>310</v>
      </c>
      <c r="C105" t="s">
        <v>86</v>
      </c>
      <c r="D105" t="s">
        <v>116</v>
      </c>
      <c r="E105" t="s">
        <v>33</v>
      </c>
      <c r="F105" t="s">
        <v>66</v>
      </c>
      <c r="G105">
        <v>8.58</v>
      </c>
      <c r="H105">
        <v>7.16</v>
      </c>
      <c r="I105">
        <v>7.5</v>
      </c>
      <c r="J105" s="4">
        <f t="shared" si="1"/>
        <v>5.8100000000000005</v>
      </c>
      <c r="K105">
        <v>7.01</v>
      </c>
      <c r="L105" t="s">
        <v>35</v>
      </c>
      <c r="M105" t="s">
        <v>35</v>
      </c>
      <c r="N105" t="s">
        <v>36</v>
      </c>
      <c r="O105" t="s">
        <v>37</v>
      </c>
      <c r="P105" t="s">
        <v>39</v>
      </c>
      <c r="Q105" t="s">
        <v>37</v>
      </c>
      <c r="R105" t="s">
        <v>39</v>
      </c>
      <c r="S105" t="s">
        <v>37</v>
      </c>
      <c r="T105" t="s">
        <v>39</v>
      </c>
      <c r="U105" t="s">
        <v>59</v>
      </c>
      <c r="V105" t="s">
        <v>41</v>
      </c>
      <c r="W105" t="s">
        <v>54</v>
      </c>
      <c r="X105">
        <v>4</v>
      </c>
      <c r="Y105" t="s">
        <v>43</v>
      </c>
      <c r="Z105">
        <v>3</v>
      </c>
      <c r="AA105" t="s">
        <v>43</v>
      </c>
      <c r="AB105">
        <v>2</v>
      </c>
      <c r="AC105" t="s">
        <v>62</v>
      </c>
    </row>
    <row r="106" spans="1:30">
      <c r="A106" t="s">
        <v>311</v>
      </c>
      <c r="B106" t="s">
        <v>312</v>
      </c>
      <c r="C106" t="s">
        <v>86</v>
      </c>
      <c r="D106" t="s">
        <v>313</v>
      </c>
      <c r="E106" t="s">
        <v>33</v>
      </c>
      <c r="F106" t="s">
        <v>66</v>
      </c>
      <c r="G106">
        <v>9.1999999999999993</v>
      </c>
      <c r="H106">
        <v>5.4</v>
      </c>
      <c r="I106">
        <v>6</v>
      </c>
      <c r="J106" s="4">
        <f t="shared" si="1"/>
        <v>5.15</v>
      </c>
      <c r="K106">
        <v>5.7</v>
      </c>
      <c r="L106" t="s">
        <v>111</v>
      </c>
      <c r="M106" t="s">
        <v>281</v>
      </c>
      <c r="N106" t="s">
        <v>36</v>
      </c>
      <c r="O106" t="s">
        <v>37</v>
      </c>
      <c r="P106" t="s">
        <v>39</v>
      </c>
      <c r="Q106" t="s">
        <v>73</v>
      </c>
      <c r="R106" t="s">
        <v>37</v>
      </c>
      <c r="S106" t="s">
        <v>37</v>
      </c>
      <c r="T106" t="s">
        <v>39</v>
      </c>
      <c r="U106" t="s">
        <v>59</v>
      </c>
      <c r="V106" t="s">
        <v>79</v>
      </c>
      <c r="W106" t="s">
        <v>54</v>
      </c>
      <c r="X106">
        <v>1</v>
      </c>
      <c r="Y106" t="s">
        <v>43</v>
      </c>
      <c r="Z106">
        <v>1</v>
      </c>
      <c r="AA106" t="s">
        <v>51</v>
      </c>
      <c r="AB106">
        <v>3</v>
      </c>
      <c r="AC106" t="s">
        <v>44</v>
      </c>
    </row>
    <row r="107" spans="1:30">
      <c r="A107" t="s">
        <v>317</v>
      </c>
      <c r="B107" t="s">
        <v>318</v>
      </c>
      <c r="C107" t="s">
        <v>31</v>
      </c>
      <c r="D107" t="s">
        <v>319</v>
      </c>
      <c r="E107" t="s">
        <v>33</v>
      </c>
      <c r="F107" t="s">
        <v>66</v>
      </c>
      <c r="G107">
        <v>8.9</v>
      </c>
      <c r="H107">
        <v>6.6</v>
      </c>
      <c r="I107">
        <v>8.0399999999999991</v>
      </c>
      <c r="J107" s="4">
        <f t="shared" si="1"/>
        <v>5.8849999999999998</v>
      </c>
      <c r="K107">
        <v>7.4</v>
      </c>
      <c r="L107" t="s">
        <v>35</v>
      </c>
      <c r="M107" t="s">
        <v>112</v>
      </c>
      <c r="N107" t="s">
        <v>98</v>
      </c>
      <c r="O107" t="s">
        <v>39</v>
      </c>
      <c r="P107" t="s">
        <v>73</v>
      </c>
      <c r="Q107" t="s">
        <v>37</v>
      </c>
      <c r="R107" t="s">
        <v>37</v>
      </c>
      <c r="S107" t="s">
        <v>37</v>
      </c>
      <c r="T107" t="s">
        <v>73</v>
      </c>
      <c r="U107" t="s">
        <v>40</v>
      </c>
      <c r="V107" t="s">
        <v>41</v>
      </c>
      <c r="W107" t="s">
        <v>54</v>
      </c>
      <c r="X107">
        <v>1</v>
      </c>
      <c r="Y107" t="s">
        <v>51</v>
      </c>
      <c r="Z107">
        <v>3</v>
      </c>
      <c r="AA107" t="s">
        <v>51</v>
      </c>
      <c r="AB107">
        <v>4</v>
      </c>
      <c r="AC107" t="s">
        <v>99</v>
      </c>
    </row>
    <row r="108" spans="1:30">
      <c r="A108" t="s">
        <v>323</v>
      </c>
      <c r="B108" t="s">
        <v>324</v>
      </c>
      <c r="C108" t="s">
        <v>31</v>
      </c>
      <c r="D108" t="s">
        <v>304</v>
      </c>
      <c r="E108" t="s">
        <v>325</v>
      </c>
      <c r="F108" t="s">
        <v>66</v>
      </c>
      <c r="G108">
        <v>8</v>
      </c>
      <c r="H108">
        <v>7</v>
      </c>
      <c r="I108">
        <v>9.27</v>
      </c>
      <c r="J108" s="4">
        <f t="shared" si="1"/>
        <v>6.0674999999999999</v>
      </c>
      <c r="K108">
        <v>9.09</v>
      </c>
      <c r="L108" t="s">
        <v>49</v>
      </c>
      <c r="M108" t="s">
        <v>50</v>
      </c>
      <c r="N108" t="s">
        <v>61</v>
      </c>
      <c r="O108" t="s">
        <v>39</v>
      </c>
      <c r="P108" t="s">
        <v>39</v>
      </c>
      <c r="Q108" t="s">
        <v>37</v>
      </c>
      <c r="R108" t="s">
        <v>39</v>
      </c>
      <c r="S108" t="s">
        <v>37</v>
      </c>
      <c r="T108" t="s">
        <v>39</v>
      </c>
      <c r="U108" t="s">
        <v>40</v>
      </c>
      <c r="V108" t="s">
        <v>41</v>
      </c>
      <c r="W108" t="s">
        <v>54</v>
      </c>
      <c r="X108">
        <v>2</v>
      </c>
      <c r="Y108" t="s">
        <v>51</v>
      </c>
      <c r="Z108">
        <v>3</v>
      </c>
      <c r="AA108" t="s">
        <v>43</v>
      </c>
      <c r="AB108">
        <v>3</v>
      </c>
      <c r="AC108" t="s">
        <v>62</v>
      </c>
    </row>
    <row r="109" spans="1:30">
      <c r="A109" t="s">
        <v>337</v>
      </c>
      <c r="B109" t="s">
        <v>338</v>
      </c>
      <c r="C109" t="s">
        <v>31</v>
      </c>
      <c r="D109" t="s">
        <v>130</v>
      </c>
      <c r="E109" t="s">
        <v>33</v>
      </c>
      <c r="F109" t="s">
        <v>66</v>
      </c>
      <c r="G109">
        <v>8.9</v>
      </c>
      <c r="H109">
        <v>5.6</v>
      </c>
      <c r="I109">
        <v>6.1</v>
      </c>
      <c r="J109" s="4">
        <f t="shared" si="1"/>
        <v>5.15</v>
      </c>
      <c r="K109">
        <v>6</v>
      </c>
      <c r="L109" t="s">
        <v>111</v>
      </c>
      <c r="M109" t="s">
        <v>111</v>
      </c>
      <c r="N109" t="s">
        <v>68</v>
      </c>
      <c r="O109" t="s">
        <v>37</v>
      </c>
      <c r="P109" t="s">
        <v>37</v>
      </c>
      <c r="Q109" t="s">
        <v>39</v>
      </c>
      <c r="R109" t="s">
        <v>39</v>
      </c>
      <c r="S109" t="s">
        <v>73</v>
      </c>
      <c r="T109" t="s">
        <v>37</v>
      </c>
      <c r="U109" t="s">
        <v>40</v>
      </c>
      <c r="V109" t="s">
        <v>79</v>
      </c>
      <c r="W109" t="s">
        <v>54</v>
      </c>
      <c r="X109">
        <v>3</v>
      </c>
      <c r="Y109" t="s">
        <v>61</v>
      </c>
      <c r="Z109">
        <v>5</v>
      </c>
      <c r="AA109" t="s">
        <v>43</v>
      </c>
      <c r="AB109">
        <v>3</v>
      </c>
      <c r="AC109" t="s">
        <v>99</v>
      </c>
    </row>
    <row r="110" spans="1:30">
      <c r="A110" t="s">
        <v>346</v>
      </c>
      <c r="B110" t="s">
        <v>347</v>
      </c>
      <c r="C110" t="s">
        <v>31</v>
      </c>
      <c r="D110" t="s">
        <v>348</v>
      </c>
      <c r="E110" t="s">
        <v>83</v>
      </c>
      <c r="F110" t="s">
        <v>66</v>
      </c>
      <c r="G110">
        <v>10</v>
      </c>
      <c r="H110">
        <v>9.56</v>
      </c>
      <c r="I110">
        <v>8.32</v>
      </c>
      <c r="J110" s="4">
        <f t="shared" si="1"/>
        <v>6.9700000000000006</v>
      </c>
      <c r="K110">
        <v>8.7100000000000009</v>
      </c>
      <c r="L110" t="s">
        <v>35</v>
      </c>
      <c r="M110" t="s">
        <v>35</v>
      </c>
      <c r="N110" t="s">
        <v>98</v>
      </c>
      <c r="O110" t="s">
        <v>37</v>
      </c>
      <c r="P110" t="s">
        <v>73</v>
      </c>
      <c r="Q110" t="s">
        <v>73</v>
      </c>
      <c r="R110" t="s">
        <v>73</v>
      </c>
      <c r="S110" t="s">
        <v>37</v>
      </c>
      <c r="T110" t="s">
        <v>39</v>
      </c>
      <c r="U110" t="s">
        <v>52</v>
      </c>
      <c r="V110" t="s">
        <v>41</v>
      </c>
      <c r="W110" t="s">
        <v>54</v>
      </c>
      <c r="X110">
        <v>3</v>
      </c>
      <c r="Y110" t="s">
        <v>43</v>
      </c>
      <c r="Z110">
        <v>3</v>
      </c>
      <c r="AA110" t="s">
        <v>43</v>
      </c>
      <c r="AB110">
        <v>3</v>
      </c>
      <c r="AC110" t="s">
        <v>62</v>
      </c>
    </row>
    <row r="111" spans="1:30">
      <c r="A111" t="s">
        <v>374</v>
      </c>
      <c r="B111" t="s">
        <v>375</v>
      </c>
      <c r="C111" t="s">
        <v>31</v>
      </c>
      <c r="D111" t="s">
        <v>376</v>
      </c>
      <c r="E111" t="s">
        <v>83</v>
      </c>
      <c r="F111" t="s">
        <v>66</v>
      </c>
      <c r="G111">
        <v>9.4499999999999993</v>
      </c>
      <c r="H111">
        <v>9.11</v>
      </c>
      <c r="I111">
        <v>7.5</v>
      </c>
      <c r="J111" s="4">
        <f t="shared" si="1"/>
        <v>6.5149999999999997</v>
      </c>
      <c r="K111">
        <v>6.9</v>
      </c>
      <c r="L111" t="s">
        <v>35</v>
      </c>
      <c r="M111" t="s">
        <v>35</v>
      </c>
      <c r="N111" t="s">
        <v>98</v>
      </c>
      <c r="O111" t="s">
        <v>39</v>
      </c>
      <c r="P111" t="s">
        <v>37</v>
      </c>
      <c r="Q111" t="s">
        <v>73</v>
      </c>
      <c r="R111" t="s">
        <v>73</v>
      </c>
      <c r="S111" t="s">
        <v>73</v>
      </c>
      <c r="T111" t="s">
        <v>37</v>
      </c>
      <c r="U111" t="s">
        <v>59</v>
      </c>
      <c r="V111" t="s">
        <v>41</v>
      </c>
      <c r="W111" t="s">
        <v>54</v>
      </c>
      <c r="X111">
        <v>3</v>
      </c>
      <c r="Y111" t="s">
        <v>51</v>
      </c>
      <c r="Z111">
        <v>4</v>
      </c>
      <c r="AA111" t="s">
        <v>51</v>
      </c>
      <c r="AB111">
        <v>4</v>
      </c>
      <c r="AC111" t="s">
        <v>62</v>
      </c>
    </row>
    <row r="112" spans="1:30">
      <c r="A112" t="s">
        <v>377</v>
      </c>
      <c r="B112" t="s">
        <v>378</v>
      </c>
      <c r="C112" t="s">
        <v>31</v>
      </c>
      <c r="D112" t="s">
        <v>87</v>
      </c>
      <c r="E112" t="s">
        <v>83</v>
      </c>
      <c r="F112" t="s">
        <v>66</v>
      </c>
      <c r="G112">
        <v>9.77</v>
      </c>
      <c r="H112">
        <v>8.9</v>
      </c>
      <c r="I112">
        <v>9.2100000000000009</v>
      </c>
      <c r="J112" s="4">
        <f t="shared" si="1"/>
        <v>6.9700000000000006</v>
      </c>
      <c r="K112">
        <v>9.3000000000000007</v>
      </c>
      <c r="L112" t="s">
        <v>49</v>
      </c>
      <c r="M112" t="s">
        <v>67</v>
      </c>
      <c r="N112" t="s">
        <v>68</v>
      </c>
      <c r="O112" t="s">
        <v>73</v>
      </c>
      <c r="P112" t="s">
        <v>39</v>
      </c>
      <c r="Q112" t="s">
        <v>37</v>
      </c>
      <c r="R112" t="s">
        <v>39</v>
      </c>
      <c r="S112" t="s">
        <v>37</v>
      </c>
      <c r="T112" t="s">
        <v>37</v>
      </c>
      <c r="U112" t="s">
        <v>52</v>
      </c>
      <c r="V112" t="s">
        <v>41</v>
      </c>
      <c r="W112" t="s">
        <v>54</v>
      </c>
      <c r="X112">
        <v>4</v>
      </c>
      <c r="Y112" t="s">
        <v>36</v>
      </c>
      <c r="Z112">
        <v>2</v>
      </c>
      <c r="AA112" t="s">
        <v>51</v>
      </c>
      <c r="AB112">
        <v>1</v>
      </c>
      <c r="AC112" t="s">
        <v>99</v>
      </c>
      <c r="AD112" t="s">
        <v>379</v>
      </c>
    </row>
    <row r="113" spans="1:30">
      <c r="A113" t="s">
        <v>380</v>
      </c>
      <c r="B113" t="s">
        <v>381</v>
      </c>
      <c r="C113" t="s">
        <v>86</v>
      </c>
      <c r="D113" t="s">
        <v>382</v>
      </c>
      <c r="E113" t="s">
        <v>33</v>
      </c>
      <c r="F113" t="s">
        <v>66</v>
      </c>
      <c r="G113">
        <v>8.4</v>
      </c>
      <c r="H113">
        <v>7.7</v>
      </c>
      <c r="I113">
        <v>7.4</v>
      </c>
      <c r="J113" s="4">
        <f t="shared" si="1"/>
        <v>5.875</v>
      </c>
      <c r="K113">
        <v>7.5</v>
      </c>
      <c r="L113" t="s">
        <v>35</v>
      </c>
      <c r="M113" t="s">
        <v>35</v>
      </c>
      <c r="N113" t="s">
        <v>36</v>
      </c>
      <c r="O113" t="s">
        <v>37</v>
      </c>
      <c r="P113" t="s">
        <v>39</v>
      </c>
      <c r="Q113" t="s">
        <v>73</v>
      </c>
      <c r="R113" t="s">
        <v>37</v>
      </c>
      <c r="S113" t="s">
        <v>37</v>
      </c>
      <c r="T113" t="s">
        <v>39</v>
      </c>
      <c r="U113" t="s">
        <v>59</v>
      </c>
      <c r="V113" t="s">
        <v>60</v>
      </c>
      <c r="W113" t="s">
        <v>54</v>
      </c>
      <c r="X113">
        <v>3</v>
      </c>
      <c r="Y113" t="s">
        <v>61</v>
      </c>
      <c r="Z113">
        <v>5</v>
      </c>
      <c r="AA113" t="s">
        <v>51</v>
      </c>
      <c r="AB113">
        <v>4</v>
      </c>
      <c r="AC113" t="s">
        <v>99</v>
      </c>
    </row>
    <row r="114" spans="1:30">
      <c r="A114" t="s">
        <v>388</v>
      </c>
      <c r="B114" t="s">
        <v>389</v>
      </c>
      <c r="C114" t="s">
        <v>86</v>
      </c>
      <c r="D114" t="s">
        <v>123</v>
      </c>
      <c r="E114" t="s">
        <v>33</v>
      </c>
      <c r="F114" t="s">
        <v>66</v>
      </c>
      <c r="G114">
        <v>8.1999999999999993</v>
      </c>
      <c r="H114">
        <v>7.3</v>
      </c>
      <c r="I114">
        <v>6.4</v>
      </c>
      <c r="J114" s="4">
        <f t="shared" si="1"/>
        <v>5.4749999999999996</v>
      </c>
      <c r="K114">
        <v>6.3</v>
      </c>
      <c r="L114" t="s">
        <v>112</v>
      </c>
      <c r="M114" t="s">
        <v>35</v>
      </c>
      <c r="N114" t="s">
        <v>61</v>
      </c>
      <c r="O114" t="s">
        <v>37</v>
      </c>
      <c r="P114" t="s">
        <v>39</v>
      </c>
      <c r="Q114" t="s">
        <v>37</v>
      </c>
      <c r="R114" t="s">
        <v>37</v>
      </c>
      <c r="S114" t="s">
        <v>73</v>
      </c>
      <c r="T114" t="s">
        <v>39</v>
      </c>
      <c r="U114" t="s">
        <v>40</v>
      </c>
      <c r="V114" t="s">
        <v>60</v>
      </c>
      <c r="W114" t="s">
        <v>54</v>
      </c>
      <c r="X114">
        <v>3</v>
      </c>
      <c r="Y114" t="s">
        <v>43</v>
      </c>
      <c r="Z114">
        <v>3</v>
      </c>
      <c r="AA114" t="s">
        <v>43</v>
      </c>
      <c r="AB114">
        <v>3</v>
      </c>
      <c r="AC114" t="s">
        <v>99</v>
      </c>
      <c r="AD114" t="s">
        <v>390</v>
      </c>
    </row>
    <row r="115" spans="1:30">
      <c r="A115" t="s">
        <v>395</v>
      </c>
      <c r="B115" t="s">
        <v>396</v>
      </c>
      <c r="C115" t="s">
        <v>86</v>
      </c>
      <c r="D115" t="s">
        <v>167</v>
      </c>
      <c r="E115" t="s">
        <v>33</v>
      </c>
      <c r="F115" t="s">
        <v>66</v>
      </c>
      <c r="G115">
        <v>7.4</v>
      </c>
      <c r="H115">
        <v>6.4</v>
      </c>
      <c r="I115">
        <v>6.7</v>
      </c>
      <c r="J115" s="4">
        <f t="shared" si="1"/>
        <v>5.125</v>
      </c>
      <c r="K115">
        <v>6.7</v>
      </c>
      <c r="L115" t="s">
        <v>112</v>
      </c>
      <c r="M115" t="s">
        <v>35</v>
      </c>
      <c r="N115" t="s">
        <v>51</v>
      </c>
      <c r="O115" t="s">
        <v>39</v>
      </c>
      <c r="P115" t="s">
        <v>39</v>
      </c>
      <c r="Q115" t="s">
        <v>37</v>
      </c>
      <c r="R115" t="s">
        <v>37</v>
      </c>
      <c r="S115" t="s">
        <v>37</v>
      </c>
      <c r="T115" t="s">
        <v>39</v>
      </c>
      <c r="U115" t="s">
        <v>59</v>
      </c>
      <c r="V115" t="s">
        <v>60</v>
      </c>
      <c r="W115" t="s">
        <v>54</v>
      </c>
      <c r="X115">
        <v>3</v>
      </c>
      <c r="Y115" t="s">
        <v>43</v>
      </c>
      <c r="Z115">
        <v>3</v>
      </c>
      <c r="AA115" t="s">
        <v>51</v>
      </c>
      <c r="AB115">
        <v>1</v>
      </c>
      <c r="AC115" t="s">
        <v>44</v>
      </c>
    </row>
    <row r="116" spans="1:30">
      <c r="A116" t="s">
        <v>397</v>
      </c>
      <c r="B116" t="s">
        <v>398</v>
      </c>
      <c r="C116" t="s">
        <v>86</v>
      </c>
      <c r="D116" t="s">
        <v>32</v>
      </c>
      <c r="E116" t="s">
        <v>33</v>
      </c>
      <c r="F116" t="s">
        <v>66</v>
      </c>
      <c r="G116">
        <v>8.1999999999999993</v>
      </c>
      <c r="H116">
        <v>7.3</v>
      </c>
      <c r="I116">
        <v>7.1</v>
      </c>
      <c r="J116" s="4">
        <f t="shared" si="1"/>
        <v>5.65</v>
      </c>
      <c r="K116">
        <v>7.3</v>
      </c>
      <c r="L116" t="s">
        <v>35</v>
      </c>
      <c r="M116" t="s">
        <v>35</v>
      </c>
      <c r="N116" t="s">
        <v>36</v>
      </c>
      <c r="O116" t="s">
        <v>39</v>
      </c>
      <c r="P116" t="s">
        <v>39</v>
      </c>
      <c r="Q116" t="s">
        <v>73</v>
      </c>
      <c r="R116" t="s">
        <v>73</v>
      </c>
      <c r="S116" t="s">
        <v>37</v>
      </c>
      <c r="T116" t="s">
        <v>37</v>
      </c>
      <c r="U116" t="s">
        <v>59</v>
      </c>
      <c r="V116" t="s">
        <v>41</v>
      </c>
      <c r="W116" t="s">
        <v>54</v>
      </c>
      <c r="X116">
        <v>3</v>
      </c>
      <c r="Y116" t="s">
        <v>43</v>
      </c>
      <c r="Z116">
        <v>3</v>
      </c>
      <c r="AA116" t="s">
        <v>51</v>
      </c>
      <c r="AB116">
        <v>4</v>
      </c>
      <c r="AC116" t="s">
        <v>62</v>
      </c>
    </row>
    <row r="117" spans="1:30">
      <c r="A117" t="s">
        <v>399</v>
      </c>
      <c r="B117" t="s">
        <v>400</v>
      </c>
      <c r="C117" t="s">
        <v>86</v>
      </c>
      <c r="D117" t="s">
        <v>401</v>
      </c>
      <c r="E117" t="s">
        <v>33</v>
      </c>
      <c r="F117" t="s">
        <v>66</v>
      </c>
      <c r="G117">
        <v>7.9630000000000001</v>
      </c>
      <c r="H117">
        <v>7.0149999999999997</v>
      </c>
      <c r="I117">
        <v>6.6849999999999996</v>
      </c>
      <c r="J117" s="4">
        <f t="shared" si="1"/>
        <v>5.4157500000000001</v>
      </c>
      <c r="K117">
        <v>6.85</v>
      </c>
      <c r="L117" t="s">
        <v>112</v>
      </c>
      <c r="M117" t="s">
        <v>112</v>
      </c>
      <c r="N117" t="s">
        <v>68</v>
      </c>
      <c r="O117" t="s">
        <v>38</v>
      </c>
      <c r="P117" t="s">
        <v>39</v>
      </c>
      <c r="Q117" t="s">
        <v>39</v>
      </c>
      <c r="R117" t="s">
        <v>37</v>
      </c>
      <c r="S117" t="s">
        <v>38</v>
      </c>
      <c r="T117" t="s">
        <v>37</v>
      </c>
      <c r="U117" t="s">
        <v>59</v>
      </c>
      <c r="V117" t="s">
        <v>60</v>
      </c>
      <c r="W117" t="s">
        <v>42</v>
      </c>
      <c r="X117">
        <v>3</v>
      </c>
      <c r="Y117" t="s">
        <v>43</v>
      </c>
      <c r="Z117">
        <v>3</v>
      </c>
      <c r="AA117" t="s">
        <v>51</v>
      </c>
      <c r="AB117">
        <v>5</v>
      </c>
      <c r="AC117" t="s">
        <v>99</v>
      </c>
    </row>
    <row r="118" spans="1:30">
      <c r="A118" t="s">
        <v>409</v>
      </c>
      <c r="B118" t="s">
        <v>410</v>
      </c>
      <c r="C118" t="s">
        <v>86</v>
      </c>
      <c r="D118" t="s">
        <v>167</v>
      </c>
      <c r="E118" t="s">
        <v>33</v>
      </c>
      <c r="F118" t="s">
        <v>66</v>
      </c>
      <c r="G118">
        <v>7.8</v>
      </c>
      <c r="H118">
        <v>5.6</v>
      </c>
      <c r="I118">
        <v>5.8</v>
      </c>
      <c r="J118" s="4">
        <f t="shared" si="1"/>
        <v>4.8</v>
      </c>
      <c r="K118">
        <v>5.7</v>
      </c>
      <c r="L118" t="s">
        <v>112</v>
      </c>
      <c r="M118" t="s">
        <v>281</v>
      </c>
      <c r="N118" t="s">
        <v>61</v>
      </c>
      <c r="O118" t="s">
        <v>39</v>
      </c>
      <c r="P118" t="s">
        <v>37</v>
      </c>
      <c r="Q118" t="s">
        <v>37</v>
      </c>
      <c r="R118" t="s">
        <v>39</v>
      </c>
      <c r="S118" t="s">
        <v>39</v>
      </c>
      <c r="T118" t="s">
        <v>39</v>
      </c>
      <c r="U118" t="s">
        <v>40</v>
      </c>
      <c r="V118" t="s">
        <v>41</v>
      </c>
      <c r="W118" t="s">
        <v>42</v>
      </c>
      <c r="X118">
        <v>2</v>
      </c>
      <c r="Y118" t="s">
        <v>43</v>
      </c>
      <c r="Z118">
        <v>3</v>
      </c>
      <c r="AA118" t="s">
        <v>51</v>
      </c>
      <c r="AB118">
        <v>3</v>
      </c>
      <c r="AC118" t="s">
        <v>44</v>
      </c>
    </row>
    <row r="119" spans="1:30">
      <c r="A119" t="s">
        <v>413</v>
      </c>
      <c r="B119" t="s">
        <v>414</v>
      </c>
      <c r="C119" t="s">
        <v>86</v>
      </c>
      <c r="D119" t="s">
        <v>415</v>
      </c>
      <c r="E119" t="s">
        <v>33</v>
      </c>
      <c r="F119" t="s">
        <v>66</v>
      </c>
      <c r="G119">
        <v>7.7</v>
      </c>
      <c r="H119">
        <v>7.3</v>
      </c>
      <c r="I119">
        <v>7</v>
      </c>
      <c r="J119" s="4">
        <f t="shared" si="1"/>
        <v>5.5</v>
      </c>
      <c r="K119">
        <v>6.2</v>
      </c>
      <c r="L119" t="s">
        <v>112</v>
      </c>
      <c r="M119" t="s">
        <v>112</v>
      </c>
      <c r="N119" t="s">
        <v>61</v>
      </c>
      <c r="O119" t="s">
        <v>37</v>
      </c>
      <c r="P119" t="s">
        <v>39</v>
      </c>
      <c r="Q119" t="s">
        <v>37</v>
      </c>
      <c r="R119" t="s">
        <v>73</v>
      </c>
      <c r="S119" t="s">
        <v>39</v>
      </c>
      <c r="T119" t="s">
        <v>39</v>
      </c>
      <c r="U119" t="s">
        <v>52</v>
      </c>
      <c r="V119" t="s">
        <v>79</v>
      </c>
      <c r="W119" t="s">
        <v>54</v>
      </c>
      <c r="X119">
        <v>4</v>
      </c>
      <c r="Y119" t="s">
        <v>43</v>
      </c>
      <c r="Z119">
        <v>4</v>
      </c>
      <c r="AA119" t="s">
        <v>51</v>
      </c>
      <c r="AB119">
        <v>4</v>
      </c>
      <c r="AC119" t="s">
        <v>99</v>
      </c>
    </row>
    <row r="120" spans="1:30">
      <c r="A120" t="s">
        <v>101</v>
      </c>
      <c r="B120" t="s">
        <v>102</v>
      </c>
      <c r="C120" t="s">
        <v>86</v>
      </c>
      <c r="D120" t="s">
        <v>103</v>
      </c>
      <c r="E120" t="s">
        <v>33</v>
      </c>
      <c r="F120" t="s">
        <v>104</v>
      </c>
      <c r="G120">
        <v>8.6</v>
      </c>
      <c r="H120">
        <v>7.5</v>
      </c>
      <c r="I120">
        <v>7.5</v>
      </c>
      <c r="J120" s="4">
        <f t="shared" si="1"/>
        <v>5.9</v>
      </c>
      <c r="K120">
        <v>7.5</v>
      </c>
      <c r="L120" t="s">
        <v>67</v>
      </c>
      <c r="M120" t="s">
        <v>67</v>
      </c>
      <c r="N120" t="s">
        <v>51</v>
      </c>
      <c r="O120" t="s">
        <v>37</v>
      </c>
      <c r="P120" t="s">
        <v>39</v>
      </c>
      <c r="Q120" t="s">
        <v>39</v>
      </c>
      <c r="R120" t="s">
        <v>39</v>
      </c>
      <c r="S120" t="s">
        <v>39</v>
      </c>
      <c r="T120" t="s">
        <v>39</v>
      </c>
      <c r="U120" t="s">
        <v>59</v>
      </c>
      <c r="V120" t="s">
        <v>41</v>
      </c>
      <c r="W120" t="s">
        <v>54</v>
      </c>
      <c r="X120">
        <v>4</v>
      </c>
      <c r="Y120" t="s">
        <v>51</v>
      </c>
      <c r="Z120">
        <v>3</v>
      </c>
      <c r="AA120" t="s">
        <v>51</v>
      </c>
      <c r="AB120">
        <v>4</v>
      </c>
      <c r="AC120" t="s">
        <v>74</v>
      </c>
    </row>
    <row r="121" spans="1:30">
      <c r="A121" t="s">
        <v>305</v>
      </c>
      <c r="B121" t="s">
        <v>306</v>
      </c>
      <c r="C121" t="s">
        <v>31</v>
      </c>
      <c r="D121" t="s">
        <v>307</v>
      </c>
      <c r="E121" t="s">
        <v>83</v>
      </c>
      <c r="F121" t="s">
        <v>104</v>
      </c>
      <c r="G121">
        <v>9.34</v>
      </c>
      <c r="H121">
        <v>9.56</v>
      </c>
      <c r="I121">
        <v>8.9</v>
      </c>
      <c r="J121" s="4">
        <f t="shared" si="1"/>
        <v>6.9499999999999993</v>
      </c>
      <c r="K121">
        <v>9.56</v>
      </c>
      <c r="L121" t="s">
        <v>49</v>
      </c>
      <c r="M121" t="s">
        <v>50</v>
      </c>
      <c r="N121" t="s">
        <v>126</v>
      </c>
      <c r="O121" t="s">
        <v>133</v>
      </c>
      <c r="P121" t="s">
        <v>133</v>
      </c>
      <c r="Q121" t="s">
        <v>133</v>
      </c>
      <c r="R121" t="s">
        <v>133</v>
      </c>
      <c r="S121" t="s">
        <v>133</v>
      </c>
      <c r="T121" t="s">
        <v>39</v>
      </c>
      <c r="U121" t="s">
        <v>59</v>
      </c>
      <c r="V121" t="s">
        <v>53</v>
      </c>
      <c r="W121" t="s">
        <v>42</v>
      </c>
      <c r="X121">
        <v>5</v>
      </c>
      <c r="Y121" t="s">
        <v>43</v>
      </c>
      <c r="Z121">
        <v>5</v>
      </c>
      <c r="AA121" t="s">
        <v>43</v>
      </c>
      <c r="AB121">
        <v>5</v>
      </c>
      <c r="AC121" t="s">
        <v>91</v>
      </c>
      <c r="AD121" t="s">
        <v>308</v>
      </c>
    </row>
  </sheetData>
  <sortState ref="A2:AC121">
    <sortCondition ref="F2:F121"/>
  </sortState>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7:K32"/>
  <sheetViews>
    <sheetView workbookViewId="0">
      <selection activeCell="G23" sqref="G23"/>
    </sheetView>
  </sheetViews>
  <sheetFormatPr defaultRowHeight="15"/>
  <cols>
    <col min="6" max="6" width="18.7109375" bestFit="1" customWidth="1"/>
  </cols>
  <sheetData>
    <row r="7" spans="4:11">
      <c r="D7" s="12"/>
      <c r="E7" s="12"/>
      <c r="F7" s="85" t="s">
        <v>476</v>
      </c>
      <c r="G7" s="85"/>
      <c r="H7" s="85"/>
      <c r="I7" s="85"/>
      <c r="J7" s="85"/>
      <c r="K7" s="85"/>
    </row>
    <row r="8" spans="4:11">
      <c r="D8" s="12"/>
      <c r="E8" s="12"/>
      <c r="F8" s="29" t="s">
        <v>477</v>
      </c>
      <c r="G8" s="29" t="s">
        <v>478</v>
      </c>
      <c r="H8" s="29" t="s">
        <v>479</v>
      </c>
      <c r="I8" s="29" t="s">
        <v>480</v>
      </c>
      <c r="J8" s="29" t="s">
        <v>481</v>
      </c>
      <c r="K8" s="29" t="s">
        <v>487</v>
      </c>
    </row>
    <row r="9" spans="4:11" ht="30">
      <c r="D9" s="83"/>
      <c r="E9" s="13"/>
      <c r="F9" s="30" t="s">
        <v>482</v>
      </c>
      <c r="G9" s="31">
        <v>5</v>
      </c>
      <c r="H9" s="31">
        <v>4.1399999999999997</v>
      </c>
      <c r="I9" s="31">
        <v>0.82789999999999997</v>
      </c>
      <c r="J9" s="31">
        <v>0.98499999999999999</v>
      </c>
      <c r="K9" s="31">
        <v>0.43</v>
      </c>
    </row>
    <row r="10" spans="4:11">
      <c r="D10" s="83"/>
      <c r="E10" s="12"/>
      <c r="F10" s="31" t="s">
        <v>538</v>
      </c>
      <c r="G10" s="31">
        <v>113</v>
      </c>
      <c r="H10" s="31">
        <v>95.01</v>
      </c>
      <c r="I10" s="31">
        <v>0.84079999999999999</v>
      </c>
      <c r="J10" s="31"/>
      <c r="K10" s="31"/>
    </row>
    <row r="11" spans="4:11">
      <c r="D11" s="83"/>
      <c r="E11" s="12"/>
      <c r="F11" s="29" t="s">
        <v>483</v>
      </c>
      <c r="G11" s="29">
        <v>118</v>
      </c>
      <c r="H11" s="29">
        <f>SUM(H9:H10)</f>
        <v>99.15</v>
      </c>
      <c r="I11" s="31"/>
      <c r="J11" s="31"/>
      <c r="K11" s="31"/>
    </row>
    <row r="12" spans="4:11">
      <c r="D12" s="83"/>
      <c r="E12" s="12"/>
      <c r="F12" s="18"/>
      <c r="G12" s="18"/>
      <c r="H12" s="18"/>
      <c r="I12" s="18"/>
      <c r="J12" s="18"/>
      <c r="K12" s="12"/>
    </row>
    <row r="13" spans="4:11">
      <c r="D13" s="83"/>
      <c r="E13" s="12"/>
      <c r="F13" s="18"/>
      <c r="G13" s="18"/>
      <c r="H13" s="18"/>
      <c r="I13" s="18"/>
      <c r="J13" s="18"/>
      <c r="K13" s="12"/>
    </row>
    <row r="14" spans="4:11">
      <c r="D14" s="83"/>
      <c r="E14" s="12"/>
      <c r="F14" s="85" t="s">
        <v>476</v>
      </c>
      <c r="G14" s="85"/>
      <c r="H14" s="85"/>
      <c r="I14" s="85"/>
      <c r="J14" s="85"/>
      <c r="K14" s="85"/>
    </row>
    <row r="15" spans="4:11">
      <c r="F15" s="29" t="s">
        <v>477</v>
      </c>
      <c r="G15" s="29" t="s">
        <v>478</v>
      </c>
      <c r="H15" s="29" t="s">
        <v>479</v>
      </c>
      <c r="I15" s="29" t="s">
        <v>480</v>
      </c>
      <c r="J15" s="29" t="s">
        <v>481</v>
      </c>
      <c r="K15" s="29" t="s">
        <v>487</v>
      </c>
    </row>
    <row r="16" spans="4:11" ht="30">
      <c r="F16" s="30" t="s">
        <v>484</v>
      </c>
      <c r="G16" s="31">
        <v>4</v>
      </c>
      <c r="H16" s="31">
        <v>3.13</v>
      </c>
      <c r="I16" s="31">
        <v>0.78290000000000004</v>
      </c>
      <c r="J16" s="31">
        <v>0.93</v>
      </c>
      <c r="K16" s="31">
        <v>0.44900000000000001</v>
      </c>
    </row>
    <row r="17" spans="6:11">
      <c r="F17" s="31" t="s">
        <v>538</v>
      </c>
      <c r="G17" s="31">
        <v>114</v>
      </c>
      <c r="H17" s="31">
        <v>96.02</v>
      </c>
      <c r="I17" s="31">
        <v>0.84230000000000005</v>
      </c>
      <c r="J17" s="31"/>
      <c r="K17" s="31"/>
    </row>
    <row r="18" spans="6:11">
      <c r="F18" s="29" t="s">
        <v>483</v>
      </c>
      <c r="G18" s="29">
        <v>118</v>
      </c>
      <c r="H18" s="29">
        <f>SUM(H16:H17)</f>
        <v>99.149999999999991</v>
      </c>
      <c r="I18" s="31"/>
      <c r="J18" s="31"/>
      <c r="K18" s="31"/>
    </row>
    <row r="21" spans="6:11">
      <c r="F21" s="85" t="s">
        <v>476</v>
      </c>
      <c r="G21" s="85"/>
      <c r="H21" s="85"/>
      <c r="I21" s="85"/>
      <c r="J21" s="85"/>
      <c r="K21" s="85"/>
    </row>
    <row r="22" spans="6:11">
      <c r="F22" s="29" t="s">
        <v>477</v>
      </c>
      <c r="G22" s="29" t="s">
        <v>478</v>
      </c>
      <c r="H22" s="29" t="s">
        <v>479</v>
      </c>
      <c r="I22" s="29" t="s">
        <v>480</v>
      </c>
      <c r="J22" s="29" t="s">
        <v>481</v>
      </c>
      <c r="K22" s="29" t="s">
        <v>487</v>
      </c>
    </row>
    <row r="23" spans="6:11" ht="45">
      <c r="F23" s="30" t="s">
        <v>485</v>
      </c>
      <c r="G23" s="31">
        <v>3</v>
      </c>
      <c r="H23" s="31">
        <v>2.5499999999999998</v>
      </c>
      <c r="I23" s="31">
        <v>0.85070000000000001</v>
      </c>
      <c r="J23" s="31">
        <v>1.0129999999999999</v>
      </c>
      <c r="K23" s="31">
        <v>0.39</v>
      </c>
    </row>
    <row r="24" spans="6:11">
      <c r="F24" s="31" t="s">
        <v>538</v>
      </c>
      <c r="G24" s="31">
        <v>115</v>
      </c>
      <c r="H24" s="31">
        <v>96.6</v>
      </c>
      <c r="I24" s="31">
        <v>0.84</v>
      </c>
      <c r="J24" s="31"/>
      <c r="K24" s="31"/>
    </row>
    <row r="25" spans="6:11">
      <c r="F25" s="29" t="s">
        <v>483</v>
      </c>
      <c r="G25" s="29">
        <v>118</v>
      </c>
      <c r="H25" s="29">
        <f>SUM(H23:H24)</f>
        <v>99.149999999999991</v>
      </c>
      <c r="I25" s="31"/>
      <c r="J25" s="31"/>
      <c r="K25" s="31"/>
    </row>
    <row r="28" spans="6:11">
      <c r="F28" s="85" t="s">
        <v>476</v>
      </c>
      <c r="G28" s="85"/>
      <c r="H28" s="85"/>
      <c r="I28" s="85"/>
      <c r="J28" s="85"/>
      <c r="K28" s="85"/>
    </row>
    <row r="29" spans="6:11">
      <c r="F29" s="29" t="s">
        <v>477</v>
      </c>
      <c r="G29" s="29" t="s">
        <v>478</v>
      </c>
      <c r="H29" s="29" t="s">
        <v>479</v>
      </c>
      <c r="I29" s="29" t="s">
        <v>480</v>
      </c>
      <c r="J29" s="29" t="s">
        <v>481</v>
      </c>
      <c r="K29" s="29" t="s">
        <v>487</v>
      </c>
    </row>
    <row r="30" spans="6:11" ht="30">
      <c r="F30" s="30" t="s">
        <v>486</v>
      </c>
      <c r="G30" s="31">
        <v>3</v>
      </c>
      <c r="H30" s="31">
        <v>10.210000000000001</v>
      </c>
      <c r="I30" s="31">
        <v>3.403</v>
      </c>
      <c r="J30" s="31">
        <v>4.4000000000000004</v>
      </c>
      <c r="K30" s="31">
        <v>5.7200000000000003E-3</v>
      </c>
    </row>
    <row r="31" spans="6:11">
      <c r="F31" s="31" t="s">
        <v>538</v>
      </c>
      <c r="G31" s="31">
        <v>115</v>
      </c>
      <c r="H31" s="31">
        <v>88.94</v>
      </c>
      <c r="I31" s="31">
        <v>0.77300000000000002</v>
      </c>
      <c r="J31" s="31"/>
      <c r="K31" s="31"/>
    </row>
    <row r="32" spans="6:11">
      <c r="F32" s="29" t="s">
        <v>483</v>
      </c>
      <c r="G32" s="29">
        <v>118</v>
      </c>
      <c r="H32" s="29">
        <f>SUM(H30:H31)</f>
        <v>99.15</v>
      </c>
      <c r="I32" s="31"/>
      <c r="J32" s="31"/>
      <c r="K32" s="31"/>
    </row>
  </sheetData>
  <mergeCells count="5">
    <mergeCell ref="F7:K7"/>
    <mergeCell ref="D9:D14"/>
    <mergeCell ref="F14:K14"/>
    <mergeCell ref="F21:K21"/>
    <mergeCell ref="F28:K2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G133"/>
  <sheetViews>
    <sheetView topLeftCell="A118" workbookViewId="0">
      <selection activeCell="A129" sqref="A129:G133"/>
    </sheetView>
  </sheetViews>
  <sheetFormatPr defaultRowHeight="15"/>
  <cols>
    <col min="1" max="1" width="19.140625" bestFit="1" customWidth="1"/>
    <col min="3" max="3" width="34.140625" bestFit="1" customWidth="1"/>
  </cols>
  <sheetData>
    <row r="1" spans="1:7">
      <c r="A1" t="s">
        <v>541</v>
      </c>
      <c r="C1" t="s">
        <v>552</v>
      </c>
    </row>
    <row r="3" spans="1:7" ht="15.75" thickBot="1">
      <c r="A3" t="s">
        <v>542</v>
      </c>
    </row>
    <row r="4" spans="1:7">
      <c r="A4" s="43" t="s">
        <v>543</v>
      </c>
      <c r="B4" s="43" t="s">
        <v>544</v>
      </c>
      <c r="C4" s="43" t="s">
        <v>545</v>
      </c>
      <c r="D4" s="43" t="s">
        <v>546</v>
      </c>
      <c r="E4" s="43" t="s">
        <v>547</v>
      </c>
    </row>
    <row r="5" spans="1:7">
      <c r="A5" s="41" t="s">
        <v>66</v>
      </c>
      <c r="B5" s="41">
        <v>28</v>
      </c>
      <c r="C5" s="41">
        <v>214.37350000000006</v>
      </c>
      <c r="D5" s="41">
        <v>7.6561964285714312</v>
      </c>
      <c r="E5" s="41">
        <v>1.1718923164682178</v>
      </c>
    </row>
    <row r="6" spans="1:7">
      <c r="A6" s="41" t="s">
        <v>34</v>
      </c>
      <c r="B6" s="41">
        <v>58</v>
      </c>
      <c r="C6" s="41">
        <v>446.34624999999994</v>
      </c>
      <c r="D6" s="41">
        <v>7.6956249999999988</v>
      </c>
      <c r="E6" s="41">
        <v>0.79962850493420612</v>
      </c>
    </row>
    <row r="7" spans="1:7">
      <c r="A7" s="41" t="s">
        <v>117</v>
      </c>
      <c r="B7" s="41">
        <v>27</v>
      </c>
      <c r="C7" s="41">
        <v>216.09024999999997</v>
      </c>
      <c r="D7" s="41">
        <v>8.0033425925925918</v>
      </c>
      <c r="E7" s="41">
        <v>0.54892086609688184</v>
      </c>
    </row>
    <row r="8" spans="1:7">
      <c r="A8" s="41" t="s">
        <v>48</v>
      </c>
      <c r="B8" s="41">
        <v>5</v>
      </c>
      <c r="C8" s="41">
        <v>40.98</v>
      </c>
      <c r="D8" s="41">
        <v>8.1959999999999997</v>
      </c>
      <c r="E8" s="41">
        <v>0.6056893749999972</v>
      </c>
    </row>
    <row r="9" spans="1:7" ht="15.75" thickBot="1">
      <c r="A9" s="42" t="s">
        <v>104</v>
      </c>
      <c r="B9" s="42">
        <v>2</v>
      </c>
      <c r="C9" s="42">
        <v>17.115000000000002</v>
      </c>
      <c r="D9" s="42">
        <v>8.557500000000001</v>
      </c>
      <c r="E9" s="42">
        <v>1.2246124999999495</v>
      </c>
    </row>
    <row r="12" spans="1:7" ht="15.75" thickBot="1">
      <c r="A12" t="s">
        <v>517</v>
      </c>
    </row>
    <row r="13" spans="1:7">
      <c r="A13" s="43" t="s">
        <v>548</v>
      </c>
      <c r="B13" s="43" t="s">
        <v>479</v>
      </c>
      <c r="C13" s="43" t="s">
        <v>521</v>
      </c>
      <c r="D13" s="43" t="s">
        <v>480</v>
      </c>
      <c r="E13" s="43" t="s">
        <v>522</v>
      </c>
      <c r="F13" s="43" t="s">
        <v>526</v>
      </c>
      <c r="G13" s="43" t="s">
        <v>549</v>
      </c>
    </row>
    <row r="14" spans="1:7">
      <c r="A14" s="41" t="s">
        <v>550</v>
      </c>
      <c r="B14" s="41">
        <v>4.2489875305886358</v>
      </c>
      <c r="C14" s="41">
        <v>4</v>
      </c>
      <c r="D14" s="41">
        <v>1.0622468826471589</v>
      </c>
      <c r="E14" s="41">
        <v>1.2839960098920129</v>
      </c>
      <c r="F14" s="41">
        <v>0.28039672775229363</v>
      </c>
      <c r="G14" s="41">
        <v>2.4505705175600294</v>
      </c>
    </row>
    <row r="15" spans="1:7">
      <c r="A15" s="41" t="s">
        <v>551</v>
      </c>
      <c r="B15" s="41">
        <v>95.139229844411346</v>
      </c>
      <c r="C15" s="41">
        <v>115</v>
      </c>
      <c r="D15" s="41">
        <v>0.82729765082096818</v>
      </c>
      <c r="E15" s="41"/>
      <c r="F15" s="41"/>
      <c r="G15" s="41"/>
    </row>
    <row r="16" spans="1:7">
      <c r="A16" s="41"/>
      <c r="B16" s="41"/>
      <c r="C16" s="41"/>
      <c r="D16" s="41"/>
      <c r="E16" s="41"/>
      <c r="F16" s="41"/>
      <c r="G16" s="41"/>
    </row>
    <row r="17" spans="1:7" ht="15.75" thickBot="1">
      <c r="A17" s="42" t="s">
        <v>483</v>
      </c>
      <c r="B17" s="42">
        <v>99.388217374999982</v>
      </c>
      <c r="C17" s="42">
        <v>119</v>
      </c>
      <c r="D17" s="42"/>
      <c r="E17" s="42"/>
      <c r="F17" s="42"/>
      <c r="G17" s="42"/>
    </row>
    <row r="20" spans="1:7">
      <c r="A20" t="s">
        <v>541</v>
      </c>
      <c r="C20" t="s">
        <v>499</v>
      </c>
    </row>
    <row r="22" spans="1:7" ht="15.75" thickBot="1">
      <c r="A22" t="s">
        <v>542</v>
      </c>
    </row>
    <row r="23" spans="1:7">
      <c r="A23" s="43" t="s">
        <v>543</v>
      </c>
      <c r="B23" s="43" t="s">
        <v>544</v>
      </c>
      <c r="C23" s="43" t="s">
        <v>545</v>
      </c>
      <c r="D23" s="43" t="s">
        <v>546</v>
      </c>
      <c r="E23" s="43" t="s">
        <v>547</v>
      </c>
    </row>
    <row r="24" spans="1:7">
      <c r="A24" s="41" t="s">
        <v>43</v>
      </c>
      <c r="B24" s="41">
        <v>67</v>
      </c>
      <c r="C24" s="41">
        <v>508.59625000000005</v>
      </c>
      <c r="D24" s="41">
        <v>7.5909888059701505</v>
      </c>
      <c r="E24" s="41">
        <v>0.72745980006217192</v>
      </c>
    </row>
    <row r="25" spans="1:7">
      <c r="A25" s="41" t="s">
        <v>51</v>
      </c>
      <c r="B25" s="41">
        <v>40</v>
      </c>
      <c r="C25" s="41">
        <v>321.09199999999998</v>
      </c>
      <c r="D25" s="41">
        <v>8.0273000000000003</v>
      </c>
      <c r="E25" s="41">
        <v>0.87026326987179115</v>
      </c>
    </row>
    <row r="26" spans="1:7">
      <c r="A26" s="41" t="s">
        <v>61</v>
      </c>
      <c r="B26" s="41">
        <v>11</v>
      </c>
      <c r="C26" s="41">
        <v>86.471750000000014</v>
      </c>
      <c r="D26" s="41">
        <v>7.8610681818181831</v>
      </c>
      <c r="E26" s="41">
        <v>0.74534952613634009</v>
      </c>
    </row>
    <row r="27" spans="1:7" ht="15.75" thickBot="1">
      <c r="A27" s="42" t="s">
        <v>36</v>
      </c>
      <c r="B27" s="42">
        <v>2</v>
      </c>
      <c r="C27" s="42">
        <v>18.745000000000001</v>
      </c>
      <c r="D27" s="42">
        <v>9.3725000000000005</v>
      </c>
      <c r="E27" s="42">
        <v>1.2012499999968895E-2</v>
      </c>
    </row>
    <row r="30" spans="1:7" ht="15.75" thickBot="1">
      <c r="A30" t="s">
        <v>517</v>
      </c>
    </row>
    <row r="31" spans="1:7">
      <c r="A31" s="43" t="s">
        <v>548</v>
      </c>
      <c r="B31" s="43" t="s">
        <v>479</v>
      </c>
      <c r="C31" s="43" t="s">
        <v>521</v>
      </c>
      <c r="D31" s="43" t="s">
        <v>480</v>
      </c>
      <c r="E31" s="43" t="s">
        <v>522</v>
      </c>
      <c r="F31" s="43" t="s">
        <v>526</v>
      </c>
      <c r="G31" s="43" t="s">
        <v>549</v>
      </c>
    </row>
    <row r="32" spans="1:7">
      <c r="A32" s="41" t="s">
        <v>550</v>
      </c>
      <c r="B32" s="41">
        <v>9.9700952845318795</v>
      </c>
      <c r="C32" s="41">
        <v>3</v>
      </c>
      <c r="D32" s="41">
        <v>3.3233650948439597</v>
      </c>
      <c r="E32" s="41">
        <v>4.3113223806228245</v>
      </c>
      <c r="F32" s="41">
        <v>6.3796701417245475E-3</v>
      </c>
      <c r="G32" s="41">
        <v>2.6828094149339776</v>
      </c>
    </row>
    <row r="33" spans="1:7">
      <c r="A33" s="41" t="s">
        <v>551</v>
      </c>
      <c r="B33" s="41">
        <v>89.418122090468117</v>
      </c>
      <c r="C33" s="41">
        <v>116</v>
      </c>
      <c r="D33" s="41">
        <v>0.77084588009024235</v>
      </c>
      <c r="E33" s="41"/>
      <c r="F33" s="41"/>
      <c r="G33" s="41"/>
    </row>
    <row r="34" spans="1:7">
      <c r="A34" s="41"/>
      <c r="B34" s="41"/>
      <c r="C34" s="41"/>
      <c r="D34" s="41"/>
      <c r="E34" s="41"/>
      <c r="F34" s="41"/>
      <c r="G34" s="41"/>
    </row>
    <row r="35" spans="1:7" ht="15.75" thickBot="1">
      <c r="A35" s="42" t="s">
        <v>483</v>
      </c>
      <c r="B35" s="42">
        <v>99.388217374999996</v>
      </c>
      <c r="C35" s="42">
        <v>119</v>
      </c>
      <c r="D35" s="42"/>
      <c r="E35" s="42"/>
      <c r="F35" s="42"/>
      <c r="G35" s="42"/>
    </row>
    <row r="39" spans="1:7">
      <c r="A39" t="s">
        <v>541</v>
      </c>
      <c r="C39" t="s">
        <v>554</v>
      </c>
    </row>
    <row r="41" spans="1:7" ht="15.75" thickBot="1">
      <c r="A41" t="s">
        <v>542</v>
      </c>
    </row>
    <row r="42" spans="1:7">
      <c r="A42" s="43" t="s">
        <v>543</v>
      </c>
      <c r="B42" s="43" t="s">
        <v>544</v>
      </c>
      <c r="C42" s="43" t="s">
        <v>545</v>
      </c>
      <c r="D42" s="43" t="s">
        <v>546</v>
      </c>
      <c r="E42" s="43" t="s">
        <v>547</v>
      </c>
    </row>
    <row r="43" spans="1:7">
      <c r="A43" s="41" t="s">
        <v>43</v>
      </c>
      <c r="B43" s="41">
        <v>35</v>
      </c>
      <c r="C43" s="41">
        <v>274.94574999999998</v>
      </c>
      <c r="D43" s="41">
        <v>7.8555928571428568</v>
      </c>
      <c r="E43" s="41">
        <v>0.67501095987396342</v>
      </c>
    </row>
    <row r="44" spans="1:7">
      <c r="A44" s="41" t="s">
        <v>51</v>
      </c>
      <c r="B44" s="41">
        <v>60</v>
      </c>
      <c r="C44" s="41">
        <v>466.24000000000007</v>
      </c>
      <c r="D44" s="41">
        <v>7.7706666666666679</v>
      </c>
      <c r="E44" s="41">
        <v>0.82696480649714799</v>
      </c>
    </row>
    <row r="45" spans="1:7">
      <c r="A45" s="41" t="s">
        <v>61</v>
      </c>
      <c r="B45" s="41">
        <v>21</v>
      </c>
      <c r="C45" s="41">
        <v>163.89424999999997</v>
      </c>
      <c r="D45" s="41">
        <v>7.8044880952380939</v>
      </c>
      <c r="E45" s="41">
        <v>1.1362409279762118</v>
      </c>
    </row>
    <row r="46" spans="1:7" ht="15.75" thickBot="1">
      <c r="A46" s="42" t="s">
        <v>36</v>
      </c>
      <c r="B46" s="42">
        <v>4</v>
      </c>
      <c r="C46" s="42">
        <v>29.825000000000003</v>
      </c>
      <c r="D46" s="42">
        <v>7.4562500000000007</v>
      </c>
      <c r="E46" s="42">
        <v>1.4330729166666554</v>
      </c>
    </row>
    <row r="49" spans="1:7" ht="15.75" thickBot="1">
      <c r="A49" t="s">
        <v>517</v>
      </c>
    </row>
    <row r="50" spans="1:7">
      <c r="A50" s="43" t="s">
        <v>548</v>
      </c>
      <c r="B50" s="43" t="s">
        <v>479</v>
      </c>
      <c r="C50" s="43" t="s">
        <v>521</v>
      </c>
      <c r="D50" s="43" t="s">
        <v>480</v>
      </c>
      <c r="E50" s="43" t="s">
        <v>522</v>
      </c>
      <c r="F50" s="43" t="s">
        <v>526</v>
      </c>
      <c r="G50" s="43" t="s">
        <v>549</v>
      </c>
    </row>
    <row r="51" spans="1:7">
      <c r="A51" s="41" t="s">
        <v>550</v>
      </c>
      <c r="B51" s="41">
        <v>0.62288384642860706</v>
      </c>
      <c r="C51" s="41">
        <v>3</v>
      </c>
      <c r="D51" s="41">
        <v>0.2076279488095357</v>
      </c>
      <c r="E51" s="41">
        <v>0.24385926925401144</v>
      </c>
      <c r="F51" s="41">
        <v>0.86555533350187908</v>
      </c>
      <c r="G51" s="41">
        <v>2.6828094149339776</v>
      </c>
    </row>
    <row r="52" spans="1:7">
      <c r="A52" s="41" t="s">
        <v>551</v>
      </c>
      <c r="B52" s="41">
        <v>98.765333528571418</v>
      </c>
      <c r="C52" s="41">
        <v>116</v>
      </c>
      <c r="D52" s="41">
        <v>0.85142528903940873</v>
      </c>
      <c r="E52" s="41"/>
      <c r="F52" s="41"/>
      <c r="G52" s="41"/>
    </row>
    <row r="53" spans="1:7">
      <c r="A53" s="41"/>
      <c r="B53" s="41"/>
      <c r="C53" s="41"/>
      <c r="D53" s="41"/>
      <c r="E53" s="41"/>
      <c r="F53" s="41"/>
      <c r="G53" s="41"/>
    </row>
    <row r="54" spans="1:7" ht="15.75" thickBot="1">
      <c r="A54" s="42" t="s">
        <v>483</v>
      </c>
      <c r="B54" s="42">
        <v>99.388217375000025</v>
      </c>
      <c r="C54" s="42">
        <v>119</v>
      </c>
      <c r="D54" s="42"/>
      <c r="E54" s="42"/>
      <c r="F54" s="42"/>
      <c r="G54" s="42"/>
    </row>
    <row r="59" spans="1:7">
      <c r="A59" t="s">
        <v>541</v>
      </c>
      <c r="C59" t="s">
        <v>556</v>
      </c>
    </row>
    <row r="61" spans="1:7" ht="15.75" thickBot="1">
      <c r="A61" t="s">
        <v>542</v>
      </c>
    </row>
    <row r="62" spans="1:7">
      <c r="A62" s="43" t="s">
        <v>543</v>
      </c>
      <c r="B62" s="43" t="s">
        <v>544</v>
      </c>
      <c r="C62" s="43" t="s">
        <v>545</v>
      </c>
      <c r="D62" s="43" t="s">
        <v>546</v>
      </c>
      <c r="E62" s="43" t="s">
        <v>547</v>
      </c>
    </row>
    <row r="63" spans="1:7">
      <c r="A63" s="41" t="s">
        <v>51</v>
      </c>
      <c r="B63" s="41">
        <v>17</v>
      </c>
      <c r="C63" s="41">
        <v>132.07674999999998</v>
      </c>
      <c r="D63" s="41">
        <v>7.7692205882352923</v>
      </c>
      <c r="E63" s="41">
        <v>0.78611910064338986</v>
      </c>
    </row>
    <row r="64" spans="1:7">
      <c r="A64" s="41" t="s">
        <v>61</v>
      </c>
      <c r="B64" s="41">
        <v>39</v>
      </c>
      <c r="C64" s="41">
        <v>297.1395</v>
      </c>
      <c r="D64" s="41">
        <v>7.6189615384615381</v>
      </c>
      <c r="E64" s="41">
        <v>0.84719768269231188</v>
      </c>
    </row>
    <row r="65" spans="1:7">
      <c r="A65" s="41" t="s">
        <v>36</v>
      </c>
      <c r="B65" s="41">
        <v>33</v>
      </c>
      <c r="C65" s="41">
        <v>255.54974999999999</v>
      </c>
      <c r="D65" s="41">
        <v>7.7439318181818182</v>
      </c>
      <c r="E65" s="41">
        <v>0.90621438778407537</v>
      </c>
    </row>
    <row r="66" spans="1:7">
      <c r="A66" s="41" t="s">
        <v>98</v>
      </c>
      <c r="B66" s="41">
        <v>16</v>
      </c>
      <c r="C66" s="41">
        <v>131.24875</v>
      </c>
      <c r="D66" s="41">
        <v>8.2030468750000001</v>
      </c>
      <c r="E66" s="41">
        <v>0.91486228515624746</v>
      </c>
    </row>
    <row r="67" spans="1:7">
      <c r="A67" s="41" t="s">
        <v>68</v>
      </c>
      <c r="B67" s="41">
        <v>11</v>
      </c>
      <c r="C67" s="41">
        <v>87.048249999999996</v>
      </c>
      <c r="D67" s="41">
        <v>7.9134772727272722</v>
      </c>
      <c r="E67" s="41">
        <v>0.48941500568181484</v>
      </c>
    </row>
    <row r="68" spans="1:7" ht="15.75" thickBot="1">
      <c r="A68" s="42" t="s">
        <v>126</v>
      </c>
      <c r="B68" s="42">
        <v>4</v>
      </c>
      <c r="C68" s="42">
        <v>31.842000000000002</v>
      </c>
      <c r="D68" s="42">
        <v>7.9605000000000006</v>
      </c>
      <c r="E68" s="42">
        <v>0.92298062499997968</v>
      </c>
    </row>
    <row r="71" spans="1:7" ht="15.75" thickBot="1">
      <c r="A71" t="s">
        <v>517</v>
      </c>
    </row>
    <row r="72" spans="1:7">
      <c r="A72" s="43" t="s">
        <v>548</v>
      </c>
      <c r="B72" s="43" t="s">
        <v>479</v>
      </c>
      <c r="C72" s="43" t="s">
        <v>521</v>
      </c>
      <c r="D72" s="43" t="s">
        <v>480</v>
      </c>
      <c r="E72" s="43" t="s">
        <v>522</v>
      </c>
      <c r="F72" s="43" t="s">
        <v>526</v>
      </c>
      <c r="G72" s="43" t="s">
        <v>549</v>
      </c>
    </row>
    <row r="73" spans="1:7">
      <c r="A73" s="41" t="s">
        <v>550</v>
      </c>
      <c r="B73" s="41">
        <v>4.2319132041453145</v>
      </c>
      <c r="C73" s="41">
        <v>5</v>
      </c>
      <c r="D73" s="41">
        <v>0.84638264082906289</v>
      </c>
      <c r="E73" s="41">
        <v>1.0139908427009536</v>
      </c>
      <c r="F73" s="41">
        <v>0.4128181881634313</v>
      </c>
      <c r="G73" s="41">
        <v>2.2939111558523324</v>
      </c>
    </row>
    <row r="74" spans="1:7">
      <c r="A74" s="41" t="s">
        <v>551</v>
      </c>
      <c r="B74" s="41">
        <v>95.156304170854654</v>
      </c>
      <c r="C74" s="41">
        <v>114</v>
      </c>
      <c r="D74" s="41">
        <v>0.83470442255135657</v>
      </c>
      <c r="E74" s="41"/>
      <c r="F74" s="41"/>
      <c r="G74" s="41"/>
    </row>
    <row r="75" spans="1:7">
      <c r="A75" s="41"/>
      <c r="B75" s="41"/>
      <c r="C75" s="41"/>
      <c r="D75" s="41"/>
      <c r="E75" s="41"/>
      <c r="F75" s="41"/>
      <c r="G75" s="41"/>
    </row>
    <row r="76" spans="1:7" ht="15.75" thickBot="1">
      <c r="A76" s="42" t="s">
        <v>483</v>
      </c>
      <c r="B76" s="42">
        <v>99.388217374999968</v>
      </c>
      <c r="C76" s="42">
        <v>119</v>
      </c>
      <c r="D76" s="42"/>
      <c r="E76" s="42"/>
      <c r="F76" s="42"/>
      <c r="G76" s="42"/>
    </row>
    <row r="80" spans="1:7">
      <c r="A80" t="s">
        <v>541</v>
      </c>
      <c r="C80" t="s">
        <v>560</v>
      </c>
    </row>
    <row r="82" spans="1:7" ht="15.75" thickBot="1">
      <c r="A82" t="s">
        <v>542</v>
      </c>
    </row>
    <row r="83" spans="1:7">
      <c r="A83" s="43" t="s">
        <v>543</v>
      </c>
      <c r="B83" s="43" t="s">
        <v>544</v>
      </c>
      <c r="C83" s="43" t="s">
        <v>545</v>
      </c>
      <c r="D83" s="43" t="s">
        <v>546</v>
      </c>
      <c r="E83" s="43" t="s">
        <v>547</v>
      </c>
    </row>
    <row r="84" spans="1:7">
      <c r="A84" s="41" t="s">
        <v>39</v>
      </c>
      <c r="B84" s="41">
        <v>30</v>
      </c>
      <c r="C84" s="41">
        <v>235.74849999999998</v>
      </c>
      <c r="D84" s="41">
        <v>7.8582833333333326</v>
      </c>
      <c r="E84" s="41">
        <v>0.75929960229885585</v>
      </c>
    </row>
    <row r="85" spans="1:7">
      <c r="A85" s="41" t="s">
        <v>37</v>
      </c>
      <c r="B85" s="41">
        <v>62</v>
      </c>
      <c r="C85" s="41">
        <v>477.96174999999988</v>
      </c>
      <c r="D85" s="41">
        <v>7.7090604838709655</v>
      </c>
      <c r="E85" s="41">
        <v>0.95985511001125079</v>
      </c>
    </row>
    <row r="86" spans="1:7">
      <c r="A86" s="41" t="s">
        <v>73</v>
      </c>
      <c r="B86" s="41">
        <v>18</v>
      </c>
      <c r="C86" s="41">
        <v>142.30175</v>
      </c>
      <c r="D86" s="41">
        <v>7.9056527777777781</v>
      </c>
      <c r="E86" s="41">
        <v>0.7512606701388771</v>
      </c>
    </row>
    <row r="87" spans="1:7">
      <c r="A87" s="41" t="s">
        <v>38</v>
      </c>
      <c r="B87" s="41">
        <v>9</v>
      </c>
      <c r="C87" s="41">
        <v>69.553000000000011</v>
      </c>
      <c r="D87" s="41">
        <v>7.7281111111111125</v>
      </c>
      <c r="E87" s="41">
        <v>0.35278028298607467</v>
      </c>
    </row>
    <row r="88" spans="1:7" ht="15.75" thickBot="1">
      <c r="A88" s="42" t="s">
        <v>133</v>
      </c>
      <c r="B88" s="42">
        <v>1</v>
      </c>
      <c r="C88" s="42">
        <v>9.34</v>
      </c>
      <c r="D88" s="42">
        <v>9.34</v>
      </c>
      <c r="E88" s="42" t="e">
        <v>#DIV/0!</v>
      </c>
    </row>
    <row r="91" spans="1:7" ht="15.75" thickBot="1">
      <c r="A91" t="s">
        <v>517</v>
      </c>
    </row>
    <row r="92" spans="1:7">
      <c r="A92" s="43" t="s">
        <v>548</v>
      </c>
      <c r="B92" s="43" t="s">
        <v>479</v>
      </c>
      <c r="C92" s="43" t="s">
        <v>521</v>
      </c>
      <c r="D92" s="43" t="s">
        <v>480</v>
      </c>
      <c r="E92" s="43" t="s">
        <v>522</v>
      </c>
      <c r="F92" s="43" t="s">
        <v>526</v>
      </c>
      <c r="G92" s="43" t="s">
        <v>549</v>
      </c>
    </row>
    <row r="93" spans="1:7">
      <c r="A93" s="41" t="s">
        <v>550</v>
      </c>
      <c r="B93" s="41">
        <v>3.2236935413978358</v>
      </c>
      <c r="C93" s="41">
        <v>4</v>
      </c>
      <c r="D93" s="41">
        <v>0.80592338534945895</v>
      </c>
      <c r="E93" s="41">
        <v>0.9637773434573258</v>
      </c>
      <c r="F93" s="41">
        <v>0.43025788627088424</v>
      </c>
      <c r="G93" s="41">
        <v>2.4505705175600294</v>
      </c>
    </row>
    <row r="94" spans="1:7">
      <c r="A94" s="41" t="s">
        <v>551</v>
      </c>
      <c r="B94" s="41">
        <v>96.164523833602161</v>
      </c>
      <c r="C94" s="41">
        <v>115</v>
      </c>
      <c r="D94" s="41">
        <v>0.83621325072697528</v>
      </c>
      <c r="E94" s="41"/>
      <c r="F94" s="41"/>
      <c r="G94" s="41"/>
    </row>
    <row r="95" spans="1:7">
      <c r="A95" s="41"/>
      <c r="B95" s="41"/>
      <c r="C95" s="41"/>
      <c r="D95" s="41"/>
      <c r="E95" s="41"/>
      <c r="F95" s="41"/>
      <c r="G95" s="41"/>
    </row>
    <row r="96" spans="1:7" ht="15.75" thickBot="1">
      <c r="A96" s="42" t="s">
        <v>483</v>
      </c>
      <c r="B96" s="42">
        <v>99.388217374999996</v>
      </c>
      <c r="C96" s="42">
        <v>119</v>
      </c>
      <c r="D96" s="42"/>
      <c r="E96" s="42"/>
      <c r="F96" s="42"/>
      <c r="G96" s="42"/>
    </row>
    <row r="100" spans="1:7">
      <c r="A100" t="s">
        <v>541</v>
      </c>
      <c r="C100" t="s">
        <v>561</v>
      </c>
    </row>
    <row r="102" spans="1:7" ht="15.75" thickBot="1">
      <c r="A102" t="s">
        <v>542</v>
      </c>
    </row>
    <row r="103" spans="1:7">
      <c r="A103" s="43" t="s">
        <v>543</v>
      </c>
      <c r="B103" s="43" t="s">
        <v>544</v>
      </c>
      <c r="C103" s="43" t="s">
        <v>545</v>
      </c>
      <c r="D103" s="43" t="s">
        <v>546</v>
      </c>
      <c r="E103" s="43" t="s">
        <v>547</v>
      </c>
    </row>
    <row r="104" spans="1:7">
      <c r="A104" s="41" t="s">
        <v>39</v>
      </c>
      <c r="B104" s="41">
        <v>72</v>
      </c>
      <c r="C104" s="41">
        <v>565.41399999999999</v>
      </c>
      <c r="D104" s="41">
        <v>7.8529722222222222</v>
      </c>
      <c r="E104" s="41">
        <v>0.84846283196400973</v>
      </c>
    </row>
    <row r="105" spans="1:7">
      <c r="A105" s="41" t="s">
        <v>37</v>
      </c>
      <c r="B105" s="41">
        <v>37</v>
      </c>
      <c r="C105" s="41">
        <v>288.49099999999999</v>
      </c>
      <c r="D105" s="41">
        <v>7.7970540540540538</v>
      </c>
      <c r="E105" s="41">
        <v>0.93327370880256744</v>
      </c>
    </row>
    <row r="106" spans="1:7">
      <c r="A106" s="41" t="s">
        <v>73</v>
      </c>
      <c r="B106" s="41">
        <v>8</v>
      </c>
      <c r="C106" s="41">
        <v>58.072500000000005</v>
      </c>
      <c r="D106" s="41">
        <v>7.2590625000000006</v>
      </c>
      <c r="E106" s="41">
        <v>0.38737131696426885</v>
      </c>
    </row>
    <row r="107" spans="1:7" ht="15.75" thickBot="1">
      <c r="A107" s="42" t="s">
        <v>38</v>
      </c>
      <c r="B107" s="42">
        <v>3</v>
      </c>
      <c r="C107" s="42">
        <v>22.927499999999998</v>
      </c>
      <c r="D107" s="42">
        <v>7.6424999999999992</v>
      </c>
      <c r="E107" s="42">
        <v>0.11510625000001085</v>
      </c>
    </row>
    <row r="110" spans="1:7" ht="15.75" thickBot="1">
      <c r="A110" t="s">
        <v>517</v>
      </c>
    </row>
    <row r="111" spans="1:7">
      <c r="A111" s="43" t="s">
        <v>548</v>
      </c>
      <c r="B111" s="43" t="s">
        <v>479</v>
      </c>
      <c r="C111" s="43" t="s">
        <v>521</v>
      </c>
      <c r="D111" s="43" t="s">
        <v>480</v>
      </c>
      <c r="E111" s="43" t="s">
        <v>522</v>
      </c>
      <c r="F111" s="43" t="s">
        <v>526</v>
      </c>
      <c r="G111" s="43" t="s">
        <v>549</v>
      </c>
    </row>
    <row r="112" spans="1:7">
      <c r="A112" s="41" t="s">
        <v>550</v>
      </c>
      <c r="B112" s="41">
        <v>2.6076910699136278</v>
      </c>
      <c r="C112" s="41">
        <v>3</v>
      </c>
      <c r="D112" s="41">
        <v>0.86923035663787596</v>
      </c>
      <c r="E112" s="41">
        <v>1.0418492771173782</v>
      </c>
      <c r="F112" s="41">
        <v>0.37685071435817152</v>
      </c>
      <c r="G112" s="41">
        <v>2.6828094149339776</v>
      </c>
    </row>
    <row r="113" spans="1:7">
      <c r="A113" s="41" t="s">
        <v>551</v>
      </c>
      <c r="B113" s="41">
        <v>96.780526305086354</v>
      </c>
      <c r="C113" s="41">
        <v>116</v>
      </c>
      <c r="D113" s="41">
        <v>0.8343148819403996</v>
      </c>
      <c r="E113" s="41"/>
      <c r="F113" s="41"/>
      <c r="G113" s="41"/>
    </row>
    <row r="114" spans="1:7">
      <c r="A114" s="41"/>
      <c r="B114" s="41"/>
      <c r="C114" s="41"/>
      <c r="D114" s="41"/>
      <c r="E114" s="41"/>
      <c r="F114" s="41"/>
      <c r="G114" s="41"/>
    </row>
    <row r="115" spans="1:7" ht="15.75" thickBot="1">
      <c r="A115" s="42" t="s">
        <v>483</v>
      </c>
      <c r="B115" s="42">
        <v>99.388217374999982</v>
      </c>
      <c r="C115" s="42">
        <v>119</v>
      </c>
      <c r="D115" s="42"/>
      <c r="E115" s="42"/>
      <c r="F115" s="42"/>
      <c r="G115" s="42"/>
    </row>
    <row r="119" spans="1:7">
      <c r="A119" t="s">
        <v>541</v>
      </c>
      <c r="C119" t="s">
        <v>567</v>
      </c>
    </row>
    <row r="121" spans="1:7" ht="15.75" thickBot="1">
      <c r="A121" t="s">
        <v>542</v>
      </c>
    </row>
    <row r="122" spans="1:7">
      <c r="A122" s="43" t="s">
        <v>543</v>
      </c>
      <c r="B122" s="43" t="s">
        <v>544</v>
      </c>
      <c r="C122" s="43" t="s">
        <v>545</v>
      </c>
      <c r="D122" s="43" t="s">
        <v>546</v>
      </c>
      <c r="E122" s="43" t="s">
        <v>547</v>
      </c>
    </row>
    <row r="123" spans="1:7">
      <c r="A123" s="41" t="s">
        <v>51</v>
      </c>
      <c r="B123" s="41">
        <v>40</v>
      </c>
      <c r="C123" s="41">
        <v>321.09199999999998</v>
      </c>
      <c r="D123" s="41">
        <v>8.0273000000000003</v>
      </c>
      <c r="E123" s="41">
        <v>0.87026326987179115</v>
      </c>
    </row>
    <row r="124" spans="1:7">
      <c r="A124" s="41" t="s">
        <v>61</v>
      </c>
      <c r="B124" s="41">
        <v>11</v>
      </c>
      <c r="C124" s="41">
        <v>86.471750000000014</v>
      </c>
      <c r="D124" s="41">
        <v>7.8610681818181831</v>
      </c>
      <c r="E124" s="41">
        <v>0.74534952613634009</v>
      </c>
    </row>
    <row r="125" spans="1:7" ht="15.75" thickBot="1">
      <c r="A125" s="42" t="s">
        <v>36</v>
      </c>
      <c r="B125" s="42">
        <v>2</v>
      </c>
      <c r="C125" s="42">
        <v>18.745000000000001</v>
      </c>
      <c r="D125" s="42">
        <v>9.3725000000000005</v>
      </c>
      <c r="E125" s="42">
        <v>1.2012499999968895E-2</v>
      </c>
    </row>
    <row r="128" spans="1:7" ht="15.75" thickBot="1">
      <c r="A128" t="s">
        <v>517</v>
      </c>
    </row>
    <row r="129" spans="1:7">
      <c r="A129" s="43" t="s">
        <v>548</v>
      </c>
      <c r="B129" s="43" t="s">
        <v>479</v>
      </c>
      <c r="C129" s="43" t="s">
        <v>521</v>
      </c>
      <c r="D129" s="43" t="s">
        <v>480</v>
      </c>
      <c r="E129" s="43" t="s">
        <v>522</v>
      </c>
      <c r="F129" s="43" t="s">
        <v>526</v>
      </c>
      <c r="G129" s="43" t="s">
        <v>549</v>
      </c>
    </row>
    <row r="130" spans="1:7">
      <c r="A130" s="41" t="s">
        <v>550</v>
      </c>
      <c r="B130" s="41">
        <v>3.9090744518439209</v>
      </c>
      <c r="C130" s="41">
        <v>2</v>
      </c>
      <c r="D130" s="41">
        <v>1.9545372259219604</v>
      </c>
      <c r="E130" s="41">
        <v>2.3602229548949634</v>
      </c>
      <c r="F130" s="41">
        <v>0.10483575205748025</v>
      </c>
      <c r="G130" s="41">
        <v>3.1826098520920123</v>
      </c>
    </row>
    <row r="131" spans="1:7">
      <c r="A131" s="41" t="s">
        <v>551</v>
      </c>
      <c r="B131" s="41">
        <v>41.405775286363635</v>
      </c>
      <c r="C131" s="41">
        <v>50</v>
      </c>
      <c r="D131" s="41">
        <v>0.82811550572727266</v>
      </c>
      <c r="E131" s="41"/>
      <c r="F131" s="41"/>
      <c r="G131" s="41"/>
    </row>
    <row r="132" spans="1:7">
      <c r="A132" s="41"/>
      <c r="B132" s="41"/>
      <c r="C132" s="41"/>
      <c r="D132" s="41"/>
      <c r="E132" s="41"/>
      <c r="F132" s="41"/>
      <c r="G132" s="41"/>
    </row>
    <row r="133" spans="1:7" ht="15.75" thickBot="1">
      <c r="A133" s="42" t="s">
        <v>483</v>
      </c>
      <c r="B133" s="42">
        <v>45.314849738207556</v>
      </c>
      <c r="C133" s="42">
        <v>52</v>
      </c>
      <c r="D133" s="42"/>
      <c r="E133" s="42"/>
      <c r="F133" s="42"/>
      <c r="G133" s="4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BD123"/>
  <sheetViews>
    <sheetView topLeftCell="J35" workbookViewId="0">
      <selection activeCell="V16" sqref="V16"/>
    </sheetView>
  </sheetViews>
  <sheetFormatPr defaultRowHeight="21" customHeight="1"/>
  <cols>
    <col min="1" max="1" width="9.140625" style="34"/>
    <col min="2" max="2" width="18.28515625" style="34" bestFit="1" customWidth="1"/>
    <col min="3" max="3" width="10" style="34" bestFit="1" customWidth="1"/>
    <col min="4" max="4" width="10" style="34" customWidth="1"/>
    <col min="5" max="5" width="16.140625" style="34" bestFit="1" customWidth="1"/>
    <col min="6" max="7" width="9.140625" style="34" bestFit="1" customWidth="1"/>
    <col min="8" max="8" width="10.140625" style="34" bestFit="1" customWidth="1"/>
    <col min="9" max="9" width="18.28515625" style="34" bestFit="1" customWidth="1"/>
    <col min="10" max="10" width="10" style="34" customWidth="1"/>
    <col min="11" max="11" width="28.85546875" style="34" bestFit="1" customWidth="1"/>
    <col min="12" max="12" width="10" style="34" bestFit="1" customWidth="1"/>
    <col min="13" max="14" width="10" style="34" customWidth="1"/>
    <col min="15" max="15" width="17.28515625" style="34" bestFit="1" customWidth="1"/>
    <col min="16" max="17" width="28.85546875" style="34" bestFit="1" customWidth="1"/>
    <col min="18" max="18" width="11.140625" style="34" customWidth="1"/>
    <col min="19" max="19" width="28.85546875" style="34" bestFit="1" customWidth="1"/>
    <col min="20" max="20" width="10" style="34" bestFit="1" customWidth="1"/>
    <col min="21" max="22" width="9.140625" style="34"/>
    <col min="23" max="23" width="17.28515625" style="34" bestFit="1" customWidth="1"/>
    <col min="24" max="25" width="29" style="34" bestFit="1" customWidth="1"/>
    <col min="26" max="26" width="9.140625" style="34"/>
    <col min="27" max="27" width="28.85546875" bestFit="1" customWidth="1"/>
    <col min="28" max="28" width="10" style="34" bestFit="1" customWidth="1"/>
    <col min="29" max="29" width="9.140625" style="34"/>
    <col min="30" max="30" width="17.28515625" style="34" bestFit="1" customWidth="1"/>
    <col min="31" max="34" width="28.85546875" style="34" bestFit="1" customWidth="1"/>
    <col min="35" max="35" width="18.28515625" style="34" bestFit="1" customWidth="1"/>
    <col min="36" max="36" width="9.140625" style="34"/>
    <col min="37" max="37" width="30.140625" bestFit="1" customWidth="1"/>
    <col min="38" max="38" width="10.140625" style="34" bestFit="1" customWidth="1"/>
    <col min="39" max="39" width="10.140625" style="34" customWidth="1"/>
    <col min="40" max="40" width="16.140625" style="34" bestFit="1" customWidth="1"/>
    <col min="41" max="41" width="27.85546875" style="34" bestFit="1" customWidth="1"/>
    <col min="42" max="43" width="28.85546875" style="34" bestFit="1" customWidth="1"/>
    <col min="44" max="44" width="18.28515625" style="34" bestFit="1" customWidth="1"/>
    <col min="45" max="45" width="9.140625" style="34"/>
    <col min="46" max="46" width="38.85546875" bestFit="1" customWidth="1"/>
    <col min="47" max="47" width="10.140625" style="34" bestFit="1" customWidth="1"/>
    <col min="48" max="48" width="9.140625" style="34"/>
    <col min="49" max="49" width="16.140625" style="34" bestFit="1" customWidth="1"/>
    <col min="50" max="50" width="28" style="34" bestFit="1" customWidth="1"/>
    <col min="51" max="52" width="29" style="34" bestFit="1" customWidth="1"/>
    <col min="53" max="53" width="18.42578125" style="34" bestFit="1" customWidth="1"/>
    <col min="54" max="16384" width="9.140625" style="34"/>
  </cols>
  <sheetData>
    <row r="2" spans="2:56" ht="21" customHeight="1">
      <c r="E2" s="85" t="s">
        <v>450</v>
      </c>
      <c r="F2" s="85"/>
      <c r="G2" s="85"/>
      <c r="H2" s="85"/>
      <c r="I2" s="85"/>
      <c r="N2" s="85" t="s">
        <v>553</v>
      </c>
      <c r="O2" s="85"/>
      <c r="P2" s="85"/>
      <c r="Q2" s="85"/>
      <c r="V2" s="85" t="s">
        <v>553</v>
      </c>
      <c r="W2" s="85"/>
      <c r="X2" s="85"/>
      <c r="Y2" s="85"/>
    </row>
    <row r="3" spans="2:56" ht="21" customHeight="1">
      <c r="B3" s="35" t="s">
        <v>450</v>
      </c>
      <c r="C3" s="35" t="s">
        <v>494</v>
      </c>
      <c r="D3" s="35"/>
      <c r="E3" s="34" t="s">
        <v>66</v>
      </c>
      <c r="F3" s="34" t="s">
        <v>34</v>
      </c>
      <c r="G3" s="34" t="s">
        <v>117</v>
      </c>
      <c r="H3" s="34" t="s">
        <v>48</v>
      </c>
      <c r="I3" s="34" t="s">
        <v>104</v>
      </c>
      <c r="J3" s="35"/>
      <c r="K3" s="50" t="s">
        <v>539</v>
      </c>
      <c r="L3" s="35" t="s">
        <v>494</v>
      </c>
      <c r="M3" s="35"/>
      <c r="N3" s="35" t="s">
        <v>43</v>
      </c>
      <c r="O3" s="35" t="s">
        <v>51</v>
      </c>
      <c r="P3" s="35" t="s">
        <v>61</v>
      </c>
      <c r="Q3" s="35" t="s">
        <v>36</v>
      </c>
      <c r="S3" s="50" t="s">
        <v>540</v>
      </c>
      <c r="T3" s="35" t="s">
        <v>494</v>
      </c>
      <c r="V3" s="35" t="s">
        <v>43</v>
      </c>
      <c r="W3" s="35" t="s">
        <v>51</v>
      </c>
      <c r="X3" s="35" t="s">
        <v>61</v>
      </c>
      <c r="Y3" s="35" t="s">
        <v>36</v>
      </c>
      <c r="AA3" s="7" t="s">
        <v>555</v>
      </c>
      <c r="AB3" s="35" t="s">
        <v>494</v>
      </c>
      <c r="AD3" s="6" t="s">
        <v>51</v>
      </c>
      <c r="AE3" s="6" t="s">
        <v>61</v>
      </c>
      <c r="AF3" s="6" t="s">
        <v>36</v>
      </c>
      <c r="AG3" s="6" t="s">
        <v>98</v>
      </c>
      <c r="AH3" s="6" t="s">
        <v>68</v>
      </c>
      <c r="AI3" s="6" t="s">
        <v>126</v>
      </c>
      <c r="AK3" s="6" t="s">
        <v>557</v>
      </c>
      <c r="AL3" s="35" t="s">
        <v>558</v>
      </c>
      <c r="AM3" s="35"/>
      <c r="AN3" s="6" t="s">
        <v>39</v>
      </c>
      <c r="AO3" s="6" t="s">
        <v>37</v>
      </c>
      <c r="AP3" s="6" t="s">
        <v>73</v>
      </c>
      <c r="AQ3" s="6" t="s">
        <v>38</v>
      </c>
      <c r="AR3" s="6" t="s">
        <v>133</v>
      </c>
      <c r="AT3" s="6" t="s">
        <v>559</v>
      </c>
      <c r="AU3" s="35" t="s">
        <v>558</v>
      </c>
      <c r="AW3" s="6" t="s">
        <v>39</v>
      </c>
      <c r="AX3" s="6" t="s">
        <v>37</v>
      </c>
      <c r="AY3" s="6" t="s">
        <v>73</v>
      </c>
      <c r="AZ3" s="6" t="s">
        <v>38</v>
      </c>
      <c r="BA3" s="6"/>
      <c r="BD3" s="35" t="s">
        <v>558</v>
      </c>
    </row>
    <row r="4" spans="2:56" ht="21" customHeight="1">
      <c r="B4" s="34" t="s">
        <v>34</v>
      </c>
      <c r="C4" s="49">
        <v>7.4</v>
      </c>
      <c r="D4" s="49"/>
      <c r="E4" s="49">
        <v>7.7949999999999999</v>
      </c>
      <c r="F4" s="49">
        <v>7.4</v>
      </c>
      <c r="G4" s="49">
        <v>7.0540000000000003</v>
      </c>
      <c r="H4" s="49">
        <v>9.5174999999999983</v>
      </c>
      <c r="I4" s="49">
        <v>7.7750000000000004</v>
      </c>
      <c r="J4" s="49"/>
      <c r="K4" s="34" t="s">
        <v>61</v>
      </c>
      <c r="L4" s="49">
        <v>8.4499999999999993</v>
      </c>
      <c r="M4" s="49"/>
      <c r="N4" s="49">
        <v>7.4</v>
      </c>
      <c r="O4" s="49">
        <v>9.5174999999999983</v>
      </c>
      <c r="P4" s="49">
        <v>8.4499999999999993</v>
      </c>
      <c r="Q4" s="49">
        <v>9.4499999999999993</v>
      </c>
      <c r="S4" s="34" t="s">
        <v>61</v>
      </c>
      <c r="T4" s="49">
        <v>7.6025</v>
      </c>
      <c r="V4" s="49">
        <v>7.4</v>
      </c>
      <c r="W4" s="49">
        <v>7.7949999999999999</v>
      </c>
      <c r="X4" s="49">
        <v>7.6025</v>
      </c>
      <c r="Y4" s="49">
        <v>7.2</v>
      </c>
      <c r="AA4" t="s">
        <v>61</v>
      </c>
      <c r="AB4" s="11">
        <v>9.2999999999999989</v>
      </c>
      <c r="AD4" s="11">
        <v>9.5174999999999983</v>
      </c>
      <c r="AE4" s="11">
        <v>9.2999999999999989</v>
      </c>
      <c r="AF4" s="11">
        <v>7.4</v>
      </c>
      <c r="AG4" s="11">
        <v>9.1325000000000003</v>
      </c>
      <c r="AH4" s="11">
        <v>7.7949999999999999</v>
      </c>
      <c r="AI4" s="11">
        <v>7.3682500000000006</v>
      </c>
      <c r="AK4" t="s">
        <v>73</v>
      </c>
      <c r="AL4" s="11">
        <v>8.0500000000000007</v>
      </c>
      <c r="AM4" s="11"/>
      <c r="AN4" s="11">
        <v>9.5174999999999983</v>
      </c>
      <c r="AO4" s="11">
        <v>7.4</v>
      </c>
      <c r="AP4" s="11">
        <v>8.0500000000000007</v>
      </c>
      <c r="AQ4" s="11">
        <v>8.17</v>
      </c>
      <c r="AR4" s="11">
        <v>9.34</v>
      </c>
      <c r="AT4" t="s">
        <v>73</v>
      </c>
      <c r="AU4" s="11">
        <v>7.2</v>
      </c>
      <c r="AW4" s="11">
        <v>7.4</v>
      </c>
      <c r="AX4" s="11">
        <v>8.0500000000000007</v>
      </c>
      <c r="AY4" s="11">
        <v>7.2</v>
      </c>
      <c r="AZ4" s="11">
        <v>7.6025</v>
      </c>
      <c r="BD4" s="11">
        <v>7.4</v>
      </c>
    </row>
    <row r="5" spans="2:56" ht="21" customHeight="1">
      <c r="B5" s="34" t="s">
        <v>34</v>
      </c>
      <c r="C5" s="49">
        <v>7.6025</v>
      </c>
      <c r="D5" s="49"/>
      <c r="E5" s="49">
        <v>8.17</v>
      </c>
      <c r="F5" s="49">
        <v>7.6025</v>
      </c>
      <c r="G5" s="49">
        <v>7.7749999999999995</v>
      </c>
      <c r="H5" s="49">
        <v>8.2750000000000004</v>
      </c>
      <c r="I5" s="49">
        <v>9.34</v>
      </c>
      <c r="J5" s="49"/>
      <c r="K5" s="34" t="s">
        <v>61</v>
      </c>
      <c r="L5" s="49">
        <v>8.5820000000000007</v>
      </c>
      <c r="M5" s="49"/>
      <c r="N5" s="49">
        <v>7.6025</v>
      </c>
      <c r="O5" s="49">
        <v>8.5749999999999993</v>
      </c>
      <c r="P5" s="49">
        <v>8.5820000000000007</v>
      </c>
      <c r="Q5" s="49">
        <v>9.2950000000000017</v>
      </c>
      <c r="S5" s="34" t="s">
        <v>61</v>
      </c>
      <c r="T5" s="49">
        <v>8.17</v>
      </c>
      <c r="V5" s="49">
        <v>9.5174999999999983</v>
      </c>
      <c r="W5" s="49">
        <v>8.5749999999999993</v>
      </c>
      <c r="X5" s="49">
        <v>8.17</v>
      </c>
      <c r="Y5" s="49">
        <v>9.125</v>
      </c>
      <c r="AA5" t="s">
        <v>61</v>
      </c>
      <c r="AB5" s="11">
        <v>7.2</v>
      </c>
      <c r="AD5" s="11">
        <v>8.125</v>
      </c>
      <c r="AE5" s="11">
        <v>7.2</v>
      </c>
      <c r="AF5" s="11">
        <v>7.6025</v>
      </c>
      <c r="AG5" s="11">
        <v>8.0825000000000014</v>
      </c>
      <c r="AH5" s="11">
        <v>8.5749999999999993</v>
      </c>
      <c r="AI5" s="11">
        <v>7.2465000000000002</v>
      </c>
      <c r="AK5" t="s">
        <v>73</v>
      </c>
      <c r="AL5" s="11">
        <v>8.2750000000000004</v>
      </c>
      <c r="AM5" s="11"/>
      <c r="AN5" s="11">
        <v>7.7949999999999999</v>
      </c>
      <c r="AO5" s="11">
        <v>7.6025</v>
      </c>
      <c r="AP5" s="11">
        <v>8.2750000000000004</v>
      </c>
      <c r="AQ5" s="11">
        <v>8.0825000000000014</v>
      </c>
      <c r="AT5" t="s">
        <v>73</v>
      </c>
      <c r="AU5" s="11">
        <v>8.125</v>
      </c>
      <c r="AW5" s="11">
        <v>9.5174999999999983</v>
      </c>
      <c r="AX5" s="11">
        <v>7.3682500000000006</v>
      </c>
      <c r="AY5" s="11">
        <v>8.125</v>
      </c>
      <c r="AZ5" s="11">
        <v>8</v>
      </c>
      <c r="BD5" s="11">
        <v>9.5174999999999983</v>
      </c>
    </row>
    <row r="6" spans="2:56" ht="21" customHeight="1">
      <c r="B6" s="34" t="s">
        <v>34</v>
      </c>
      <c r="C6" s="49">
        <v>8.5749999999999993</v>
      </c>
      <c r="D6" s="49"/>
      <c r="E6" s="49">
        <v>9.0749999999999993</v>
      </c>
      <c r="F6" s="49">
        <v>8.5749999999999993</v>
      </c>
      <c r="G6" s="49">
        <v>8.1</v>
      </c>
      <c r="H6" s="49">
        <v>7.7750000000000004</v>
      </c>
      <c r="I6" s="49"/>
      <c r="J6" s="49"/>
      <c r="K6" s="34" t="s">
        <v>61</v>
      </c>
      <c r="L6" s="49">
        <v>7.7750000000000004</v>
      </c>
      <c r="M6" s="49"/>
      <c r="N6" s="49">
        <v>7.7949999999999999</v>
      </c>
      <c r="O6" s="49">
        <v>8.125</v>
      </c>
      <c r="P6" s="49">
        <v>7.7750000000000004</v>
      </c>
      <c r="Q6" s="49"/>
      <c r="S6" s="34" t="s">
        <v>61</v>
      </c>
      <c r="T6" s="49">
        <v>8.4499999999999993</v>
      </c>
      <c r="V6" s="49">
        <v>8.2750000000000004</v>
      </c>
      <c r="W6" s="49">
        <v>8.125</v>
      </c>
      <c r="X6" s="49">
        <v>8.4499999999999993</v>
      </c>
      <c r="Y6" s="49">
        <v>6.2750000000000004</v>
      </c>
      <c r="AA6" t="s">
        <v>61</v>
      </c>
      <c r="AB6" s="11">
        <v>6.8500000000000005</v>
      </c>
      <c r="AD6" s="11">
        <v>8.0500000000000007</v>
      </c>
      <c r="AE6" s="11">
        <v>6.8500000000000005</v>
      </c>
      <c r="AF6" s="11">
        <v>9.0749999999999993</v>
      </c>
      <c r="AG6" s="11">
        <v>9.125</v>
      </c>
      <c r="AH6" s="11">
        <v>8.17</v>
      </c>
      <c r="AI6" s="11">
        <v>7.8872499999999999</v>
      </c>
      <c r="AK6" t="s">
        <v>73</v>
      </c>
      <c r="AL6" s="11">
        <v>6.2750000000000004</v>
      </c>
      <c r="AM6" s="11"/>
      <c r="AN6" s="11">
        <v>8.5749999999999993</v>
      </c>
      <c r="AO6" s="11">
        <v>9.0749999999999993</v>
      </c>
      <c r="AP6" s="11">
        <v>6.2750000000000004</v>
      </c>
      <c r="AQ6" s="11">
        <v>7.125</v>
      </c>
      <c r="AT6" t="s">
        <v>73</v>
      </c>
      <c r="AU6" s="11">
        <v>6.2750000000000004</v>
      </c>
      <c r="AW6" s="11">
        <v>7.7949999999999999</v>
      </c>
      <c r="AX6" s="11">
        <v>7.2465000000000002</v>
      </c>
      <c r="AY6" s="11">
        <v>6.2750000000000004</v>
      </c>
      <c r="AZ6" s="11">
        <v>7.3249999999999993</v>
      </c>
      <c r="BD6" s="11">
        <v>7.6025</v>
      </c>
    </row>
    <row r="7" spans="2:56" ht="21" customHeight="1">
      <c r="B7" s="34" t="s">
        <v>34</v>
      </c>
      <c r="C7" s="49">
        <v>8.125</v>
      </c>
      <c r="D7" s="49"/>
      <c r="E7" s="49">
        <v>5.97</v>
      </c>
      <c r="F7" s="49">
        <v>8.125</v>
      </c>
      <c r="G7" s="49">
        <v>8.5820000000000007</v>
      </c>
      <c r="H7" s="49">
        <v>7.625</v>
      </c>
      <c r="I7" s="49"/>
      <c r="J7" s="49"/>
      <c r="K7" s="34" t="s">
        <v>61</v>
      </c>
      <c r="L7" s="49">
        <v>6.5749999999999993</v>
      </c>
      <c r="M7" s="49"/>
      <c r="N7" s="49">
        <v>8.0500000000000007</v>
      </c>
      <c r="O7" s="49">
        <v>8.17</v>
      </c>
      <c r="P7" s="49">
        <v>6.5749999999999993</v>
      </c>
      <c r="Q7" s="49"/>
      <c r="S7" s="34" t="s">
        <v>61</v>
      </c>
      <c r="T7" s="49">
        <v>7.9125000000000005</v>
      </c>
      <c r="V7" s="49">
        <v>9.1325000000000003</v>
      </c>
      <c r="W7" s="49">
        <v>8.0500000000000007</v>
      </c>
      <c r="X7" s="49">
        <v>7.9125000000000005</v>
      </c>
      <c r="Y7" s="49">
        <v>7.2249999999999996</v>
      </c>
      <c r="AA7" t="s">
        <v>61</v>
      </c>
      <c r="AB7" s="11">
        <v>7.2212499999999995</v>
      </c>
      <c r="AD7" s="11">
        <v>7.7750000000000004</v>
      </c>
      <c r="AE7" s="11">
        <v>7.2212499999999995</v>
      </c>
      <c r="AF7" s="11">
        <v>5.97</v>
      </c>
      <c r="AG7" s="11">
        <v>7.2750000000000004</v>
      </c>
      <c r="AH7" s="11">
        <v>8.2750000000000004</v>
      </c>
      <c r="AI7" s="11">
        <v>9.34</v>
      </c>
      <c r="AK7" t="s">
        <v>73</v>
      </c>
      <c r="AL7" s="11">
        <v>7.7</v>
      </c>
      <c r="AM7" s="11"/>
      <c r="AN7" s="11">
        <v>8.125</v>
      </c>
      <c r="AO7" s="11">
        <v>7.7750000000000004</v>
      </c>
      <c r="AP7" s="11">
        <v>7.7</v>
      </c>
      <c r="AQ7" s="11">
        <v>7.8872499999999999</v>
      </c>
      <c r="AT7" t="s">
        <v>73</v>
      </c>
      <c r="AU7" s="11">
        <v>7.7750000000000004</v>
      </c>
      <c r="AW7" s="11">
        <v>8.5749999999999993</v>
      </c>
      <c r="AX7" s="11">
        <v>9.2999999999999989</v>
      </c>
      <c r="AY7" s="11">
        <v>7.7750000000000004</v>
      </c>
      <c r="BD7" s="11">
        <v>7.7949999999999999</v>
      </c>
    </row>
    <row r="8" spans="2:56" ht="21" customHeight="1">
      <c r="B8" s="34" t="s">
        <v>34</v>
      </c>
      <c r="C8" s="49">
        <v>8.0500000000000007</v>
      </c>
      <c r="D8" s="49"/>
      <c r="E8" s="49">
        <v>8</v>
      </c>
      <c r="F8" s="49">
        <v>8.0500000000000007</v>
      </c>
      <c r="G8" s="49">
        <v>7.7887500000000003</v>
      </c>
      <c r="H8" s="49">
        <v>7.7874999999999996</v>
      </c>
      <c r="I8" s="49"/>
      <c r="J8" s="49"/>
      <c r="K8" s="34" t="s">
        <v>61</v>
      </c>
      <c r="L8" s="49">
        <v>9.5650000000000013</v>
      </c>
      <c r="M8" s="49"/>
      <c r="N8" s="49">
        <v>8.2750000000000004</v>
      </c>
      <c r="O8" s="49">
        <v>9.0749999999999993</v>
      </c>
      <c r="P8" s="49">
        <v>9.5650000000000013</v>
      </c>
      <c r="Q8" s="49"/>
      <c r="S8" s="34" t="s">
        <v>61</v>
      </c>
      <c r="T8" s="49">
        <v>6.5477499999999997</v>
      </c>
      <c r="V8" s="49">
        <v>5.97</v>
      </c>
      <c r="W8" s="49">
        <v>9.0749999999999993</v>
      </c>
      <c r="X8" s="49">
        <v>6.5477499999999997</v>
      </c>
      <c r="AA8" t="s">
        <v>61</v>
      </c>
      <c r="AB8" s="11">
        <v>8.125</v>
      </c>
      <c r="AD8" s="11">
        <v>8.4499999999999993</v>
      </c>
      <c r="AE8" s="11">
        <v>8.125</v>
      </c>
      <c r="AF8" s="11">
        <v>7.0540000000000003</v>
      </c>
      <c r="AG8" s="11">
        <v>6.5749999999999993</v>
      </c>
      <c r="AH8" s="11">
        <v>8</v>
      </c>
      <c r="AK8" t="s">
        <v>73</v>
      </c>
      <c r="AL8" s="11">
        <v>6.5749999999999993</v>
      </c>
      <c r="AM8" s="11"/>
      <c r="AN8" s="11">
        <v>9.1325000000000003</v>
      </c>
      <c r="AO8" s="11">
        <v>5.97</v>
      </c>
      <c r="AP8" s="11">
        <v>6.5749999999999993</v>
      </c>
      <c r="AQ8" s="11">
        <v>8.9274999999999984</v>
      </c>
      <c r="AT8" t="s">
        <v>73</v>
      </c>
      <c r="AU8" s="11">
        <v>7.4124999999999996</v>
      </c>
      <c r="AW8" s="11">
        <v>8.125</v>
      </c>
      <c r="AX8" s="11">
        <v>8.0825000000000014</v>
      </c>
      <c r="AY8" s="11">
        <v>7.4124999999999996</v>
      </c>
      <c r="BD8" s="11">
        <v>8.5749999999999993</v>
      </c>
    </row>
    <row r="9" spans="2:56" ht="21" customHeight="1">
      <c r="B9" s="34" t="s">
        <v>34</v>
      </c>
      <c r="C9" s="49">
        <v>9.1325000000000003</v>
      </c>
      <c r="D9" s="49"/>
      <c r="E9" s="49">
        <v>7.3682500000000006</v>
      </c>
      <c r="F9" s="49">
        <v>9.1325000000000003</v>
      </c>
      <c r="G9" s="49">
        <v>6.8500000000000005</v>
      </c>
      <c r="H9" s="49"/>
      <c r="I9" s="49"/>
      <c r="J9" s="49"/>
      <c r="K9" s="34" t="s">
        <v>61</v>
      </c>
      <c r="L9" s="49">
        <v>7.2249999999999996</v>
      </c>
      <c r="M9" s="49"/>
      <c r="N9" s="49">
        <v>9.1325000000000003</v>
      </c>
      <c r="O9" s="49">
        <v>7.7750000000000004</v>
      </c>
      <c r="P9" s="49">
        <v>7.2249999999999996</v>
      </c>
      <c r="Q9" s="49"/>
      <c r="S9" s="34" t="s">
        <v>61</v>
      </c>
      <c r="T9" s="49">
        <v>7.7</v>
      </c>
      <c r="V9" s="49">
        <v>7.3682500000000006</v>
      </c>
      <c r="W9" s="49">
        <v>7.7750000000000004</v>
      </c>
      <c r="X9" s="49">
        <v>7.7</v>
      </c>
      <c r="AA9" t="s">
        <v>61</v>
      </c>
      <c r="AB9" s="11">
        <v>7.125</v>
      </c>
      <c r="AD9" s="11">
        <v>8.1</v>
      </c>
      <c r="AE9" s="11">
        <v>7.125</v>
      </c>
      <c r="AF9" s="11">
        <v>6.7750000000000004</v>
      </c>
      <c r="AG9" s="11">
        <v>9.5650000000000013</v>
      </c>
      <c r="AH9" s="11">
        <v>7.7749999999999995</v>
      </c>
      <c r="AK9" t="s">
        <v>73</v>
      </c>
      <c r="AL9" s="11">
        <v>8.85</v>
      </c>
      <c r="AM9" s="11"/>
      <c r="AN9" s="11">
        <v>8.4499999999999993</v>
      </c>
      <c r="AO9" s="11">
        <v>7.0540000000000003</v>
      </c>
      <c r="AP9" s="11">
        <v>8.85</v>
      </c>
      <c r="AQ9" s="11">
        <v>7.3249999999999993</v>
      </c>
      <c r="AT9" t="s">
        <v>73</v>
      </c>
      <c r="AU9" s="11">
        <v>6.7249999999999996</v>
      </c>
      <c r="AW9" s="11">
        <v>8.17</v>
      </c>
      <c r="AX9" s="11">
        <v>7.2212499999999995</v>
      </c>
      <c r="AY9" s="11">
        <v>6.7249999999999996</v>
      </c>
      <c r="BD9" s="11">
        <v>8.125</v>
      </c>
    </row>
    <row r="10" spans="2:56" ht="21" customHeight="1">
      <c r="B10" s="34" t="s">
        <v>34</v>
      </c>
      <c r="C10" s="49">
        <v>8.4499999999999993</v>
      </c>
      <c r="D10" s="49"/>
      <c r="E10" s="49">
        <v>9.125</v>
      </c>
      <c r="F10" s="49">
        <v>8.4499999999999993</v>
      </c>
      <c r="G10" s="49">
        <v>8.1875</v>
      </c>
      <c r="H10" s="49"/>
      <c r="I10" s="49"/>
      <c r="J10" s="49"/>
      <c r="K10" s="34" t="s">
        <v>61</v>
      </c>
      <c r="L10" s="49">
        <v>7.8872499999999999</v>
      </c>
      <c r="M10" s="49"/>
      <c r="N10" s="49">
        <v>5.97</v>
      </c>
      <c r="O10" s="49">
        <v>7.0540000000000003</v>
      </c>
      <c r="P10" s="49">
        <v>7.8872499999999999</v>
      </c>
      <c r="Q10" s="49"/>
      <c r="S10" s="34" t="s">
        <v>61</v>
      </c>
      <c r="T10" s="49">
        <v>5.8405000000000005</v>
      </c>
      <c r="V10" s="49">
        <v>7.7749999999999995</v>
      </c>
      <c r="W10" s="49">
        <v>7.0540000000000003</v>
      </c>
      <c r="X10" s="49">
        <v>5.8405000000000005</v>
      </c>
      <c r="AA10" t="s">
        <v>61</v>
      </c>
      <c r="AB10" s="11">
        <v>6.5477499999999997</v>
      </c>
      <c r="AD10" s="11">
        <v>7.7887500000000003</v>
      </c>
      <c r="AE10" s="11">
        <v>6.5477499999999997</v>
      </c>
      <c r="AF10" s="11">
        <v>7.5307499999999994</v>
      </c>
      <c r="AG10" s="11">
        <v>7.0249999999999995</v>
      </c>
      <c r="AH10" s="11">
        <v>7.7</v>
      </c>
      <c r="AK10" t="s">
        <v>73</v>
      </c>
      <c r="AL10" s="11">
        <v>7.2249999999999996</v>
      </c>
      <c r="AM10" s="11"/>
      <c r="AN10" s="11">
        <v>8</v>
      </c>
      <c r="AO10" s="11">
        <v>6.7750000000000004</v>
      </c>
      <c r="AP10" s="11">
        <v>7.2249999999999996</v>
      </c>
      <c r="AQ10" s="11">
        <v>7.4750000000000005</v>
      </c>
      <c r="AT10" t="s">
        <v>73</v>
      </c>
      <c r="AU10" s="11">
        <v>6.8249999999999993</v>
      </c>
      <c r="AW10" s="11">
        <v>8.2750000000000004</v>
      </c>
      <c r="AX10" s="11">
        <v>9.125</v>
      </c>
      <c r="AY10" s="11">
        <v>6.8249999999999993</v>
      </c>
      <c r="BD10" s="11">
        <v>8.17</v>
      </c>
    </row>
    <row r="11" spans="2:56" ht="21" customHeight="1">
      <c r="B11" s="34" t="s">
        <v>34</v>
      </c>
      <c r="C11" s="49">
        <v>6.7750000000000004</v>
      </c>
      <c r="D11" s="49"/>
      <c r="E11" s="49">
        <v>9.8125</v>
      </c>
      <c r="F11" s="49">
        <v>6.7750000000000004</v>
      </c>
      <c r="G11" s="49">
        <v>8.125</v>
      </c>
      <c r="H11" s="49"/>
      <c r="I11" s="49"/>
      <c r="J11" s="49"/>
      <c r="K11" s="34" t="s">
        <v>61</v>
      </c>
      <c r="L11" s="49">
        <v>8.2250000000000014</v>
      </c>
      <c r="M11" s="49"/>
      <c r="N11" s="49">
        <v>7.3682500000000006</v>
      </c>
      <c r="O11" s="49">
        <v>6.7750000000000004</v>
      </c>
      <c r="P11" s="49">
        <v>8.2250000000000014</v>
      </c>
      <c r="Q11" s="49"/>
      <c r="S11" s="34" t="s">
        <v>61</v>
      </c>
      <c r="T11" s="49">
        <v>6.5749999999999993</v>
      </c>
      <c r="V11" s="49">
        <v>7.7887500000000003</v>
      </c>
      <c r="W11" s="49">
        <v>6.7750000000000004</v>
      </c>
      <c r="X11" s="49">
        <v>6.5749999999999993</v>
      </c>
      <c r="AA11" t="s">
        <v>61</v>
      </c>
      <c r="AB11" s="11">
        <v>8.0250000000000004</v>
      </c>
      <c r="AD11" s="11">
        <v>8.1875</v>
      </c>
      <c r="AE11" s="11">
        <v>8.0250000000000004</v>
      </c>
      <c r="AF11" s="11">
        <v>7.9125000000000005</v>
      </c>
      <c r="AG11" s="11">
        <v>7.2250000000000005</v>
      </c>
      <c r="AH11" s="11">
        <v>7.6850000000000005</v>
      </c>
      <c r="AK11" t="s">
        <v>73</v>
      </c>
      <c r="AL11" s="11">
        <v>7.625</v>
      </c>
      <c r="AM11" s="11"/>
      <c r="AN11" s="11">
        <v>7.7749999999999995</v>
      </c>
      <c r="AO11" s="11">
        <v>7.3682500000000006</v>
      </c>
      <c r="AP11" s="11">
        <v>7.625</v>
      </c>
      <c r="AQ11" s="11">
        <v>7.1282499999999995</v>
      </c>
      <c r="AT11" t="s">
        <v>73</v>
      </c>
      <c r="AU11" s="11">
        <v>7.7349999999999994</v>
      </c>
      <c r="AW11" s="11">
        <v>9.0749999999999993</v>
      </c>
      <c r="AX11" s="11">
        <v>7.125</v>
      </c>
      <c r="AY11" s="11">
        <v>7.7349999999999994</v>
      </c>
      <c r="BD11" s="11">
        <v>8.0500000000000007</v>
      </c>
    </row>
    <row r="12" spans="2:56" ht="21" customHeight="1">
      <c r="B12" s="34" t="s">
        <v>34</v>
      </c>
      <c r="C12" s="49">
        <v>7.2465000000000002</v>
      </c>
      <c r="D12" s="49"/>
      <c r="E12" s="49">
        <v>7.2249999999999996</v>
      </c>
      <c r="F12" s="49">
        <v>7.2465000000000002</v>
      </c>
      <c r="G12" s="49">
        <v>7.125</v>
      </c>
      <c r="H12" s="49"/>
      <c r="I12" s="49"/>
      <c r="J12" s="49"/>
      <c r="K12" s="34" t="s">
        <v>61</v>
      </c>
      <c r="L12" s="49">
        <v>7.7874999999999996</v>
      </c>
      <c r="M12" s="49"/>
      <c r="N12" s="49">
        <v>7.2465000000000002</v>
      </c>
      <c r="O12" s="49">
        <v>8</v>
      </c>
      <c r="P12" s="49">
        <v>7.7874999999999996</v>
      </c>
      <c r="Q12" s="49"/>
      <c r="S12" s="34" t="s">
        <v>61</v>
      </c>
      <c r="T12" s="49">
        <v>9.5650000000000013</v>
      </c>
      <c r="V12" s="49">
        <v>8.125</v>
      </c>
      <c r="W12" s="49">
        <v>8</v>
      </c>
      <c r="X12" s="49">
        <v>9.5650000000000013</v>
      </c>
      <c r="AA12" t="s">
        <v>61</v>
      </c>
      <c r="AB12" s="11">
        <v>5.8405000000000005</v>
      </c>
      <c r="AD12" s="11">
        <v>8.85</v>
      </c>
      <c r="AE12" s="11">
        <v>5.8405000000000005</v>
      </c>
      <c r="AF12" s="11">
        <v>8.5820000000000007</v>
      </c>
      <c r="AG12" s="11">
        <v>8.9975000000000005</v>
      </c>
      <c r="AH12" s="11">
        <v>6.65</v>
      </c>
      <c r="AK12" t="s">
        <v>73</v>
      </c>
      <c r="AL12" s="11">
        <v>6.7249999999999996</v>
      </c>
      <c r="AM12" s="11"/>
      <c r="AN12" s="11">
        <v>7.2465000000000002</v>
      </c>
      <c r="AO12" s="11">
        <v>8.1</v>
      </c>
      <c r="AP12" s="11">
        <v>6.7249999999999996</v>
      </c>
      <c r="AQ12" s="11">
        <v>7.4325000000000001</v>
      </c>
      <c r="AT12" t="s">
        <v>38</v>
      </c>
      <c r="AU12" s="11">
        <v>7.6025</v>
      </c>
      <c r="AW12" s="11">
        <v>9.1325000000000003</v>
      </c>
      <c r="AX12" s="11">
        <v>6.5477499999999997</v>
      </c>
      <c r="BD12" s="11">
        <v>8.2750000000000004</v>
      </c>
    </row>
    <row r="13" spans="2:56" ht="21" customHeight="1">
      <c r="B13" s="34" t="s">
        <v>34</v>
      </c>
      <c r="C13" s="49">
        <v>7.5307499999999994</v>
      </c>
      <c r="D13" s="49"/>
      <c r="E13" s="49">
        <v>6.4675000000000002</v>
      </c>
      <c r="F13" s="49">
        <v>7.5307499999999994</v>
      </c>
      <c r="G13" s="49">
        <v>6.5477499999999997</v>
      </c>
      <c r="H13" s="49"/>
      <c r="I13" s="49"/>
      <c r="J13" s="49"/>
      <c r="K13" s="34" t="s">
        <v>61</v>
      </c>
      <c r="L13" s="49">
        <v>6.65</v>
      </c>
      <c r="M13" s="49"/>
      <c r="N13" s="49">
        <v>8.1</v>
      </c>
      <c r="O13" s="49">
        <v>7.7749999999999995</v>
      </c>
      <c r="P13" s="49">
        <v>6.65</v>
      </c>
      <c r="Q13" s="49"/>
      <c r="S13" s="34" t="s">
        <v>61</v>
      </c>
      <c r="T13" s="49">
        <v>6.7249999999999996</v>
      </c>
      <c r="V13" s="49">
        <v>8.0250000000000004</v>
      </c>
      <c r="W13" s="49">
        <v>7.2465000000000002</v>
      </c>
      <c r="X13" s="49">
        <v>6.7249999999999996</v>
      </c>
      <c r="AA13" t="s">
        <v>61</v>
      </c>
      <c r="AB13" s="11">
        <v>8.6524999999999999</v>
      </c>
      <c r="AD13" s="11">
        <v>7.4124999999999996</v>
      </c>
      <c r="AE13" s="11">
        <v>8.6524999999999999</v>
      </c>
      <c r="AF13" s="11">
        <v>6.2750000000000004</v>
      </c>
      <c r="AG13" s="11">
        <v>8.5249999999999986</v>
      </c>
      <c r="AH13" s="11">
        <v>9.2950000000000017</v>
      </c>
      <c r="AK13" t="s">
        <v>73</v>
      </c>
      <c r="AL13" s="11">
        <v>8.5249999999999986</v>
      </c>
      <c r="AM13" s="11"/>
      <c r="AN13" s="11">
        <v>9.2999999999999989</v>
      </c>
      <c r="AO13" s="11">
        <v>7.5307499999999994</v>
      </c>
      <c r="AP13" s="11">
        <v>8.5249999999999986</v>
      </c>
      <c r="AT13" t="s">
        <v>38</v>
      </c>
      <c r="AU13" s="11">
        <v>8</v>
      </c>
      <c r="AW13" s="11">
        <v>7.7750000000000004</v>
      </c>
      <c r="AX13" s="11">
        <v>5.8405000000000005</v>
      </c>
      <c r="BD13" s="11">
        <v>9.0749999999999993</v>
      </c>
    </row>
    <row r="14" spans="2:56" ht="21" customHeight="1">
      <c r="B14" s="34" t="s">
        <v>34</v>
      </c>
      <c r="C14" s="49">
        <v>7.9125000000000005</v>
      </c>
      <c r="D14" s="49"/>
      <c r="E14" s="49">
        <v>8.9975000000000005</v>
      </c>
      <c r="F14" s="49">
        <v>7.9125000000000005</v>
      </c>
      <c r="G14" s="49">
        <v>8.0250000000000004</v>
      </c>
      <c r="H14" s="49"/>
      <c r="I14" s="49"/>
      <c r="J14" s="49"/>
      <c r="K14" s="34" t="s">
        <v>61</v>
      </c>
      <c r="L14" s="49">
        <v>7.75</v>
      </c>
      <c r="M14" s="49"/>
      <c r="N14" s="49">
        <v>7.5307499999999994</v>
      </c>
      <c r="O14" s="49">
        <v>9.2999999999999989</v>
      </c>
      <c r="P14" s="49">
        <v>7.75</v>
      </c>
      <c r="Q14" s="49"/>
      <c r="S14" s="34" t="s">
        <v>61</v>
      </c>
      <c r="T14" s="49">
        <v>7.8872499999999999</v>
      </c>
      <c r="V14" s="49">
        <v>7.2750000000000004</v>
      </c>
      <c r="W14" s="49">
        <v>8.1</v>
      </c>
      <c r="X14" s="49">
        <v>7.8872499999999999</v>
      </c>
      <c r="AA14" t="s">
        <v>61</v>
      </c>
      <c r="AB14" s="11">
        <v>7.544999999999999</v>
      </c>
      <c r="AD14" s="11">
        <v>7.2249999999999996</v>
      </c>
      <c r="AE14" s="11">
        <v>7.544999999999999</v>
      </c>
      <c r="AF14" s="11">
        <v>7.7750000000000004</v>
      </c>
      <c r="AG14" s="11">
        <v>7.7349999999999994</v>
      </c>
      <c r="AH14" s="11">
        <v>7.1282499999999995</v>
      </c>
      <c r="AK14" t="s">
        <v>73</v>
      </c>
      <c r="AL14" s="11">
        <v>7.7694999999999999</v>
      </c>
      <c r="AM14" s="11"/>
      <c r="AN14" s="11">
        <v>7.2</v>
      </c>
      <c r="AO14" s="11">
        <v>7.9125000000000005</v>
      </c>
      <c r="AP14" s="11">
        <v>7.7694999999999999</v>
      </c>
      <c r="AT14" t="s">
        <v>38</v>
      </c>
      <c r="AU14" s="11">
        <v>7.3249999999999993</v>
      </c>
      <c r="AW14" s="11">
        <v>8.4499999999999993</v>
      </c>
      <c r="AX14" s="11">
        <v>6.5749999999999993</v>
      </c>
      <c r="BD14" s="11">
        <v>9.1325000000000003</v>
      </c>
    </row>
    <row r="15" spans="2:56" ht="21" customHeight="1">
      <c r="B15" s="34" t="s">
        <v>34</v>
      </c>
      <c r="C15" s="49">
        <v>9.2999999999999989</v>
      </c>
      <c r="D15" s="49"/>
      <c r="E15" s="49">
        <v>7.7694999999999999</v>
      </c>
      <c r="F15" s="49">
        <v>9.2999999999999989</v>
      </c>
      <c r="G15" s="49">
        <v>8.85</v>
      </c>
      <c r="H15" s="49"/>
      <c r="I15" s="49"/>
      <c r="J15" s="49"/>
      <c r="K15" s="34" t="s">
        <v>36</v>
      </c>
      <c r="L15" s="49">
        <v>9.4499999999999993</v>
      </c>
      <c r="M15" s="49"/>
      <c r="N15" s="49">
        <v>7.9125000000000005</v>
      </c>
      <c r="O15" s="49">
        <v>8.0825000000000014</v>
      </c>
      <c r="P15" s="49"/>
      <c r="Q15" s="49"/>
      <c r="S15" s="34" t="s">
        <v>61</v>
      </c>
      <c r="T15" s="49">
        <v>8.9975000000000005</v>
      </c>
      <c r="V15" s="49">
        <v>8.6524999999999999</v>
      </c>
      <c r="W15" s="49">
        <v>7.5307499999999994</v>
      </c>
      <c r="X15" s="49">
        <v>8.9975000000000005</v>
      </c>
      <c r="AA15" t="s">
        <v>61</v>
      </c>
      <c r="AB15" s="11">
        <v>6.4675000000000002</v>
      </c>
      <c r="AD15" s="11">
        <v>6.8847500000000004</v>
      </c>
      <c r="AE15" s="11">
        <v>6.4675000000000002</v>
      </c>
      <c r="AF15" s="11">
        <v>9.8125</v>
      </c>
      <c r="AG15" s="11">
        <v>7.7874999999999996</v>
      </c>
      <c r="AK15" t="s">
        <v>73</v>
      </c>
      <c r="AL15" s="11">
        <v>9.120000000000001</v>
      </c>
      <c r="AM15" s="11"/>
      <c r="AN15" s="11">
        <v>9.125</v>
      </c>
      <c r="AO15" s="11">
        <v>8.5820000000000007</v>
      </c>
      <c r="AP15" s="11">
        <v>9.120000000000001</v>
      </c>
      <c r="AT15" t="s">
        <v>37</v>
      </c>
      <c r="AU15" s="11">
        <v>8.0500000000000007</v>
      </c>
      <c r="AW15" s="11">
        <v>5.97</v>
      </c>
      <c r="AX15" s="11">
        <v>8.85</v>
      </c>
      <c r="BD15" s="11">
        <v>7.7750000000000004</v>
      </c>
    </row>
    <row r="16" spans="2:56" ht="21" customHeight="1">
      <c r="B16" s="34" t="s">
        <v>34</v>
      </c>
      <c r="C16" s="49">
        <v>8.0825000000000014</v>
      </c>
      <c r="D16" s="49"/>
      <c r="E16" s="49">
        <v>5.5749999999999993</v>
      </c>
      <c r="F16" s="49">
        <v>8.0825000000000014</v>
      </c>
      <c r="G16" s="49">
        <v>8.6524999999999999</v>
      </c>
      <c r="H16" s="49"/>
      <c r="I16" s="49"/>
      <c r="J16" s="49"/>
      <c r="K16" s="34" t="s">
        <v>36</v>
      </c>
      <c r="L16" s="49">
        <v>9.2950000000000017</v>
      </c>
      <c r="M16" s="49"/>
      <c r="N16" s="49">
        <v>7.7887500000000003</v>
      </c>
      <c r="O16" s="49">
        <v>7.2</v>
      </c>
      <c r="P16" s="49"/>
      <c r="Q16" s="49"/>
      <c r="S16" s="34" t="s">
        <v>61</v>
      </c>
      <c r="T16" s="49">
        <v>8.8500000000000014</v>
      </c>
      <c r="V16" s="49">
        <v>7.7899999999999991</v>
      </c>
      <c r="W16" s="49">
        <v>8.5820000000000007</v>
      </c>
      <c r="X16" s="49">
        <v>8.8500000000000014</v>
      </c>
      <c r="AA16" t="s">
        <v>61</v>
      </c>
      <c r="AB16" s="11">
        <v>7.2</v>
      </c>
      <c r="AD16" s="11">
        <v>7.625</v>
      </c>
      <c r="AE16" s="11">
        <v>7.2</v>
      </c>
      <c r="AF16" s="11">
        <v>7.7899999999999991</v>
      </c>
      <c r="AG16" s="11">
        <v>9.4499999999999993</v>
      </c>
      <c r="AK16" t="s">
        <v>73</v>
      </c>
      <c r="AL16" s="11">
        <v>8.2250000000000014</v>
      </c>
      <c r="AM16" s="11"/>
      <c r="AN16" s="11">
        <v>8.1875</v>
      </c>
      <c r="AO16" s="11">
        <v>7.7887500000000003</v>
      </c>
      <c r="AP16" s="11">
        <v>8.2250000000000014</v>
      </c>
      <c r="AT16" t="s">
        <v>37</v>
      </c>
      <c r="AU16" s="11">
        <v>7.3682500000000006</v>
      </c>
      <c r="AW16" s="11">
        <v>7.0540000000000003</v>
      </c>
      <c r="AX16" s="11">
        <v>7.7899999999999991</v>
      </c>
      <c r="BD16" s="11">
        <v>8.4499999999999993</v>
      </c>
    </row>
    <row r="17" spans="2:56" ht="21" customHeight="1">
      <c r="B17" s="34" t="s">
        <v>34</v>
      </c>
      <c r="C17" s="49">
        <v>7.2</v>
      </c>
      <c r="D17" s="49"/>
      <c r="E17" s="49">
        <v>7.5625</v>
      </c>
      <c r="F17" s="49">
        <v>7.2</v>
      </c>
      <c r="G17" s="49">
        <v>9.5650000000000013</v>
      </c>
      <c r="H17" s="49"/>
      <c r="I17" s="49"/>
      <c r="J17" s="49"/>
      <c r="K17" s="34" t="s">
        <v>51</v>
      </c>
      <c r="L17" s="49">
        <v>9.5174999999999983</v>
      </c>
      <c r="M17" s="49"/>
      <c r="N17" s="49">
        <v>7.2212499999999995</v>
      </c>
      <c r="O17" s="49">
        <v>6.8500000000000005</v>
      </c>
      <c r="P17" s="49"/>
      <c r="Q17" s="49"/>
      <c r="S17" s="34" t="s">
        <v>61</v>
      </c>
      <c r="T17" s="49">
        <v>6.4375</v>
      </c>
      <c r="V17" s="49">
        <v>7.4124999999999996</v>
      </c>
      <c r="W17" s="49">
        <v>9.2999999999999989</v>
      </c>
      <c r="X17" s="49">
        <v>6.4375</v>
      </c>
      <c r="AA17" t="s">
        <v>61</v>
      </c>
      <c r="AB17" s="11">
        <v>6.7249999999999996</v>
      </c>
      <c r="AD17" s="11">
        <v>5.5749999999999993</v>
      </c>
      <c r="AE17" s="11">
        <v>6.7249999999999996</v>
      </c>
      <c r="AF17" s="11">
        <v>7.9249999999999998</v>
      </c>
      <c r="AG17" s="11">
        <v>9.1475000000000009</v>
      </c>
      <c r="AK17" t="s">
        <v>73</v>
      </c>
      <c r="AL17" s="11">
        <v>8.0749999999999993</v>
      </c>
      <c r="AM17" s="11"/>
      <c r="AN17" s="11">
        <v>7.2750000000000004</v>
      </c>
      <c r="AO17" s="11">
        <v>6.8500000000000005</v>
      </c>
      <c r="AP17" s="11">
        <v>8.0749999999999993</v>
      </c>
      <c r="AT17" t="s">
        <v>37</v>
      </c>
      <c r="AU17" s="11">
        <v>7.2465000000000002</v>
      </c>
      <c r="AW17" s="11">
        <v>6.7750000000000004</v>
      </c>
      <c r="AX17" s="11">
        <v>7.2249999999999996</v>
      </c>
      <c r="BD17" s="11">
        <v>5.97</v>
      </c>
    </row>
    <row r="18" spans="2:56" ht="21" customHeight="1">
      <c r="B18" s="34" t="s">
        <v>34</v>
      </c>
      <c r="C18" s="49">
        <v>7.2212499999999995</v>
      </c>
      <c r="D18" s="49"/>
      <c r="E18" s="49">
        <v>6.5750000000000002</v>
      </c>
      <c r="F18" s="49">
        <v>7.2212499999999995</v>
      </c>
      <c r="G18" s="49">
        <v>8.5249999999999986</v>
      </c>
      <c r="H18" s="49"/>
      <c r="I18" s="49"/>
      <c r="J18" s="49"/>
      <c r="K18" s="34" t="s">
        <v>51</v>
      </c>
      <c r="L18" s="49">
        <v>8.5749999999999993</v>
      </c>
      <c r="M18" s="49"/>
      <c r="N18" s="49">
        <v>9.125</v>
      </c>
      <c r="O18" s="49">
        <v>8.0250000000000004</v>
      </c>
      <c r="P18" s="49"/>
      <c r="Q18" s="49"/>
      <c r="S18" s="34" t="s">
        <v>61</v>
      </c>
      <c r="T18" s="49">
        <v>6.8249999999999993</v>
      </c>
      <c r="V18" s="49">
        <v>7.0249999999999995</v>
      </c>
      <c r="W18" s="49">
        <v>8.0825000000000014</v>
      </c>
      <c r="X18" s="49">
        <v>6.8249999999999993</v>
      </c>
      <c r="AA18" t="s">
        <v>61</v>
      </c>
      <c r="AB18" s="11">
        <v>7.3874999999999993</v>
      </c>
      <c r="AD18" s="11">
        <v>8.3049999999999997</v>
      </c>
      <c r="AE18" s="11">
        <v>7.3874999999999993</v>
      </c>
      <c r="AF18" s="11">
        <v>8.0749999999999993</v>
      </c>
      <c r="AG18" s="11">
        <v>8.24</v>
      </c>
      <c r="AK18" t="s">
        <v>73</v>
      </c>
      <c r="AL18" s="11">
        <v>7.1250000000000009</v>
      </c>
      <c r="AM18" s="11"/>
      <c r="AN18" s="11">
        <v>7.4124999999999996</v>
      </c>
      <c r="AO18" s="11">
        <v>7.2212499999999995</v>
      </c>
      <c r="AP18" s="11">
        <v>7.1250000000000009</v>
      </c>
      <c r="AT18" t="s">
        <v>37</v>
      </c>
      <c r="AU18" s="11">
        <v>9.2999999999999989</v>
      </c>
      <c r="AW18" s="11">
        <v>7.7749999999999995</v>
      </c>
      <c r="AX18" s="11">
        <v>7.2</v>
      </c>
      <c r="BD18" s="11">
        <v>7.0540000000000003</v>
      </c>
    </row>
    <row r="19" spans="2:56" ht="21" customHeight="1">
      <c r="B19" s="34" t="s">
        <v>34</v>
      </c>
      <c r="C19" s="49">
        <v>6.2750000000000004</v>
      </c>
      <c r="D19" s="49"/>
      <c r="E19" s="49">
        <v>7.7349999999999994</v>
      </c>
      <c r="F19" s="49">
        <v>6.2750000000000004</v>
      </c>
      <c r="G19" s="49">
        <v>8.2250000000000014</v>
      </c>
      <c r="H19" s="49"/>
      <c r="I19" s="49"/>
      <c r="J19" s="49"/>
      <c r="K19" s="34" t="s">
        <v>51</v>
      </c>
      <c r="L19" s="49">
        <v>8.125</v>
      </c>
      <c r="M19" s="49"/>
      <c r="N19" s="49">
        <v>8.1875</v>
      </c>
      <c r="O19" s="49">
        <v>7.7</v>
      </c>
      <c r="P19" s="49"/>
      <c r="Q19" s="49"/>
      <c r="S19" s="34" t="s">
        <v>61</v>
      </c>
      <c r="T19" s="49">
        <v>8.9274999999999984</v>
      </c>
      <c r="V19" s="49">
        <v>7.625</v>
      </c>
      <c r="W19" s="49">
        <v>6.8500000000000005</v>
      </c>
      <c r="X19" s="49">
        <v>8.9274999999999984</v>
      </c>
      <c r="AA19" t="s">
        <v>61</v>
      </c>
      <c r="AB19" s="11">
        <v>8.5</v>
      </c>
      <c r="AD19" s="11">
        <v>7.4057500000000003</v>
      </c>
      <c r="AE19" s="11">
        <v>8.5</v>
      </c>
      <c r="AF19" s="11">
        <v>8.7124999999999986</v>
      </c>
      <c r="AG19" s="11">
        <v>7.3612500000000001</v>
      </c>
      <c r="AK19" t="s">
        <v>73</v>
      </c>
      <c r="AL19" s="11">
        <v>8.7575000000000003</v>
      </c>
      <c r="AM19" s="11"/>
      <c r="AN19" s="11">
        <v>7.544999999999999</v>
      </c>
      <c r="AO19" s="11">
        <v>8.125</v>
      </c>
      <c r="AP19" s="11">
        <v>8.7575000000000003</v>
      </c>
      <c r="AT19" t="s">
        <v>37</v>
      </c>
      <c r="AU19" s="11">
        <v>8.0825000000000014</v>
      </c>
      <c r="AW19" s="11">
        <v>8.1</v>
      </c>
      <c r="AX19" s="11">
        <v>7.2250000000000005</v>
      </c>
      <c r="BD19" s="11">
        <v>6.7750000000000004</v>
      </c>
    </row>
    <row r="20" spans="2:56" ht="21" customHeight="1">
      <c r="B20" s="34" t="s">
        <v>34</v>
      </c>
      <c r="C20" s="49">
        <v>7.2750000000000004</v>
      </c>
      <c r="D20" s="49"/>
      <c r="E20" s="49">
        <v>8.34</v>
      </c>
      <c r="F20" s="49">
        <v>7.2750000000000004</v>
      </c>
      <c r="G20" s="49">
        <v>8.0749999999999993</v>
      </c>
      <c r="H20" s="49"/>
      <c r="I20" s="49"/>
      <c r="J20" s="49"/>
      <c r="K20" s="34" t="s">
        <v>51</v>
      </c>
      <c r="L20" s="49">
        <v>8.17</v>
      </c>
      <c r="M20" s="49"/>
      <c r="N20" s="49">
        <v>8.125</v>
      </c>
      <c r="O20" s="49">
        <v>8.85</v>
      </c>
      <c r="P20" s="49"/>
      <c r="Q20" s="49"/>
      <c r="S20" s="34" t="s">
        <v>61</v>
      </c>
      <c r="T20" s="49">
        <v>9.4499999999999993</v>
      </c>
      <c r="V20" s="49">
        <v>7.3874999999999993</v>
      </c>
      <c r="W20" s="49">
        <v>7.2212499999999995</v>
      </c>
      <c r="X20" s="49">
        <v>9.4499999999999993</v>
      </c>
      <c r="AA20" t="s">
        <v>61</v>
      </c>
      <c r="AB20" s="11">
        <v>7.2750000000000004</v>
      </c>
      <c r="AD20" s="11">
        <v>6.8</v>
      </c>
      <c r="AE20" s="11">
        <v>7.2750000000000004</v>
      </c>
      <c r="AF20" s="11">
        <v>8.8500000000000014</v>
      </c>
      <c r="AK20" t="s">
        <v>73</v>
      </c>
      <c r="AL20" s="11">
        <v>9.2950000000000017</v>
      </c>
      <c r="AM20" s="11"/>
      <c r="AN20" s="11">
        <v>7.2750000000000004</v>
      </c>
      <c r="AO20" s="11">
        <v>6.5477499999999997</v>
      </c>
      <c r="AP20" s="11">
        <v>9.2950000000000017</v>
      </c>
      <c r="AT20" t="s">
        <v>37</v>
      </c>
      <c r="AU20" s="11">
        <v>7.2212499999999995</v>
      </c>
      <c r="AW20" s="11">
        <v>7.5307499999999994</v>
      </c>
      <c r="AX20" s="11">
        <v>7.8872499999999999</v>
      </c>
      <c r="BD20" s="11">
        <v>8</v>
      </c>
    </row>
    <row r="21" spans="2:56" ht="21" customHeight="1">
      <c r="B21" s="34" t="s">
        <v>34</v>
      </c>
      <c r="C21" s="49">
        <v>7.7</v>
      </c>
      <c r="D21" s="49"/>
      <c r="E21" s="49">
        <v>6.65</v>
      </c>
      <c r="F21" s="49">
        <v>7.7</v>
      </c>
      <c r="G21" s="49">
        <v>8.9274999999999984</v>
      </c>
      <c r="H21" s="49"/>
      <c r="I21" s="49"/>
      <c r="J21" s="49"/>
      <c r="K21" s="34" t="s">
        <v>51</v>
      </c>
      <c r="L21" s="49">
        <v>9.0749999999999993</v>
      </c>
      <c r="M21" s="49"/>
      <c r="N21" s="49">
        <v>6.2750000000000004</v>
      </c>
      <c r="O21" s="49">
        <v>8.6524999999999999</v>
      </c>
      <c r="P21" s="49"/>
      <c r="Q21" s="49"/>
      <c r="S21" s="34" t="s">
        <v>61</v>
      </c>
      <c r="T21" s="49">
        <v>8.7575000000000003</v>
      </c>
      <c r="V21" s="49">
        <v>8.5</v>
      </c>
      <c r="W21" s="49">
        <v>8.1875</v>
      </c>
      <c r="X21" s="49">
        <v>8.7575000000000003</v>
      </c>
      <c r="AA21" t="s">
        <v>61</v>
      </c>
      <c r="AB21" s="11">
        <v>9.8825000000000003</v>
      </c>
      <c r="AE21" s="11">
        <v>9.8825000000000003</v>
      </c>
      <c r="AF21" s="11">
        <v>6.4375</v>
      </c>
      <c r="AK21" t="s">
        <v>73</v>
      </c>
      <c r="AL21" s="11">
        <v>8.10975</v>
      </c>
      <c r="AM21" s="11"/>
      <c r="AN21" s="11">
        <v>8.0399999999999991</v>
      </c>
      <c r="AO21" s="11">
        <v>7.7750000000000004</v>
      </c>
      <c r="AP21" s="11">
        <v>8.10975</v>
      </c>
      <c r="AT21" t="s">
        <v>37</v>
      </c>
      <c r="AU21" s="11">
        <v>9.125</v>
      </c>
      <c r="AW21" s="11">
        <v>7.9125000000000005</v>
      </c>
      <c r="AX21" s="11">
        <v>8.0399999999999991</v>
      </c>
      <c r="BD21" s="11">
        <v>7.3682500000000006</v>
      </c>
    </row>
    <row r="22" spans="2:56" ht="21" customHeight="1">
      <c r="B22" s="34" t="s">
        <v>34</v>
      </c>
      <c r="C22" s="49">
        <v>5.8405000000000005</v>
      </c>
      <c r="D22" s="49"/>
      <c r="E22" s="49">
        <v>9.1475000000000009</v>
      </c>
      <c r="F22" s="49">
        <v>5.8405000000000005</v>
      </c>
      <c r="G22" s="49">
        <v>7.1250000000000009</v>
      </c>
      <c r="H22" s="49"/>
      <c r="I22" s="49"/>
      <c r="J22" s="49"/>
      <c r="K22" s="34" t="s">
        <v>51</v>
      </c>
      <c r="L22" s="49">
        <v>7.7750000000000004</v>
      </c>
      <c r="M22" s="49"/>
      <c r="N22" s="49">
        <v>7.125</v>
      </c>
      <c r="O22" s="49">
        <v>7.4124999999999996</v>
      </c>
      <c r="P22" s="49"/>
      <c r="Q22" s="49"/>
      <c r="S22" s="34" t="s">
        <v>61</v>
      </c>
      <c r="T22" s="49">
        <v>8.10975</v>
      </c>
      <c r="V22" s="49">
        <v>8.0749999999999993</v>
      </c>
      <c r="W22" s="49">
        <v>7.125</v>
      </c>
      <c r="X22" s="49">
        <v>8.10975</v>
      </c>
      <c r="AA22" t="s">
        <v>61</v>
      </c>
      <c r="AB22" s="11">
        <v>8.0399999999999991</v>
      </c>
      <c r="AE22" s="11">
        <v>8.0399999999999991</v>
      </c>
      <c r="AF22" s="11">
        <v>8.9274999999999984</v>
      </c>
      <c r="AK22" t="s">
        <v>38</v>
      </c>
      <c r="AL22" s="11">
        <v>8.17</v>
      </c>
      <c r="AM22" s="11"/>
      <c r="AN22" s="11">
        <v>8.8500000000000014</v>
      </c>
      <c r="AO22" s="11">
        <v>8.0250000000000004</v>
      </c>
      <c r="AP22" s="11"/>
      <c r="AT22" t="s">
        <v>37</v>
      </c>
      <c r="AU22" s="11">
        <v>7.125</v>
      </c>
      <c r="AW22" s="11">
        <v>8.5820000000000007</v>
      </c>
      <c r="AX22" s="11">
        <v>8.9975000000000005</v>
      </c>
      <c r="BD22" s="11">
        <v>7.7749999999999995</v>
      </c>
    </row>
    <row r="23" spans="2:56" ht="21" customHeight="1">
      <c r="B23" s="34" t="s">
        <v>34</v>
      </c>
      <c r="C23" s="49">
        <v>6.5749999999999993</v>
      </c>
      <c r="D23" s="49"/>
      <c r="E23" s="49">
        <v>8.24</v>
      </c>
      <c r="F23" s="49">
        <v>6.5749999999999993</v>
      </c>
      <c r="G23" s="49">
        <v>7.3249999999999993</v>
      </c>
      <c r="H23" s="49"/>
      <c r="I23" s="49"/>
      <c r="J23" s="49"/>
      <c r="K23" s="34" t="s">
        <v>51</v>
      </c>
      <c r="L23" s="49">
        <v>7.0540000000000003</v>
      </c>
      <c r="M23" s="49"/>
      <c r="N23" s="49">
        <v>6.5477499999999997</v>
      </c>
      <c r="O23" s="49">
        <v>7.0249999999999995</v>
      </c>
      <c r="P23" s="49"/>
      <c r="Q23" s="49"/>
      <c r="S23" s="34" t="s">
        <v>61</v>
      </c>
      <c r="T23" s="49">
        <v>7.4057500000000003</v>
      </c>
      <c r="V23" s="49">
        <v>8.0975000000000001</v>
      </c>
      <c r="W23" s="49">
        <v>7.7750000000000004</v>
      </c>
      <c r="X23" s="49">
        <v>7.4057500000000003</v>
      </c>
      <c r="AA23" t="s">
        <v>61</v>
      </c>
      <c r="AB23" s="11">
        <v>8.0975000000000001</v>
      </c>
      <c r="AE23" s="11">
        <v>8.0975000000000001</v>
      </c>
      <c r="AF23" s="11">
        <v>7.1250000000000009</v>
      </c>
      <c r="AK23" t="s">
        <v>38</v>
      </c>
      <c r="AL23" s="11">
        <v>8.0825000000000014</v>
      </c>
      <c r="AM23" s="11"/>
      <c r="AN23" s="11">
        <v>5.5749999999999993</v>
      </c>
      <c r="AO23" s="11">
        <v>5.8405000000000005</v>
      </c>
      <c r="AP23" s="11"/>
      <c r="AT23" t="s">
        <v>37</v>
      </c>
      <c r="AU23" s="11">
        <v>6.5477499999999997</v>
      </c>
      <c r="AW23" s="11">
        <v>7.7887500000000003</v>
      </c>
      <c r="AX23" s="11">
        <v>8.5249999999999986</v>
      </c>
      <c r="BD23" s="11">
        <v>7.2465000000000002</v>
      </c>
    </row>
    <row r="24" spans="2:56" ht="21" customHeight="1">
      <c r="B24" s="34" t="s">
        <v>34</v>
      </c>
      <c r="C24" s="49">
        <v>7.7899999999999991</v>
      </c>
      <c r="D24" s="49"/>
      <c r="E24" s="49">
        <v>9.2950000000000017</v>
      </c>
      <c r="F24" s="49">
        <v>7.7899999999999991</v>
      </c>
      <c r="G24" s="49">
        <v>8.3049999999999997</v>
      </c>
      <c r="H24" s="49"/>
      <c r="I24" s="49"/>
      <c r="J24" s="49"/>
      <c r="K24" s="34" t="s">
        <v>51</v>
      </c>
      <c r="L24" s="49">
        <v>6.7750000000000004</v>
      </c>
      <c r="M24" s="49"/>
      <c r="N24" s="49">
        <v>7.2750000000000004</v>
      </c>
      <c r="O24" s="49">
        <v>7.2</v>
      </c>
      <c r="P24" s="49"/>
      <c r="Q24" s="49"/>
      <c r="S24" s="34" t="s">
        <v>61</v>
      </c>
      <c r="T24" s="49">
        <v>7.1582499999999998</v>
      </c>
      <c r="V24" s="49">
        <v>8.2250000000000014</v>
      </c>
      <c r="W24" s="49">
        <v>9.8125</v>
      </c>
      <c r="X24" s="49">
        <v>7.1582499999999998</v>
      </c>
      <c r="AA24" t="s">
        <v>61</v>
      </c>
      <c r="AB24" s="11">
        <v>7.7694999999999999</v>
      </c>
      <c r="AE24" s="11">
        <v>7.7694999999999999</v>
      </c>
      <c r="AF24" s="11">
        <v>7.0475000000000003</v>
      </c>
      <c r="AK24" t="s">
        <v>38</v>
      </c>
      <c r="AL24" s="11">
        <v>7.125</v>
      </c>
      <c r="AM24" s="11"/>
      <c r="AN24" s="11">
        <v>7.7349999999999994</v>
      </c>
      <c r="AO24" s="11">
        <v>9.8125</v>
      </c>
      <c r="AP24" s="11"/>
      <c r="AT24" t="s">
        <v>37</v>
      </c>
      <c r="AU24" s="11">
        <v>5.8405000000000005</v>
      </c>
      <c r="AW24" s="11">
        <v>6.8500000000000005</v>
      </c>
      <c r="AX24" s="11">
        <v>7.7694999999999999</v>
      </c>
      <c r="BD24" s="11">
        <v>8.1</v>
      </c>
    </row>
    <row r="25" spans="2:56" ht="21" customHeight="1">
      <c r="B25" s="34" t="s">
        <v>34</v>
      </c>
      <c r="C25" s="49">
        <v>7.4124999999999996</v>
      </c>
      <c r="D25" s="49"/>
      <c r="E25" s="49">
        <v>7.75</v>
      </c>
      <c r="F25" s="49">
        <v>7.4124999999999996</v>
      </c>
      <c r="G25" s="49">
        <v>7.1344999999999992</v>
      </c>
      <c r="H25" s="49"/>
      <c r="I25" s="49"/>
      <c r="J25" s="49"/>
      <c r="K25" s="34" t="s">
        <v>51</v>
      </c>
      <c r="L25" s="49">
        <v>8</v>
      </c>
      <c r="M25" s="49"/>
      <c r="N25" s="49">
        <v>5.8405000000000005</v>
      </c>
      <c r="O25" s="49">
        <v>7.2250000000000005</v>
      </c>
      <c r="P25" s="49"/>
      <c r="Q25" s="49"/>
      <c r="S25" s="34" t="s">
        <v>36</v>
      </c>
      <c r="T25" s="49">
        <v>7.2</v>
      </c>
      <c r="V25" s="49">
        <v>8.0749999999999993</v>
      </c>
      <c r="W25" s="49">
        <v>8.85</v>
      </c>
      <c r="AA25" t="s">
        <v>61</v>
      </c>
      <c r="AB25" s="11">
        <v>9.120000000000001</v>
      </c>
      <c r="AE25" s="11">
        <v>9.120000000000001</v>
      </c>
      <c r="AF25" s="11">
        <v>7.5625</v>
      </c>
      <c r="AK25" t="s">
        <v>38</v>
      </c>
      <c r="AL25" s="11">
        <v>7.8872499999999999</v>
      </c>
      <c r="AM25" s="11"/>
      <c r="AN25" s="11">
        <v>8.34</v>
      </c>
      <c r="AO25" s="11">
        <v>8.6524999999999999</v>
      </c>
      <c r="AP25" s="11"/>
      <c r="AT25" t="s">
        <v>37</v>
      </c>
      <c r="AU25" s="11">
        <v>6.5749999999999993</v>
      </c>
      <c r="AW25" s="11">
        <v>8.1875</v>
      </c>
      <c r="AX25" s="11">
        <v>8.8500000000000014</v>
      </c>
      <c r="BD25" s="11">
        <v>7.5307499999999994</v>
      </c>
    </row>
    <row r="26" spans="2:56" ht="21" customHeight="1">
      <c r="B26" s="34" t="s">
        <v>34</v>
      </c>
      <c r="C26" s="49">
        <v>7.544999999999999</v>
      </c>
      <c r="D26" s="49"/>
      <c r="E26" s="49">
        <v>7.05</v>
      </c>
      <c r="F26" s="49">
        <v>7.544999999999999</v>
      </c>
      <c r="G26" s="49">
        <v>8.0950000000000006</v>
      </c>
      <c r="H26" s="49"/>
      <c r="I26" s="49"/>
      <c r="J26" s="49"/>
      <c r="K26" s="34" t="s">
        <v>51</v>
      </c>
      <c r="L26" s="49">
        <v>7.7749999999999995</v>
      </c>
      <c r="M26" s="49"/>
      <c r="N26" s="49">
        <v>9.8125</v>
      </c>
      <c r="O26" s="49">
        <v>6.7249999999999996</v>
      </c>
      <c r="P26" s="49"/>
      <c r="Q26" s="49"/>
      <c r="S26" s="34" t="s">
        <v>36</v>
      </c>
      <c r="T26" s="49">
        <v>9.125</v>
      </c>
      <c r="V26" s="49">
        <v>9.34</v>
      </c>
      <c r="W26" s="49">
        <v>7.544999999999999</v>
      </c>
      <c r="AA26" t="s">
        <v>61</v>
      </c>
      <c r="AB26" s="11">
        <v>6.8249999999999993</v>
      </c>
      <c r="AE26" s="11">
        <v>6.8249999999999993</v>
      </c>
      <c r="AF26" s="11">
        <v>6.5750000000000002</v>
      </c>
      <c r="AK26" t="s">
        <v>38</v>
      </c>
      <c r="AL26" s="11">
        <v>8.9274999999999984</v>
      </c>
      <c r="AM26" s="11"/>
      <c r="AN26" s="11">
        <v>7.669999999999999</v>
      </c>
      <c r="AO26" s="11">
        <v>7.7899999999999991</v>
      </c>
      <c r="AP26" s="11"/>
      <c r="AT26" t="s">
        <v>37</v>
      </c>
      <c r="AU26" s="11">
        <v>8.85</v>
      </c>
      <c r="AW26" s="11">
        <v>8.0250000000000004</v>
      </c>
      <c r="AX26" s="11">
        <v>6.4375</v>
      </c>
      <c r="BD26" s="11">
        <v>7.9125000000000005</v>
      </c>
    </row>
    <row r="27" spans="2:56" ht="21" customHeight="1">
      <c r="B27" s="34" t="s">
        <v>34</v>
      </c>
      <c r="C27" s="49">
        <v>7.0249999999999995</v>
      </c>
      <c r="D27" s="49"/>
      <c r="E27" s="49">
        <v>6.8</v>
      </c>
      <c r="F27" s="49">
        <v>7.0249999999999995</v>
      </c>
      <c r="G27" s="49">
        <v>7.4750000000000005</v>
      </c>
      <c r="H27" s="49"/>
      <c r="I27" s="49"/>
      <c r="J27" s="49"/>
      <c r="K27" s="34" t="s">
        <v>51</v>
      </c>
      <c r="L27" s="49">
        <v>9.2999999999999989</v>
      </c>
      <c r="M27" s="49"/>
      <c r="N27" s="49">
        <v>7.7899999999999991</v>
      </c>
      <c r="O27" s="49">
        <v>7.9249999999999998</v>
      </c>
      <c r="P27" s="49"/>
      <c r="Q27" s="49"/>
      <c r="S27" s="34" t="s">
        <v>36</v>
      </c>
      <c r="T27" s="49">
        <v>6.2750000000000004</v>
      </c>
      <c r="V27" s="49">
        <v>7.5625</v>
      </c>
      <c r="W27" s="49">
        <v>6.4675000000000002</v>
      </c>
      <c r="AA27" t="s">
        <v>61</v>
      </c>
      <c r="AB27" s="11">
        <v>8.2250000000000014</v>
      </c>
      <c r="AE27" s="11">
        <v>8.2250000000000014</v>
      </c>
      <c r="AF27" s="11">
        <v>7.4074999999999989</v>
      </c>
      <c r="AK27" t="s">
        <v>38</v>
      </c>
      <c r="AL27" s="11">
        <v>7.3249999999999993</v>
      </c>
      <c r="AM27" s="11"/>
      <c r="AN27" s="11">
        <v>8.0950000000000006</v>
      </c>
      <c r="AO27" s="11">
        <v>9.5650000000000013</v>
      </c>
      <c r="AP27" s="11"/>
      <c r="AT27" t="s">
        <v>37</v>
      </c>
      <c r="AU27" s="11">
        <v>7.7899999999999991</v>
      </c>
      <c r="AW27" s="11">
        <v>7.2750000000000004</v>
      </c>
      <c r="AX27" s="11">
        <v>8.3049999999999997</v>
      </c>
      <c r="BD27" s="11">
        <v>8.5820000000000007</v>
      </c>
    </row>
    <row r="28" spans="2:56" ht="21" customHeight="1">
      <c r="B28" s="34" t="s">
        <v>34</v>
      </c>
      <c r="C28" s="49">
        <v>6.8847500000000004</v>
      </c>
      <c r="D28" s="49"/>
      <c r="E28" s="49">
        <v>7.4750000000000005</v>
      </c>
      <c r="F28" s="49">
        <v>6.8847500000000004</v>
      </c>
      <c r="G28" s="49">
        <v>9.1875</v>
      </c>
      <c r="H28" s="49"/>
      <c r="I28" s="49"/>
      <c r="J28" s="49"/>
      <c r="K28" s="34" t="s">
        <v>51</v>
      </c>
      <c r="L28" s="49">
        <v>8.0825000000000014</v>
      </c>
      <c r="M28" s="49"/>
      <c r="N28" s="49">
        <v>7.544999999999999</v>
      </c>
      <c r="O28" s="49">
        <v>9.8825000000000003</v>
      </c>
      <c r="P28" s="49"/>
      <c r="Q28" s="49"/>
      <c r="S28" s="34" t="s">
        <v>36</v>
      </c>
      <c r="T28" s="49">
        <v>7.2249999999999996</v>
      </c>
      <c r="V28" s="49">
        <v>8.34</v>
      </c>
      <c r="W28" s="49">
        <v>6.8847500000000004</v>
      </c>
      <c r="AA28" t="s">
        <v>61</v>
      </c>
      <c r="AB28" s="11">
        <v>8.0749999999999993</v>
      </c>
      <c r="AE28" s="11">
        <v>8.0749999999999993</v>
      </c>
      <c r="AF28" s="11">
        <v>6.8549999999999995</v>
      </c>
      <c r="AK28" t="s">
        <v>38</v>
      </c>
      <c r="AL28" s="11">
        <v>7.4750000000000005</v>
      </c>
      <c r="AM28" s="11"/>
      <c r="AN28" s="11">
        <v>8.24</v>
      </c>
      <c r="AO28" s="11">
        <v>6.4675000000000002</v>
      </c>
      <c r="AP28" s="11"/>
      <c r="AT28" t="s">
        <v>37</v>
      </c>
      <c r="AU28" s="11">
        <v>7.2249999999999996</v>
      </c>
      <c r="AW28" s="11">
        <v>7.7</v>
      </c>
      <c r="AX28" s="11">
        <v>7.7874999999999996</v>
      </c>
      <c r="BD28" s="11">
        <v>9.2999999999999989</v>
      </c>
    </row>
    <row r="29" spans="2:56" ht="21" customHeight="1">
      <c r="B29" s="34" t="s">
        <v>34</v>
      </c>
      <c r="C29" s="49">
        <v>7.2</v>
      </c>
      <c r="D29" s="49"/>
      <c r="E29" s="49">
        <v>7.1282499999999995</v>
      </c>
      <c r="F29" s="49">
        <v>7.2</v>
      </c>
      <c r="G29" s="49">
        <v>8.3535000000000004</v>
      </c>
      <c r="H29" s="49"/>
      <c r="I29" s="49"/>
      <c r="J29" s="49"/>
      <c r="K29" s="34" t="s">
        <v>51</v>
      </c>
      <c r="L29" s="49">
        <v>7.2</v>
      </c>
      <c r="M29" s="49"/>
      <c r="N29" s="49">
        <v>6.4675000000000002</v>
      </c>
      <c r="O29" s="49">
        <v>8.0749999999999993</v>
      </c>
      <c r="P29" s="49"/>
      <c r="Q29" s="49"/>
      <c r="S29" s="34" t="s">
        <v>51</v>
      </c>
      <c r="T29" s="49">
        <v>7.7949999999999999</v>
      </c>
      <c r="V29" s="49">
        <v>7.4074999999999989</v>
      </c>
      <c r="W29" s="49">
        <v>7.2</v>
      </c>
      <c r="AA29" t="s">
        <v>61</v>
      </c>
      <c r="AB29" s="11">
        <v>7.3249999999999993</v>
      </c>
      <c r="AE29" s="11">
        <v>7.3249999999999993</v>
      </c>
      <c r="AF29" s="11">
        <v>7.1344999999999992</v>
      </c>
      <c r="AK29" t="s">
        <v>38</v>
      </c>
      <c r="AL29" s="11">
        <v>7.1282499999999995</v>
      </c>
      <c r="AM29" s="11"/>
      <c r="AN29" s="11">
        <v>7.4057500000000003</v>
      </c>
      <c r="AO29" s="11">
        <v>7.0249999999999995</v>
      </c>
      <c r="AP29" s="11"/>
      <c r="AT29" t="s">
        <v>37</v>
      </c>
      <c r="AU29" s="11">
        <v>7.2</v>
      </c>
      <c r="AW29" s="11">
        <v>9.8125</v>
      </c>
      <c r="AX29" s="11">
        <v>6.65</v>
      </c>
      <c r="BD29" s="11">
        <v>7.7887500000000003</v>
      </c>
    </row>
    <row r="30" spans="2:56" ht="21" customHeight="1">
      <c r="B30" s="34" t="s">
        <v>34</v>
      </c>
      <c r="C30" s="49">
        <v>7.2250000000000005</v>
      </c>
      <c r="D30" s="49"/>
      <c r="E30" s="49">
        <v>6.2249999999999996</v>
      </c>
      <c r="F30" s="49">
        <v>7.2250000000000005</v>
      </c>
      <c r="G30" s="49">
        <v>8.10975</v>
      </c>
      <c r="H30" s="49"/>
      <c r="I30" s="49"/>
      <c r="J30" s="49"/>
      <c r="K30" s="34" t="s">
        <v>51</v>
      </c>
      <c r="L30" s="49">
        <v>6.8500000000000005</v>
      </c>
      <c r="M30" s="49"/>
      <c r="N30" s="49">
        <v>6.8847500000000004</v>
      </c>
      <c r="O30" s="49">
        <v>8.9975000000000005</v>
      </c>
      <c r="P30" s="49"/>
      <c r="Q30" s="49"/>
      <c r="S30" s="34" t="s">
        <v>51</v>
      </c>
      <c r="T30" s="49">
        <v>8.5749999999999993</v>
      </c>
      <c r="V30" s="49">
        <v>6.65</v>
      </c>
      <c r="W30" s="49">
        <v>7.2250000000000005</v>
      </c>
      <c r="AA30" t="s">
        <v>61</v>
      </c>
      <c r="AB30" s="11">
        <v>8.34</v>
      </c>
      <c r="AE30" s="11">
        <v>8.34</v>
      </c>
      <c r="AF30" s="11">
        <v>9.375</v>
      </c>
      <c r="AK30" t="s">
        <v>38</v>
      </c>
      <c r="AL30" s="11">
        <v>7.4325000000000001</v>
      </c>
      <c r="AM30" s="11"/>
      <c r="AN30" s="11">
        <v>7.3612500000000001</v>
      </c>
      <c r="AO30" s="11">
        <v>6.8847500000000004</v>
      </c>
      <c r="AP30" s="11"/>
      <c r="AT30" t="s">
        <v>37</v>
      </c>
      <c r="AU30" s="11">
        <v>7.2250000000000005</v>
      </c>
      <c r="AW30" s="11">
        <v>8.6524999999999999</v>
      </c>
      <c r="AX30" s="11">
        <v>6.8549999999999995</v>
      </c>
      <c r="BD30" s="11">
        <v>8.0825000000000014</v>
      </c>
    </row>
    <row r="31" spans="2:56" ht="21" customHeight="1">
      <c r="B31" s="34" t="s">
        <v>34</v>
      </c>
      <c r="C31" s="49">
        <v>6.7249999999999996</v>
      </c>
      <c r="D31" s="49"/>
      <c r="E31" s="49">
        <v>7.05</v>
      </c>
      <c r="F31" s="49">
        <v>6.7249999999999996</v>
      </c>
      <c r="G31" s="49"/>
      <c r="H31" s="49"/>
      <c r="I31" s="49"/>
      <c r="J31" s="49"/>
      <c r="K31" s="34" t="s">
        <v>51</v>
      </c>
      <c r="L31" s="49">
        <v>8.0250000000000004</v>
      </c>
      <c r="M31" s="49"/>
      <c r="N31" s="49">
        <v>7.625</v>
      </c>
      <c r="O31" s="49">
        <v>8.5249999999999986</v>
      </c>
      <c r="P31" s="49"/>
      <c r="Q31" s="49"/>
      <c r="S31" s="34" t="s">
        <v>51</v>
      </c>
      <c r="T31" s="49">
        <v>8.125</v>
      </c>
      <c r="V31" s="49">
        <v>9.1475000000000009</v>
      </c>
      <c r="W31" s="49">
        <v>7.9249999999999998</v>
      </c>
      <c r="AA31" t="s">
        <v>61</v>
      </c>
      <c r="AB31" s="11">
        <v>7.669999999999999</v>
      </c>
      <c r="AE31" s="11">
        <v>7.669999999999999</v>
      </c>
      <c r="AF31" s="11">
        <v>9.5</v>
      </c>
      <c r="AK31" t="s">
        <v>37</v>
      </c>
      <c r="AL31" s="11">
        <v>7.4</v>
      </c>
      <c r="AM31" s="11"/>
      <c r="AN31" s="11">
        <v>6.8</v>
      </c>
      <c r="AO31" s="11">
        <v>7.2</v>
      </c>
      <c r="AP31" s="11"/>
      <c r="AT31" t="s">
        <v>37</v>
      </c>
      <c r="AU31" s="11">
        <v>7.8872499999999999</v>
      </c>
      <c r="AW31" s="11">
        <v>7.544999999999999</v>
      </c>
      <c r="AX31" s="11">
        <v>9.4499999999999993</v>
      </c>
      <c r="BD31" s="11">
        <v>7.2</v>
      </c>
    </row>
    <row r="32" spans="2:56" ht="21" customHeight="1">
      <c r="B32" s="34" t="s">
        <v>34</v>
      </c>
      <c r="C32" s="49">
        <v>7.3874999999999993</v>
      </c>
      <c r="D32" s="49"/>
      <c r="F32" s="49">
        <v>7.3874999999999993</v>
      </c>
      <c r="G32" s="49"/>
      <c r="H32" s="49"/>
      <c r="I32" s="49"/>
      <c r="J32" s="49"/>
      <c r="K32" s="34" t="s">
        <v>51</v>
      </c>
      <c r="L32" s="49">
        <v>7.7</v>
      </c>
      <c r="M32" s="49"/>
      <c r="N32" s="49">
        <v>7.3874999999999993</v>
      </c>
      <c r="O32" s="49">
        <v>8.7124999999999986</v>
      </c>
      <c r="P32" s="49"/>
      <c r="Q32" s="49"/>
      <c r="S32" s="34" t="s">
        <v>51</v>
      </c>
      <c r="T32" s="49">
        <v>8.0500000000000007</v>
      </c>
      <c r="V32" s="49">
        <v>6.8000000000000007</v>
      </c>
      <c r="W32" s="49">
        <v>7.2750000000000004</v>
      </c>
      <c r="AA32" t="s">
        <v>61</v>
      </c>
      <c r="AB32" s="11">
        <v>6.8000000000000007</v>
      </c>
      <c r="AE32" s="11">
        <v>6.8000000000000007</v>
      </c>
      <c r="AF32" s="11">
        <v>7.4750000000000005</v>
      </c>
      <c r="AK32" t="s">
        <v>37</v>
      </c>
      <c r="AL32" s="11">
        <v>7.6025</v>
      </c>
      <c r="AM32" s="11"/>
      <c r="AN32" s="11">
        <v>7.4750000000000005</v>
      </c>
      <c r="AO32" s="11">
        <v>7.2250000000000005</v>
      </c>
      <c r="AP32" s="11"/>
      <c r="AT32" t="s">
        <v>37</v>
      </c>
      <c r="AU32" s="11">
        <v>8.0399999999999991</v>
      </c>
      <c r="AW32" s="11">
        <v>9.5650000000000013</v>
      </c>
      <c r="AX32" s="11">
        <v>7.1344999999999992</v>
      </c>
      <c r="BD32" s="11">
        <v>6.8500000000000005</v>
      </c>
    </row>
    <row r="33" spans="2:56" ht="21" customHeight="1">
      <c r="B33" s="34" t="s">
        <v>34</v>
      </c>
      <c r="C33" s="49">
        <v>7.9249999999999998</v>
      </c>
      <c r="D33" s="49"/>
      <c r="F33" s="49">
        <v>7.9249999999999998</v>
      </c>
      <c r="G33" s="49"/>
      <c r="H33" s="49"/>
      <c r="I33" s="49"/>
      <c r="J33" s="49"/>
      <c r="K33" s="34" t="s">
        <v>51</v>
      </c>
      <c r="L33" s="49">
        <v>8.85</v>
      </c>
      <c r="M33" s="49"/>
      <c r="N33" s="49">
        <v>8.5</v>
      </c>
      <c r="O33" s="49">
        <v>5.5749999999999993</v>
      </c>
      <c r="P33" s="49"/>
      <c r="Q33" s="49"/>
      <c r="S33" s="34" t="s">
        <v>51</v>
      </c>
      <c r="T33" s="49">
        <v>9.0749999999999993</v>
      </c>
      <c r="V33" s="49">
        <v>8.0950000000000006</v>
      </c>
      <c r="W33" s="49">
        <v>9.8825000000000003</v>
      </c>
      <c r="AA33" t="s">
        <v>61</v>
      </c>
      <c r="AB33" s="11">
        <v>8.0950000000000006</v>
      </c>
      <c r="AE33" s="11">
        <v>8.0950000000000006</v>
      </c>
      <c r="AF33" s="11">
        <v>7.75</v>
      </c>
      <c r="AK33" t="s">
        <v>37</v>
      </c>
      <c r="AL33" s="11">
        <v>9.0749999999999993</v>
      </c>
      <c r="AM33" s="11"/>
      <c r="AN33" s="11">
        <v>6.2249999999999996</v>
      </c>
      <c r="AO33" s="11">
        <v>7.3874999999999993</v>
      </c>
      <c r="AP33" s="11"/>
      <c r="AT33" t="s">
        <v>37</v>
      </c>
      <c r="AU33" s="11">
        <v>8.9975000000000005</v>
      </c>
      <c r="AW33" s="11">
        <v>6.4675000000000002</v>
      </c>
      <c r="AX33" s="11">
        <v>9.5</v>
      </c>
      <c r="BD33" s="11">
        <v>7.2212499999999995</v>
      </c>
    </row>
    <row r="34" spans="2:56" ht="21" customHeight="1">
      <c r="B34" s="34" t="s">
        <v>34</v>
      </c>
      <c r="C34" s="49">
        <v>8.5</v>
      </c>
      <c r="D34" s="49"/>
      <c r="E34" s="49"/>
      <c r="F34" s="49">
        <v>8.5</v>
      </c>
      <c r="G34" s="49"/>
      <c r="H34" s="49"/>
      <c r="I34" s="49"/>
      <c r="J34" s="49"/>
      <c r="K34" s="34" t="s">
        <v>51</v>
      </c>
      <c r="L34" s="49">
        <v>8.6524999999999999</v>
      </c>
      <c r="M34" s="49"/>
      <c r="N34" s="49">
        <v>7.2750000000000004</v>
      </c>
      <c r="O34" s="49">
        <v>9.120000000000001</v>
      </c>
      <c r="P34" s="49"/>
      <c r="Q34" s="49"/>
      <c r="S34" s="34" t="s">
        <v>51</v>
      </c>
      <c r="T34" s="49">
        <v>7.7750000000000004</v>
      </c>
      <c r="V34" s="49">
        <v>9.375</v>
      </c>
      <c r="W34" s="49">
        <v>8.0399999999999991</v>
      </c>
      <c r="AA34" t="s">
        <v>61</v>
      </c>
      <c r="AB34" s="11">
        <v>9.1875</v>
      </c>
      <c r="AE34" s="11">
        <v>9.1875</v>
      </c>
      <c r="AF34" s="11">
        <v>8.3535000000000004</v>
      </c>
      <c r="AK34" t="s">
        <v>37</v>
      </c>
      <c r="AL34" s="11">
        <v>7.7750000000000004</v>
      </c>
      <c r="AM34" s="11"/>
      <c r="AN34" s="11"/>
      <c r="AO34" s="11">
        <v>7.9249999999999998</v>
      </c>
      <c r="AP34" s="11"/>
      <c r="AT34" t="s">
        <v>37</v>
      </c>
      <c r="AU34" s="11">
        <v>8.5249999999999986</v>
      </c>
      <c r="AW34" s="11">
        <v>7.0249999999999995</v>
      </c>
      <c r="AX34" s="11">
        <v>8.7575000000000003</v>
      </c>
      <c r="BD34" s="11">
        <v>9.125</v>
      </c>
    </row>
    <row r="35" spans="2:56" ht="21" customHeight="1">
      <c r="B35" s="34" t="s">
        <v>34</v>
      </c>
      <c r="C35" s="49">
        <v>7.2750000000000004</v>
      </c>
      <c r="D35" s="49"/>
      <c r="E35" s="49"/>
      <c r="F35" s="49">
        <v>7.2750000000000004</v>
      </c>
      <c r="G35" s="49"/>
      <c r="H35" s="49"/>
      <c r="I35" s="49"/>
      <c r="J35" s="49"/>
      <c r="K35" s="34" t="s">
        <v>51</v>
      </c>
      <c r="L35" s="49">
        <v>7.4124999999999996</v>
      </c>
      <c r="M35" s="49"/>
      <c r="N35" s="49">
        <v>8.0399999999999991</v>
      </c>
      <c r="O35" s="49">
        <v>7.0475000000000003</v>
      </c>
      <c r="P35" s="49"/>
      <c r="Q35" s="49"/>
      <c r="S35" s="34" t="s">
        <v>51</v>
      </c>
      <c r="T35" s="49">
        <v>7.0540000000000003</v>
      </c>
      <c r="V35" s="49">
        <v>7.4750000000000005</v>
      </c>
      <c r="W35" s="49">
        <v>8.5249999999999986</v>
      </c>
      <c r="AA35" t="s">
        <v>61</v>
      </c>
      <c r="AB35" s="11">
        <v>8.7575000000000003</v>
      </c>
      <c r="AE35" s="11">
        <v>8.7575000000000003</v>
      </c>
      <c r="AF35" s="11">
        <v>7.4750000000000005</v>
      </c>
      <c r="AK35" t="s">
        <v>37</v>
      </c>
      <c r="AL35" s="11">
        <v>5.97</v>
      </c>
      <c r="AM35" s="11"/>
      <c r="AN35" s="11"/>
      <c r="AO35" s="11">
        <v>8.5</v>
      </c>
      <c r="AP35" s="11"/>
      <c r="AT35" t="s">
        <v>37</v>
      </c>
      <c r="AU35" s="11">
        <v>7.7694999999999999</v>
      </c>
      <c r="AW35" s="11">
        <v>6.8847500000000004</v>
      </c>
      <c r="AX35" s="11">
        <v>8.24</v>
      </c>
      <c r="BD35" s="11">
        <v>8.1875</v>
      </c>
    </row>
    <row r="36" spans="2:56" ht="21" customHeight="1">
      <c r="B36" s="34" t="s">
        <v>34</v>
      </c>
      <c r="C36" s="49">
        <v>7.8872499999999999</v>
      </c>
      <c r="D36" s="49"/>
      <c r="E36" s="49"/>
      <c r="F36" s="49">
        <v>7.8872499999999999</v>
      </c>
      <c r="G36" s="49"/>
      <c r="H36" s="49"/>
      <c r="I36" s="49"/>
      <c r="J36" s="49"/>
      <c r="K36" s="34" t="s">
        <v>51</v>
      </c>
      <c r="L36" s="49">
        <v>7.0249999999999995</v>
      </c>
      <c r="M36" s="49"/>
      <c r="N36" s="49">
        <v>8.0975000000000001</v>
      </c>
      <c r="O36" s="49">
        <v>7.7349999999999994</v>
      </c>
      <c r="P36" s="49"/>
      <c r="Q36" s="49"/>
      <c r="S36" s="34" t="s">
        <v>51</v>
      </c>
      <c r="T36" s="49">
        <v>6.7750000000000004</v>
      </c>
      <c r="V36" s="49">
        <v>7.05</v>
      </c>
      <c r="W36" s="49">
        <v>8.7124999999999986</v>
      </c>
      <c r="AA36" t="s">
        <v>61</v>
      </c>
      <c r="AB36" s="11">
        <v>8.10975</v>
      </c>
      <c r="AE36" s="11">
        <v>8.10975</v>
      </c>
      <c r="AF36" s="11">
        <v>7.4325000000000001</v>
      </c>
      <c r="AK36" t="s">
        <v>37</v>
      </c>
      <c r="AL36" s="11">
        <v>7.0540000000000003</v>
      </c>
      <c r="AM36" s="11"/>
      <c r="AN36" s="11"/>
      <c r="AO36" s="11">
        <v>9.8825000000000003</v>
      </c>
      <c r="AP36" s="11"/>
      <c r="AT36" t="s">
        <v>37</v>
      </c>
      <c r="AU36" s="11">
        <v>8.8500000000000014</v>
      </c>
      <c r="AW36" s="11">
        <v>7.625</v>
      </c>
      <c r="AX36" s="11">
        <v>9.2950000000000017</v>
      </c>
      <c r="BD36" s="11">
        <v>8.125</v>
      </c>
    </row>
    <row r="37" spans="2:56" ht="21" customHeight="1">
      <c r="B37" s="34" t="s">
        <v>34</v>
      </c>
      <c r="C37" s="49">
        <v>9.8825000000000003</v>
      </c>
      <c r="D37" s="49"/>
      <c r="E37" s="49"/>
      <c r="F37" s="49">
        <v>9.8825000000000003</v>
      </c>
      <c r="G37" s="49"/>
      <c r="H37" s="49"/>
      <c r="I37" s="49"/>
      <c r="J37" s="49"/>
      <c r="K37" s="34" t="s">
        <v>51</v>
      </c>
      <c r="L37" s="49">
        <v>7.2</v>
      </c>
      <c r="M37" s="49"/>
      <c r="N37" s="49">
        <v>7.7694999999999999</v>
      </c>
      <c r="O37" s="49">
        <v>8.34</v>
      </c>
      <c r="P37" s="49"/>
      <c r="Q37" s="49"/>
      <c r="S37" s="34" t="s">
        <v>51</v>
      </c>
      <c r="T37" s="49">
        <v>8</v>
      </c>
      <c r="V37" s="49">
        <v>7.3612500000000001</v>
      </c>
      <c r="W37" s="49">
        <v>7.7694999999999999</v>
      </c>
      <c r="AA37" t="s">
        <v>61</v>
      </c>
      <c r="AB37" s="11">
        <v>7.05</v>
      </c>
      <c r="AE37" s="11">
        <v>7.05</v>
      </c>
      <c r="AK37" t="s">
        <v>37</v>
      </c>
      <c r="AL37" s="11">
        <v>6.7750000000000004</v>
      </c>
      <c r="AM37" s="11"/>
      <c r="AN37" s="11"/>
      <c r="AO37" s="11">
        <v>8.0749999999999993</v>
      </c>
      <c r="AP37" s="11"/>
      <c r="AT37" t="s">
        <v>37</v>
      </c>
      <c r="AU37" s="11">
        <v>6.4375</v>
      </c>
      <c r="AW37" s="11">
        <v>7.3874999999999993</v>
      </c>
      <c r="AX37" s="11">
        <v>8.10975</v>
      </c>
      <c r="BD37" s="11">
        <v>6.2750000000000004</v>
      </c>
    </row>
    <row r="38" spans="2:56" ht="21" customHeight="1">
      <c r="B38" s="34" t="s">
        <v>34</v>
      </c>
      <c r="C38" s="49">
        <v>8.0749999999999993</v>
      </c>
      <c r="D38" s="49"/>
      <c r="E38" s="49"/>
      <c r="F38" s="49">
        <v>8.0749999999999993</v>
      </c>
      <c r="G38" s="49"/>
      <c r="H38" s="49"/>
      <c r="I38" s="49"/>
      <c r="J38" s="49"/>
      <c r="K38" s="34" t="s">
        <v>51</v>
      </c>
      <c r="L38" s="49">
        <v>7.2250000000000005</v>
      </c>
      <c r="M38" s="49"/>
      <c r="N38" s="49">
        <v>8.8500000000000014</v>
      </c>
      <c r="O38" s="49">
        <v>7.6850000000000005</v>
      </c>
      <c r="P38" s="49"/>
      <c r="Q38" s="49"/>
      <c r="S38" s="34" t="s">
        <v>51</v>
      </c>
      <c r="T38" s="49">
        <v>7.2465000000000002</v>
      </c>
      <c r="V38" s="49">
        <v>6.8250000000000002</v>
      </c>
      <c r="W38" s="49">
        <v>5.5749999999999993</v>
      </c>
      <c r="AA38" t="s">
        <v>61</v>
      </c>
      <c r="AB38" s="11">
        <v>7.1582499999999998</v>
      </c>
      <c r="AE38" s="11">
        <v>7.1582499999999998</v>
      </c>
      <c r="AK38" t="s">
        <v>37</v>
      </c>
      <c r="AL38" s="11">
        <v>7.3682500000000006</v>
      </c>
      <c r="AM38" s="11"/>
      <c r="AN38" s="11"/>
      <c r="AO38" s="11">
        <v>8.9975000000000005</v>
      </c>
      <c r="AP38" s="11"/>
      <c r="AT38" t="s">
        <v>37</v>
      </c>
      <c r="AU38" s="11">
        <v>8.3049999999999997</v>
      </c>
      <c r="AW38" s="11">
        <v>7.9249999999999998</v>
      </c>
      <c r="AX38" s="11">
        <v>7.4750000000000005</v>
      </c>
      <c r="BD38" s="11">
        <v>7.125</v>
      </c>
    </row>
    <row r="39" spans="2:56" ht="21" customHeight="1">
      <c r="B39" s="34" t="s">
        <v>34</v>
      </c>
      <c r="C39" s="49">
        <v>8.0399999999999991</v>
      </c>
      <c r="D39" s="49"/>
      <c r="E39" s="49"/>
      <c r="F39" s="49">
        <v>8.0399999999999991</v>
      </c>
      <c r="G39" s="49"/>
      <c r="H39" s="49"/>
      <c r="I39" s="49"/>
      <c r="J39" s="49"/>
      <c r="K39" s="34" t="s">
        <v>51</v>
      </c>
      <c r="L39" s="49">
        <v>6.7249999999999996</v>
      </c>
      <c r="M39" s="49"/>
      <c r="N39" s="49">
        <v>6.4375</v>
      </c>
      <c r="O39" s="49">
        <v>9.375</v>
      </c>
      <c r="P39" s="49"/>
      <c r="Q39" s="49"/>
      <c r="S39" s="34" t="s">
        <v>51</v>
      </c>
      <c r="T39" s="49">
        <v>8.1</v>
      </c>
      <c r="W39" s="49">
        <v>9.120000000000001</v>
      </c>
      <c r="AA39" t="s">
        <v>61</v>
      </c>
      <c r="AB39" s="11">
        <v>6.8250000000000002</v>
      </c>
      <c r="AE39" s="11">
        <v>6.8250000000000002</v>
      </c>
      <c r="AK39" t="s">
        <v>37</v>
      </c>
      <c r="AL39" s="11">
        <v>8.1</v>
      </c>
      <c r="AM39" s="11"/>
      <c r="AN39" s="11"/>
      <c r="AO39" s="11">
        <v>8.7124999999999986</v>
      </c>
      <c r="AP39" s="11"/>
      <c r="AT39" t="s">
        <v>37</v>
      </c>
      <c r="AU39" s="11">
        <v>7.7874999999999996</v>
      </c>
      <c r="AW39" s="11">
        <v>8.5</v>
      </c>
      <c r="AX39" s="11">
        <v>7.1282499999999995</v>
      </c>
      <c r="BD39" s="11">
        <v>6.5477499999999997</v>
      </c>
    </row>
    <row r="40" spans="2:56" ht="21" customHeight="1">
      <c r="B40" s="34" t="s">
        <v>34</v>
      </c>
      <c r="C40" s="49">
        <v>8.7124999999999986</v>
      </c>
      <c r="D40" s="49"/>
      <c r="E40" s="49"/>
      <c r="F40" s="49">
        <v>8.7124999999999986</v>
      </c>
      <c r="G40" s="49"/>
      <c r="H40" s="49"/>
      <c r="I40" s="49"/>
      <c r="J40" s="49"/>
      <c r="K40" s="34" t="s">
        <v>51</v>
      </c>
      <c r="L40" s="49">
        <v>7.9249999999999998</v>
      </c>
      <c r="M40" s="49"/>
      <c r="N40" s="49">
        <v>6.8249999999999993</v>
      </c>
      <c r="O40" s="49">
        <v>9.5</v>
      </c>
      <c r="P40" s="49"/>
      <c r="Q40" s="49"/>
      <c r="S40" s="34" t="s">
        <v>51</v>
      </c>
      <c r="T40" s="49">
        <v>7.5307499999999994</v>
      </c>
      <c r="W40" s="49">
        <v>7.1250000000000009</v>
      </c>
      <c r="AA40" t="s">
        <v>61</v>
      </c>
      <c r="AB40" s="11">
        <v>6.2249999999999996</v>
      </c>
      <c r="AE40" s="11">
        <v>6.2249999999999996</v>
      </c>
      <c r="AK40" t="s">
        <v>37</v>
      </c>
      <c r="AL40" s="11">
        <v>7.5307499999999994</v>
      </c>
      <c r="AM40" s="11"/>
      <c r="AN40" s="11"/>
      <c r="AO40" s="11">
        <v>8.0975000000000001</v>
      </c>
      <c r="AP40" s="11"/>
      <c r="AT40" t="s">
        <v>37</v>
      </c>
      <c r="AU40" s="11">
        <v>6.65</v>
      </c>
      <c r="AW40" s="11">
        <v>7.2750000000000004</v>
      </c>
      <c r="AX40" s="11">
        <v>6.5250000000000004</v>
      </c>
      <c r="BD40" s="11">
        <v>7.7750000000000004</v>
      </c>
    </row>
    <row r="41" spans="2:56" ht="21" customHeight="1">
      <c r="B41" s="34" t="s">
        <v>34</v>
      </c>
      <c r="C41" s="49">
        <v>8.0975000000000001</v>
      </c>
      <c r="D41" s="49"/>
      <c r="E41" s="49"/>
      <c r="F41" s="49">
        <v>8.0975000000000001</v>
      </c>
      <c r="G41" s="49"/>
      <c r="H41" s="49"/>
      <c r="I41" s="49"/>
      <c r="J41" s="49"/>
      <c r="K41" s="34" t="s">
        <v>51</v>
      </c>
      <c r="L41" s="49">
        <v>9.8825000000000003</v>
      </c>
      <c r="M41" s="49"/>
      <c r="N41" s="49">
        <v>8.0749999999999993</v>
      </c>
      <c r="O41" s="49">
        <v>8.24</v>
      </c>
      <c r="P41" s="49"/>
      <c r="Q41" s="49"/>
      <c r="S41" s="34" t="s">
        <v>51</v>
      </c>
      <c r="T41" s="49">
        <v>8.5820000000000007</v>
      </c>
      <c r="W41" s="49">
        <v>7.0475000000000003</v>
      </c>
      <c r="AA41" t="s">
        <v>61</v>
      </c>
      <c r="AB41" s="11">
        <v>6.5250000000000004</v>
      </c>
      <c r="AE41" s="11">
        <v>6.5250000000000004</v>
      </c>
      <c r="AK41" t="s">
        <v>37</v>
      </c>
      <c r="AL41" s="11">
        <v>7.9125000000000005</v>
      </c>
      <c r="AM41" s="11"/>
      <c r="AN41" s="11"/>
      <c r="AO41" s="11">
        <v>6.4375</v>
      </c>
      <c r="AP41" s="11"/>
      <c r="AT41" t="s">
        <v>37</v>
      </c>
      <c r="AU41" s="11">
        <v>6.8549999999999995</v>
      </c>
      <c r="AW41" s="11">
        <v>9.8825000000000003</v>
      </c>
      <c r="BD41" s="11">
        <v>8.0250000000000004</v>
      </c>
    </row>
    <row r="42" spans="2:56" ht="21" customHeight="1">
      <c r="B42" s="34" t="s">
        <v>34</v>
      </c>
      <c r="C42" s="49">
        <v>8.8500000000000014</v>
      </c>
      <c r="D42" s="49"/>
      <c r="E42" s="49"/>
      <c r="F42" s="49">
        <v>8.8500000000000014</v>
      </c>
      <c r="G42" s="49"/>
      <c r="H42" s="49"/>
      <c r="I42" s="49"/>
      <c r="J42" s="49"/>
      <c r="K42" s="34" t="s">
        <v>51</v>
      </c>
      <c r="L42" s="49">
        <v>8.0749999999999993</v>
      </c>
      <c r="M42" s="49"/>
      <c r="N42" s="49">
        <v>8.9274999999999984</v>
      </c>
      <c r="O42" s="49">
        <v>8.10975</v>
      </c>
      <c r="P42" s="49"/>
      <c r="Q42" s="49"/>
      <c r="S42" s="34" t="s">
        <v>51</v>
      </c>
      <c r="T42" s="49">
        <v>9.2999999999999989</v>
      </c>
      <c r="W42" s="49">
        <v>6.5750000000000002</v>
      </c>
      <c r="AA42" t="s">
        <v>61</v>
      </c>
      <c r="AB42" s="11">
        <v>7.05</v>
      </c>
      <c r="AE42" s="11">
        <v>7.05</v>
      </c>
      <c r="AK42" t="s">
        <v>37</v>
      </c>
      <c r="AL42" s="11">
        <v>8.5820000000000007</v>
      </c>
      <c r="AM42" s="11"/>
      <c r="AN42" s="11"/>
      <c r="AO42" s="11">
        <v>6.8249999999999993</v>
      </c>
      <c r="AP42" s="11"/>
      <c r="AT42" t="s">
        <v>37</v>
      </c>
      <c r="AU42" s="11">
        <v>9.4499999999999993</v>
      </c>
      <c r="AW42" s="11">
        <v>8.0749999999999993</v>
      </c>
      <c r="BD42" s="11">
        <v>7.2750000000000004</v>
      </c>
    </row>
    <row r="43" spans="2:56" ht="21" customHeight="1">
      <c r="B43" s="34" t="s">
        <v>34</v>
      </c>
      <c r="C43" s="49">
        <v>6.4375</v>
      </c>
      <c r="D43" s="49"/>
      <c r="E43" s="49"/>
      <c r="F43" s="49">
        <v>6.4375</v>
      </c>
      <c r="G43" s="49"/>
      <c r="H43" s="49"/>
      <c r="I43" s="49"/>
      <c r="J43" s="49"/>
      <c r="K43" s="34" t="s">
        <v>51</v>
      </c>
      <c r="L43" s="49">
        <v>8.9975000000000005</v>
      </c>
      <c r="M43" s="49"/>
      <c r="N43" s="49">
        <v>7.1250000000000009</v>
      </c>
      <c r="O43" s="49">
        <v>7.1582499999999998</v>
      </c>
      <c r="P43" s="49"/>
      <c r="Q43" s="49"/>
      <c r="S43" s="34" t="s">
        <v>51</v>
      </c>
      <c r="T43" s="49">
        <v>8.0825000000000014</v>
      </c>
      <c r="W43" s="49">
        <v>7.3249999999999993</v>
      </c>
      <c r="AA43" t="s">
        <v>36</v>
      </c>
      <c r="AB43" s="11">
        <v>7.4</v>
      </c>
      <c r="AK43" t="s">
        <v>37</v>
      </c>
      <c r="AL43" s="11">
        <v>7.7887500000000003</v>
      </c>
      <c r="AM43" s="11"/>
      <c r="AN43" s="11"/>
      <c r="AO43" s="11">
        <v>7.0475000000000003</v>
      </c>
      <c r="AP43" s="11"/>
      <c r="AT43" t="s">
        <v>37</v>
      </c>
      <c r="AU43" s="11">
        <v>7.1344999999999992</v>
      </c>
      <c r="AW43" s="11">
        <v>8.7124999999999986</v>
      </c>
      <c r="BD43" s="11">
        <v>7.7</v>
      </c>
    </row>
    <row r="44" spans="2:56" ht="21" customHeight="1">
      <c r="B44" s="34" t="s">
        <v>34</v>
      </c>
      <c r="C44" s="49">
        <v>9.120000000000001</v>
      </c>
      <c r="D44" s="49"/>
      <c r="E44" s="49"/>
      <c r="F44" s="49">
        <v>9.120000000000001</v>
      </c>
      <c r="G44" s="49"/>
      <c r="H44" s="49"/>
      <c r="I44" s="49"/>
      <c r="J44" s="49"/>
      <c r="K44" s="34" t="s">
        <v>51</v>
      </c>
      <c r="L44" s="49">
        <v>8.5249999999999986</v>
      </c>
      <c r="M44" s="49"/>
      <c r="N44" s="49">
        <v>9.34</v>
      </c>
      <c r="O44" s="49"/>
      <c r="P44" s="49"/>
      <c r="Q44" s="49"/>
      <c r="S44" s="34" t="s">
        <v>51</v>
      </c>
      <c r="T44" s="49">
        <v>6.8500000000000005</v>
      </c>
      <c r="W44" s="49">
        <v>7.7349999999999994</v>
      </c>
      <c r="AA44" t="s">
        <v>36</v>
      </c>
      <c r="AB44" s="11">
        <v>7.6025</v>
      </c>
      <c r="AK44" t="s">
        <v>37</v>
      </c>
      <c r="AL44" s="11">
        <v>6.8500000000000005</v>
      </c>
      <c r="AM44" s="11"/>
      <c r="AN44" s="11"/>
      <c r="AO44" s="11">
        <v>7.5625</v>
      </c>
      <c r="AP44" s="11"/>
      <c r="AT44" t="s">
        <v>37</v>
      </c>
      <c r="AU44" s="11">
        <v>9.5</v>
      </c>
      <c r="AW44" s="11">
        <v>8.0975000000000001</v>
      </c>
      <c r="BD44" s="11">
        <v>5.8405000000000005</v>
      </c>
    </row>
    <row r="45" spans="2:56" ht="21" customHeight="1">
      <c r="B45" s="34" t="s">
        <v>34</v>
      </c>
      <c r="C45" s="49">
        <v>6.8249999999999993</v>
      </c>
      <c r="D45" s="49"/>
      <c r="E45" s="49"/>
      <c r="F45" s="49">
        <v>6.8249999999999993</v>
      </c>
      <c r="G45" s="49"/>
      <c r="H45" s="49"/>
      <c r="I45" s="49"/>
      <c r="J45" s="49"/>
      <c r="K45" s="34" t="s">
        <v>51</v>
      </c>
      <c r="L45" s="49">
        <v>8.7124999999999986</v>
      </c>
      <c r="M45" s="49"/>
      <c r="N45" s="49">
        <v>7.5625</v>
      </c>
      <c r="O45" s="49"/>
      <c r="P45" s="49"/>
      <c r="Q45" s="49"/>
      <c r="S45" s="34" t="s">
        <v>51</v>
      </c>
      <c r="T45" s="49">
        <v>7.2212499999999995</v>
      </c>
      <c r="W45" s="49">
        <v>8.3049999999999997</v>
      </c>
      <c r="AA45" t="s">
        <v>36</v>
      </c>
      <c r="AB45" s="11">
        <v>9.0749999999999993</v>
      </c>
      <c r="AK45" t="s">
        <v>37</v>
      </c>
      <c r="AL45" s="11">
        <v>7.2212499999999995</v>
      </c>
      <c r="AM45" s="11"/>
      <c r="AN45" s="11"/>
      <c r="AO45" s="11">
        <v>6.5750000000000002</v>
      </c>
      <c r="AP45" s="11"/>
      <c r="AT45" t="s">
        <v>37</v>
      </c>
      <c r="AU45" s="11">
        <v>8.7575000000000003</v>
      </c>
      <c r="AW45" s="11">
        <v>5.5749999999999993</v>
      </c>
      <c r="BD45" s="11">
        <v>9.8125</v>
      </c>
    </row>
    <row r="46" spans="2:56" ht="21" customHeight="1">
      <c r="B46" s="34" t="s">
        <v>34</v>
      </c>
      <c r="C46" s="49">
        <v>7.0475000000000003</v>
      </c>
      <c r="D46" s="49"/>
      <c r="E46" s="49"/>
      <c r="F46" s="49">
        <v>7.0475000000000003</v>
      </c>
      <c r="G46" s="49"/>
      <c r="H46" s="49"/>
      <c r="I46" s="49"/>
      <c r="J46" s="49"/>
      <c r="K46" s="34" t="s">
        <v>51</v>
      </c>
      <c r="L46" s="49">
        <v>5.5749999999999993</v>
      </c>
      <c r="M46" s="49"/>
      <c r="N46" s="49">
        <v>6.5750000000000002</v>
      </c>
      <c r="O46" s="49"/>
      <c r="P46" s="49"/>
      <c r="Q46" s="49"/>
      <c r="S46" s="34" t="s">
        <v>51</v>
      </c>
      <c r="T46" s="49">
        <v>8.1875</v>
      </c>
      <c r="W46" s="49">
        <v>7.7874999999999996</v>
      </c>
      <c r="AA46" t="s">
        <v>36</v>
      </c>
      <c r="AB46" s="11">
        <v>5.97</v>
      </c>
      <c r="AK46" t="s">
        <v>37</v>
      </c>
      <c r="AL46" s="11">
        <v>8.125</v>
      </c>
      <c r="AM46" s="11"/>
      <c r="AN46" s="11"/>
      <c r="AO46" s="11">
        <v>8.3049999999999997</v>
      </c>
      <c r="AP46" s="11"/>
      <c r="AT46" t="s">
        <v>37</v>
      </c>
      <c r="AU46" s="11">
        <v>8.24</v>
      </c>
      <c r="AW46" s="11">
        <v>9.120000000000001</v>
      </c>
      <c r="BD46" s="11">
        <v>6.5749999999999993</v>
      </c>
    </row>
    <row r="47" spans="2:56" ht="21" customHeight="1">
      <c r="B47" s="34" t="s">
        <v>34</v>
      </c>
      <c r="C47" s="49">
        <v>7.4074999999999989</v>
      </c>
      <c r="D47" s="49"/>
      <c r="E47" s="49"/>
      <c r="F47" s="49">
        <v>7.4074999999999989</v>
      </c>
      <c r="G47" s="49"/>
      <c r="H47" s="49"/>
      <c r="I47" s="49"/>
      <c r="J47" s="49"/>
      <c r="K47" s="34" t="s">
        <v>51</v>
      </c>
      <c r="L47" s="49">
        <v>9.120000000000001</v>
      </c>
      <c r="M47" s="49"/>
      <c r="N47" s="49">
        <v>7.3249999999999993</v>
      </c>
      <c r="O47" s="49"/>
      <c r="P47" s="49"/>
      <c r="Q47" s="49"/>
      <c r="S47" s="34" t="s">
        <v>51</v>
      </c>
      <c r="T47" s="49">
        <v>7.125</v>
      </c>
      <c r="W47" s="49">
        <v>7.6850000000000005</v>
      </c>
      <c r="AA47" t="s">
        <v>36</v>
      </c>
      <c r="AB47" s="11">
        <v>7.0540000000000003</v>
      </c>
      <c r="AK47" t="s">
        <v>37</v>
      </c>
      <c r="AL47" s="11">
        <v>6.5477499999999997</v>
      </c>
      <c r="AM47" s="11"/>
      <c r="AN47" s="11"/>
      <c r="AO47" s="11">
        <v>7.4074999999999989</v>
      </c>
      <c r="AP47" s="11"/>
      <c r="AT47" t="s">
        <v>37</v>
      </c>
      <c r="AU47" s="11">
        <v>9.2950000000000017</v>
      </c>
      <c r="AW47" s="11">
        <v>8.2250000000000014</v>
      </c>
      <c r="BD47" s="11">
        <v>8.85</v>
      </c>
    </row>
    <row r="48" spans="2:56" ht="21" customHeight="1">
      <c r="B48" s="34" t="s">
        <v>34</v>
      </c>
      <c r="C48" s="49">
        <v>7.6850000000000005</v>
      </c>
      <c r="D48" s="49"/>
      <c r="E48" s="49"/>
      <c r="F48" s="49">
        <v>7.6850000000000005</v>
      </c>
      <c r="G48" s="49"/>
      <c r="H48" s="49"/>
      <c r="I48" s="49"/>
      <c r="J48" s="49"/>
      <c r="K48" s="34" t="s">
        <v>51</v>
      </c>
      <c r="L48" s="49">
        <v>7.0475000000000003</v>
      </c>
      <c r="M48" s="49"/>
      <c r="N48" s="49">
        <v>8.3049999999999997</v>
      </c>
      <c r="O48" s="49"/>
      <c r="P48" s="49"/>
      <c r="Q48" s="49"/>
      <c r="S48" s="34" t="s">
        <v>51</v>
      </c>
      <c r="T48" s="49">
        <v>7.7750000000000004</v>
      </c>
      <c r="W48" s="49">
        <v>6.8549999999999995</v>
      </c>
      <c r="AA48" t="s">
        <v>36</v>
      </c>
      <c r="AB48" s="11">
        <v>6.7750000000000004</v>
      </c>
      <c r="AK48" t="s">
        <v>37</v>
      </c>
      <c r="AL48" s="11">
        <v>7.7750000000000004</v>
      </c>
      <c r="AM48" s="11"/>
      <c r="AN48" s="11"/>
      <c r="AO48" s="11">
        <v>7.7874999999999996</v>
      </c>
      <c r="AP48" s="11"/>
      <c r="AT48" t="s">
        <v>37</v>
      </c>
      <c r="AU48" s="11">
        <v>8.10975</v>
      </c>
      <c r="AW48" s="11">
        <v>8.0749999999999993</v>
      </c>
      <c r="BD48" s="11">
        <v>8.6524999999999999</v>
      </c>
    </row>
    <row r="49" spans="2:56" ht="21" customHeight="1">
      <c r="B49" s="34" t="s">
        <v>34</v>
      </c>
      <c r="C49" s="49">
        <v>6.8549999999999995</v>
      </c>
      <c r="D49" s="49"/>
      <c r="E49" s="49"/>
      <c r="F49" s="49">
        <v>6.8549999999999995</v>
      </c>
      <c r="G49" s="49"/>
      <c r="H49" s="49"/>
      <c r="I49" s="49"/>
      <c r="J49" s="49"/>
      <c r="K49" s="34" t="s">
        <v>51</v>
      </c>
      <c r="L49" s="49">
        <v>7.7349999999999994</v>
      </c>
      <c r="M49" s="49"/>
      <c r="N49" s="49">
        <v>7.4074999999999989</v>
      </c>
      <c r="O49" s="49"/>
      <c r="P49" s="49"/>
      <c r="Q49" s="49"/>
      <c r="S49" s="34" t="s">
        <v>51</v>
      </c>
      <c r="T49" s="49">
        <v>9.8125</v>
      </c>
      <c r="W49" s="49">
        <v>7.669999999999999</v>
      </c>
      <c r="AA49" t="s">
        <v>36</v>
      </c>
      <c r="AB49" s="11">
        <v>7.5307499999999994</v>
      </c>
      <c r="AK49" t="s">
        <v>37</v>
      </c>
      <c r="AL49" s="11">
        <v>8.0250000000000004</v>
      </c>
      <c r="AM49" s="11"/>
      <c r="AN49" s="11"/>
      <c r="AO49" s="11">
        <v>7.6850000000000005</v>
      </c>
      <c r="AP49" s="11"/>
      <c r="AT49" t="s">
        <v>37</v>
      </c>
      <c r="AU49" s="11">
        <v>7.4750000000000005</v>
      </c>
      <c r="AW49" s="11">
        <v>8.9274999999999984</v>
      </c>
      <c r="BD49" s="11">
        <v>7.7899999999999991</v>
      </c>
    </row>
    <row r="50" spans="2:56" ht="21" customHeight="1">
      <c r="B50" s="34" t="s">
        <v>34</v>
      </c>
      <c r="C50" s="49">
        <v>7.669999999999999</v>
      </c>
      <c r="D50" s="49"/>
      <c r="E50" s="49"/>
      <c r="F50" s="49">
        <v>7.669999999999999</v>
      </c>
      <c r="G50" s="49"/>
      <c r="H50" s="49"/>
      <c r="I50" s="49"/>
      <c r="J50" s="49"/>
      <c r="K50" s="34" t="s">
        <v>51</v>
      </c>
      <c r="L50" s="49">
        <v>8.34</v>
      </c>
      <c r="M50" s="49"/>
      <c r="N50" s="49">
        <v>6.8549999999999995</v>
      </c>
      <c r="O50" s="49"/>
      <c r="P50" s="49"/>
      <c r="Q50" s="49"/>
      <c r="S50" s="34" t="s">
        <v>51</v>
      </c>
      <c r="T50" s="49">
        <v>8.85</v>
      </c>
      <c r="W50" s="49">
        <v>7.1344999999999992</v>
      </c>
      <c r="AA50" t="s">
        <v>36</v>
      </c>
      <c r="AB50" s="11">
        <v>7.9125000000000005</v>
      </c>
      <c r="AK50" t="s">
        <v>37</v>
      </c>
      <c r="AL50" s="11">
        <v>5.8405000000000005</v>
      </c>
      <c r="AM50" s="11"/>
      <c r="AN50" s="11"/>
      <c r="AO50" s="11">
        <v>6.65</v>
      </c>
      <c r="AP50" s="11"/>
      <c r="AT50" t="s">
        <v>37</v>
      </c>
      <c r="AU50" s="11">
        <v>7.1282499999999995</v>
      </c>
      <c r="AW50" s="11">
        <v>7.1250000000000009</v>
      </c>
      <c r="BD50" s="11">
        <v>7.4124999999999996</v>
      </c>
    </row>
    <row r="51" spans="2:56" ht="21" customHeight="1">
      <c r="B51" s="34" t="s">
        <v>34</v>
      </c>
      <c r="C51" s="49">
        <v>9.4499999999999993</v>
      </c>
      <c r="D51" s="49"/>
      <c r="E51" s="49"/>
      <c r="F51" s="49">
        <v>9.4499999999999993</v>
      </c>
      <c r="G51" s="49"/>
      <c r="H51" s="49"/>
      <c r="I51" s="49"/>
      <c r="J51" s="49"/>
      <c r="K51" s="34" t="s">
        <v>51</v>
      </c>
      <c r="L51" s="49">
        <v>7.6850000000000005</v>
      </c>
      <c r="M51" s="49"/>
      <c r="N51" s="49">
        <v>7.669999999999999</v>
      </c>
      <c r="O51" s="49"/>
      <c r="P51" s="49"/>
      <c r="Q51" s="49"/>
      <c r="S51" s="34" t="s">
        <v>51</v>
      </c>
      <c r="T51" s="49">
        <v>7.544999999999999</v>
      </c>
      <c r="W51" s="49">
        <v>9.5</v>
      </c>
      <c r="AA51" t="s">
        <v>36</v>
      </c>
      <c r="AB51" s="11">
        <v>8.5820000000000007</v>
      </c>
      <c r="AK51" t="s">
        <v>37</v>
      </c>
      <c r="AL51" s="11">
        <v>9.8125</v>
      </c>
      <c r="AM51" s="11"/>
      <c r="AN51" s="11"/>
      <c r="AO51" s="11">
        <v>6.8549999999999995</v>
      </c>
      <c r="AP51" s="11"/>
      <c r="AT51" t="s">
        <v>37</v>
      </c>
      <c r="AU51" s="11">
        <v>6.5250000000000004</v>
      </c>
      <c r="AW51" s="11">
        <v>7.0475000000000003</v>
      </c>
      <c r="BD51" s="11">
        <v>7.544999999999999</v>
      </c>
    </row>
    <row r="52" spans="2:56" ht="21" customHeight="1">
      <c r="B52" s="34" t="s">
        <v>34</v>
      </c>
      <c r="C52" s="49">
        <v>6.8000000000000007</v>
      </c>
      <c r="D52" s="49"/>
      <c r="E52" s="49"/>
      <c r="F52" s="49">
        <v>6.8000000000000007</v>
      </c>
      <c r="G52" s="49"/>
      <c r="H52" s="49"/>
      <c r="I52" s="49"/>
      <c r="J52" s="49"/>
      <c r="K52" s="34" t="s">
        <v>51</v>
      </c>
      <c r="L52" s="49">
        <v>9.375</v>
      </c>
      <c r="M52" s="49"/>
      <c r="N52" s="49">
        <v>9.1475000000000009</v>
      </c>
      <c r="O52" s="49"/>
      <c r="P52" s="49"/>
      <c r="Q52" s="49"/>
      <c r="S52" s="34" t="s">
        <v>51</v>
      </c>
      <c r="T52" s="49">
        <v>6.4675000000000002</v>
      </c>
      <c r="W52" s="49">
        <v>9.1875</v>
      </c>
      <c r="AA52" t="s">
        <v>36</v>
      </c>
      <c r="AB52" s="11">
        <v>6.2750000000000004</v>
      </c>
      <c r="AK52" t="s">
        <v>37</v>
      </c>
      <c r="AL52" s="11">
        <v>8.6524999999999999</v>
      </c>
      <c r="AM52" s="11"/>
      <c r="AN52" s="11"/>
      <c r="AO52" s="11">
        <v>9.4499999999999993</v>
      </c>
      <c r="AP52" s="11"/>
      <c r="AT52" t="s">
        <v>39</v>
      </c>
      <c r="AU52" s="11">
        <v>7.4</v>
      </c>
      <c r="AW52" s="11">
        <v>9.34</v>
      </c>
      <c r="BD52" s="11">
        <v>9.5650000000000013</v>
      </c>
    </row>
    <row r="53" spans="2:56" ht="21" customHeight="1">
      <c r="B53" s="34" t="s">
        <v>34</v>
      </c>
      <c r="C53" s="49">
        <v>9.375</v>
      </c>
      <c r="D53" s="49"/>
      <c r="E53" s="49"/>
      <c r="F53" s="49">
        <v>9.375</v>
      </c>
      <c r="G53" s="49"/>
      <c r="H53" s="49"/>
      <c r="I53" s="49"/>
      <c r="J53" s="49"/>
      <c r="K53" s="34" t="s">
        <v>51</v>
      </c>
      <c r="L53" s="49">
        <v>9.5</v>
      </c>
      <c r="M53" s="49"/>
      <c r="N53" s="49">
        <v>7.1344999999999992</v>
      </c>
      <c r="O53" s="49"/>
      <c r="P53" s="49"/>
      <c r="Q53" s="49"/>
      <c r="S53" s="34" t="s">
        <v>51</v>
      </c>
      <c r="T53" s="49">
        <v>6.8847500000000004</v>
      </c>
      <c r="W53" s="49">
        <v>8.24</v>
      </c>
      <c r="AA53" t="s">
        <v>36</v>
      </c>
      <c r="AB53" s="11">
        <v>7.7750000000000004</v>
      </c>
      <c r="AK53" t="s">
        <v>37</v>
      </c>
      <c r="AL53" s="11">
        <v>7.7899999999999991</v>
      </c>
      <c r="AM53" s="11"/>
      <c r="AN53" s="11"/>
      <c r="AO53" s="11">
        <v>9.1475000000000009</v>
      </c>
      <c r="AP53" s="11"/>
      <c r="AT53" t="s">
        <v>39</v>
      </c>
      <c r="AU53" s="11">
        <v>9.5174999999999983</v>
      </c>
      <c r="AW53" s="11">
        <v>7.5625</v>
      </c>
      <c r="BD53" s="11">
        <v>7.2249999999999996</v>
      </c>
    </row>
    <row r="54" spans="2:56" ht="21" customHeight="1">
      <c r="B54" s="34" t="s">
        <v>34</v>
      </c>
      <c r="C54" s="49">
        <v>9.5</v>
      </c>
      <c r="D54" s="49"/>
      <c r="E54" s="49"/>
      <c r="F54" s="49">
        <v>9.5</v>
      </c>
      <c r="G54" s="49"/>
      <c r="H54" s="49"/>
      <c r="I54" s="49"/>
      <c r="J54" s="49"/>
      <c r="K54" s="34" t="s">
        <v>51</v>
      </c>
      <c r="L54" s="49">
        <v>8.24</v>
      </c>
      <c r="M54" s="49"/>
      <c r="N54" s="49">
        <v>6.8000000000000007</v>
      </c>
      <c r="O54" s="49"/>
      <c r="P54" s="49"/>
      <c r="Q54" s="49"/>
      <c r="S54" s="34" t="s">
        <v>51</v>
      </c>
      <c r="T54" s="49">
        <v>7.2</v>
      </c>
      <c r="W54" s="49">
        <v>9.2950000000000017</v>
      </c>
      <c r="AA54" t="s">
        <v>36</v>
      </c>
      <c r="AB54" s="11">
        <v>9.8125</v>
      </c>
      <c r="AK54" t="s">
        <v>37</v>
      </c>
      <c r="AL54" s="11">
        <v>9.5650000000000013</v>
      </c>
      <c r="AM54" s="11"/>
      <c r="AN54" s="11"/>
      <c r="AO54" s="11">
        <v>7.1344999999999992</v>
      </c>
      <c r="AP54" s="11"/>
      <c r="AT54" t="s">
        <v>39</v>
      </c>
      <c r="AU54" s="11">
        <v>7.7949999999999999</v>
      </c>
      <c r="AW54" s="11">
        <v>6.5750000000000002</v>
      </c>
      <c r="BD54" s="11">
        <v>6.4675000000000002</v>
      </c>
    </row>
    <row r="55" spans="2:56" ht="21" customHeight="1">
      <c r="B55" s="34" t="s">
        <v>34</v>
      </c>
      <c r="C55" s="49">
        <v>8.7575000000000003</v>
      </c>
      <c r="D55" s="49"/>
      <c r="E55" s="49"/>
      <c r="F55" s="49">
        <v>8.7575000000000003</v>
      </c>
      <c r="G55" s="49"/>
      <c r="H55" s="49"/>
      <c r="I55" s="49"/>
      <c r="J55" s="49"/>
      <c r="K55" s="34" t="s">
        <v>51</v>
      </c>
      <c r="L55" s="49">
        <v>8.10975</v>
      </c>
      <c r="M55" s="49"/>
      <c r="N55" s="49">
        <v>8.0950000000000006</v>
      </c>
      <c r="O55" s="49"/>
      <c r="P55" s="49"/>
      <c r="Q55" s="49"/>
      <c r="S55" s="34" t="s">
        <v>51</v>
      </c>
      <c r="T55" s="49">
        <v>7.2250000000000005</v>
      </c>
      <c r="W55" s="49">
        <v>7.75</v>
      </c>
      <c r="AA55" t="s">
        <v>36</v>
      </c>
      <c r="AB55" s="11">
        <v>7.7899999999999991</v>
      </c>
      <c r="AK55" t="s">
        <v>37</v>
      </c>
      <c r="AL55" s="11">
        <v>6.4675000000000002</v>
      </c>
      <c r="AM55" s="11"/>
      <c r="AN55" s="11"/>
      <c r="AO55" s="11">
        <v>6.8000000000000007</v>
      </c>
      <c r="AP55" s="11"/>
      <c r="AT55" t="s">
        <v>39</v>
      </c>
      <c r="AU55" s="11">
        <v>8.5749999999999993</v>
      </c>
      <c r="AW55" s="11">
        <v>8.34</v>
      </c>
      <c r="BD55" s="11">
        <v>7.0249999999999995</v>
      </c>
    </row>
    <row r="56" spans="2:56" ht="21" customHeight="1">
      <c r="B56" s="34" t="s">
        <v>34</v>
      </c>
      <c r="C56" s="49">
        <v>7.4057500000000003</v>
      </c>
      <c r="D56" s="49"/>
      <c r="E56" s="49"/>
      <c r="F56" s="49">
        <v>7.4057500000000003</v>
      </c>
      <c r="G56" s="49"/>
      <c r="H56" s="49"/>
      <c r="I56" s="49"/>
      <c r="J56" s="49"/>
      <c r="K56" s="34" t="s">
        <v>51</v>
      </c>
      <c r="L56" s="49">
        <v>7.1582499999999998</v>
      </c>
      <c r="M56" s="49"/>
      <c r="N56" s="49">
        <v>7.4750000000000005</v>
      </c>
      <c r="O56" s="49"/>
      <c r="P56" s="49"/>
      <c r="Q56" s="49"/>
      <c r="S56" s="34" t="s">
        <v>51</v>
      </c>
      <c r="T56" s="49">
        <v>7.9249999999999998</v>
      </c>
      <c r="W56" s="49">
        <v>8.3535000000000004</v>
      </c>
      <c r="AA56" t="s">
        <v>36</v>
      </c>
      <c r="AB56" s="11">
        <v>7.9249999999999998</v>
      </c>
      <c r="AK56" t="s">
        <v>37</v>
      </c>
      <c r="AL56" s="11">
        <v>7.0249999999999995</v>
      </c>
      <c r="AM56" s="11"/>
      <c r="AN56" s="11"/>
      <c r="AO56" s="11">
        <v>9.375</v>
      </c>
      <c r="AP56" s="11"/>
      <c r="AT56" t="s">
        <v>39</v>
      </c>
      <c r="AU56" s="11">
        <v>8.125</v>
      </c>
      <c r="AW56" s="11">
        <v>7.4074999999999989</v>
      </c>
      <c r="BD56" s="11">
        <v>6.8847500000000004</v>
      </c>
    </row>
    <row r="57" spans="2:56" ht="21" customHeight="1">
      <c r="B57" s="34" t="s">
        <v>34</v>
      </c>
      <c r="C57" s="49">
        <v>7.3612500000000001</v>
      </c>
      <c r="D57" s="49"/>
      <c r="E57" s="49"/>
      <c r="F57" s="49">
        <v>7.3612500000000001</v>
      </c>
      <c r="G57" s="49"/>
      <c r="H57" s="49"/>
      <c r="I57" s="49"/>
      <c r="J57" s="49"/>
      <c r="K57" s="34" t="s">
        <v>43</v>
      </c>
      <c r="L57" s="49">
        <v>7.4</v>
      </c>
      <c r="M57" s="49"/>
      <c r="N57" s="49">
        <v>9.1875</v>
      </c>
      <c r="O57" s="49"/>
      <c r="P57" s="49"/>
      <c r="Q57" s="49"/>
      <c r="S57" s="34" t="s">
        <v>51</v>
      </c>
      <c r="T57" s="49">
        <v>7.2750000000000004</v>
      </c>
      <c r="W57" s="49">
        <v>6.8</v>
      </c>
      <c r="AA57" t="s">
        <v>36</v>
      </c>
      <c r="AB57" s="11">
        <v>8.0749999999999993</v>
      </c>
      <c r="AK57" t="s">
        <v>37</v>
      </c>
      <c r="AL57" s="11">
        <v>6.8847500000000004</v>
      </c>
      <c r="AM57" s="11"/>
      <c r="AN57" s="11"/>
      <c r="AO57" s="11">
        <v>9.5</v>
      </c>
      <c r="AP57" s="11"/>
      <c r="AT57" t="s">
        <v>39</v>
      </c>
      <c r="AU57" s="11">
        <v>8.17</v>
      </c>
      <c r="AW57" s="11">
        <v>7.6850000000000005</v>
      </c>
      <c r="BD57" s="11">
        <v>7.2</v>
      </c>
    </row>
    <row r="58" spans="2:56" ht="21" customHeight="1">
      <c r="B58" s="34" t="s">
        <v>34</v>
      </c>
      <c r="C58" s="49">
        <v>7.1582499999999998</v>
      </c>
      <c r="D58" s="49"/>
      <c r="E58" s="49"/>
      <c r="F58" s="49">
        <v>7.1582499999999998</v>
      </c>
      <c r="G58" s="49"/>
      <c r="H58" s="49"/>
      <c r="I58" s="49"/>
      <c r="J58" s="49"/>
      <c r="K58" s="34" t="s">
        <v>43</v>
      </c>
      <c r="L58" s="49">
        <v>7.6025</v>
      </c>
      <c r="M58" s="49"/>
      <c r="N58" s="49">
        <v>8.7575000000000003</v>
      </c>
      <c r="O58" s="49"/>
      <c r="P58" s="49"/>
      <c r="Q58" s="49"/>
      <c r="S58" s="34" t="s">
        <v>51</v>
      </c>
      <c r="T58" s="49">
        <v>9.8825000000000003</v>
      </c>
      <c r="W58" s="49">
        <v>7.4750000000000005</v>
      </c>
      <c r="AA58" t="s">
        <v>36</v>
      </c>
      <c r="AB58" s="11">
        <v>8.7124999999999986</v>
      </c>
      <c r="AK58" t="s">
        <v>37</v>
      </c>
      <c r="AL58" s="11">
        <v>7.2</v>
      </c>
      <c r="AM58" s="11"/>
      <c r="AN58" s="11"/>
      <c r="AO58" s="11">
        <v>9.1875</v>
      </c>
      <c r="AP58" s="11"/>
      <c r="AT58" t="s">
        <v>39</v>
      </c>
      <c r="AU58" s="11">
        <v>8.2750000000000004</v>
      </c>
      <c r="AW58" s="11">
        <v>7.669999999999999</v>
      </c>
      <c r="BD58" s="11">
        <v>7.625</v>
      </c>
    </row>
    <row r="59" spans="2:56" ht="21" customHeight="1">
      <c r="B59" s="34" t="s">
        <v>34</v>
      </c>
      <c r="C59" s="49">
        <v>6.8250000000000002</v>
      </c>
      <c r="D59" s="49"/>
      <c r="E59" s="49"/>
      <c r="F59" s="49">
        <v>6.8250000000000002</v>
      </c>
      <c r="G59" s="49"/>
      <c r="H59" s="49"/>
      <c r="I59" s="49"/>
      <c r="J59" s="49"/>
      <c r="K59" s="34" t="s">
        <v>43</v>
      </c>
      <c r="L59" s="49">
        <v>7.7949999999999999</v>
      </c>
      <c r="M59" s="49"/>
      <c r="N59" s="49">
        <v>8.3535000000000004</v>
      </c>
      <c r="O59" s="49"/>
      <c r="P59" s="49"/>
      <c r="Q59" s="49"/>
      <c r="S59" s="34" t="s">
        <v>51</v>
      </c>
      <c r="T59" s="49">
        <v>8.0399999999999991</v>
      </c>
      <c r="W59" s="49">
        <v>7.1282499999999995</v>
      </c>
      <c r="AA59" t="s">
        <v>36</v>
      </c>
      <c r="AB59" s="11">
        <v>8.8500000000000014</v>
      </c>
      <c r="AK59" t="s">
        <v>37</v>
      </c>
      <c r="AL59" s="11">
        <v>7.2250000000000005</v>
      </c>
      <c r="AM59" s="11"/>
      <c r="AN59" s="11"/>
      <c r="AO59" s="11">
        <v>7.75</v>
      </c>
      <c r="AP59" s="11"/>
      <c r="AT59" t="s">
        <v>39</v>
      </c>
      <c r="AU59" s="11">
        <v>9.0749999999999993</v>
      </c>
      <c r="AW59" s="11">
        <v>9.1475000000000009</v>
      </c>
      <c r="BD59" s="11">
        <v>7.2250000000000005</v>
      </c>
    </row>
    <row r="60" spans="2:56" ht="21" customHeight="1">
      <c r="B60" s="34" t="s">
        <v>34</v>
      </c>
      <c r="C60" s="49">
        <v>7.4325000000000001</v>
      </c>
      <c r="D60" s="49"/>
      <c r="E60" s="49"/>
      <c r="F60" s="49">
        <v>7.4325000000000001</v>
      </c>
      <c r="G60" s="49"/>
      <c r="H60" s="49"/>
      <c r="I60" s="49"/>
      <c r="J60" s="49"/>
      <c r="K60" s="34" t="s">
        <v>43</v>
      </c>
      <c r="L60" s="49">
        <v>8.0500000000000007</v>
      </c>
      <c r="M60" s="49"/>
      <c r="N60" s="49">
        <v>7.05</v>
      </c>
      <c r="O60" s="49"/>
      <c r="P60" s="49"/>
      <c r="Q60" s="49"/>
      <c r="S60" s="34" t="s">
        <v>51</v>
      </c>
      <c r="T60" s="49">
        <v>8.5249999999999986</v>
      </c>
      <c r="W60" s="49">
        <v>7.4325000000000001</v>
      </c>
      <c r="AA60" t="s">
        <v>36</v>
      </c>
      <c r="AB60" s="11">
        <v>6.4375</v>
      </c>
      <c r="AK60" t="s">
        <v>37</v>
      </c>
      <c r="AL60" s="11">
        <v>7.3874999999999993</v>
      </c>
      <c r="AM60" s="11"/>
      <c r="AN60" s="11"/>
      <c r="AO60" s="11">
        <v>8.3535000000000004</v>
      </c>
      <c r="AP60" s="11"/>
      <c r="AT60" t="s">
        <v>39</v>
      </c>
      <c r="AU60" s="11">
        <v>9.1325000000000003</v>
      </c>
      <c r="AW60" s="11">
        <v>6.8000000000000007</v>
      </c>
      <c r="BD60" s="11">
        <v>6.7249999999999996</v>
      </c>
    </row>
    <row r="61" spans="2:56" ht="21" customHeight="1">
      <c r="B61" s="34" t="s">
        <v>34</v>
      </c>
      <c r="C61" s="49">
        <v>6.5250000000000004</v>
      </c>
      <c r="D61" s="49"/>
      <c r="E61" s="49"/>
      <c r="F61" s="49">
        <v>6.5250000000000004</v>
      </c>
      <c r="G61" s="49"/>
      <c r="H61" s="49"/>
      <c r="I61" s="49"/>
      <c r="J61" s="49"/>
      <c r="K61" s="34" t="s">
        <v>43</v>
      </c>
      <c r="L61" s="49">
        <v>8.2750000000000004</v>
      </c>
      <c r="M61" s="49"/>
      <c r="N61" s="49">
        <v>7.4057500000000003</v>
      </c>
      <c r="O61" s="49"/>
      <c r="P61" s="49"/>
      <c r="Q61" s="49"/>
      <c r="S61" s="34" t="s">
        <v>51</v>
      </c>
      <c r="T61" s="49">
        <v>8.7124999999999986</v>
      </c>
      <c r="W61" s="49">
        <v>6.2249999999999996</v>
      </c>
      <c r="AA61" t="s">
        <v>36</v>
      </c>
      <c r="AB61" s="11">
        <v>8.9274999999999984</v>
      </c>
      <c r="AK61" t="s">
        <v>37</v>
      </c>
      <c r="AL61" s="11">
        <v>7.9249999999999998</v>
      </c>
      <c r="AM61" s="11"/>
      <c r="AN61" s="11"/>
      <c r="AO61" s="11">
        <v>7.05</v>
      </c>
      <c r="AP61" s="11"/>
      <c r="AT61" t="s">
        <v>39</v>
      </c>
      <c r="AU61" s="11">
        <v>7.7750000000000004</v>
      </c>
      <c r="AW61" s="11">
        <v>8.0950000000000006</v>
      </c>
      <c r="BD61" s="11">
        <v>7.3874999999999993</v>
      </c>
    </row>
    <row r="62" spans="2:56" ht="21" customHeight="1">
      <c r="B62" s="34" t="s">
        <v>117</v>
      </c>
      <c r="C62" s="49">
        <v>7.0540000000000003</v>
      </c>
      <c r="D62" s="49"/>
      <c r="E62" s="49"/>
      <c r="F62" s="49"/>
      <c r="G62" s="49"/>
      <c r="H62" s="49"/>
      <c r="I62" s="49"/>
      <c r="J62" s="49"/>
      <c r="K62" s="34" t="s">
        <v>43</v>
      </c>
      <c r="L62" s="49">
        <v>9.1325000000000003</v>
      </c>
      <c r="M62" s="49"/>
      <c r="N62" s="49">
        <v>7.3612500000000001</v>
      </c>
      <c r="O62" s="49"/>
      <c r="P62" s="49"/>
      <c r="Q62" s="49"/>
      <c r="S62" s="34" t="s">
        <v>51</v>
      </c>
      <c r="T62" s="49">
        <v>7.7694999999999999</v>
      </c>
      <c r="W62" s="49">
        <v>6.5250000000000004</v>
      </c>
      <c r="AA62" t="s">
        <v>36</v>
      </c>
      <c r="AB62" s="11">
        <v>7.1250000000000009</v>
      </c>
      <c r="AK62" t="s">
        <v>37</v>
      </c>
      <c r="AL62" s="11">
        <v>8.5</v>
      </c>
      <c r="AM62" s="11"/>
      <c r="AN62" s="11"/>
      <c r="AO62" s="11">
        <v>7.1582499999999998</v>
      </c>
      <c r="AP62" s="11"/>
      <c r="AT62" t="s">
        <v>39</v>
      </c>
      <c r="AU62" s="11">
        <v>8.4499999999999993</v>
      </c>
      <c r="AW62" s="11">
        <v>9.375</v>
      </c>
      <c r="BD62" s="11">
        <v>7.9249999999999998</v>
      </c>
    </row>
    <row r="63" spans="2:56" ht="21" customHeight="1">
      <c r="B63" s="34" t="s">
        <v>117</v>
      </c>
      <c r="C63" s="49">
        <v>7.7749999999999995</v>
      </c>
      <c r="D63" s="49"/>
      <c r="E63" s="49"/>
      <c r="F63" s="49"/>
      <c r="G63" s="49"/>
      <c r="H63" s="49"/>
      <c r="I63" s="49"/>
      <c r="J63" s="49"/>
      <c r="K63" s="34" t="s">
        <v>43</v>
      </c>
      <c r="L63" s="49">
        <v>5.97</v>
      </c>
      <c r="M63" s="49"/>
      <c r="N63" s="49">
        <v>6.8</v>
      </c>
      <c r="O63" s="49"/>
      <c r="P63" s="49"/>
      <c r="Q63" s="49"/>
      <c r="S63" s="34" t="s">
        <v>51</v>
      </c>
      <c r="T63" s="49">
        <v>5.5749999999999993</v>
      </c>
      <c r="W63" s="49">
        <v>7.05</v>
      </c>
      <c r="AA63" t="s">
        <v>36</v>
      </c>
      <c r="AB63" s="11">
        <v>7.0475000000000003</v>
      </c>
      <c r="AK63" t="s">
        <v>37</v>
      </c>
      <c r="AL63" s="11">
        <v>9.8825000000000003</v>
      </c>
      <c r="AM63" s="11"/>
      <c r="AN63" s="11"/>
      <c r="AO63" s="11">
        <v>6.8250000000000002</v>
      </c>
      <c r="AP63" s="11"/>
      <c r="AT63" t="s">
        <v>39</v>
      </c>
      <c r="AU63" s="11">
        <v>5.97</v>
      </c>
      <c r="AW63" s="11">
        <v>7.4750000000000005</v>
      </c>
      <c r="BD63" s="11">
        <v>8.5</v>
      </c>
    </row>
    <row r="64" spans="2:56" ht="21" customHeight="1">
      <c r="B64" s="34" t="s">
        <v>117</v>
      </c>
      <c r="C64" s="49">
        <v>8.1</v>
      </c>
      <c r="D64" s="49"/>
      <c r="E64" s="49"/>
      <c r="F64" s="49"/>
      <c r="G64" s="49"/>
      <c r="H64" s="49"/>
      <c r="I64" s="49"/>
      <c r="J64" s="49"/>
      <c r="K64" s="34" t="s">
        <v>43</v>
      </c>
      <c r="L64" s="49">
        <v>7.3682500000000006</v>
      </c>
      <c r="M64" s="49"/>
      <c r="N64" s="49">
        <v>7.4750000000000005</v>
      </c>
      <c r="O64" s="49"/>
      <c r="P64" s="49"/>
      <c r="Q64" s="49"/>
      <c r="S64" s="34" t="s">
        <v>51</v>
      </c>
      <c r="T64" s="49">
        <v>9.120000000000001</v>
      </c>
      <c r="AA64" t="s">
        <v>36</v>
      </c>
      <c r="AB64" s="11">
        <v>7.5625</v>
      </c>
      <c r="AK64" t="s">
        <v>37</v>
      </c>
      <c r="AL64" s="11">
        <v>8.0749999999999993</v>
      </c>
      <c r="AM64" s="11"/>
      <c r="AN64" s="11"/>
      <c r="AO64" s="11">
        <v>6.5250000000000004</v>
      </c>
      <c r="AP64" s="11"/>
      <c r="AT64" t="s">
        <v>39</v>
      </c>
      <c r="AU64" s="11">
        <v>7.0540000000000003</v>
      </c>
      <c r="AW64" s="11">
        <v>9.1875</v>
      </c>
      <c r="BD64" s="11">
        <v>7.2750000000000004</v>
      </c>
    </row>
    <row r="65" spans="2:56" ht="21" customHeight="1">
      <c r="B65" s="34" t="s">
        <v>117</v>
      </c>
      <c r="C65" s="49">
        <v>8.5820000000000007</v>
      </c>
      <c r="D65" s="49"/>
      <c r="E65" s="49"/>
      <c r="F65" s="49"/>
      <c r="G65" s="49"/>
      <c r="H65" s="49"/>
      <c r="I65" s="49"/>
      <c r="J65" s="49"/>
      <c r="K65" s="34" t="s">
        <v>43</v>
      </c>
      <c r="L65" s="49">
        <v>7.2465000000000002</v>
      </c>
      <c r="M65" s="49"/>
      <c r="N65" s="49">
        <v>7.1282499999999995</v>
      </c>
      <c r="O65" s="49"/>
      <c r="P65" s="49"/>
      <c r="Q65" s="49"/>
      <c r="S65" s="34" t="s">
        <v>51</v>
      </c>
      <c r="T65" s="49">
        <v>7.1250000000000009</v>
      </c>
      <c r="AA65" t="s">
        <v>36</v>
      </c>
      <c r="AB65" s="11">
        <v>6.5750000000000002</v>
      </c>
      <c r="AK65" t="s">
        <v>37</v>
      </c>
      <c r="AL65" s="11">
        <v>8.9975000000000005</v>
      </c>
      <c r="AM65" s="11"/>
      <c r="AN65" s="11"/>
      <c r="AO65" s="11">
        <v>7.05</v>
      </c>
      <c r="AP65" s="11"/>
      <c r="AT65" t="s">
        <v>39</v>
      </c>
      <c r="AU65" s="11">
        <v>6.7750000000000004</v>
      </c>
      <c r="AW65" s="11">
        <v>7.75</v>
      </c>
      <c r="BD65" s="11">
        <v>7.8872499999999999</v>
      </c>
    </row>
    <row r="66" spans="2:56" ht="21" customHeight="1">
      <c r="B66" s="34" t="s">
        <v>117</v>
      </c>
      <c r="C66" s="49">
        <v>7.7887500000000003</v>
      </c>
      <c r="D66" s="49"/>
      <c r="E66" s="49"/>
      <c r="F66" s="49"/>
      <c r="G66" s="49"/>
      <c r="H66" s="49"/>
      <c r="I66" s="49"/>
      <c r="J66" s="49"/>
      <c r="K66" s="34" t="s">
        <v>43</v>
      </c>
      <c r="L66" s="49">
        <v>8.1</v>
      </c>
      <c r="M66" s="49"/>
      <c r="N66" s="49">
        <v>6.8250000000000002</v>
      </c>
      <c r="O66" s="49"/>
      <c r="P66" s="49"/>
      <c r="Q66" s="49"/>
      <c r="S66" s="34" t="s">
        <v>51</v>
      </c>
      <c r="T66" s="49">
        <v>7.0475000000000003</v>
      </c>
      <c r="AA66" t="s">
        <v>36</v>
      </c>
      <c r="AB66" s="11">
        <v>7.4074999999999989</v>
      </c>
      <c r="AK66" t="s">
        <v>37</v>
      </c>
      <c r="AL66" s="11">
        <v>8.7124999999999986</v>
      </c>
      <c r="AM66" s="11"/>
      <c r="AN66" s="11"/>
      <c r="AO66" s="11"/>
      <c r="AP66" s="11"/>
      <c r="AT66" t="s">
        <v>39</v>
      </c>
      <c r="AU66" s="11">
        <v>7.7749999999999995</v>
      </c>
      <c r="AW66" s="11">
        <v>8.3535000000000004</v>
      </c>
      <c r="BD66" s="11">
        <v>9.8825000000000003</v>
      </c>
    </row>
    <row r="67" spans="2:56" ht="21" customHeight="1">
      <c r="B67" s="34" t="s">
        <v>117</v>
      </c>
      <c r="C67" s="49">
        <v>6.8500000000000005</v>
      </c>
      <c r="D67" s="49"/>
      <c r="E67" s="49"/>
      <c r="F67" s="49"/>
      <c r="G67" s="49"/>
      <c r="H67" s="49"/>
      <c r="I67" s="49"/>
      <c r="J67" s="49"/>
      <c r="K67" s="34" t="s">
        <v>43</v>
      </c>
      <c r="L67" s="49">
        <v>7.5307499999999994</v>
      </c>
      <c r="M67" s="49"/>
      <c r="N67" s="49">
        <v>7.4325000000000001</v>
      </c>
      <c r="O67" s="49"/>
      <c r="P67" s="49"/>
      <c r="Q67" s="49"/>
      <c r="S67" s="34" t="s">
        <v>51</v>
      </c>
      <c r="T67" s="49">
        <v>6.5750000000000002</v>
      </c>
      <c r="AA67" t="s">
        <v>36</v>
      </c>
      <c r="AB67" s="11">
        <v>6.8549999999999995</v>
      </c>
      <c r="AK67" t="s">
        <v>37</v>
      </c>
      <c r="AL67" s="11">
        <v>8.0975000000000001</v>
      </c>
      <c r="AM67" s="11"/>
      <c r="AN67" s="11"/>
      <c r="AO67" s="11"/>
      <c r="AP67" s="11"/>
      <c r="AT67" t="s">
        <v>39</v>
      </c>
      <c r="AU67" s="11">
        <v>8.1</v>
      </c>
      <c r="AW67" s="11">
        <v>7.05</v>
      </c>
      <c r="BD67" s="11">
        <v>8.0749999999999993</v>
      </c>
    </row>
    <row r="68" spans="2:56" ht="21" customHeight="1">
      <c r="B68" s="34" t="s">
        <v>117</v>
      </c>
      <c r="C68" s="49">
        <v>8.1875</v>
      </c>
      <c r="D68" s="49"/>
      <c r="E68" s="49"/>
      <c r="F68" s="49"/>
      <c r="G68" s="49"/>
      <c r="H68" s="49"/>
      <c r="I68" s="49"/>
      <c r="J68" s="49"/>
      <c r="K68" s="34" t="s">
        <v>43</v>
      </c>
      <c r="L68" s="49">
        <v>7.9125000000000005</v>
      </c>
      <c r="M68" s="49"/>
      <c r="N68" s="49">
        <v>6.2249999999999996</v>
      </c>
      <c r="O68" s="49"/>
      <c r="P68" s="49"/>
      <c r="Q68" s="49"/>
      <c r="S68" s="34" t="s">
        <v>51</v>
      </c>
      <c r="T68" s="49">
        <v>7.3249999999999993</v>
      </c>
      <c r="AA68" t="s">
        <v>36</v>
      </c>
      <c r="AB68" s="11">
        <v>7.1344999999999992</v>
      </c>
      <c r="AK68" t="s">
        <v>37</v>
      </c>
      <c r="AL68" s="11">
        <v>6.4375</v>
      </c>
      <c r="AM68" s="11"/>
      <c r="AN68" s="11"/>
      <c r="AO68" s="11"/>
      <c r="AP68" s="11"/>
      <c r="AT68" t="s">
        <v>39</v>
      </c>
      <c r="AU68" s="11">
        <v>7.5307499999999994</v>
      </c>
      <c r="AW68" s="11">
        <v>7.4057500000000003</v>
      </c>
      <c r="BD68" s="11">
        <v>8.0399999999999991</v>
      </c>
    </row>
    <row r="69" spans="2:56" ht="21" customHeight="1">
      <c r="B69" s="34" t="s">
        <v>117</v>
      </c>
      <c r="C69" s="49">
        <v>8.125</v>
      </c>
      <c r="D69" s="49"/>
      <c r="E69" s="49"/>
      <c r="F69" s="49"/>
      <c r="G69" s="49"/>
      <c r="H69" s="49"/>
      <c r="I69" s="49"/>
      <c r="J69" s="49"/>
      <c r="K69" s="34" t="s">
        <v>43</v>
      </c>
      <c r="L69" s="49">
        <v>7.7887500000000003</v>
      </c>
      <c r="M69" s="49"/>
      <c r="N69" s="49">
        <v>6.5250000000000004</v>
      </c>
      <c r="O69" s="49"/>
      <c r="P69" s="49"/>
      <c r="Q69" s="49"/>
      <c r="S69" s="34" t="s">
        <v>51</v>
      </c>
      <c r="T69" s="49">
        <v>7.7349999999999994</v>
      </c>
      <c r="AA69" t="s">
        <v>36</v>
      </c>
      <c r="AB69" s="11">
        <v>9.375</v>
      </c>
      <c r="AK69" t="s">
        <v>37</v>
      </c>
      <c r="AL69" s="11">
        <v>6.8249999999999993</v>
      </c>
      <c r="AM69" s="11"/>
      <c r="AN69" s="11"/>
      <c r="AO69" s="11"/>
      <c r="AP69" s="11"/>
      <c r="AT69" t="s">
        <v>39</v>
      </c>
      <c r="AU69" s="11">
        <v>7.9125000000000005</v>
      </c>
      <c r="AW69" s="11">
        <v>7.3612500000000001</v>
      </c>
      <c r="BD69" s="11">
        <v>8.9975000000000005</v>
      </c>
    </row>
    <row r="70" spans="2:56" ht="21" customHeight="1">
      <c r="B70" s="34" t="s">
        <v>117</v>
      </c>
      <c r="C70" s="49">
        <v>7.125</v>
      </c>
      <c r="D70" s="49"/>
      <c r="E70" s="49"/>
      <c r="F70" s="49"/>
      <c r="G70" s="49"/>
      <c r="H70" s="49"/>
      <c r="I70" s="49"/>
      <c r="J70" s="49"/>
      <c r="K70" s="34" t="s">
        <v>43</v>
      </c>
      <c r="L70" s="49">
        <v>7.2212499999999995</v>
      </c>
      <c r="M70" s="49"/>
      <c r="N70" s="49">
        <v>7.05</v>
      </c>
      <c r="O70" s="49"/>
      <c r="P70" s="49"/>
      <c r="Q70" s="49"/>
      <c r="S70" s="34" t="s">
        <v>51</v>
      </c>
      <c r="T70" s="49">
        <v>8.3049999999999997</v>
      </c>
      <c r="AA70" t="s">
        <v>36</v>
      </c>
      <c r="AB70" s="11">
        <v>9.5</v>
      </c>
      <c r="AK70" t="s">
        <v>37</v>
      </c>
      <c r="AL70" s="11">
        <v>7.0475000000000003</v>
      </c>
      <c r="AM70" s="11"/>
      <c r="AN70" s="11"/>
      <c r="AO70" s="11"/>
      <c r="AP70" s="11"/>
      <c r="AT70" t="s">
        <v>39</v>
      </c>
      <c r="AU70" s="11">
        <v>8.5820000000000007</v>
      </c>
      <c r="AW70" s="11">
        <v>6.8</v>
      </c>
      <c r="BD70" s="11">
        <v>8.5249999999999986</v>
      </c>
    </row>
    <row r="71" spans="2:56" ht="21" customHeight="1">
      <c r="B71" s="34" t="s">
        <v>117</v>
      </c>
      <c r="C71" s="49">
        <v>6.5477499999999997</v>
      </c>
      <c r="D71" s="49"/>
      <c r="E71" s="49"/>
      <c r="F71" s="49"/>
      <c r="G71" s="49"/>
      <c r="H71" s="49"/>
      <c r="I71" s="49"/>
      <c r="J71" s="49"/>
      <c r="K71" s="34" t="s">
        <v>43</v>
      </c>
      <c r="L71" s="49">
        <v>9.125</v>
      </c>
      <c r="M71" s="49"/>
      <c r="N71" s="49"/>
      <c r="O71" s="49"/>
      <c r="P71" s="49"/>
      <c r="Q71" s="49"/>
      <c r="S71" s="34" t="s">
        <v>51</v>
      </c>
      <c r="T71" s="49">
        <v>7.7874999999999996</v>
      </c>
      <c r="AA71" t="s">
        <v>36</v>
      </c>
      <c r="AB71" s="11">
        <v>7.4750000000000005</v>
      </c>
      <c r="AK71" t="s">
        <v>37</v>
      </c>
      <c r="AL71" s="11">
        <v>7.5625</v>
      </c>
      <c r="AM71" s="11"/>
      <c r="AN71" s="11"/>
      <c r="AO71" s="11"/>
      <c r="AP71" s="11"/>
      <c r="AT71" t="s">
        <v>39</v>
      </c>
      <c r="AU71" s="11">
        <v>7.7887500000000003</v>
      </c>
      <c r="AW71" s="11">
        <v>7.1582499999999998</v>
      </c>
      <c r="BD71" s="11">
        <v>8.7124999999999986</v>
      </c>
    </row>
    <row r="72" spans="2:56" ht="21" customHeight="1">
      <c r="B72" s="34" t="s">
        <v>117</v>
      </c>
      <c r="C72" s="49">
        <v>8.0250000000000004</v>
      </c>
      <c r="D72" s="49"/>
      <c r="E72" s="49"/>
      <c r="F72" s="49"/>
      <c r="G72" s="49"/>
      <c r="H72" s="49"/>
      <c r="I72" s="49"/>
      <c r="J72" s="49"/>
      <c r="K72" s="34" t="s">
        <v>43</v>
      </c>
      <c r="L72" s="49">
        <v>8.1875</v>
      </c>
      <c r="M72" s="49"/>
      <c r="N72" s="49"/>
      <c r="O72" s="49"/>
      <c r="P72" s="49"/>
      <c r="Q72" s="49"/>
      <c r="S72" s="34" t="s">
        <v>51</v>
      </c>
      <c r="T72" s="49">
        <v>7.6850000000000005</v>
      </c>
      <c r="AA72" t="s">
        <v>36</v>
      </c>
      <c r="AB72" s="11">
        <v>7.75</v>
      </c>
      <c r="AK72" t="s">
        <v>37</v>
      </c>
      <c r="AL72" s="11">
        <v>6.5750000000000002</v>
      </c>
      <c r="AM72" s="11"/>
      <c r="AN72" s="11"/>
      <c r="AO72" s="11"/>
      <c r="AP72" s="11"/>
      <c r="AT72" t="s">
        <v>39</v>
      </c>
      <c r="AU72" s="11">
        <v>6.8500000000000005</v>
      </c>
      <c r="AW72" s="11">
        <v>6.8250000000000002</v>
      </c>
      <c r="BD72" s="11">
        <v>8.0975000000000001</v>
      </c>
    </row>
    <row r="73" spans="2:56" ht="21" customHeight="1">
      <c r="B73" s="34" t="s">
        <v>117</v>
      </c>
      <c r="C73" s="49">
        <v>8.85</v>
      </c>
      <c r="D73" s="49"/>
      <c r="E73" s="49"/>
      <c r="F73" s="49"/>
      <c r="G73" s="49"/>
      <c r="H73" s="49"/>
      <c r="I73" s="49"/>
      <c r="J73" s="49"/>
      <c r="K73" s="34" t="s">
        <v>43</v>
      </c>
      <c r="L73" s="49">
        <v>8.125</v>
      </c>
      <c r="M73" s="49"/>
      <c r="N73" s="49"/>
      <c r="O73" s="49"/>
      <c r="P73" s="49"/>
      <c r="Q73" s="49"/>
      <c r="S73" s="34" t="s">
        <v>51</v>
      </c>
      <c r="T73" s="49">
        <v>6.8549999999999995</v>
      </c>
      <c r="AA73" t="s">
        <v>36</v>
      </c>
      <c r="AB73" s="11">
        <v>8.3535000000000004</v>
      </c>
      <c r="AK73" t="s">
        <v>37</v>
      </c>
      <c r="AL73" s="11">
        <v>8.3049999999999997</v>
      </c>
      <c r="AM73" s="11"/>
      <c r="AN73" s="11"/>
      <c r="AO73" s="11"/>
      <c r="AP73" s="11"/>
      <c r="AT73" t="s">
        <v>39</v>
      </c>
      <c r="AU73" s="11">
        <v>8.1875</v>
      </c>
      <c r="AW73" s="11">
        <v>7.4325000000000001</v>
      </c>
      <c r="BD73" s="11">
        <v>7.7694999999999999</v>
      </c>
    </row>
    <row r="74" spans="2:56" ht="21" customHeight="1">
      <c r="B74" s="34" t="s">
        <v>117</v>
      </c>
      <c r="C74" s="49">
        <v>8.6524999999999999</v>
      </c>
      <c r="D74" s="49"/>
      <c r="E74" s="49"/>
      <c r="F74" s="49"/>
      <c r="G74" s="49"/>
      <c r="H74" s="49"/>
      <c r="I74" s="49"/>
      <c r="J74" s="49"/>
      <c r="K74" s="34" t="s">
        <v>43</v>
      </c>
      <c r="L74" s="49">
        <v>6.2750000000000004</v>
      </c>
      <c r="M74" s="49"/>
      <c r="N74" s="49"/>
      <c r="O74" s="49"/>
      <c r="P74" s="49"/>
      <c r="Q74" s="49"/>
      <c r="S74" s="34" t="s">
        <v>51</v>
      </c>
      <c r="T74" s="49">
        <v>7.669999999999999</v>
      </c>
      <c r="AA74" t="s">
        <v>36</v>
      </c>
      <c r="AB74" s="11">
        <v>7.4750000000000005</v>
      </c>
      <c r="AK74" t="s">
        <v>37</v>
      </c>
      <c r="AL74" s="11">
        <v>7.4074999999999989</v>
      </c>
      <c r="AM74" s="11"/>
      <c r="AN74" s="11"/>
      <c r="AO74" s="11"/>
      <c r="AP74" s="11"/>
      <c r="AT74" t="s">
        <v>39</v>
      </c>
      <c r="AU74" s="11">
        <v>8.0250000000000004</v>
      </c>
      <c r="AW74" s="11">
        <v>6.2249999999999996</v>
      </c>
      <c r="BD74" s="11">
        <v>8.8500000000000014</v>
      </c>
    </row>
    <row r="75" spans="2:56" ht="21" customHeight="1">
      <c r="B75" s="34" t="s">
        <v>117</v>
      </c>
      <c r="C75" s="49">
        <v>9.5650000000000013</v>
      </c>
      <c r="D75" s="49"/>
      <c r="E75" s="49"/>
      <c r="F75" s="49"/>
      <c r="G75" s="49"/>
      <c r="H75" s="49"/>
      <c r="I75" s="49"/>
      <c r="J75" s="49"/>
      <c r="K75" s="34" t="s">
        <v>43</v>
      </c>
      <c r="L75" s="49">
        <v>7.125</v>
      </c>
      <c r="M75" s="49"/>
      <c r="N75" s="49"/>
      <c r="O75" s="49"/>
      <c r="P75" s="49"/>
      <c r="Q75" s="49"/>
      <c r="S75" s="34" t="s">
        <v>51</v>
      </c>
      <c r="T75" s="49">
        <v>7.1344999999999992</v>
      </c>
      <c r="AA75" t="s">
        <v>36</v>
      </c>
      <c r="AB75" s="11">
        <v>7.4325000000000001</v>
      </c>
      <c r="AK75" t="s">
        <v>37</v>
      </c>
      <c r="AL75" s="11">
        <v>7.7874999999999996</v>
      </c>
      <c r="AM75" s="11"/>
      <c r="AN75" s="11"/>
      <c r="AO75" s="11"/>
      <c r="AP75" s="11"/>
      <c r="AT75" t="s">
        <v>39</v>
      </c>
      <c r="AU75" s="11">
        <v>7.2750000000000004</v>
      </c>
      <c r="AW75" s="11">
        <v>7.05</v>
      </c>
      <c r="BD75" s="11">
        <v>6.4375</v>
      </c>
    </row>
    <row r="76" spans="2:56" ht="21" customHeight="1">
      <c r="B76" s="34" t="s">
        <v>117</v>
      </c>
      <c r="C76" s="49">
        <v>8.5249999999999986</v>
      </c>
      <c r="D76" s="49"/>
      <c r="E76" s="49"/>
      <c r="F76" s="49"/>
      <c r="G76" s="49"/>
      <c r="H76" s="49"/>
      <c r="I76" s="49"/>
      <c r="J76" s="49"/>
      <c r="K76" s="34" t="s">
        <v>43</v>
      </c>
      <c r="L76" s="49">
        <v>6.5477499999999997</v>
      </c>
      <c r="M76" s="49"/>
      <c r="N76" s="49"/>
      <c r="O76" s="49"/>
      <c r="P76" s="49"/>
      <c r="Q76" s="49"/>
      <c r="S76" s="34" t="s">
        <v>51</v>
      </c>
      <c r="T76" s="49">
        <v>9.5</v>
      </c>
      <c r="AA76" t="s">
        <v>98</v>
      </c>
      <c r="AB76" s="11">
        <v>9.1325000000000003</v>
      </c>
      <c r="AK76" t="s">
        <v>37</v>
      </c>
      <c r="AL76" s="11">
        <v>7.6850000000000005</v>
      </c>
      <c r="AM76" s="11"/>
      <c r="AN76" s="11"/>
      <c r="AO76" s="11"/>
      <c r="AP76" s="11"/>
      <c r="AT76" t="s">
        <v>39</v>
      </c>
      <c r="AU76" s="11">
        <v>7.7</v>
      </c>
      <c r="BD76" s="11">
        <v>5.5749999999999993</v>
      </c>
    </row>
    <row r="77" spans="2:56" ht="21" customHeight="1">
      <c r="B77" s="34" t="s">
        <v>117</v>
      </c>
      <c r="C77" s="49">
        <v>8.2250000000000014</v>
      </c>
      <c r="D77" s="49"/>
      <c r="E77" s="49"/>
      <c r="F77" s="49"/>
      <c r="G77" s="49"/>
      <c r="H77" s="49"/>
      <c r="I77" s="49"/>
      <c r="J77" s="49"/>
      <c r="K77" s="34" t="s">
        <v>43</v>
      </c>
      <c r="L77" s="49">
        <v>7.2750000000000004</v>
      </c>
      <c r="M77" s="49"/>
      <c r="N77" s="49"/>
      <c r="O77" s="49"/>
      <c r="P77" s="49"/>
      <c r="Q77" s="49"/>
      <c r="S77" s="34" t="s">
        <v>51</v>
      </c>
      <c r="T77" s="49">
        <v>9.1875</v>
      </c>
      <c r="AA77" t="s">
        <v>98</v>
      </c>
      <c r="AB77" s="11">
        <v>8.0825000000000014</v>
      </c>
      <c r="AK77" t="s">
        <v>37</v>
      </c>
      <c r="AL77" s="11">
        <v>6.65</v>
      </c>
      <c r="AM77" s="11"/>
      <c r="AN77" s="11"/>
      <c r="AO77" s="11"/>
      <c r="AP77" s="11"/>
      <c r="AT77" t="s">
        <v>39</v>
      </c>
      <c r="AU77" s="11">
        <v>9.8125</v>
      </c>
      <c r="BD77" s="11">
        <v>9.120000000000001</v>
      </c>
    </row>
    <row r="78" spans="2:56" ht="21" customHeight="1">
      <c r="B78" s="34" t="s">
        <v>117</v>
      </c>
      <c r="C78" s="49">
        <v>8.0749999999999993</v>
      </c>
      <c r="D78" s="49"/>
      <c r="E78" s="49"/>
      <c r="F78" s="49"/>
      <c r="G78" s="49"/>
      <c r="H78" s="49"/>
      <c r="I78" s="49"/>
      <c r="J78" s="49"/>
      <c r="K78" s="34" t="s">
        <v>43</v>
      </c>
      <c r="L78" s="49">
        <v>5.8405000000000005</v>
      </c>
      <c r="M78" s="49"/>
      <c r="N78" s="49"/>
      <c r="O78" s="49"/>
      <c r="P78" s="49"/>
      <c r="Q78" s="49"/>
      <c r="S78" s="34" t="s">
        <v>51</v>
      </c>
      <c r="T78" s="49">
        <v>8.24</v>
      </c>
      <c r="AA78" t="s">
        <v>98</v>
      </c>
      <c r="AB78" s="11">
        <v>9.125</v>
      </c>
      <c r="AK78" t="s">
        <v>37</v>
      </c>
      <c r="AL78" s="11">
        <v>6.8549999999999995</v>
      </c>
      <c r="AM78" s="11"/>
      <c r="AN78" s="11"/>
      <c r="AO78" s="11"/>
      <c r="AP78" s="11"/>
      <c r="AT78" t="s">
        <v>39</v>
      </c>
      <c r="AU78" s="11">
        <v>8.6524999999999999</v>
      </c>
      <c r="BD78" s="11">
        <v>6.8249999999999993</v>
      </c>
    </row>
    <row r="79" spans="2:56" ht="21" customHeight="1">
      <c r="B79" s="34" t="s">
        <v>117</v>
      </c>
      <c r="C79" s="49">
        <v>8.9274999999999984</v>
      </c>
      <c r="D79" s="49"/>
      <c r="E79" s="49"/>
      <c r="F79" s="49"/>
      <c r="G79" s="49"/>
      <c r="H79" s="49"/>
      <c r="I79" s="49"/>
      <c r="J79" s="49"/>
      <c r="K79" s="34" t="s">
        <v>43</v>
      </c>
      <c r="L79" s="49">
        <v>9.8125</v>
      </c>
      <c r="M79" s="49"/>
      <c r="N79" s="49"/>
      <c r="O79" s="49"/>
      <c r="P79" s="49"/>
      <c r="Q79" s="49"/>
      <c r="S79" s="34" t="s">
        <v>51</v>
      </c>
      <c r="T79" s="49">
        <v>9.2950000000000017</v>
      </c>
      <c r="AA79" t="s">
        <v>98</v>
      </c>
      <c r="AB79" s="11">
        <v>7.2750000000000004</v>
      </c>
      <c r="AK79" t="s">
        <v>37</v>
      </c>
      <c r="AL79" s="11">
        <v>9.4499999999999993</v>
      </c>
      <c r="AM79" s="11"/>
      <c r="AN79" s="11"/>
      <c r="AO79" s="11"/>
      <c r="AP79" s="11"/>
      <c r="AT79" t="s">
        <v>39</v>
      </c>
      <c r="AU79" s="11">
        <v>7.544999999999999</v>
      </c>
      <c r="BD79" s="11">
        <v>8.2250000000000014</v>
      </c>
    </row>
    <row r="80" spans="2:56" ht="21" customHeight="1">
      <c r="B80" s="34" t="s">
        <v>117</v>
      </c>
      <c r="C80" s="49">
        <v>7.1250000000000009</v>
      </c>
      <c r="D80" s="49"/>
      <c r="E80" s="49"/>
      <c r="F80" s="49"/>
      <c r="G80" s="49"/>
      <c r="H80" s="49"/>
      <c r="I80" s="49"/>
      <c r="J80" s="49"/>
      <c r="K80" s="34" t="s">
        <v>43</v>
      </c>
      <c r="L80" s="49">
        <v>7.7899999999999991</v>
      </c>
      <c r="M80" s="49"/>
      <c r="N80" s="49"/>
      <c r="O80" s="49"/>
      <c r="P80" s="49"/>
      <c r="Q80" s="49"/>
      <c r="S80" s="34" t="s">
        <v>51</v>
      </c>
      <c r="T80" s="49">
        <v>7.75</v>
      </c>
      <c r="AA80" t="s">
        <v>98</v>
      </c>
      <c r="AB80" s="11">
        <v>6.5749999999999993</v>
      </c>
      <c r="AK80" t="s">
        <v>37</v>
      </c>
      <c r="AL80" s="11">
        <v>9.1475000000000009</v>
      </c>
      <c r="AM80" s="11"/>
      <c r="AN80" s="11"/>
      <c r="AO80" s="11"/>
      <c r="AP80" s="11"/>
      <c r="AT80" t="s">
        <v>39</v>
      </c>
      <c r="AU80" s="11">
        <v>9.5650000000000013</v>
      </c>
      <c r="BD80" s="11">
        <v>8.0749999999999993</v>
      </c>
    </row>
    <row r="81" spans="2:56" ht="21" customHeight="1">
      <c r="B81" s="34" t="s">
        <v>117</v>
      </c>
      <c r="C81" s="49">
        <v>7.3249999999999993</v>
      </c>
      <c r="D81" s="49"/>
      <c r="E81" s="49"/>
      <c r="F81" s="49"/>
      <c r="G81" s="49"/>
      <c r="H81" s="49"/>
      <c r="I81" s="49"/>
      <c r="J81" s="49"/>
      <c r="K81" s="34" t="s">
        <v>43</v>
      </c>
      <c r="L81" s="49">
        <v>7.544999999999999</v>
      </c>
      <c r="M81" s="49"/>
      <c r="N81" s="49"/>
      <c r="O81" s="49"/>
      <c r="P81" s="49"/>
      <c r="Q81" s="49"/>
      <c r="S81" s="34" t="s">
        <v>51</v>
      </c>
      <c r="T81" s="49">
        <v>8.3535000000000004</v>
      </c>
      <c r="AA81" t="s">
        <v>98</v>
      </c>
      <c r="AB81" s="11">
        <v>9.5650000000000013</v>
      </c>
      <c r="AK81" t="s">
        <v>37</v>
      </c>
      <c r="AL81" s="11">
        <v>7.1344999999999992</v>
      </c>
      <c r="AM81" s="11"/>
      <c r="AN81" s="11"/>
      <c r="AO81" s="11"/>
      <c r="AP81" s="11"/>
      <c r="AT81" t="s">
        <v>39</v>
      </c>
      <c r="AU81" s="11">
        <v>6.4675000000000002</v>
      </c>
      <c r="BD81" s="11">
        <v>8.9274999999999984</v>
      </c>
    </row>
    <row r="82" spans="2:56" ht="21" customHeight="1">
      <c r="B82" s="34" t="s">
        <v>117</v>
      </c>
      <c r="C82" s="49">
        <v>8.3049999999999997</v>
      </c>
      <c r="D82" s="49"/>
      <c r="E82" s="49"/>
      <c r="F82" s="49"/>
      <c r="G82" s="49"/>
      <c r="H82" s="49"/>
      <c r="I82" s="49"/>
      <c r="J82" s="49"/>
      <c r="K82" s="34" t="s">
        <v>43</v>
      </c>
      <c r="L82" s="49">
        <v>6.4675000000000002</v>
      </c>
      <c r="M82" s="49"/>
      <c r="N82" s="49"/>
      <c r="O82" s="49"/>
      <c r="P82" s="49"/>
      <c r="Q82" s="49"/>
      <c r="S82" s="34" t="s">
        <v>51</v>
      </c>
      <c r="T82" s="49">
        <v>6.8</v>
      </c>
      <c r="AA82" t="s">
        <v>98</v>
      </c>
      <c r="AB82" s="11">
        <v>7.0249999999999995</v>
      </c>
      <c r="AK82" t="s">
        <v>37</v>
      </c>
      <c r="AL82" s="11">
        <v>6.8000000000000007</v>
      </c>
      <c r="AM82" s="11"/>
      <c r="AN82" s="11"/>
      <c r="AO82" s="11"/>
      <c r="AP82" s="11"/>
      <c r="AT82" t="s">
        <v>39</v>
      </c>
      <c r="AU82" s="11">
        <v>7.0249999999999995</v>
      </c>
      <c r="BD82" s="11">
        <v>7.1250000000000009</v>
      </c>
    </row>
    <row r="83" spans="2:56" ht="21" customHeight="1">
      <c r="B83" s="34" t="s">
        <v>117</v>
      </c>
      <c r="C83" s="49">
        <v>7.1344999999999992</v>
      </c>
      <c r="D83" s="49"/>
      <c r="E83" s="49"/>
      <c r="F83" s="49"/>
      <c r="G83" s="49"/>
      <c r="H83" s="49"/>
      <c r="I83" s="49"/>
      <c r="J83" s="49"/>
      <c r="K83" s="34" t="s">
        <v>43</v>
      </c>
      <c r="L83" s="49">
        <v>6.8847500000000004</v>
      </c>
      <c r="M83" s="49"/>
      <c r="N83" s="49"/>
      <c r="O83" s="49"/>
      <c r="P83" s="49"/>
      <c r="Q83" s="49"/>
      <c r="S83" s="34" t="s">
        <v>51</v>
      </c>
      <c r="T83" s="49">
        <v>7.4750000000000005</v>
      </c>
      <c r="AA83" t="s">
        <v>98</v>
      </c>
      <c r="AB83" s="11">
        <v>7.2250000000000005</v>
      </c>
      <c r="AK83" t="s">
        <v>37</v>
      </c>
      <c r="AL83" s="11">
        <v>9.375</v>
      </c>
      <c r="AM83" s="11"/>
      <c r="AN83" s="11"/>
      <c r="AO83" s="11"/>
      <c r="AP83" s="11"/>
      <c r="AT83" t="s">
        <v>39</v>
      </c>
      <c r="AU83" s="11">
        <v>6.8847500000000004</v>
      </c>
      <c r="BD83" s="11">
        <v>7.0475000000000003</v>
      </c>
    </row>
    <row r="84" spans="2:56" ht="21" customHeight="1">
      <c r="B84" s="34" t="s">
        <v>117</v>
      </c>
      <c r="C84" s="49">
        <v>8.0950000000000006</v>
      </c>
      <c r="D84" s="49"/>
      <c r="E84" s="49"/>
      <c r="F84" s="49"/>
      <c r="G84" s="49"/>
      <c r="H84" s="49"/>
      <c r="I84" s="49"/>
      <c r="J84" s="49"/>
      <c r="K84" s="34" t="s">
        <v>43</v>
      </c>
      <c r="L84" s="49">
        <v>7.625</v>
      </c>
      <c r="M84" s="49"/>
      <c r="N84" s="49"/>
      <c r="O84" s="49"/>
      <c r="P84" s="49"/>
      <c r="Q84" s="49"/>
      <c r="S84" s="34" t="s">
        <v>51</v>
      </c>
      <c r="T84" s="49">
        <v>7.1282499999999995</v>
      </c>
      <c r="AA84" t="s">
        <v>98</v>
      </c>
      <c r="AB84" s="11">
        <v>8.9975000000000005</v>
      </c>
      <c r="AK84" t="s">
        <v>37</v>
      </c>
      <c r="AL84" s="11">
        <v>9.5</v>
      </c>
      <c r="AM84" s="11"/>
      <c r="AN84" s="11"/>
      <c r="AO84" s="11"/>
      <c r="AP84" s="11"/>
      <c r="AT84" t="s">
        <v>39</v>
      </c>
      <c r="AU84" s="11">
        <v>7.625</v>
      </c>
      <c r="BD84" s="11">
        <v>9.34</v>
      </c>
    </row>
    <row r="85" spans="2:56" ht="21" customHeight="1">
      <c r="B85" s="34" t="s">
        <v>117</v>
      </c>
      <c r="C85" s="49">
        <v>7.4750000000000005</v>
      </c>
      <c r="D85" s="49"/>
      <c r="E85" s="49"/>
      <c r="F85" s="49"/>
      <c r="G85" s="49"/>
      <c r="H85" s="49"/>
      <c r="I85" s="49"/>
      <c r="J85" s="49"/>
      <c r="K85" s="34" t="s">
        <v>43</v>
      </c>
      <c r="L85" s="49">
        <v>7.3874999999999993</v>
      </c>
      <c r="M85" s="49"/>
      <c r="N85" s="49"/>
      <c r="O85" s="49"/>
      <c r="P85" s="49"/>
      <c r="Q85" s="49"/>
      <c r="S85" s="34" t="s">
        <v>51</v>
      </c>
      <c r="T85" s="49">
        <v>7.4325000000000001</v>
      </c>
      <c r="AA85" t="s">
        <v>98</v>
      </c>
      <c r="AB85" s="11">
        <v>8.5249999999999986</v>
      </c>
      <c r="AK85" t="s">
        <v>37</v>
      </c>
      <c r="AL85" s="11">
        <v>9.1875</v>
      </c>
      <c r="AM85" s="11"/>
      <c r="AN85" s="11"/>
      <c r="AO85" s="11"/>
      <c r="AP85" s="11"/>
      <c r="AT85" t="s">
        <v>39</v>
      </c>
      <c r="AU85" s="11">
        <v>7.3874999999999993</v>
      </c>
      <c r="BD85" s="11">
        <v>7.5625</v>
      </c>
    </row>
    <row r="86" spans="2:56" ht="21" customHeight="1">
      <c r="B86" s="34" t="s">
        <v>117</v>
      </c>
      <c r="C86" s="49">
        <v>9.1875</v>
      </c>
      <c r="D86" s="49"/>
      <c r="E86" s="49"/>
      <c r="F86" s="49"/>
      <c r="G86" s="49"/>
      <c r="H86" s="49"/>
      <c r="I86" s="49"/>
      <c r="J86" s="49"/>
      <c r="K86" s="34" t="s">
        <v>43</v>
      </c>
      <c r="L86" s="49">
        <v>8.5</v>
      </c>
      <c r="M86" s="49"/>
      <c r="N86" s="49"/>
      <c r="O86" s="49"/>
      <c r="P86" s="49"/>
      <c r="Q86" s="49"/>
      <c r="S86" s="34" t="s">
        <v>51</v>
      </c>
      <c r="T86" s="49">
        <v>6.2249999999999996</v>
      </c>
      <c r="AA86" t="s">
        <v>98</v>
      </c>
      <c r="AB86" s="11">
        <v>7.7349999999999994</v>
      </c>
      <c r="AK86" t="s">
        <v>37</v>
      </c>
      <c r="AL86" s="11">
        <v>7.75</v>
      </c>
      <c r="AM86" s="11"/>
      <c r="AN86" s="11"/>
      <c r="AO86" s="11"/>
      <c r="AP86" s="11"/>
      <c r="AT86" t="s">
        <v>39</v>
      </c>
      <c r="AU86" s="11">
        <v>7.9249999999999998</v>
      </c>
      <c r="BD86" s="11">
        <v>6.5750000000000002</v>
      </c>
    </row>
    <row r="87" spans="2:56" ht="21" customHeight="1">
      <c r="B87" s="34" t="s">
        <v>117</v>
      </c>
      <c r="C87" s="49">
        <v>8.3535000000000004</v>
      </c>
      <c r="D87" s="49"/>
      <c r="E87" s="49"/>
      <c r="F87" s="49"/>
      <c r="G87" s="49"/>
      <c r="H87" s="49"/>
      <c r="I87" s="49"/>
      <c r="J87" s="49"/>
      <c r="K87" s="34" t="s">
        <v>43</v>
      </c>
      <c r="L87" s="49">
        <v>7.2750000000000004</v>
      </c>
      <c r="M87" s="49"/>
      <c r="N87" s="49"/>
      <c r="O87" s="49"/>
      <c r="P87" s="49"/>
      <c r="Q87" s="49"/>
      <c r="S87" s="34" t="s">
        <v>51</v>
      </c>
      <c r="T87" s="49">
        <v>6.5250000000000004</v>
      </c>
      <c r="AA87" t="s">
        <v>98</v>
      </c>
      <c r="AB87" s="11">
        <v>7.7874999999999996</v>
      </c>
      <c r="AK87" t="s">
        <v>37</v>
      </c>
      <c r="AL87" s="11">
        <v>8.3535000000000004</v>
      </c>
      <c r="AM87" s="11"/>
      <c r="AN87" s="11"/>
      <c r="AO87" s="11"/>
      <c r="AP87" s="11"/>
      <c r="AT87" t="s">
        <v>39</v>
      </c>
      <c r="AU87" s="11">
        <v>8.5</v>
      </c>
      <c r="BD87" s="11">
        <v>7.3249999999999993</v>
      </c>
    </row>
    <row r="88" spans="2:56" ht="21" customHeight="1">
      <c r="B88" s="34" t="s">
        <v>117</v>
      </c>
      <c r="C88" s="49">
        <v>8.10975</v>
      </c>
      <c r="D88" s="49"/>
      <c r="E88" s="49"/>
      <c r="F88" s="49"/>
      <c r="G88" s="49"/>
      <c r="H88" s="49"/>
      <c r="I88" s="49"/>
      <c r="J88" s="49"/>
      <c r="K88" s="34" t="s">
        <v>43</v>
      </c>
      <c r="L88" s="49">
        <v>8.0399999999999991</v>
      </c>
      <c r="M88" s="49"/>
      <c r="N88" s="49"/>
      <c r="O88" s="49"/>
      <c r="P88" s="49"/>
      <c r="Q88" s="49"/>
      <c r="S88" s="34" t="s">
        <v>51</v>
      </c>
      <c r="T88" s="49">
        <v>7.05</v>
      </c>
      <c r="AA88" t="s">
        <v>98</v>
      </c>
      <c r="AB88" s="11">
        <v>9.4499999999999993</v>
      </c>
      <c r="AK88" t="s">
        <v>37</v>
      </c>
      <c r="AL88" s="11">
        <v>7.05</v>
      </c>
      <c r="AM88" s="11"/>
      <c r="AN88" s="11"/>
      <c r="AO88" s="11"/>
      <c r="AP88" s="11"/>
      <c r="AT88" t="s">
        <v>39</v>
      </c>
      <c r="AU88" s="11">
        <v>7.2750000000000004</v>
      </c>
      <c r="BD88" s="11">
        <v>7.7349999999999994</v>
      </c>
    </row>
    <row r="89" spans="2:56" ht="21" customHeight="1">
      <c r="B89" s="34" t="s">
        <v>48</v>
      </c>
      <c r="C89" s="49">
        <v>9.5174999999999983</v>
      </c>
      <c r="D89" s="49"/>
      <c r="E89" s="49"/>
      <c r="F89" s="49"/>
      <c r="G89" s="49"/>
      <c r="H89" s="49"/>
      <c r="I89" s="49"/>
      <c r="J89" s="49"/>
      <c r="K89" s="34" t="s">
        <v>43</v>
      </c>
      <c r="L89" s="49">
        <v>8.0975000000000001</v>
      </c>
      <c r="M89" s="49"/>
      <c r="N89" s="49"/>
      <c r="O89" s="49"/>
      <c r="P89" s="49"/>
      <c r="Q89" s="49"/>
      <c r="S89" s="34" t="s">
        <v>43</v>
      </c>
      <c r="T89" s="49">
        <v>7.4</v>
      </c>
      <c r="AA89" t="s">
        <v>98</v>
      </c>
      <c r="AB89" s="11">
        <v>9.1475000000000009</v>
      </c>
      <c r="AK89" t="s">
        <v>37</v>
      </c>
      <c r="AL89" s="11">
        <v>7.1582499999999998</v>
      </c>
      <c r="AM89" s="11"/>
      <c r="AN89" s="11"/>
      <c r="AO89" s="11"/>
      <c r="AP89" s="11"/>
      <c r="AT89" t="s">
        <v>39</v>
      </c>
      <c r="AU89" s="11">
        <v>9.8825000000000003</v>
      </c>
      <c r="BD89" s="11">
        <v>8.3049999999999997</v>
      </c>
    </row>
    <row r="90" spans="2:56" ht="21" customHeight="1">
      <c r="B90" s="34" t="s">
        <v>48</v>
      </c>
      <c r="C90" s="49">
        <v>8.2750000000000004</v>
      </c>
      <c r="D90" s="49"/>
      <c r="E90" s="49"/>
      <c r="F90" s="49"/>
      <c r="G90" s="49"/>
      <c r="H90" s="49"/>
      <c r="I90" s="49"/>
      <c r="J90" s="49"/>
      <c r="K90" s="34" t="s">
        <v>43</v>
      </c>
      <c r="L90" s="49">
        <v>7.7694999999999999</v>
      </c>
      <c r="M90" s="49"/>
      <c r="N90" s="49"/>
      <c r="O90" s="49"/>
      <c r="P90" s="49"/>
      <c r="Q90" s="49"/>
      <c r="S90" s="34" t="s">
        <v>43</v>
      </c>
      <c r="T90" s="49">
        <v>9.5174999999999983</v>
      </c>
      <c r="AA90" t="s">
        <v>98</v>
      </c>
      <c r="AB90" s="11">
        <v>8.24</v>
      </c>
      <c r="AK90" t="s">
        <v>37</v>
      </c>
      <c r="AL90" s="11">
        <v>6.8250000000000002</v>
      </c>
      <c r="AM90" s="11"/>
      <c r="AN90" s="11"/>
      <c r="AO90" s="11"/>
      <c r="AP90" s="11"/>
      <c r="AT90" t="s">
        <v>39</v>
      </c>
      <c r="AU90" s="11">
        <v>8.0749999999999993</v>
      </c>
      <c r="BD90" s="11">
        <v>8.34</v>
      </c>
    </row>
    <row r="91" spans="2:56" ht="21" customHeight="1">
      <c r="B91" s="34" t="s">
        <v>48</v>
      </c>
      <c r="C91" s="49">
        <v>7.7750000000000004</v>
      </c>
      <c r="D91" s="49"/>
      <c r="E91" s="49"/>
      <c r="F91" s="49"/>
      <c r="G91" s="49"/>
      <c r="H91" s="49"/>
      <c r="I91" s="49"/>
      <c r="J91" s="49"/>
      <c r="K91" s="34" t="s">
        <v>43</v>
      </c>
      <c r="L91" s="49">
        <v>8.8500000000000014</v>
      </c>
      <c r="M91" s="49"/>
      <c r="N91" s="49"/>
      <c r="O91" s="49"/>
      <c r="P91" s="49"/>
      <c r="Q91" s="49"/>
      <c r="S91" s="34" t="s">
        <v>43</v>
      </c>
      <c r="T91" s="49">
        <v>8.2750000000000004</v>
      </c>
      <c r="AA91" t="s">
        <v>98</v>
      </c>
      <c r="AB91" s="11">
        <v>7.3612500000000001</v>
      </c>
      <c r="AK91" t="s">
        <v>37</v>
      </c>
      <c r="AL91" s="11">
        <v>6.5250000000000004</v>
      </c>
      <c r="AM91" s="11"/>
      <c r="AN91" s="11"/>
      <c r="AO91" s="11"/>
      <c r="AP91" s="11"/>
      <c r="AT91" t="s">
        <v>39</v>
      </c>
      <c r="AU91" s="11">
        <v>8.7124999999999986</v>
      </c>
      <c r="BD91" s="11">
        <v>7.4074999999999989</v>
      </c>
    </row>
    <row r="92" spans="2:56" ht="21" customHeight="1">
      <c r="B92" s="34" t="s">
        <v>48</v>
      </c>
      <c r="C92" s="49">
        <v>7.625</v>
      </c>
      <c r="D92" s="49"/>
      <c r="E92" s="49"/>
      <c r="F92" s="49"/>
      <c r="G92" s="49"/>
      <c r="H92" s="49"/>
      <c r="I92" s="49"/>
      <c r="J92" s="49"/>
      <c r="K92" s="34" t="s">
        <v>43</v>
      </c>
      <c r="L92" s="49">
        <v>6.4375</v>
      </c>
      <c r="M92" s="49"/>
      <c r="N92" s="49"/>
      <c r="O92" s="49"/>
      <c r="P92" s="49"/>
      <c r="Q92" s="49"/>
      <c r="S92" s="34" t="s">
        <v>43</v>
      </c>
      <c r="T92" s="49">
        <v>9.1325000000000003</v>
      </c>
      <c r="AA92" t="s">
        <v>68</v>
      </c>
      <c r="AB92" s="11">
        <v>7.7949999999999999</v>
      </c>
      <c r="AK92" t="s">
        <v>37</v>
      </c>
      <c r="AL92" s="11">
        <v>7.05</v>
      </c>
      <c r="AM92" s="11"/>
      <c r="AN92" s="11"/>
      <c r="AO92" s="11"/>
      <c r="AP92" s="11"/>
      <c r="AT92" t="s">
        <v>39</v>
      </c>
      <c r="AU92" s="11">
        <v>8.0975000000000001</v>
      </c>
      <c r="BD92" s="11">
        <v>7.7874999999999996</v>
      </c>
    </row>
    <row r="93" spans="2:56" ht="21" customHeight="1">
      <c r="B93" s="34" t="s">
        <v>48</v>
      </c>
      <c r="C93" s="49">
        <v>7.7874999999999996</v>
      </c>
      <c r="D93" s="49"/>
      <c r="E93" s="49"/>
      <c r="F93" s="49"/>
      <c r="G93" s="49"/>
      <c r="H93" s="49"/>
      <c r="I93" s="49"/>
      <c r="J93" s="49"/>
      <c r="K93" s="34" t="s">
        <v>43</v>
      </c>
      <c r="L93" s="49">
        <v>6.8249999999999993</v>
      </c>
      <c r="M93" s="49"/>
      <c r="N93" s="49"/>
      <c r="O93" s="49"/>
      <c r="P93" s="49"/>
      <c r="Q93" s="49"/>
      <c r="S93" s="34" t="s">
        <v>43</v>
      </c>
      <c r="T93" s="49">
        <v>5.97</v>
      </c>
      <c r="AA93" t="s">
        <v>68</v>
      </c>
      <c r="AB93" s="11">
        <v>8.5749999999999993</v>
      </c>
      <c r="AK93" t="s">
        <v>39</v>
      </c>
      <c r="AL93" s="11">
        <v>9.5174999999999983</v>
      </c>
      <c r="AM93" s="11"/>
      <c r="AN93" s="11"/>
      <c r="AO93" s="11"/>
      <c r="AP93" s="11"/>
      <c r="AT93" t="s">
        <v>39</v>
      </c>
      <c r="AU93" s="11">
        <v>5.5749999999999993</v>
      </c>
      <c r="BD93" s="11">
        <v>7.6850000000000005</v>
      </c>
    </row>
    <row r="94" spans="2:56" ht="21" customHeight="1">
      <c r="B94" s="34" t="s">
        <v>66</v>
      </c>
      <c r="C94" s="49">
        <v>7.7949999999999999</v>
      </c>
      <c r="D94" s="49"/>
      <c r="E94" s="49"/>
      <c r="F94" s="49"/>
      <c r="G94" s="49"/>
      <c r="H94" s="49"/>
      <c r="I94" s="49"/>
      <c r="J94" s="49"/>
      <c r="K94" s="34" t="s">
        <v>43</v>
      </c>
      <c r="L94" s="49">
        <v>8.0749999999999993</v>
      </c>
      <c r="M94" s="49"/>
      <c r="N94" s="49"/>
      <c r="O94" s="49"/>
      <c r="P94" s="49"/>
      <c r="Q94" s="49"/>
      <c r="S94" s="34" t="s">
        <v>43</v>
      </c>
      <c r="T94" s="49">
        <v>7.3682500000000006</v>
      </c>
      <c r="AA94" t="s">
        <v>68</v>
      </c>
      <c r="AB94" s="11">
        <v>8.17</v>
      </c>
      <c r="AK94" t="s">
        <v>39</v>
      </c>
      <c r="AL94" s="11">
        <v>7.7949999999999999</v>
      </c>
      <c r="AM94" s="11"/>
      <c r="AN94" s="11"/>
      <c r="AO94" s="11"/>
      <c r="AP94" s="11"/>
      <c r="AT94" t="s">
        <v>39</v>
      </c>
      <c r="AU94" s="11">
        <v>9.120000000000001</v>
      </c>
      <c r="BD94" s="11">
        <v>6.65</v>
      </c>
    </row>
    <row r="95" spans="2:56" ht="21" customHeight="1">
      <c r="B95" s="34" t="s">
        <v>66</v>
      </c>
      <c r="C95" s="49">
        <v>8.17</v>
      </c>
      <c r="D95" s="49"/>
      <c r="E95" s="49"/>
      <c r="F95" s="49"/>
      <c r="G95" s="49"/>
      <c r="H95" s="49"/>
      <c r="I95" s="49"/>
      <c r="J95" s="49"/>
      <c r="K95" s="34" t="s">
        <v>43</v>
      </c>
      <c r="L95" s="49">
        <v>8.9274999999999984</v>
      </c>
      <c r="M95" s="49"/>
      <c r="N95" s="49"/>
      <c r="O95" s="49"/>
      <c r="P95" s="49"/>
      <c r="Q95" s="49"/>
      <c r="S95" s="34" t="s">
        <v>43</v>
      </c>
      <c r="T95" s="49">
        <v>7.7749999999999995</v>
      </c>
      <c r="AA95" t="s">
        <v>68</v>
      </c>
      <c r="AB95" s="11">
        <v>8.2750000000000004</v>
      </c>
      <c r="AK95" t="s">
        <v>39</v>
      </c>
      <c r="AL95" s="11">
        <v>8.5749999999999993</v>
      </c>
      <c r="AM95" s="11"/>
      <c r="AN95" s="11"/>
      <c r="AO95" s="11"/>
      <c r="AP95" s="11"/>
      <c r="AT95" t="s">
        <v>39</v>
      </c>
      <c r="AU95" s="11">
        <v>8.2250000000000014</v>
      </c>
      <c r="BD95" s="11">
        <v>6.8549999999999995</v>
      </c>
    </row>
    <row r="96" spans="2:56" ht="21" customHeight="1">
      <c r="B96" s="34" t="s">
        <v>66</v>
      </c>
      <c r="C96" s="49">
        <v>9.0749999999999993</v>
      </c>
      <c r="D96" s="49"/>
      <c r="E96" s="49"/>
      <c r="F96" s="49"/>
      <c r="G96" s="49"/>
      <c r="H96" s="49"/>
      <c r="I96" s="49"/>
      <c r="J96" s="49"/>
      <c r="K96" s="34" t="s">
        <v>43</v>
      </c>
      <c r="L96" s="49">
        <v>7.1250000000000009</v>
      </c>
      <c r="M96" s="49"/>
      <c r="N96" s="49"/>
      <c r="O96" s="49"/>
      <c r="P96" s="49"/>
      <c r="Q96" s="49"/>
      <c r="S96" s="34" t="s">
        <v>43</v>
      </c>
      <c r="T96" s="49">
        <v>7.7887500000000003</v>
      </c>
      <c r="AA96" t="s">
        <v>68</v>
      </c>
      <c r="AB96" s="11">
        <v>8</v>
      </c>
      <c r="AK96" t="s">
        <v>39</v>
      </c>
      <c r="AL96" s="11">
        <v>8.125</v>
      </c>
      <c r="AM96" s="11"/>
      <c r="AN96" s="11"/>
      <c r="AO96" s="11"/>
      <c r="AP96" s="11"/>
      <c r="AT96" t="s">
        <v>39</v>
      </c>
      <c r="AU96" s="11">
        <v>8.0749999999999993</v>
      </c>
      <c r="BD96" s="11">
        <v>7.669999999999999</v>
      </c>
    </row>
    <row r="97" spans="2:56" ht="21" customHeight="1">
      <c r="B97" s="34" t="s">
        <v>66</v>
      </c>
      <c r="C97" s="49">
        <v>5.97</v>
      </c>
      <c r="D97" s="49"/>
      <c r="E97" s="49"/>
      <c r="F97" s="49"/>
      <c r="G97" s="49"/>
      <c r="H97" s="49"/>
      <c r="I97" s="49"/>
      <c r="J97" s="49"/>
      <c r="K97" s="34" t="s">
        <v>43</v>
      </c>
      <c r="L97" s="49">
        <v>9.34</v>
      </c>
      <c r="M97" s="49"/>
      <c r="N97" s="49"/>
      <c r="O97" s="49"/>
      <c r="P97" s="49"/>
      <c r="Q97" s="49"/>
      <c r="S97" s="34" t="s">
        <v>43</v>
      </c>
      <c r="T97" s="49">
        <v>8.125</v>
      </c>
      <c r="AA97" t="s">
        <v>68</v>
      </c>
      <c r="AB97" s="11">
        <v>7.7749999999999995</v>
      </c>
      <c r="AK97" t="s">
        <v>39</v>
      </c>
      <c r="AL97" s="11">
        <v>9.1325000000000003</v>
      </c>
      <c r="AM97" s="11"/>
      <c r="AN97" s="11"/>
      <c r="AO97" s="11"/>
      <c r="AP97" s="11"/>
      <c r="AT97" t="s">
        <v>39</v>
      </c>
      <c r="AU97" s="11">
        <v>8.9274999999999984</v>
      </c>
      <c r="BD97" s="11">
        <v>9.4499999999999993</v>
      </c>
    </row>
    <row r="98" spans="2:56" ht="21" customHeight="1">
      <c r="B98" s="34" t="s">
        <v>66</v>
      </c>
      <c r="C98" s="49">
        <v>8</v>
      </c>
      <c r="D98" s="49"/>
      <c r="E98" s="49"/>
      <c r="F98" s="49"/>
      <c r="G98" s="49"/>
      <c r="H98" s="49"/>
      <c r="I98" s="49"/>
      <c r="J98" s="49"/>
      <c r="K98" s="34" t="s">
        <v>43</v>
      </c>
      <c r="L98" s="49">
        <v>7.5625</v>
      </c>
      <c r="M98" s="49"/>
      <c r="N98" s="49"/>
      <c r="O98" s="49"/>
      <c r="P98" s="49"/>
      <c r="Q98" s="49"/>
      <c r="S98" s="34" t="s">
        <v>43</v>
      </c>
      <c r="T98" s="49">
        <v>8.0250000000000004</v>
      </c>
      <c r="AA98" t="s">
        <v>68</v>
      </c>
      <c r="AB98" s="11">
        <v>7.7</v>
      </c>
      <c r="AK98" t="s">
        <v>39</v>
      </c>
      <c r="AL98" s="11">
        <v>8.4499999999999993</v>
      </c>
      <c r="AM98" s="11"/>
      <c r="AN98" s="11"/>
      <c r="AO98" s="11"/>
      <c r="AP98" s="11"/>
      <c r="AT98" t="s">
        <v>39</v>
      </c>
      <c r="AU98" s="11">
        <v>7.1250000000000009</v>
      </c>
      <c r="BD98" s="11">
        <v>9.1475000000000009</v>
      </c>
    </row>
    <row r="99" spans="2:56" ht="21" customHeight="1">
      <c r="B99" s="34" t="s">
        <v>66</v>
      </c>
      <c r="C99" s="49">
        <v>7.3682500000000006</v>
      </c>
      <c r="D99" s="49"/>
      <c r="E99" s="49"/>
      <c r="F99" s="49"/>
      <c r="G99" s="49"/>
      <c r="H99" s="49"/>
      <c r="I99" s="49"/>
      <c r="J99" s="49"/>
      <c r="K99" s="34" t="s">
        <v>43</v>
      </c>
      <c r="L99" s="49">
        <v>6.5750000000000002</v>
      </c>
      <c r="M99" s="49"/>
      <c r="N99" s="49"/>
      <c r="O99" s="49"/>
      <c r="P99" s="49"/>
      <c r="Q99" s="49"/>
      <c r="S99" s="34" t="s">
        <v>43</v>
      </c>
      <c r="T99" s="49">
        <v>7.2750000000000004</v>
      </c>
      <c r="AA99" t="s">
        <v>68</v>
      </c>
      <c r="AB99" s="11">
        <v>7.6850000000000005</v>
      </c>
      <c r="AK99" t="s">
        <v>39</v>
      </c>
      <c r="AL99" s="11">
        <v>8</v>
      </c>
      <c r="AM99" s="11"/>
      <c r="AN99" s="11"/>
      <c r="AO99" s="11"/>
      <c r="AP99" s="11"/>
      <c r="AT99" t="s">
        <v>39</v>
      </c>
      <c r="AU99" s="11">
        <v>7.0475000000000003</v>
      </c>
      <c r="BD99" s="11">
        <v>7.1344999999999992</v>
      </c>
    </row>
    <row r="100" spans="2:56" ht="21" customHeight="1">
      <c r="B100" s="34" t="s">
        <v>66</v>
      </c>
      <c r="C100" s="49">
        <v>9.125</v>
      </c>
      <c r="D100" s="49"/>
      <c r="E100" s="49"/>
      <c r="F100" s="49"/>
      <c r="G100" s="49"/>
      <c r="H100" s="49"/>
      <c r="I100" s="49"/>
      <c r="J100" s="49"/>
      <c r="K100" s="34" t="s">
        <v>43</v>
      </c>
      <c r="L100" s="49">
        <v>7.3249999999999993</v>
      </c>
      <c r="M100" s="49"/>
      <c r="N100" s="49"/>
      <c r="O100" s="49"/>
      <c r="P100" s="49"/>
      <c r="Q100" s="49"/>
      <c r="S100" s="34" t="s">
        <v>43</v>
      </c>
      <c r="T100" s="49">
        <v>8.6524999999999999</v>
      </c>
      <c r="AA100" t="s">
        <v>68</v>
      </c>
      <c r="AB100" s="11">
        <v>6.65</v>
      </c>
      <c r="AK100" t="s">
        <v>39</v>
      </c>
      <c r="AL100" s="11">
        <v>7.7749999999999995</v>
      </c>
      <c r="AM100" s="11"/>
      <c r="AN100" s="11"/>
      <c r="AO100" s="11"/>
      <c r="AP100" s="11"/>
      <c r="AT100" t="s">
        <v>39</v>
      </c>
      <c r="AU100" s="11">
        <v>9.34</v>
      </c>
      <c r="BD100" s="11">
        <v>6.8000000000000007</v>
      </c>
    </row>
    <row r="101" spans="2:56" ht="21" customHeight="1">
      <c r="B101" s="34" t="s">
        <v>66</v>
      </c>
      <c r="C101" s="49">
        <v>9.8125</v>
      </c>
      <c r="D101" s="49"/>
      <c r="E101" s="49"/>
      <c r="F101" s="49"/>
      <c r="G101" s="49"/>
      <c r="H101" s="49"/>
      <c r="I101" s="49"/>
      <c r="J101" s="49"/>
      <c r="K101" s="34" t="s">
        <v>43</v>
      </c>
      <c r="L101" s="49">
        <v>8.3049999999999997</v>
      </c>
      <c r="M101" s="49"/>
      <c r="N101" s="49"/>
      <c r="O101" s="49"/>
      <c r="P101" s="49"/>
      <c r="Q101" s="49"/>
      <c r="S101" s="34" t="s">
        <v>43</v>
      </c>
      <c r="T101" s="49">
        <v>7.7899999999999991</v>
      </c>
      <c r="AA101" t="s">
        <v>68</v>
      </c>
      <c r="AB101" s="11">
        <v>9.2950000000000017</v>
      </c>
      <c r="AK101" t="s">
        <v>39</v>
      </c>
      <c r="AL101" s="11">
        <v>7.2465000000000002</v>
      </c>
      <c r="AM101" s="11"/>
      <c r="AN101" s="11"/>
      <c r="AO101" s="11"/>
      <c r="AP101" s="11"/>
      <c r="AT101" t="s">
        <v>39</v>
      </c>
      <c r="AU101" s="11">
        <v>7.5625</v>
      </c>
      <c r="BD101" s="11">
        <v>8.0950000000000006</v>
      </c>
    </row>
    <row r="102" spans="2:56" ht="21" customHeight="1">
      <c r="B102" s="34" t="s">
        <v>66</v>
      </c>
      <c r="C102" s="49">
        <v>7.2249999999999996</v>
      </c>
      <c r="D102" s="49"/>
      <c r="E102" s="49"/>
      <c r="F102" s="49"/>
      <c r="G102" s="49"/>
      <c r="H102" s="49"/>
      <c r="I102" s="49"/>
      <c r="J102" s="49"/>
      <c r="K102" s="34" t="s">
        <v>43</v>
      </c>
      <c r="L102" s="49">
        <v>7.4074999999999989</v>
      </c>
      <c r="M102" s="49"/>
      <c r="N102" s="49"/>
      <c r="O102" s="49"/>
      <c r="P102" s="49"/>
      <c r="Q102" s="49"/>
      <c r="S102" s="34" t="s">
        <v>43</v>
      </c>
      <c r="T102" s="49">
        <v>7.4124999999999996</v>
      </c>
      <c r="AA102" t="s">
        <v>68</v>
      </c>
      <c r="AB102" s="11">
        <v>7.1282499999999995</v>
      </c>
      <c r="AK102" t="s">
        <v>39</v>
      </c>
      <c r="AL102" s="11">
        <v>9.2999999999999989</v>
      </c>
      <c r="AM102" s="11"/>
      <c r="AN102" s="11"/>
      <c r="AO102" s="11"/>
      <c r="AP102" s="11"/>
      <c r="AT102" t="s">
        <v>39</v>
      </c>
      <c r="AU102" s="11">
        <v>6.5750000000000002</v>
      </c>
      <c r="BD102" s="11">
        <v>9.375</v>
      </c>
    </row>
    <row r="103" spans="2:56" ht="21" customHeight="1">
      <c r="B103" s="34" t="s">
        <v>66</v>
      </c>
      <c r="C103" s="49">
        <v>6.4675000000000002</v>
      </c>
      <c r="D103" s="49"/>
      <c r="E103" s="49"/>
      <c r="F103" s="49"/>
      <c r="G103" s="49"/>
      <c r="H103" s="49"/>
      <c r="I103" s="49"/>
      <c r="J103" s="49"/>
      <c r="K103" s="34" t="s">
        <v>43</v>
      </c>
      <c r="L103" s="49">
        <v>6.8549999999999995</v>
      </c>
      <c r="M103" s="49"/>
      <c r="N103" s="49"/>
      <c r="O103" s="49"/>
      <c r="P103" s="49"/>
      <c r="Q103" s="49"/>
      <c r="S103" s="34" t="s">
        <v>43</v>
      </c>
      <c r="T103" s="49">
        <v>7.0249999999999995</v>
      </c>
      <c r="AA103" t="s">
        <v>51</v>
      </c>
      <c r="AB103" s="11">
        <v>9.5174999999999983</v>
      </c>
      <c r="AK103" t="s">
        <v>39</v>
      </c>
      <c r="AL103" s="11">
        <v>7.2</v>
      </c>
      <c r="AM103" s="11"/>
      <c r="AN103" s="11"/>
      <c r="AO103" s="11"/>
      <c r="AP103" s="11"/>
      <c r="AT103" t="s">
        <v>39</v>
      </c>
      <c r="AU103" s="11">
        <v>8.34</v>
      </c>
      <c r="BD103" s="11">
        <v>9.5</v>
      </c>
    </row>
    <row r="104" spans="2:56" ht="21" customHeight="1">
      <c r="B104" s="34" t="s">
        <v>66</v>
      </c>
      <c r="C104" s="49">
        <v>8.9975000000000005</v>
      </c>
      <c r="D104" s="49"/>
      <c r="E104" s="49"/>
      <c r="F104" s="49"/>
      <c r="G104" s="49"/>
      <c r="H104" s="49"/>
      <c r="I104" s="49"/>
      <c r="J104" s="49"/>
      <c r="K104" s="34" t="s">
        <v>43</v>
      </c>
      <c r="L104" s="49">
        <v>7.669999999999999</v>
      </c>
      <c r="M104" s="49"/>
      <c r="N104" s="49"/>
      <c r="O104" s="49"/>
      <c r="P104" s="49"/>
      <c r="Q104" s="49"/>
      <c r="S104" s="34" t="s">
        <v>43</v>
      </c>
      <c r="T104" s="49">
        <v>7.625</v>
      </c>
      <c r="AA104" t="s">
        <v>51</v>
      </c>
      <c r="AB104" s="11">
        <v>8.125</v>
      </c>
      <c r="AK104" t="s">
        <v>39</v>
      </c>
      <c r="AL104" s="11">
        <v>9.125</v>
      </c>
      <c r="AM104" s="11"/>
      <c r="AN104" s="11"/>
      <c r="AO104" s="11"/>
      <c r="AP104" s="11"/>
      <c r="AT104" t="s">
        <v>39</v>
      </c>
      <c r="AU104" s="11">
        <v>7.4074999999999989</v>
      </c>
      <c r="BD104" s="11">
        <v>7.4750000000000005</v>
      </c>
    </row>
    <row r="105" spans="2:56" ht="21" customHeight="1">
      <c r="B105" s="34" t="s">
        <v>66</v>
      </c>
      <c r="C105" s="49">
        <v>7.7694999999999999</v>
      </c>
      <c r="D105" s="49"/>
      <c r="E105" s="49"/>
      <c r="F105" s="49"/>
      <c r="G105" s="49"/>
      <c r="H105" s="49"/>
      <c r="I105" s="49"/>
      <c r="J105" s="49"/>
      <c r="K105" s="34" t="s">
        <v>43</v>
      </c>
      <c r="L105" s="49">
        <v>9.1475000000000009</v>
      </c>
      <c r="M105" s="49"/>
      <c r="N105" s="49"/>
      <c r="O105" s="49"/>
      <c r="P105" s="49"/>
      <c r="Q105" s="49"/>
      <c r="S105" s="34" t="s">
        <v>43</v>
      </c>
      <c r="T105" s="49">
        <v>7.3874999999999993</v>
      </c>
      <c r="AA105" t="s">
        <v>51</v>
      </c>
      <c r="AB105" s="11">
        <v>8.0500000000000007</v>
      </c>
      <c r="AK105" t="s">
        <v>39</v>
      </c>
      <c r="AL105" s="11">
        <v>8.1875</v>
      </c>
      <c r="AM105" s="11"/>
      <c r="AN105" s="11"/>
      <c r="AO105" s="11"/>
      <c r="AP105" s="11"/>
      <c r="AT105" t="s">
        <v>39</v>
      </c>
      <c r="AU105" s="11">
        <v>7.6850000000000005</v>
      </c>
      <c r="BD105" s="11">
        <v>9.1875</v>
      </c>
    </row>
    <row r="106" spans="2:56" ht="21" customHeight="1">
      <c r="B106" s="34" t="s">
        <v>66</v>
      </c>
      <c r="C106" s="49">
        <v>5.5749999999999993</v>
      </c>
      <c r="D106" s="49"/>
      <c r="E106" s="49"/>
      <c r="F106" s="49"/>
      <c r="G106" s="49"/>
      <c r="H106" s="49"/>
      <c r="I106" s="49"/>
      <c r="J106" s="49"/>
      <c r="K106" s="34" t="s">
        <v>43</v>
      </c>
      <c r="L106" s="49">
        <v>7.1344999999999992</v>
      </c>
      <c r="M106" s="49"/>
      <c r="N106" s="49"/>
      <c r="O106" s="49"/>
      <c r="P106" s="49"/>
      <c r="Q106" s="49"/>
      <c r="S106" s="34" t="s">
        <v>43</v>
      </c>
      <c r="T106" s="49">
        <v>8.5</v>
      </c>
      <c r="AA106" t="s">
        <v>51</v>
      </c>
      <c r="AB106" s="11">
        <v>7.7750000000000004</v>
      </c>
      <c r="AK106" t="s">
        <v>39</v>
      </c>
      <c r="AL106" s="11">
        <v>7.2750000000000004</v>
      </c>
      <c r="AM106" s="11"/>
      <c r="AN106" s="11"/>
      <c r="AO106" s="11"/>
      <c r="AP106" s="11"/>
      <c r="AT106" t="s">
        <v>39</v>
      </c>
      <c r="AU106" s="11">
        <v>7.669999999999999</v>
      </c>
      <c r="BD106" s="11">
        <v>8.7575000000000003</v>
      </c>
    </row>
    <row r="107" spans="2:56" ht="21" customHeight="1">
      <c r="B107" s="34" t="s">
        <v>66</v>
      </c>
      <c r="C107" s="49">
        <v>7.5625</v>
      </c>
      <c r="D107" s="49"/>
      <c r="E107" s="49"/>
      <c r="F107" s="49"/>
      <c r="G107" s="49"/>
      <c r="H107" s="49"/>
      <c r="I107" s="49"/>
      <c r="J107" s="49"/>
      <c r="K107" s="34" t="s">
        <v>43</v>
      </c>
      <c r="L107" s="49">
        <v>6.8000000000000007</v>
      </c>
      <c r="M107" s="49"/>
      <c r="N107" s="49"/>
      <c r="O107" s="49"/>
      <c r="P107" s="49"/>
      <c r="Q107" s="49"/>
      <c r="S107" s="34" t="s">
        <v>43</v>
      </c>
      <c r="T107" s="49">
        <v>8.0749999999999993</v>
      </c>
      <c r="AA107" t="s">
        <v>51</v>
      </c>
      <c r="AB107" s="11">
        <v>8.4499999999999993</v>
      </c>
      <c r="AK107" t="s">
        <v>39</v>
      </c>
      <c r="AL107" s="11">
        <v>7.4124999999999996</v>
      </c>
      <c r="AM107" s="11"/>
      <c r="AN107" s="11"/>
      <c r="AO107" s="11"/>
      <c r="AP107" s="11"/>
      <c r="AT107" t="s">
        <v>39</v>
      </c>
      <c r="AU107" s="11">
        <v>9.1475000000000009</v>
      </c>
      <c r="BD107" s="11">
        <v>8.24</v>
      </c>
    </row>
    <row r="108" spans="2:56" ht="21" customHeight="1">
      <c r="B108" s="34" t="s">
        <v>66</v>
      </c>
      <c r="C108" s="49">
        <v>6.5750000000000002</v>
      </c>
      <c r="D108" s="49"/>
      <c r="E108" s="49"/>
      <c r="F108" s="49"/>
      <c r="G108" s="49"/>
      <c r="H108" s="49"/>
      <c r="I108" s="49"/>
      <c r="J108" s="49"/>
      <c r="K108" s="34" t="s">
        <v>43</v>
      </c>
      <c r="L108" s="49">
        <v>8.0950000000000006</v>
      </c>
      <c r="M108" s="49"/>
      <c r="N108" s="49"/>
      <c r="O108" s="49"/>
      <c r="P108" s="49"/>
      <c r="Q108" s="49"/>
      <c r="S108" s="34" t="s">
        <v>43</v>
      </c>
      <c r="T108" s="49">
        <v>8.0975000000000001</v>
      </c>
      <c r="AA108" t="s">
        <v>51</v>
      </c>
      <c r="AB108" s="11">
        <v>8.1</v>
      </c>
      <c r="AK108" t="s">
        <v>39</v>
      </c>
      <c r="AL108" s="11">
        <v>7.544999999999999</v>
      </c>
      <c r="AM108" s="11"/>
      <c r="AN108" s="11"/>
      <c r="AO108" s="11"/>
      <c r="AP108" s="11"/>
      <c r="AT108" t="s">
        <v>39</v>
      </c>
      <c r="AU108" s="11">
        <v>6.8000000000000007</v>
      </c>
      <c r="BD108" s="11">
        <v>9.2950000000000017</v>
      </c>
    </row>
    <row r="109" spans="2:56" ht="21" customHeight="1">
      <c r="B109" s="34" t="s">
        <v>66</v>
      </c>
      <c r="C109" s="49">
        <v>7.7349999999999994</v>
      </c>
      <c r="D109" s="49"/>
      <c r="E109" s="49"/>
      <c r="F109" s="49"/>
      <c r="G109" s="49"/>
      <c r="H109" s="49"/>
      <c r="I109" s="49"/>
      <c r="J109" s="49"/>
      <c r="K109" s="34" t="s">
        <v>43</v>
      </c>
      <c r="L109" s="49">
        <v>7.4750000000000005</v>
      </c>
      <c r="M109" s="49"/>
      <c r="N109" s="49"/>
      <c r="O109" s="49"/>
      <c r="P109" s="49"/>
      <c r="Q109" s="49"/>
      <c r="S109" s="34" t="s">
        <v>43</v>
      </c>
      <c r="T109" s="49">
        <v>8.2250000000000014</v>
      </c>
      <c r="AA109" t="s">
        <v>51</v>
      </c>
      <c r="AB109" s="11">
        <v>7.7887500000000003</v>
      </c>
      <c r="AK109" t="s">
        <v>39</v>
      </c>
      <c r="AL109" s="11">
        <v>7.2750000000000004</v>
      </c>
      <c r="AM109" s="11"/>
      <c r="AN109" s="11"/>
      <c r="AO109" s="11"/>
      <c r="AP109" s="11"/>
      <c r="AT109" t="s">
        <v>39</v>
      </c>
      <c r="AU109" s="11">
        <v>8.0950000000000006</v>
      </c>
      <c r="BD109" s="11">
        <v>7.75</v>
      </c>
    </row>
    <row r="110" spans="2:56" ht="21" customHeight="1">
      <c r="B110" s="34" t="s">
        <v>66</v>
      </c>
      <c r="C110" s="49">
        <v>8.34</v>
      </c>
      <c r="D110" s="49"/>
      <c r="E110" s="49"/>
      <c r="F110" s="49"/>
      <c r="G110" s="49"/>
      <c r="H110" s="49"/>
      <c r="I110" s="49"/>
      <c r="J110" s="49"/>
      <c r="K110" s="34" t="s">
        <v>43</v>
      </c>
      <c r="L110" s="49">
        <v>9.1875</v>
      </c>
      <c r="M110" s="49"/>
      <c r="N110" s="49"/>
      <c r="O110" s="49"/>
      <c r="P110" s="49"/>
      <c r="Q110" s="49"/>
      <c r="S110" s="34" t="s">
        <v>43</v>
      </c>
      <c r="T110" s="49">
        <v>8.0749999999999993</v>
      </c>
      <c r="AA110" t="s">
        <v>51</v>
      </c>
      <c r="AB110" s="11">
        <v>8.1875</v>
      </c>
      <c r="AK110" t="s">
        <v>39</v>
      </c>
      <c r="AL110" s="11">
        <v>8.0399999999999991</v>
      </c>
      <c r="AM110" s="11"/>
      <c r="AN110" s="11"/>
      <c r="AO110" s="11"/>
      <c r="AP110" s="11"/>
      <c r="AT110" t="s">
        <v>39</v>
      </c>
      <c r="AU110" s="11">
        <v>9.375</v>
      </c>
      <c r="BD110" s="11">
        <v>8.3535000000000004</v>
      </c>
    </row>
    <row r="111" spans="2:56" ht="21" customHeight="1">
      <c r="B111" s="34" t="s">
        <v>66</v>
      </c>
      <c r="C111" s="49">
        <v>6.65</v>
      </c>
      <c r="D111" s="49"/>
      <c r="E111" s="49"/>
      <c r="F111" s="49"/>
      <c r="G111" s="49"/>
      <c r="H111" s="49"/>
      <c r="I111" s="49"/>
      <c r="J111" s="49"/>
      <c r="K111" s="34" t="s">
        <v>43</v>
      </c>
      <c r="L111" s="49">
        <v>8.7575000000000003</v>
      </c>
      <c r="M111" s="49"/>
      <c r="N111" s="49"/>
      <c r="O111" s="49"/>
      <c r="P111" s="49"/>
      <c r="Q111" s="49"/>
      <c r="S111" s="34" t="s">
        <v>43</v>
      </c>
      <c r="T111" s="49">
        <v>9.34</v>
      </c>
      <c r="AA111" t="s">
        <v>51</v>
      </c>
      <c r="AB111" s="11">
        <v>8.85</v>
      </c>
      <c r="AK111" t="s">
        <v>39</v>
      </c>
      <c r="AL111" s="11">
        <v>8.8500000000000014</v>
      </c>
      <c r="AM111" s="11"/>
      <c r="AN111" s="11"/>
      <c r="AO111" s="11"/>
      <c r="AP111" s="11"/>
      <c r="AT111" t="s">
        <v>39</v>
      </c>
      <c r="AU111" s="11">
        <v>7.4750000000000005</v>
      </c>
      <c r="BD111" s="11">
        <v>8.10975</v>
      </c>
    </row>
    <row r="112" spans="2:56" ht="21" customHeight="1">
      <c r="B112" s="34" t="s">
        <v>66</v>
      </c>
      <c r="C112" s="49">
        <v>9.1475000000000009</v>
      </c>
      <c r="D112" s="49"/>
      <c r="E112" s="49"/>
      <c r="F112" s="49"/>
      <c r="G112" s="49"/>
      <c r="H112" s="49"/>
      <c r="I112" s="49"/>
      <c r="J112" s="49"/>
      <c r="K112" s="34" t="s">
        <v>43</v>
      </c>
      <c r="L112" s="49">
        <v>8.3535000000000004</v>
      </c>
      <c r="M112" s="49"/>
      <c r="N112" s="49"/>
      <c r="O112" s="49"/>
      <c r="P112" s="49"/>
      <c r="Q112" s="49"/>
      <c r="S112" s="34" t="s">
        <v>43</v>
      </c>
      <c r="T112" s="49">
        <v>7.5625</v>
      </c>
      <c r="AA112" t="s">
        <v>51</v>
      </c>
      <c r="AB112" s="11">
        <v>7.4124999999999996</v>
      </c>
      <c r="AK112" t="s">
        <v>39</v>
      </c>
      <c r="AL112" s="11">
        <v>5.5749999999999993</v>
      </c>
      <c r="AM112" s="11"/>
      <c r="AN112" s="11"/>
      <c r="AO112" s="11"/>
      <c r="AP112" s="11"/>
      <c r="AT112" t="s">
        <v>39</v>
      </c>
      <c r="AU112" s="11">
        <v>9.1875</v>
      </c>
      <c r="BD112" s="11">
        <v>7.05</v>
      </c>
    </row>
    <row r="113" spans="2:56" ht="21" customHeight="1">
      <c r="B113" s="34" t="s">
        <v>66</v>
      </c>
      <c r="C113" s="49">
        <v>8.24</v>
      </c>
      <c r="D113" s="49"/>
      <c r="E113" s="49"/>
      <c r="F113" s="49"/>
      <c r="G113" s="49"/>
      <c r="H113" s="49"/>
      <c r="I113" s="49"/>
      <c r="J113" s="49"/>
      <c r="K113" s="34" t="s">
        <v>43</v>
      </c>
      <c r="L113" s="49">
        <v>7.05</v>
      </c>
      <c r="M113" s="49"/>
      <c r="N113" s="49"/>
      <c r="O113" s="49"/>
      <c r="P113" s="49"/>
      <c r="Q113" s="49"/>
      <c r="S113" s="34" t="s">
        <v>43</v>
      </c>
      <c r="T113" s="49">
        <v>8.34</v>
      </c>
      <c r="AA113" t="s">
        <v>51</v>
      </c>
      <c r="AB113" s="11">
        <v>7.2249999999999996</v>
      </c>
      <c r="AK113" t="s">
        <v>39</v>
      </c>
      <c r="AL113" s="11">
        <v>7.7349999999999994</v>
      </c>
      <c r="AM113" s="11"/>
      <c r="AN113" s="11"/>
      <c r="AO113" s="11"/>
      <c r="AP113" s="11"/>
      <c r="AT113" t="s">
        <v>39</v>
      </c>
      <c r="AU113" s="11">
        <v>7.75</v>
      </c>
      <c r="BD113" s="11">
        <v>7.4057500000000003</v>
      </c>
    </row>
    <row r="114" spans="2:56" ht="21" customHeight="1">
      <c r="B114" s="34" t="s">
        <v>66</v>
      </c>
      <c r="C114" s="49">
        <v>9.2950000000000017</v>
      </c>
      <c r="D114" s="49"/>
      <c r="E114" s="49"/>
      <c r="F114" s="49"/>
      <c r="G114" s="49"/>
      <c r="H114" s="49"/>
      <c r="I114" s="49"/>
      <c r="J114" s="49"/>
      <c r="K114" s="34" t="s">
        <v>43</v>
      </c>
      <c r="L114" s="49">
        <v>7.4057500000000003</v>
      </c>
      <c r="M114" s="49"/>
      <c r="N114" s="49"/>
      <c r="O114" s="49"/>
      <c r="P114" s="49"/>
      <c r="Q114" s="49"/>
      <c r="S114" s="34" t="s">
        <v>43</v>
      </c>
      <c r="T114" s="49">
        <v>7.4074999999999989</v>
      </c>
      <c r="AA114" t="s">
        <v>51</v>
      </c>
      <c r="AB114" s="11">
        <v>6.8847500000000004</v>
      </c>
      <c r="AK114" t="s">
        <v>39</v>
      </c>
      <c r="AL114" s="11">
        <v>8.34</v>
      </c>
      <c r="AM114" s="11"/>
      <c r="AN114" s="11"/>
      <c r="AO114" s="11"/>
      <c r="AP114" s="11"/>
      <c r="AT114" t="s">
        <v>39</v>
      </c>
      <c r="AU114" s="11">
        <v>8.3535000000000004</v>
      </c>
      <c r="BD114" s="11">
        <v>7.3612500000000001</v>
      </c>
    </row>
    <row r="115" spans="2:56" ht="21" customHeight="1">
      <c r="B115" s="34" t="s">
        <v>66</v>
      </c>
      <c r="C115" s="49">
        <v>7.75</v>
      </c>
      <c r="D115" s="49"/>
      <c r="E115" s="49"/>
      <c r="F115" s="49"/>
      <c r="G115" s="49"/>
      <c r="H115" s="49"/>
      <c r="I115" s="49"/>
      <c r="J115" s="49"/>
      <c r="K115" s="34" t="s">
        <v>43</v>
      </c>
      <c r="L115" s="49">
        <v>7.3612500000000001</v>
      </c>
      <c r="M115" s="49"/>
      <c r="N115" s="49"/>
      <c r="O115" s="49"/>
      <c r="P115" s="49"/>
      <c r="Q115" s="49"/>
      <c r="S115" s="34" t="s">
        <v>43</v>
      </c>
      <c r="T115" s="49">
        <v>6.65</v>
      </c>
      <c r="AA115" t="s">
        <v>51</v>
      </c>
      <c r="AB115" s="11">
        <v>7.625</v>
      </c>
      <c r="AK115" t="s">
        <v>39</v>
      </c>
      <c r="AL115" s="11">
        <v>7.669999999999999</v>
      </c>
      <c r="AM115" s="11"/>
      <c r="AN115" s="11"/>
      <c r="AO115" s="11"/>
      <c r="AP115" s="11"/>
      <c r="AT115" t="s">
        <v>39</v>
      </c>
      <c r="AU115" s="11">
        <v>7.05</v>
      </c>
      <c r="BD115" s="11">
        <v>6.8</v>
      </c>
    </row>
    <row r="116" spans="2:56" ht="21" customHeight="1">
      <c r="B116" s="34" t="s">
        <v>66</v>
      </c>
      <c r="C116" s="49">
        <v>7.05</v>
      </c>
      <c r="D116" s="49"/>
      <c r="E116" s="49"/>
      <c r="F116" s="49"/>
      <c r="G116" s="49"/>
      <c r="H116" s="49"/>
      <c r="I116" s="49"/>
      <c r="J116" s="49"/>
      <c r="K116" s="34" t="s">
        <v>43</v>
      </c>
      <c r="L116" s="49">
        <v>6.8</v>
      </c>
      <c r="M116" s="49"/>
      <c r="N116" s="49"/>
      <c r="O116" s="49"/>
      <c r="P116" s="49"/>
      <c r="Q116" s="49"/>
      <c r="S116" s="34" t="s">
        <v>43</v>
      </c>
      <c r="T116" s="49">
        <v>9.1475000000000009</v>
      </c>
      <c r="AA116" t="s">
        <v>51</v>
      </c>
      <c r="AB116" s="11">
        <v>5.5749999999999993</v>
      </c>
      <c r="AK116" t="s">
        <v>39</v>
      </c>
      <c r="AL116" s="11">
        <v>8.0950000000000006</v>
      </c>
      <c r="AM116" s="11"/>
      <c r="AN116" s="11"/>
      <c r="AO116" s="11"/>
      <c r="AP116" s="11"/>
      <c r="AT116" t="s">
        <v>39</v>
      </c>
      <c r="AU116" s="11">
        <v>7.4057500000000003</v>
      </c>
      <c r="BD116" s="11">
        <v>7.4750000000000005</v>
      </c>
    </row>
    <row r="117" spans="2:56" ht="21" customHeight="1">
      <c r="B117" s="34" t="s">
        <v>66</v>
      </c>
      <c r="C117" s="49">
        <v>6.8</v>
      </c>
      <c r="D117" s="49"/>
      <c r="E117" s="49"/>
      <c r="F117" s="49"/>
      <c r="G117" s="49"/>
      <c r="H117" s="49"/>
      <c r="I117" s="49"/>
      <c r="J117" s="49"/>
      <c r="K117" s="34" t="s">
        <v>43</v>
      </c>
      <c r="L117" s="49">
        <v>7.4750000000000005</v>
      </c>
      <c r="M117" s="49"/>
      <c r="N117" s="49"/>
      <c r="O117" s="49"/>
      <c r="P117" s="49"/>
      <c r="Q117" s="49"/>
      <c r="S117" s="34" t="s">
        <v>43</v>
      </c>
      <c r="T117" s="49">
        <v>6.8000000000000007</v>
      </c>
      <c r="AA117" t="s">
        <v>51</v>
      </c>
      <c r="AB117" s="11">
        <v>8.3049999999999997</v>
      </c>
      <c r="AK117" t="s">
        <v>39</v>
      </c>
      <c r="AL117" s="11">
        <v>8.24</v>
      </c>
      <c r="AM117" s="11"/>
      <c r="AN117" s="11"/>
      <c r="AO117" s="11"/>
      <c r="AP117" s="11"/>
      <c r="AT117" t="s">
        <v>39</v>
      </c>
      <c r="AU117" s="11">
        <v>7.3612500000000001</v>
      </c>
      <c r="BD117" s="11">
        <v>7.1282499999999995</v>
      </c>
    </row>
    <row r="118" spans="2:56" ht="21" customHeight="1">
      <c r="B118" s="34" t="s">
        <v>66</v>
      </c>
      <c r="C118" s="49">
        <v>7.4750000000000005</v>
      </c>
      <c r="D118" s="49"/>
      <c r="E118" s="49"/>
      <c r="F118" s="49"/>
      <c r="G118" s="49"/>
      <c r="H118" s="49"/>
      <c r="I118" s="49"/>
      <c r="J118" s="49"/>
      <c r="K118" s="34" t="s">
        <v>43</v>
      </c>
      <c r="L118" s="49">
        <v>7.1282499999999995</v>
      </c>
      <c r="M118" s="49"/>
      <c r="N118" s="49"/>
      <c r="O118" s="49"/>
      <c r="P118" s="49"/>
      <c r="Q118" s="49"/>
      <c r="S118" s="34" t="s">
        <v>43</v>
      </c>
      <c r="T118" s="49">
        <v>8.0950000000000006</v>
      </c>
      <c r="AA118" t="s">
        <v>51</v>
      </c>
      <c r="AB118" s="11">
        <v>7.4057500000000003</v>
      </c>
      <c r="AK118" t="s">
        <v>39</v>
      </c>
      <c r="AL118" s="11">
        <v>7.4057500000000003</v>
      </c>
      <c r="AM118" s="11"/>
      <c r="AN118" s="11"/>
      <c r="AO118" s="11"/>
      <c r="AP118" s="11"/>
      <c r="AT118" t="s">
        <v>39</v>
      </c>
      <c r="AU118" s="11">
        <v>6.8</v>
      </c>
      <c r="BD118" s="11">
        <v>7.1582499999999998</v>
      </c>
    </row>
    <row r="119" spans="2:56" ht="21" customHeight="1">
      <c r="B119" s="34" t="s">
        <v>66</v>
      </c>
      <c r="C119" s="49">
        <v>7.1282499999999995</v>
      </c>
      <c r="D119" s="49"/>
      <c r="E119" s="49"/>
      <c r="F119" s="49"/>
      <c r="G119" s="49"/>
      <c r="H119" s="49"/>
      <c r="I119" s="49"/>
      <c r="J119" s="49"/>
      <c r="K119" s="34" t="s">
        <v>43</v>
      </c>
      <c r="L119" s="49">
        <v>6.8250000000000002</v>
      </c>
      <c r="M119" s="49"/>
      <c r="N119" s="49"/>
      <c r="O119" s="49"/>
      <c r="P119" s="49"/>
      <c r="Q119" s="49"/>
      <c r="S119" s="34" t="s">
        <v>43</v>
      </c>
      <c r="T119" s="49">
        <v>9.375</v>
      </c>
      <c r="AA119" t="s">
        <v>51</v>
      </c>
      <c r="AB119" s="11">
        <v>6.8</v>
      </c>
      <c r="AK119" t="s">
        <v>39</v>
      </c>
      <c r="AL119" s="11">
        <v>7.3612500000000001</v>
      </c>
      <c r="AM119" s="11"/>
      <c r="AN119" s="11"/>
      <c r="AO119" s="11"/>
      <c r="AP119" s="11"/>
      <c r="AT119" t="s">
        <v>39</v>
      </c>
      <c r="AU119" s="11">
        <v>7.1582499999999998</v>
      </c>
      <c r="BD119" s="11">
        <v>6.8250000000000002</v>
      </c>
    </row>
    <row r="120" spans="2:56" ht="21" customHeight="1">
      <c r="B120" s="34" t="s">
        <v>66</v>
      </c>
      <c r="C120" s="49">
        <v>6.2249999999999996</v>
      </c>
      <c r="D120" s="49"/>
      <c r="E120" s="49"/>
      <c r="F120" s="49"/>
      <c r="G120" s="49"/>
      <c r="H120" s="49"/>
      <c r="I120" s="49"/>
      <c r="J120" s="49"/>
      <c r="K120" s="34" t="s">
        <v>43</v>
      </c>
      <c r="L120" s="49">
        <v>7.4325000000000001</v>
      </c>
      <c r="M120" s="49"/>
      <c r="N120" s="49"/>
      <c r="O120" s="49"/>
      <c r="P120" s="49"/>
      <c r="Q120" s="49"/>
      <c r="S120" s="34" t="s">
        <v>43</v>
      </c>
      <c r="T120" s="49">
        <v>7.4750000000000005</v>
      </c>
      <c r="AA120" t="s">
        <v>126</v>
      </c>
      <c r="AB120" s="11">
        <v>7.3682500000000006</v>
      </c>
      <c r="AK120" t="s">
        <v>39</v>
      </c>
      <c r="AL120" s="11">
        <v>6.8</v>
      </c>
      <c r="AM120" s="11"/>
      <c r="AN120" s="11"/>
      <c r="AO120" s="11"/>
      <c r="AP120" s="11"/>
      <c r="AT120" t="s">
        <v>39</v>
      </c>
      <c r="AU120" s="11">
        <v>6.8250000000000002</v>
      </c>
      <c r="BD120" s="11">
        <v>7.4325000000000001</v>
      </c>
    </row>
    <row r="121" spans="2:56" ht="21" customHeight="1">
      <c r="B121" s="34" t="s">
        <v>66</v>
      </c>
      <c r="C121" s="49">
        <v>7.05</v>
      </c>
      <c r="D121" s="49"/>
      <c r="E121" s="49"/>
      <c r="F121" s="49"/>
      <c r="G121" s="49"/>
      <c r="H121" s="49"/>
      <c r="I121" s="49"/>
      <c r="J121" s="49"/>
      <c r="K121" s="34" t="s">
        <v>43</v>
      </c>
      <c r="L121" s="49">
        <v>6.2249999999999996</v>
      </c>
      <c r="M121" s="49"/>
      <c r="N121" s="49"/>
      <c r="O121" s="49"/>
      <c r="P121" s="49"/>
      <c r="Q121" s="49"/>
      <c r="S121" s="34" t="s">
        <v>43</v>
      </c>
      <c r="T121" s="49">
        <v>7.05</v>
      </c>
      <c r="AA121" t="s">
        <v>126</v>
      </c>
      <c r="AB121" s="11">
        <v>7.2465000000000002</v>
      </c>
      <c r="AK121" t="s">
        <v>39</v>
      </c>
      <c r="AL121" s="11">
        <v>7.4750000000000005</v>
      </c>
      <c r="AM121" s="11"/>
      <c r="AN121" s="11"/>
      <c r="AO121" s="11"/>
      <c r="AP121" s="11"/>
      <c r="AT121" t="s">
        <v>39</v>
      </c>
      <c r="AU121" s="11">
        <v>7.4325000000000001</v>
      </c>
      <c r="BD121" s="11">
        <v>6.2249999999999996</v>
      </c>
    </row>
    <row r="122" spans="2:56" ht="21" customHeight="1">
      <c r="B122" s="34" t="s">
        <v>104</v>
      </c>
      <c r="C122" s="49">
        <v>7.7750000000000004</v>
      </c>
      <c r="D122" s="49"/>
      <c r="E122" s="49"/>
      <c r="F122" s="49"/>
      <c r="G122" s="49"/>
      <c r="H122" s="49"/>
      <c r="I122" s="49"/>
      <c r="J122" s="49"/>
      <c r="K122" s="34" t="s">
        <v>43</v>
      </c>
      <c r="L122" s="49">
        <v>6.5250000000000004</v>
      </c>
      <c r="M122" s="49"/>
      <c r="N122" s="49"/>
      <c r="O122" s="49"/>
      <c r="P122" s="49"/>
      <c r="Q122" s="49"/>
      <c r="S122" s="34" t="s">
        <v>43</v>
      </c>
      <c r="T122" s="49">
        <v>7.3612500000000001</v>
      </c>
      <c r="AA122" t="s">
        <v>126</v>
      </c>
      <c r="AB122" s="11">
        <v>7.8872499999999999</v>
      </c>
      <c r="AK122" t="s">
        <v>39</v>
      </c>
      <c r="AL122" s="11">
        <v>6.2249999999999996</v>
      </c>
      <c r="AM122" s="11"/>
      <c r="AN122" s="11"/>
      <c r="AO122" s="11"/>
      <c r="AP122" s="11"/>
      <c r="AT122" t="s">
        <v>39</v>
      </c>
      <c r="AU122" s="11">
        <v>6.2249999999999996</v>
      </c>
      <c r="BD122" s="11">
        <v>6.5250000000000004</v>
      </c>
    </row>
    <row r="123" spans="2:56" ht="21" customHeight="1">
      <c r="B123" s="34" t="s">
        <v>104</v>
      </c>
      <c r="C123" s="49">
        <v>9.34</v>
      </c>
      <c r="D123" s="49"/>
      <c r="E123" s="49"/>
      <c r="F123" s="49"/>
      <c r="G123" s="49"/>
      <c r="H123" s="49"/>
      <c r="I123" s="49"/>
      <c r="J123" s="49"/>
      <c r="K123" s="34" t="s">
        <v>43</v>
      </c>
      <c r="L123" s="49">
        <v>7.05</v>
      </c>
      <c r="M123" s="49"/>
      <c r="N123" s="49"/>
      <c r="O123" s="49"/>
      <c r="P123" s="49"/>
      <c r="Q123" s="49"/>
      <c r="S123" s="34" t="s">
        <v>43</v>
      </c>
      <c r="T123" s="49">
        <v>6.8250000000000002</v>
      </c>
      <c r="AA123" t="s">
        <v>126</v>
      </c>
      <c r="AB123" s="11">
        <v>9.34</v>
      </c>
      <c r="AK123" t="s">
        <v>133</v>
      </c>
      <c r="AL123" s="11">
        <v>9.34</v>
      </c>
      <c r="AM123" s="11"/>
      <c r="AN123" s="11"/>
      <c r="AO123" s="11"/>
      <c r="AP123" s="11"/>
      <c r="AT123" t="s">
        <v>39</v>
      </c>
      <c r="AU123" s="11">
        <v>7.05</v>
      </c>
      <c r="BD123" s="11">
        <v>7.05</v>
      </c>
    </row>
  </sheetData>
  <sortState ref="AT4:AU123">
    <sortCondition ref="AT4:AT123"/>
  </sortState>
  <mergeCells count="3">
    <mergeCell ref="E2:I2"/>
    <mergeCell ref="N2:Q2"/>
    <mergeCell ref="V2:Y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C2:O42"/>
  <sheetViews>
    <sheetView topLeftCell="C25" workbookViewId="0">
      <selection activeCell="D39" sqref="D39:J42"/>
    </sheetView>
  </sheetViews>
  <sheetFormatPr defaultRowHeight="15"/>
  <cols>
    <col min="4" max="4" width="18.5703125" bestFit="1" customWidth="1"/>
    <col min="6" max="6" width="4" bestFit="1" customWidth="1"/>
    <col min="14" max="14" width="52" bestFit="1" customWidth="1"/>
    <col min="15" max="15" width="16.140625" bestFit="1" customWidth="1"/>
  </cols>
  <sheetData>
    <row r="2" spans="3:15">
      <c r="D2" s="87" t="s">
        <v>562</v>
      </c>
      <c r="E2" s="87"/>
      <c r="F2" s="87"/>
      <c r="G2" s="87"/>
      <c r="H2" s="87"/>
      <c r="I2" s="87"/>
      <c r="J2" s="87"/>
    </row>
    <row r="3" spans="3:15">
      <c r="D3" s="52" t="s">
        <v>548</v>
      </c>
      <c r="E3" s="52" t="s">
        <v>479</v>
      </c>
      <c r="F3" s="52" t="s">
        <v>521</v>
      </c>
      <c r="G3" s="52" t="s">
        <v>480</v>
      </c>
      <c r="H3" s="52" t="s">
        <v>522</v>
      </c>
      <c r="I3" s="52" t="s">
        <v>526</v>
      </c>
      <c r="J3" s="52" t="s">
        <v>549</v>
      </c>
      <c r="N3" s="58" t="s">
        <v>492</v>
      </c>
      <c r="O3" s="58" t="s">
        <v>569</v>
      </c>
    </row>
    <row r="4" spans="3:15">
      <c r="C4" t="s">
        <v>570</v>
      </c>
      <c r="D4" s="53" t="s">
        <v>550</v>
      </c>
      <c r="E4" s="51">
        <v>4.2489875305886358</v>
      </c>
      <c r="F4" s="51">
        <v>4</v>
      </c>
      <c r="G4" s="51">
        <v>1.0622468826471589</v>
      </c>
      <c r="H4" s="51">
        <v>1.2839960098920129</v>
      </c>
      <c r="I4" s="51">
        <v>0.28039672775229363</v>
      </c>
      <c r="J4" s="51">
        <v>2.4505705175600294</v>
      </c>
      <c r="N4" s="58" t="s">
        <v>562</v>
      </c>
      <c r="O4" s="57" t="s">
        <v>42</v>
      </c>
    </row>
    <row r="5" spans="3:15">
      <c r="D5" s="53" t="s">
        <v>551</v>
      </c>
      <c r="E5" s="51">
        <v>95.139229844411346</v>
      </c>
      <c r="F5" s="51">
        <v>115</v>
      </c>
      <c r="G5" s="51">
        <v>0.82729765082096818</v>
      </c>
      <c r="H5" s="51"/>
      <c r="I5" s="51"/>
      <c r="J5" s="51"/>
      <c r="N5" s="58" t="s">
        <v>563</v>
      </c>
      <c r="O5" s="57" t="s">
        <v>54</v>
      </c>
    </row>
    <row r="6" spans="3:15">
      <c r="D6" s="53" t="s">
        <v>483</v>
      </c>
      <c r="E6" s="51">
        <v>99.388217374999982</v>
      </c>
      <c r="F6" s="51">
        <v>119</v>
      </c>
      <c r="G6" s="51"/>
      <c r="H6" s="51"/>
      <c r="I6" s="51"/>
      <c r="J6" s="51"/>
      <c r="N6" s="58" t="s">
        <v>564</v>
      </c>
      <c r="O6" s="57" t="s">
        <v>42</v>
      </c>
    </row>
    <row r="7" spans="3:15">
      <c r="N7" s="58" t="s">
        <v>555</v>
      </c>
      <c r="O7" s="57" t="s">
        <v>42</v>
      </c>
    </row>
    <row r="8" spans="3:15">
      <c r="D8" s="86" t="s">
        <v>563</v>
      </c>
      <c r="E8" s="86"/>
      <c r="F8" s="86"/>
      <c r="G8" s="86"/>
      <c r="H8" s="86"/>
      <c r="I8" s="86"/>
      <c r="J8" s="86"/>
      <c r="N8" s="58" t="s">
        <v>565</v>
      </c>
      <c r="O8" s="57" t="s">
        <v>42</v>
      </c>
    </row>
    <row r="9" spans="3:15">
      <c r="D9" s="52" t="s">
        <v>548</v>
      </c>
      <c r="E9" s="52" t="s">
        <v>479</v>
      </c>
      <c r="F9" s="52" t="s">
        <v>521</v>
      </c>
      <c r="G9" s="52" t="s">
        <v>480</v>
      </c>
      <c r="H9" s="52" t="s">
        <v>522</v>
      </c>
      <c r="I9" s="52" t="s">
        <v>526</v>
      </c>
      <c r="J9" s="52" t="s">
        <v>549</v>
      </c>
      <c r="N9" s="58" t="s">
        <v>566</v>
      </c>
      <c r="O9" s="57" t="s">
        <v>42</v>
      </c>
    </row>
    <row r="10" spans="3:15">
      <c r="C10" t="s">
        <v>570</v>
      </c>
      <c r="D10" s="53" t="s">
        <v>550</v>
      </c>
      <c r="E10" s="51">
        <v>9.9700952845318795</v>
      </c>
      <c r="F10" s="51">
        <v>3</v>
      </c>
      <c r="G10" s="51">
        <v>3.3233650948439597</v>
      </c>
      <c r="H10" s="51">
        <v>4.3113223806228245</v>
      </c>
      <c r="I10" s="51">
        <v>6.3796701417245475E-3</v>
      </c>
      <c r="J10" s="51">
        <v>2.6828094149339776</v>
      </c>
    </row>
    <row r="11" spans="3:15">
      <c r="D11" s="53" t="s">
        <v>551</v>
      </c>
      <c r="E11" s="51">
        <v>89.418122090468117</v>
      </c>
      <c r="F11" s="51">
        <v>116</v>
      </c>
      <c r="G11" s="51">
        <v>0.77084588009024235</v>
      </c>
      <c r="H11" s="51"/>
      <c r="I11" s="51"/>
      <c r="J11" s="51"/>
    </row>
    <row r="12" spans="3:15">
      <c r="D12" s="53" t="s">
        <v>483</v>
      </c>
      <c r="E12" s="51">
        <v>99.388217374999996</v>
      </c>
      <c r="F12" s="51">
        <v>119</v>
      </c>
      <c r="G12" s="51"/>
      <c r="H12" s="51"/>
      <c r="I12" s="51"/>
      <c r="J12" s="51"/>
    </row>
    <row r="14" spans="3:15">
      <c r="D14" s="86" t="s">
        <v>564</v>
      </c>
      <c r="E14" s="86"/>
      <c r="F14" s="86"/>
      <c r="G14" s="86"/>
      <c r="H14" s="86"/>
      <c r="I14" s="86"/>
      <c r="J14" s="86"/>
    </row>
    <row r="15" spans="3:15">
      <c r="D15" s="52" t="s">
        <v>548</v>
      </c>
      <c r="E15" s="52" t="s">
        <v>479</v>
      </c>
      <c r="F15" s="52" t="s">
        <v>521</v>
      </c>
      <c r="G15" s="52" t="s">
        <v>480</v>
      </c>
      <c r="H15" s="52" t="s">
        <v>522</v>
      </c>
      <c r="I15" s="52" t="s">
        <v>526</v>
      </c>
      <c r="J15" s="52" t="s">
        <v>549</v>
      </c>
    </row>
    <row r="16" spans="3:15">
      <c r="D16" s="53" t="s">
        <v>550</v>
      </c>
      <c r="E16" s="51">
        <v>0.62288384642860706</v>
      </c>
      <c r="F16" s="51">
        <v>3</v>
      </c>
      <c r="G16" s="51">
        <v>0.2076279488095357</v>
      </c>
      <c r="H16" s="51">
        <v>0.24385926925401144</v>
      </c>
      <c r="I16" s="51">
        <v>0.86555533350187908</v>
      </c>
      <c r="J16" s="51">
        <v>2.6828094149339776</v>
      </c>
    </row>
    <row r="17" spans="3:10">
      <c r="C17" t="s">
        <v>570</v>
      </c>
      <c r="D17" s="53" t="s">
        <v>551</v>
      </c>
      <c r="E17" s="51">
        <v>98.765333528571418</v>
      </c>
      <c r="F17" s="51">
        <v>116</v>
      </c>
      <c r="G17" s="51">
        <v>0.85142528903940873</v>
      </c>
      <c r="H17" s="51"/>
      <c r="I17" s="51"/>
      <c r="J17" s="51"/>
    </row>
    <row r="18" spans="3:10">
      <c r="D18" s="53" t="s">
        <v>483</v>
      </c>
      <c r="E18" s="51">
        <v>99.388217375000025</v>
      </c>
      <c r="F18" s="51">
        <v>119</v>
      </c>
      <c r="G18" s="51"/>
      <c r="H18" s="51"/>
      <c r="I18" s="51"/>
      <c r="J18" s="51"/>
    </row>
    <row r="20" spans="3:10">
      <c r="D20" s="88" t="s">
        <v>555</v>
      </c>
      <c r="E20" s="88"/>
      <c r="F20" s="88"/>
      <c r="G20" s="88"/>
      <c r="H20" s="88"/>
      <c r="I20" s="88"/>
      <c r="J20" s="88"/>
    </row>
    <row r="21" spans="3:10">
      <c r="C21" t="s">
        <v>570</v>
      </c>
      <c r="D21" s="52" t="s">
        <v>548</v>
      </c>
      <c r="E21" s="52" t="s">
        <v>479</v>
      </c>
      <c r="F21" s="52" t="s">
        <v>521</v>
      </c>
      <c r="G21" s="52" t="s">
        <v>480</v>
      </c>
      <c r="H21" s="52" t="s">
        <v>522</v>
      </c>
      <c r="I21" s="52" t="s">
        <v>526</v>
      </c>
      <c r="J21" s="52" t="s">
        <v>549</v>
      </c>
    </row>
    <row r="22" spans="3:10">
      <c r="D22" s="53" t="s">
        <v>550</v>
      </c>
      <c r="E22" s="51">
        <v>4.2319132041453145</v>
      </c>
      <c r="F22" s="51">
        <v>5</v>
      </c>
      <c r="G22" s="51">
        <v>0.84638264082906289</v>
      </c>
      <c r="H22" s="51">
        <v>1.0139908427009536</v>
      </c>
      <c r="I22" s="51">
        <v>0.4128181881634313</v>
      </c>
      <c r="J22" s="51">
        <v>2.2939111558523324</v>
      </c>
    </row>
    <row r="23" spans="3:10">
      <c r="D23" s="53" t="s">
        <v>551</v>
      </c>
      <c r="E23" s="51">
        <v>95.156304170854654</v>
      </c>
      <c r="F23" s="51">
        <v>114</v>
      </c>
      <c r="G23" s="51">
        <v>0.83470442255135657</v>
      </c>
      <c r="H23" s="51"/>
      <c r="I23" s="51"/>
      <c r="J23" s="51"/>
    </row>
    <row r="24" spans="3:10">
      <c r="D24" s="53" t="s">
        <v>483</v>
      </c>
      <c r="E24" s="51">
        <v>99.388217374999968</v>
      </c>
      <c r="F24" s="51">
        <v>119</v>
      </c>
      <c r="G24" s="51"/>
      <c r="H24" s="51"/>
      <c r="I24" s="51"/>
      <c r="J24" s="51"/>
    </row>
    <row r="26" spans="3:10">
      <c r="D26" s="88" t="s">
        <v>565</v>
      </c>
      <c r="E26" s="88"/>
      <c r="F26" s="88"/>
      <c r="G26" s="88"/>
      <c r="H26" s="88"/>
      <c r="I26" s="88"/>
      <c r="J26" s="88"/>
    </row>
    <row r="27" spans="3:10">
      <c r="D27" s="52" t="s">
        <v>548</v>
      </c>
      <c r="E27" s="52" t="s">
        <v>479</v>
      </c>
      <c r="F27" s="52" t="s">
        <v>521</v>
      </c>
      <c r="G27" s="52" t="s">
        <v>480</v>
      </c>
      <c r="H27" s="52" t="s">
        <v>522</v>
      </c>
      <c r="I27" s="52" t="s">
        <v>526</v>
      </c>
      <c r="J27" s="52" t="s">
        <v>549</v>
      </c>
    </row>
    <row r="28" spans="3:10">
      <c r="C28" t="s">
        <v>570</v>
      </c>
      <c r="D28" s="53" t="s">
        <v>550</v>
      </c>
      <c r="E28" s="51">
        <v>3.2236935413978358</v>
      </c>
      <c r="F28" s="51">
        <v>4</v>
      </c>
      <c r="G28" s="51">
        <v>0.80592338534945895</v>
      </c>
      <c r="H28" s="51">
        <v>0.9637773434573258</v>
      </c>
      <c r="I28" s="51">
        <v>0.43025788627088424</v>
      </c>
      <c r="J28" s="51">
        <v>2.4505705175600294</v>
      </c>
    </row>
    <row r="29" spans="3:10">
      <c r="D29" s="53" t="s">
        <v>551</v>
      </c>
      <c r="E29" s="51">
        <v>96.164523833602161</v>
      </c>
      <c r="F29" s="51">
        <v>115</v>
      </c>
      <c r="G29" s="51">
        <v>0.83621325072697528</v>
      </c>
      <c r="H29" s="51"/>
      <c r="I29" s="51"/>
      <c r="J29" s="51"/>
    </row>
    <row r="30" spans="3:10">
      <c r="D30" s="53" t="s">
        <v>483</v>
      </c>
      <c r="E30" s="51">
        <v>99.388217374999996</v>
      </c>
      <c r="F30" s="51">
        <v>119</v>
      </c>
      <c r="G30" s="51"/>
      <c r="H30" s="51"/>
      <c r="I30" s="51"/>
      <c r="J30" s="51"/>
    </row>
    <row r="32" spans="3:10">
      <c r="D32" s="88" t="s">
        <v>566</v>
      </c>
      <c r="E32" s="88"/>
      <c r="F32" s="88"/>
      <c r="G32" s="88"/>
      <c r="H32" s="88"/>
      <c r="I32" s="88"/>
      <c r="J32" s="88"/>
    </row>
    <row r="33" spans="3:10">
      <c r="D33" s="52" t="s">
        <v>548</v>
      </c>
      <c r="E33" s="52" t="s">
        <v>479</v>
      </c>
      <c r="F33" s="52" t="s">
        <v>521</v>
      </c>
      <c r="G33" s="52" t="s">
        <v>480</v>
      </c>
      <c r="H33" s="52" t="s">
        <v>522</v>
      </c>
      <c r="I33" s="52" t="s">
        <v>526</v>
      </c>
      <c r="J33" s="52" t="s">
        <v>549</v>
      </c>
    </row>
    <row r="34" spans="3:10">
      <c r="C34" t="s">
        <v>570</v>
      </c>
      <c r="D34" s="53" t="s">
        <v>550</v>
      </c>
      <c r="E34" s="51">
        <v>2.6076910699136278</v>
      </c>
      <c r="F34" s="51">
        <v>3</v>
      </c>
      <c r="G34" s="51">
        <v>0.86923035663787596</v>
      </c>
      <c r="H34" s="51">
        <v>1.0418492771173782</v>
      </c>
      <c r="I34" s="51">
        <v>0.37685071435817152</v>
      </c>
      <c r="J34" s="51">
        <v>2.6828094149339776</v>
      </c>
    </row>
    <row r="35" spans="3:10">
      <c r="D35" s="53" t="s">
        <v>551</v>
      </c>
      <c r="E35" s="51">
        <v>96.780526305086354</v>
      </c>
      <c r="F35" s="51">
        <v>116</v>
      </c>
      <c r="G35" s="51">
        <v>0.8343148819403996</v>
      </c>
      <c r="H35" s="51"/>
      <c r="I35" s="51"/>
      <c r="J35" s="51"/>
    </row>
    <row r="36" spans="3:10">
      <c r="D36" s="53" t="s">
        <v>483</v>
      </c>
      <c r="E36" s="51">
        <v>99.388217374999982</v>
      </c>
      <c r="F36" s="51">
        <v>119</v>
      </c>
      <c r="G36" s="51"/>
      <c r="H36" s="51"/>
      <c r="I36" s="51"/>
      <c r="J36" s="51"/>
    </row>
    <row r="38" spans="3:10">
      <c r="D38" s="86" t="s">
        <v>568</v>
      </c>
      <c r="E38" s="86"/>
      <c r="F38" s="86"/>
      <c r="G38" s="86"/>
      <c r="H38" s="86"/>
      <c r="I38" s="86"/>
      <c r="J38" s="86"/>
    </row>
    <row r="39" spans="3:10">
      <c r="D39" s="52" t="s">
        <v>548</v>
      </c>
      <c r="E39" s="52" t="s">
        <v>479</v>
      </c>
      <c r="F39" s="52" t="s">
        <v>521</v>
      </c>
      <c r="G39" s="52" t="s">
        <v>480</v>
      </c>
      <c r="H39" s="52" t="s">
        <v>522</v>
      </c>
      <c r="I39" s="52" t="s">
        <v>526</v>
      </c>
      <c r="J39" s="52" t="s">
        <v>549</v>
      </c>
    </row>
    <row r="40" spans="3:10">
      <c r="D40" s="53" t="s">
        <v>550</v>
      </c>
      <c r="E40" s="51">
        <v>3.9090744518439209</v>
      </c>
      <c r="F40" s="51">
        <v>2</v>
      </c>
      <c r="G40" s="51">
        <v>1.9545372259219604</v>
      </c>
      <c r="H40" s="51">
        <v>2.3602229548949634</v>
      </c>
      <c r="I40" s="51">
        <v>0.10483575205748025</v>
      </c>
      <c r="J40" s="51">
        <v>3.1826098520920123</v>
      </c>
    </row>
    <row r="41" spans="3:10">
      <c r="D41" s="53" t="s">
        <v>551</v>
      </c>
      <c r="E41" s="51">
        <v>41.405775286363635</v>
      </c>
      <c r="F41" s="51">
        <v>50</v>
      </c>
      <c r="G41" s="51">
        <v>0.82811550572727266</v>
      </c>
      <c r="H41" s="51"/>
      <c r="I41" s="51"/>
      <c r="J41" s="51"/>
    </row>
    <row r="42" spans="3:10">
      <c r="D42" s="53" t="s">
        <v>483</v>
      </c>
      <c r="E42" s="51">
        <v>45.314849738207556</v>
      </c>
      <c r="F42" s="51">
        <v>52</v>
      </c>
      <c r="G42" s="51"/>
      <c r="H42" s="51"/>
      <c r="I42" s="51"/>
      <c r="J42" s="51"/>
    </row>
  </sheetData>
  <mergeCells count="7">
    <mergeCell ref="D38:J38"/>
    <mergeCell ref="D2:J2"/>
    <mergeCell ref="D8:J8"/>
    <mergeCell ref="D14:J14"/>
    <mergeCell ref="D20:J20"/>
    <mergeCell ref="D26:J26"/>
    <mergeCell ref="D32:J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W152"/>
  <sheetViews>
    <sheetView topLeftCell="B1" workbookViewId="0">
      <selection activeCell="B1" sqref="A1:XFD1048576"/>
    </sheetView>
  </sheetViews>
  <sheetFormatPr defaultRowHeight="15"/>
  <cols>
    <col min="3" max="3" width="28.85546875" customWidth="1"/>
    <col min="4" max="4" width="10" style="2" bestFit="1" customWidth="1"/>
    <col min="5" max="5" width="39.140625" style="40" customWidth="1"/>
    <col min="6" max="6" width="30" style="2" customWidth="1"/>
    <col min="7" max="7" width="8.42578125" bestFit="1" customWidth="1"/>
    <col min="15" max="15" width="18" bestFit="1" customWidth="1"/>
    <col min="16" max="16" width="19.42578125" bestFit="1" customWidth="1"/>
    <col min="17" max="17" width="14.5703125" bestFit="1" customWidth="1"/>
    <col min="20" max="20" width="13.42578125" bestFit="1" customWidth="1"/>
  </cols>
  <sheetData>
    <row r="1" spans="1:20">
      <c r="G1" s="88" t="s">
        <v>498</v>
      </c>
      <c r="H1" s="88"/>
      <c r="I1" s="88"/>
      <c r="J1" s="88"/>
      <c r="K1" s="88" t="s">
        <v>499</v>
      </c>
      <c r="L1" s="88"/>
      <c r="M1" s="88"/>
    </row>
    <row r="2" spans="1:20" ht="60">
      <c r="C2" s="5" t="s">
        <v>505</v>
      </c>
      <c r="D2" s="5" t="s">
        <v>494</v>
      </c>
      <c r="E2" s="3" t="s">
        <v>506</v>
      </c>
      <c r="F2" s="3" t="s">
        <v>497</v>
      </c>
      <c r="G2" s="5" t="s">
        <v>500</v>
      </c>
      <c r="H2" s="5" t="s">
        <v>501</v>
      </c>
      <c r="I2" s="5" t="s">
        <v>502</v>
      </c>
      <c r="J2" s="5" t="s">
        <v>503</v>
      </c>
      <c r="K2" s="5" t="s">
        <v>507</v>
      </c>
      <c r="L2" s="5" t="s">
        <v>508</v>
      </c>
      <c r="M2" s="5" t="s">
        <v>509</v>
      </c>
    </row>
    <row r="3" spans="1:20">
      <c r="C3" t="s">
        <v>30</v>
      </c>
      <c r="D3" s="11">
        <v>7.4</v>
      </c>
      <c r="E3" s="2" t="s">
        <v>43</v>
      </c>
      <c r="F3" s="2" t="s">
        <v>34</v>
      </c>
      <c r="G3">
        <f>IF(F3="Less than 2 hours",1,0)</f>
        <v>0</v>
      </c>
      <c r="H3">
        <f>IF(F3="2-5 hours",1,0)</f>
        <v>1</v>
      </c>
      <c r="I3">
        <f>IF(F3="5-8 hours",1,0)</f>
        <v>0</v>
      </c>
      <c r="J3">
        <f>IF(F3="8-11 hours",1,0)</f>
        <v>0</v>
      </c>
      <c r="K3">
        <f>IF(E3="Less than 10 hours",1,0)</f>
        <v>0</v>
      </c>
      <c r="L3">
        <f>IF(E3="Above 10 hours - Upto 30 hours",1,0)</f>
        <v>0</v>
      </c>
      <c r="M3">
        <f>IF(E3="Above 30 hours - Upto 50 hours",1,0)</f>
        <v>0</v>
      </c>
    </row>
    <row r="4" spans="1:20">
      <c r="A4" s="2" t="s">
        <v>495</v>
      </c>
      <c r="C4" t="s">
        <v>46</v>
      </c>
      <c r="D4" s="11">
        <v>9.5174999999999983</v>
      </c>
      <c r="E4" s="2" t="s">
        <v>51</v>
      </c>
      <c r="F4" s="2" t="s">
        <v>48</v>
      </c>
      <c r="G4">
        <f t="shared" ref="G4:G67" si="0">IF(F4="Less than 2 hours",1,0)</f>
        <v>0</v>
      </c>
      <c r="H4">
        <f t="shared" ref="H4:H67" si="1">IF(F4="2-5 hours",1,0)</f>
        <v>0</v>
      </c>
      <c r="I4">
        <f t="shared" ref="I4:I67" si="2">IF(F4="5-8 hours",1,0)</f>
        <v>0</v>
      </c>
      <c r="J4">
        <f t="shared" ref="J4:J67" si="3">IF(F4="8-11 hours",1,0)</f>
        <v>1</v>
      </c>
      <c r="K4">
        <f t="shared" ref="K4:K67" si="4">IF(E4="Less than 10 hours",1,0)</f>
        <v>1</v>
      </c>
      <c r="L4">
        <f t="shared" ref="L4:L67" si="5">IF(E4="Above 10 hours - Upto 30 hours",1,0)</f>
        <v>0</v>
      </c>
      <c r="M4">
        <f t="shared" ref="M4:M67" si="6">IF(E4="Above 30 hours - Upto 50 hours",1,0)</f>
        <v>0</v>
      </c>
    </row>
    <row r="5" spans="1:20" ht="15.75" thickBot="1">
      <c r="A5" s="2" t="s">
        <v>496</v>
      </c>
      <c r="C5" t="s">
        <v>57</v>
      </c>
      <c r="D5" s="11">
        <v>7.6025</v>
      </c>
      <c r="E5" s="2" t="s">
        <v>43</v>
      </c>
      <c r="F5" s="2" t="s">
        <v>34</v>
      </c>
      <c r="G5">
        <f t="shared" si="0"/>
        <v>0</v>
      </c>
      <c r="H5">
        <f t="shared" si="1"/>
        <v>1</v>
      </c>
      <c r="I5">
        <f t="shared" si="2"/>
        <v>0</v>
      </c>
      <c r="J5">
        <f t="shared" si="3"/>
        <v>0</v>
      </c>
      <c r="K5">
        <f t="shared" si="4"/>
        <v>0</v>
      </c>
      <c r="L5">
        <f t="shared" si="5"/>
        <v>0</v>
      </c>
      <c r="M5">
        <f t="shared" si="6"/>
        <v>0</v>
      </c>
    </row>
    <row r="6" spans="1:20">
      <c r="C6" t="s">
        <v>64</v>
      </c>
      <c r="D6" s="11">
        <v>7.7949999999999999</v>
      </c>
      <c r="E6" s="2" t="s">
        <v>43</v>
      </c>
      <c r="F6" s="2" t="s">
        <v>66</v>
      </c>
      <c r="G6">
        <f t="shared" si="0"/>
        <v>1</v>
      </c>
      <c r="H6">
        <f t="shared" si="1"/>
        <v>0</v>
      </c>
      <c r="I6">
        <f t="shared" si="2"/>
        <v>0</v>
      </c>
      <c r="J6">
        <f t="shared" si="3"/>
        <v>0</v>
      </c>
      <c r="K6">
        <f t="shared" si="4"/>
        <v>0</v>
      </c>
      <c r="L6">
        <f t="shared" si="5"/>
        <v>0</v>
      </c>
      <c r="M6">
        <f t="shared" si="6"/>
        <v>0</v>
      </c>
      <c r="O6" s="44"/>
      <c r="P6" s="44"/>
    </row>
    <row r="7" spans="1:20">
      <c r="C7" t="s">
        <v>71</v>
      </c>
      <c r="D7" s="11">
        <v>8.5749999999999993</v>
      </c>
      <c r="E7" s="2" t="s">
        <v>51</v>
      </c>
      <c r="F7" s="2" t="s">
        <v>34</v>
      </c>
      <c r="G7">
        <f t="shared" si="0"/>
        <v>0</v>
      </c>
      <c r="H7">
        <f t="shared" si="1"/>
        <v>1</v>
      </c>
      <c r="I7">
        <f t="shared" si="2"/>
        <v>0</v>
      </c>
      <c r="J7">
        <f t="shared" si="3"/>
        <v>0</v>
      </c>
      <c r="K7">
        <f t="shared" si="4"/>
        <v>1</v>
      </c>
      <c r="L7">
        <f t="shared" si="5"/>
        <v>0</v>
      </c>
      <c r="M7">
        <f t="shared" si="6"/>
        <v>0</v>
      </c>
      <c r="O7" s="41"/>
      <c r="P7" s="41"/>
    </row>
    <row r="8" spans="1:20">
      <c r="C8" t="s">
        <v>76</v>
      </c>
      <c r="D8" s="11">
        <v>8.125</v>
      </c>
      <c r="E8" s="2" t="s">
        <v>51</v>
      </c>
      <c r="F8" s="2" t="s">
        <v>34</v>
      </c>
      <c r="G8">
        <f t="shared" si="0"/>
        <v>0</v>
      </c>
      <c r="H8">
        <f t="shared" si="1"/>
        <v>1</v>
      </c>
      <c r="I8">
        <f t="shared" si="2"/>
        <v>0</v>
      </c>
      <c r="J8">
        <f t="shared" si="3"/>
        <v>0</v>
      </c>
      <c r="K8">
        <f t="shared" si="4"/>
        <v>1</v>
      </c>
      <c r="L8">
        <f t="shared" si="5"/>
        <v>0</v>
      </c>
      <c r="M8">
        <f t="shared" si="6"/>
        <v>0</v>
      </c>
      <c r="O8" s="41"/>
      <c r="P8" s="41"/>
    </row>
    <row r="9" spans="1:20">
      <c r="C9" t="s">
        <v>81</v>
      </c>
      <c r="D9" s="11">
        <v>8.17</v>
      </c>
      <c r="E9" s="2" t="s">
        <v>51</v>
      </c>
      <c r="F9" s="2" t="s">
        <v>66</v>
      </c>
      <c r="G9">
        <f t="shared" si="0"/>
        <v>1</v>
      </c>
      <c r="H9">
        <f t="shared" si="1"/>
        <v>0</v>
      </c>
      <c r="I9">
        <f t="shared" si="2"/>
        <v>0</v>
      </c>
      <c r="J9">
        <f t="shared" si="3"/>
        <v>0</v>
      </c>
      <c r="K9">
        <f t="shared" si="4"/>
        <v>1</v>
      </c>
      <c r="L9">
        <f t="shared" si="5"/>
        <v>0</v>
      </c>
      <c r="M9">
        <f t="shared" si="6"/>
        <v>0</v>
      </c>
      <c r="O9" s="41"/>
      <c r="P9" s="41"/>
    </row>
    <row r="10" spans="1:20">
      <c r="C10" t="s">
        <v>85</v>
      </c>
      <c r="D10" s="11">
        <v>8.0500000000000007</v>
      </c>
      <c r="E10" s="2" t="s">
        <v>43</v>
      </c>
      <c r="F10" s="2" t="s">
        <v>34</v>
      </c>
      <c r="G10">
        <f t="shared" si="0"/>
        <v>0</v>
      </c>
      <c r="H10">
        <f t="shared" si="1"/>
        <v>1</v>
      </c>
      <c r="I10">
        <f t="shared" si="2"/>
        <v>0</v>
      </c>
      <c r="J10">
        <f t="shared" si="3"/>
        <v>0</v>
      </c>
      <c r="K10">
        <f t="shared" si="4"/>
        <v>0</v>
      </c>
      <c r="L10">
        <f t="shared" si="5"/>
        <v>0</v>
      </c>
      <c r="M10">
        <f t="shared" si="6"/>
        <v>0</v>
      </c>
      <c r="O10" s="41"/>
      <c r="P10" s="41"/>
    </row>
    <row r="11" spans="1:20" ht="15.75" thickBot="1">
      <c r="C11" t="s">
        <v>89</v>
      </c>
      <c r="D11" s="11">
        <v>8.2750000000000004</v>
      </c>
      <c r="E11" s="2" t="s">
        <v>43</v>
      </c>
      <c r="F11" s="2" t="s">
        <v>48</v>
      </c>
      <c r="G11">
        <f t="shared" si="0"/>
        <v>0</v>
      </c>
      <c r="H11">
        <f t="shared" si="1"/>
        <v>0</v>
      </c>
      <c r="I11">
        <f t="shared" si="2"/>
        <v>0</v>
      </c>
      <c r="J11">
        <f t="shared" si="3"/>
        <v>1</v>
      </c>
      <c r="K11">
        <f t="shared" si="4"/>
        <v>0</v>
      </c>
      <c r="L11">
        <f t="shared" si="5"/>
        <v>0</v>
      </c>
      <c r="M11">
        <f t="shared" si="6"/>
        <v>0</v>
      </c>
      <c r="O11" s="42"/>
      <c r="P11" s="42"/>
    </row>
    <row r="12" spans="1:20">
      <c r="C12" t="s">
        <v>94</v>
      </c>
      <c r="D12" s="11">
        <v>9.0749999999999993</v>
      </c>
      <c r="E12" s="2" t="s">
        <v>51</v>
      </c>
      <c r="F12" s="2" t="s">
        <v>66</v>
      </c>
      <c r="G12">
        <f t="shared" si="0"/>
        <v>1</v>
      </c>
      <c r="H12">
        <f t="shared" si="1"/>
        <v>0</v>
      </c>
      <c r="I12">
        <f t="shared" si="2"/>
        <v>0</v>
      </c>
      <c r="J12">
        <f t="shared" si="3"/>
        <v>0</v>
      </c>
      <c r="K12">
        <f t="shared" si="4"/>
        <v>1</v>
      </c>
      <c r="L12">
        <f t="shared" si="5"/>
        <v>0</v>
      </c>
      <c r="M12">
        <f t="shared" si="6"/>
        <v>0</v>
      </c>
    </row>
    <row r="13" spans="1:20" ht="15.75" thickBot="1">
      <c r="C13" t="s">
        <v>416</v>
      </c>
      <c r="D13" s="11">
        <v>9.1325000000000003</v>
      </c>
      <c r="E13" s="2" t="s">
        <v>43</v>
      </c>
      <c r="F13" s="2" t="s">
        <v>34</v>
      </c>
      <c r="G13">
        <f t="shared" si="0"/>
        <v>0</v>
      </c>
      <c r="H13">
        <f t="shared" si="1"/>
        <v>1</v>
      </c>
      <c r="I13">
        <f t="shared" si="2"/>
        <v>0</v>
      </c>
      <c r="J13">
        <f t="shared" si="3"/>
        <v>0</v>
      </c>
      <c r="K13">
        <f t="shared" si="4"/>
        <v>0</v>
      </c>
      <c r="L13">
        <f t="shared" si="5"/>
        <v>0</v>
      </c>
      <c r="M13">
        <f t="shared" si="6"/>
        <v>0</v>
      </c>
    </row>
    <row r="14" spans="1:20">
      <c r="C14" t="s">
        <v>102</v>
      </c>
      <c r="D14" s="11">
        <v>7.7750000000000004</v>
      </c>
      <c r="E14" s="2" t="s">
        <v>51</v>
      </c>
      <c r="F14" s="2" t="s">
        <v>104</v>
      </c>
      <c r="G14">
        <f t="shared" si="0"/>
        <v>0</v>
      </c>
      <c r="H14">
        <f t="shared" si="1"/>
        <v>0</v>
      </c>
      <c r="I14">
        <f t="shared" si="2"/>
        <v>0</v>
      </c>
      <c r="J14">
        <f t="shared" si="3"/>
        <v>0</v>
      </c>
      <c r="K14">
        <f t="shared" si="4"/>
        <v>1</v>
      </c>
      <c r="L14">
        <f t="shared" si="5"/>
        <v>0</v>
      </c>
      <c r="M14">
        <f t="shared" si="6"/>
        <v>0</v>
      </c>
      <c r="O14" s="43"/>
      <c r="P14" s="43"/>
      <c r="Q14" s="43"/>
      <c r="R14" s="43"/>
      <c r="S14" s="43"/>
      <c r="T14" s="43"/>
    </row>
    <row r="15" spans="1:20">
      <c r="C15" t="s">
        <v>106</v>
      </c>
      <c r="D15" s="11">
        <v>8.4499999999999993</v>
      </c>
      <c r="E15" s="2" t="s">
        <v>61</v>
      </c>
      <c r="F15" s="2" t="s">
        <v>34</v>
      </c>
      <c r="G15">
        <f t="shared" si="0"/>
        <v>0</v>
      </c>
      <c r="H15">
        <f t="shared" si="1"/>
        <v>1</v>
      </c>
      <c r="I15">
        <f t="shared" si="2"/>
        <v>0</v>
      </c>
      <c r="J15">
        <f t="shared" si="3"/>
        <v>0</v>
      </c>
      <c r="K15">
        <f t="shared" si="4"/>
        <v>0</v>
      </c>
      <c r="L15">
        <f t="shared" si="5"/>
        <v>1</v>
      </c>
      <c r="M15">
        <f t="shared" si="6"/>
        <v>0</v>
      </c>
      <c r="O15" s="41"/>
      <c r="P15" s="41"/>
      <c r="Q15" s="41"/>
      <c r="R15" s="41"/>
      <c r="S15" s="41"/>
      <c r="T15" s="41"/>
    </row>
    <row r="16" spans="1:20">
      <c r="C16" t="s">
        <v>110</v>
      </c>
      <c r="D16" s="11">
        <v>5.97</v>
      </c>
      <c r="E16" s="2" t="s">
        <v>43</v>
      </c>
      <c r="F16" s="2" t="s">
        <v>66</v>
      </c>
      <c r="G16">
        <f t="shared" si="0"/>
        <v>1</v>
      </c>
      <c r="H16">
        <f t="shared" si="1"/>
        <v>0</v>
      </c>
      <c r="I16">
        <f t="shared" si="2"/>
        <v>0</v>
      </c>
      <c r="J16">
        <f t="shared" si="3"/>
        <v>0</v>
      </c>
      <c r="K16">
        <f t="shared" si="4"/>
        <v>0</v>
      </c>
      <c r="L16">
        <f t="shared" si="5"/>
        <v>0</v>
      </c>
      <c r="M16">
        <f t="shared" si="6"/>
        <v>0</v>
      </c>
      <c r="O16" s="41"/>
      <c r="P16" s="41"/>
      <c r="Q16" s="41"/>
      <c r="R16" s="41"/>
      <c r="S16" s="41"/>
      <c r="T16" s="41"/>
    </row>
    <row r="17" spans="3:23" ht="15.75" thickBot="1">
      <c r="C17" t="s">
        <v>115</v>
      </c>
      <c r="D17" s="11">
        <v>7.0540000000000003</v>
      </c>
      <c r="E17" s="2" t="s">
        <v>51</v>
      </c>
      <c r="F17" s="2" t="s">
        <v>117</v>
      </c>
      <c r="G17">
        <f t="shared" si="0"/>
        <v>0</v>
      </c>
      <c r="H17">
        <f t="shared" si="1"/>
        <v>0</v>
      </c>
      <c r="I17">
        <f t="shared" si="2"/>
        <v>1</v>
      </c>
      <c r="J17">
        <f t="shared" si="3"/>
        <v>0</v>
      </c>
      <c r="K17">
        <f t="shared" si="4"/>
        <v>1</v>
      </c>
      <c r="L17">
        <f t="shared" si="5"/>
        <v>0</v>
      </c>
      <c r="M17">
        <f t="shared" si="6"/>
        <v>0</v>
      </c>
      <c r="O17" s="42"/>
      <c r="P17" s="42"/>
      <c r="Q17" s="42"/>
      <c r="R17" s="42"/>
      <c r="S17" s="42"/>
      <c r="T17" s="42"/>
    </row>
    <row r="18" spans="3:23" ht="15.75" thickBot="1">
      <c r="C18" t="s">
        <v>119</v>
      </c>
      <c r="D18" s="11">
        <v>6.7750000000000004</v>
      </c>
      <c r="E18" s="2" t="s">
        <v>51</v>
      </c>
      <c r="F18" s="2" t="s">
        <v>34</v>
      </c>
      <c r="G18">
        <f t="shared" si="0"/>
        <v>0</v>
      </c>
      <c r="H18">
        <f t="shared" si="1"/>
        <v>1</v>
      </c>
      <c r="I18">
        <f t="shared" si="2"/>
        <v>0</v>
      </c>
      <c r="J18">
        <f t="shared" si="3"/>
        <v>0</v>
      </c>
      <c r="K18">
        <f t="shared" si="4"/>
        <v>1</v>
      </c>
      <c r="L18">
        <f t="shared" si="5"/>
        <v>0</v>
      </c>
      <c r="M18">
        <f t="shared" si="6"/>
        <v>0</v>
      </c>
    </row>
    <row r="19" spans="3:23">
      <c r="C19" t="s">
        <v>122</v>
      </c>
      <c r="D19" s="11">
        <v>8</v>
      </c>
      <c r="E19" s="2" t="s">
        <v>51</v>
      </c>
      <c r="F19" s="2" t="s">
        <v>66</v>
      </c>
      <c r="G19">
        <f t="shared" si="0"/>
        <v>1</v>
      </c>
      <c r="H19">
        <f t="shared" si="1"/>
        <v>0</v>
      </c>
      <c r="I19">
        <f t="shared" si="2"/>
        <v>0</v>
      </c>
      <c r="J19">
        <f t="shared" si="3"/>
        <v>0</v>
      </c>
      <c r="K19">
        <f t="shared" si="4"/>
        <v>1</v>
      </c>
      <c r="L19">
        <f t="shared" si="5"/>
        <v>0</v>
      </c>
      <c r="M19">
        <f t="shared" si="6"/>
        <v>0</v>
      </c>
      <c r="O19" s="43"/>
      <c r="P19" s="43"/>
      <c r="Q19" s="43"/>
      <c r="R19" s="43"/>
      <c r="S19" s="43"/>
      <c r="T19" s="43"/>
      <c r="U19" s="43"/>
      <c r="V19" s="43"/>
      <c r="W19" s="43"/>
    </row>
    <row r="20" spans="3:23">
      <c r="C20" t="s">
        <v>125</v>
      </c>
      <c r="D20" s="11">
        <v>7.3682500000000006</v>
      </c>
      <c r="E20" s="2" t="s">
        <v>43</v>
      </c>
      <c r="F20" s="2" t="s">
        <v>66</v>
      </c>
      <c r="G20">
        <f t="shared" si="0"/>
        <v>1</v>
      </c>
      <c r="H20">
        <f t="shared" si="1"/>
        <v>0</v>
      </c>
      <c r="I20">
        <f t="shared" si="2"/>
        <v>0</v>
      </c>
      <c r="J20">
        <f t="shared" si="3"/>
        <v>0</v>
      </c>
      <c r="K20">
        <f t="shared" si="4"/>
        <v>0</v>
      </c>
      <c r="L20">
        <f t="shared" si="5"/>
        <v>0</v>
      </c>
      <c r="M20">
        <f t="shared" si="6"/>
        <v>0</v>
      </c>
      <c r="O20" s="41"/>
      <c r="P20" s="41"/>
      <c r="Q20" s="41"/>
      <c r="R20" s="41"/>
      <c r="S20" s="41"/>
      <c r="T20" s="41"/>
      <c r="U20" s="41"/>
      <c r="V20" s="41"/>
      <c r="W20" s="41"/>
    </row>
    <row r="21" spans="3:23">
      <c r="C21" t="s">
        <v>129</v>
      </c>
      <c r="D21" s="11">
        <v>7.7749999999999995</v>
      </c>
      <c r="E21" s="2" t="s">
        <v>51</v>
      </c>
      <c r="F21" s="2" t="s">
        <v>117</v>
      </c>
      <c r="G21">
        <f t="shared" si="0"/>
        <v>0</v>
      </c>
      <c r="H21">
        <f t="shared" si="1"/>
        <v>0</v>
      </c>
      <c r="I21">
        <f t="shared" si="2"/>
        <v>1</v>
      </c>
      <c r="J21">
        <f t="shared" si="3"/>
        <v>0</v>
      </c>
      <c r="K21">
        <f t="shared" si="4"/>
        <v>1</v>
      </c>
      <c r="L21">
        <f t="shared" si="5"/>
        <v>0</v>
      </c>
      <c r="M21">
        <f t="shared" si="6"/>
        <v>0</v>
      </c>
      <c r="O21" s="41"/>
      <c r="P21" s="41"/>
      <c r="Q21" s="41"/>
      <c r="R21" s="41"/>
      <c r="S21" s="41"/>
      <c r="T21" s="41"/>
      <c r="U21" s="41"/>
      <c r="V21" s="41"/>
      <c r="W21" s="41"/>
    </row>
    <row r="22" spans="3:23">
      <c r="C22" t="s">
        <v>132</v>
      </c>
      <c r="D22" s="11">
        <v>7.2465000000000002</v>
      </c>
      <c r="E22" s="2" t="s">
        <v>43</v>
      </c>
      <c r="F22" s="2" t="s">
        <v>34</v>
      </c>
      <c r="G22">
        <f t="shared" si="0"/>
        <v>0</v>
      </c>
      <c r="H22">
        <f t="shared" si="1"/>
        <v>1</v>
      </c>
      <c r="I22">
        <f t="shared" si="2"/>
        <v>0</v>
      </c>
      <c r="J22">
        <f t="shared" si="3"/>
        <v>0</v>
      </c>
      <c r="K22">
        <f t="shared" si="4"/>
        <v>0</v>
      </c>
      <c r="L22">
        <f t="shared" si="5"/>
        <v>0</v>
      </c>
      <c r="M22">
        <f t="shared" si="6"/>
        <v>0</v>
      </c>
      <c r="O22" s="41"/>
      <c r="P22" s="41"/>
      <c r="Q22" s="41"/>
      <c r="R22" s="41"/>
      <c r="S22" s="41"/>
      <c r="T22" s="41"/>
      <c r="U22" s="41"/>
      <c r="V22" s="41"/>
      <c r="W22" s="41"/>
    </row>
    <row r="23" spans="3:23">
      <c r="C23" t="s">
        <v>135</v>
      </c>
      <c r="D23" s="11">
        <v>8.1</v>
      </c>
      <c r="E23" s="2" t="s">
        <v>43</v>
      </c>
      <c r="F23" s="2" t="s">
        <v>117</v>
      </c>
      <c r="G23">
        <f t="shared" si="0"/>
        <v>0</v>
      </c>
      <c r="H23">
        <f t="shared" si="1"/>
        <v>0</v>
      </c>
      <c r="I23">
        <f t="shared" si="2"/>
        <v>1</v>
      </c>
      <c r="J23">
        <f t="shared" si="3"/>
        <v>0</v>
      </c>
      <c r="K23">
        <f t="shared" si="4"/>
        <v>0</v>
      </c>
      <c r="L23">
        <f t="shared" si="5"/>
        <v>0</v>
      </c>
      <c r="M23">
        <f t="shared" si="6"/>
        <v>0</v>
      </c>
      <c r="O23" s="41"/>
      <c r="P23" s="41"/>
      <c r="Q23" s="41"/>
      <c r="R23" s="41"/>
      <c r="S23" s="41"/>
      <c r="T23" s="41"/>
      <c r="U23" s="41"/>
      <c r="V23" s="41"/>
      <c r="W23" s="41"/>
    </row>
    <row r="24" spans="3:23">
      <c r="C24" t="s">
        <v>137</v>
      </c>
      <c r="D24" s="11">
        <v>7.5307499999999994</v>
      </c>
      <c r="E24" s="2" t="s">
        <v>43</v>
      </c>
      <c r="F24" s="2" t="s">
        <v>34</v>
      </c>
      <c r="G24">
        <f t="shared" si="0"/>
        <v>0</v>
      </c>
      <c r="H24">
        <f t="shared" si="1"/>
        <v>1</v>
      </c>
      <c r="I24">
        <f t="shared" si="2"/>
        <v>0</v>
      </c>
      <c r="J24">
        <f t="shared" si="3"/>
        <v>0</v>
      </c>
      <c r="K24">
        <f t="shared" si="4"/>
        <v>0</v>
      </c>
      <c r="L24">
        <f t="shared" si="5"/>
        <v>0</v>
      </c>
      <c r="M24">
        <f t="shared" si="6"/>
        <v>0</v>
      </c>
      <c r="O24" s="41"/>
      <c r="P24" s="41"/>
      <c r="Q24" s="41"/>
      <c r="R24" s="41"/>
      <c r="S24" s="41"/>
      <c r="T24" s="41"/>
      <c r="U24" s="41"/>
      <c r="V24" s="41"/>
      <c r="W24" s="41"/>
    </row>
    <row r="25" spans="3:23">
      <c r="C25" t="s">
        <v>139</v>
      </c>
      <c r="D25" s="11">
        <v>7.9125000000000005</v>
      </c>
      <c r="E25" s="2" t="s">
        <v>43</v>
      </c>
      <c r="F25" s="2" t="s">
        <v>34</v>
      </c>
      <c r="G25">
        <f t="shared" si="0"/>
        <v>0</v>
      </c>
      <c r="H25">
        <f t="shared" si="1"/>
        <v>1</v>
      </c>
      <c r="I25">
        <f t="shared" si="2"/>
        <v>0</v>
      </c>
      <c r="J25">
        <f t="shared" si="3"/>
        <v>0</v>
      </c>
      <c r="K25">
        <f t="shared" si="4"/>
        <v>0</v>
      </c>
      <c r="L25">
        <f t="shared" si="5"/>
        <v>0</v>
      </c>
      <c r="M25">
        <f t="shared" si="6"/>
        <v>0</v>
      </c>
      <c r="O25" s="41"/>
      <c r="P25" s="41"/>
      <c r="Q25" s="41"/>
      <c r="R25" s="41"/>
      <c r="S25" s="41"/>
      <c r="T25" s="41"/>
      <c r="U25" s="41"/>
      <c r="V25" s="41"/>
      <c r="W25" s="41"/>
    </row>
    <row r="26" spans="3:23">
      <c r="C26" t="s">
        <v>142</v>
      </c>
      <c r="D26" s="11">
        <v>8.5820000000000007</v>
      </c>
      <c r="E26" s="2" t="s">
        <v>61</v>
      </c>
      <c r="F26" s="2" t="s">
        <v>117</v>
      </c>
      <c r="G26">
        <f t="shared" si="0"/>
        <v>0</v>
      </c>
      <c r="H26">
        <f t="shared" si="1"/>
        <v>0</v>
      </c>
      <c r="I26">
        <f t="shared" si="2"/>
        <v>1</v>
      </c>
      <c r="J26">
        <f t="shared" si="3"/>
        <v>0</v>
      </c>
      <c r="K26">
        <f t="shared" si="4"/>
        <v>0</v>
      </c>
      <c r="L26">
        <f t="shared" si="5"/>
        <v>1</v>
      </c>
      <c r="M26">
        <f t="shared" si="6"/>
        <v>0</v>
      </c>
      <c r="O26" s="41"/>
      <c r="P26" s="41"/>
      <c r="Q26" s="41"/>
      <c r="R26" s="41"/>
      <c r="S26" s="41"/>
      <c r="T26" s="41"/>
      <c r="U26" s="41"/>
      <c r="V26" s="41"/>
      <c r="W26" s="41"/>
    </row>
    <row r="27" spans="3:23" ht="15.75" thickBot="1">
      <c r="C27" t="s">
        <v>145</v>
      </c>
      <c r="D27" s="11">
        <v>9.2999999999999989</v>
      </c>
      <c r="E27" s="2" t="s">
        <v>51</v>
      </c>
      <c r="F27" s="2" t="s">
        <v>34</v>
      </c>
      <c r="G27">
        <f t="shared" si="0"/>
        <v>0</v>
      </c>
      <c r="H27">
        <f t="shared" si="1"/>
        <v>1</v>
      </c>
      <c r="I27">
        <f t="shared" si="2"/>
        <v>0</v>
      </c>
      <c r="J27">
        <f t="shared" si="3"/>
        <v>0</v>
      </c>
      <c r="K27">
        <f t="shared" si="4"/>
        <v>1</v>
      </c>
      <c r="L27">
        <f t="shared" si="5"/>
        <v>0</v>
      </c>
      <c r="M27">
        <f t="shared" si="6"/>
        <v>0</v>
      </c>
      <c r="O27" s="42"/>
      <c r="P27" s="42"/>
      <c r="Q27" s="42"/>
      <c r="R27" s="42"/>
      <c r="S27" s="42"/>
      <c r="T27" s="42"/>
      <c r="U27" s="42"/>
      <c r="V27" s="42"/>
      <c r="W27" s="42"/>
    </row>
    <row r="28" spans="3:23">
      <c r="C28" t="s">
        <v>148</v>
      </c>
      <c r="D28" s="11">
        <v>7.7887500000000003</v>
      </c>
      <c r="E28" s="2" t="s">
        <v>43</v>
      </c>
      <c r="F28" s="2" t="s">
        <v>117</v>
      </c>
      <c r="G28">
        <f t="shared" si="0"/>
        <v>0</v>
      </c>
      <c r="H28">
        <f t="shared" si="1"/>
        <v>0</v>
      </c>
      <c r="I28">
        <f t="shared" si="2"/>
        <v>1</v>
      </c>
      <c r="J28">
        <f t="shared" si="3"/>
        <v>0</v>
      </c>
      <c r="K28">
        <f t="shared" si="4"/>
        <v>0</v>
      </c>
      <c r="L28">
        <f t="shared" si="5"/>
        <v>0</v>
      </c>
      <c r="M28">
        <f t="shared" si="6"/>
        <v>0</v>
      </c>
    </row>
    <row r="29" spans="3:23">
      <c r="C29" t="s">
        <v>151</v>
      </c>
      <c r="D29" s="11">
        <v>8.0825000000000014</v>
      </c>
      <c r="E29" s="2" t="s">
        <v>51</v>
      </c>
      <c r="F29" s="2" t="s">
        <v>34</v>
      </c>
      <c r="G29">
        <f t="shared" si="0"/>
        <v>0</v>
      </c>
      <c r="H29">
        <f t="shared" si="1"/>
        <v>1</v>
      </c>
      <c r="I29">
        <f t="shared" si="2"/>
        <v>0</v>
      </c>
      <c r="J29">
        <f t="shared" si="3"/>
        <v>0</v>
      </c>
      <c r="K29">
        <f t="shared" si="4"/>
        <v>1</v>
      </c>
      <c r="L29">
        <f t="shared" si="5"/>
        <v>0</v>
      </c>
      <c r="M29">
        <f t="shared" si="6"/>
        <v>0</v>
      </c>
    </row>
    <row r="30" spans="3:23">
      <c r="C30" t="s">
        <v>154</v>
      </c>
      <c r="D30" s="11">
        <v>7.2</v>
      </c>
      <c r="E30" s="2" t="s">
        <v>51</v>
      </c>
      <c r="F30" s="2" t="s">
        <v>34</v>
      </c>
      <c r="G30">
        <f t="shared" si="0"/>
        <v>0</v>
      </c>
      <c r="H30">
        <f t="shared" si="1"/>
        <v>1</v>
      </c>
      <c r="I30">
        <f t="shared" si="2"/>
        <v>0</v>
      </c>
      <c r="J30">
        <f t="shared" si="3"/>
        <v>0</v>
      </c>
      <c r="K30">
        <f t="shared" si="4"/>
        <v>1</v>
      </c>
      <c r="L30">
        <f t="shared" si="5"/>
        <v>0</v>
      </c>
      <c r="M30">
        <f t="shared" si="6"/>
        <v>0</v>
      </c>
    </row>
    <row r="31" spans="3:23">
      <c r="C31" t="s">
        <v>157</v>
      </c>
      <c r="D31" s="11">
        <v>6.8500000000000005</v>
      </c>
      <c r="E31" s="2" t="s">
        <v>51</v>
      </c>
      <c r="F31" s="2" t="s">
        <v>117</v>
      </c>
      <c r="G31">
        <f t="shared" si="0"/>
        <v>0</v>
      </c>
      <c r="H31">
        <f t="shared" si="1"/>
        <v>0</v>
      </c>
      <c r="I31">
        <f t="shared" si="2"/>
        <v>1</v>
      </c>
      <c r="J31">
        <f t="shared" si="3"/>
        <v>0</v>
      </c>
      <c r="K31">
        <f t="shared" si="4"/>
        <v>1</v>
      </c>
      <c r="L31">
        <f t="shared" si="5"/>
        <v>0</v>
      </c>
      <c r="M31">
        <f t="shared" si="6"/>
        <v>0</v>
      </c>
    </row>
    <row r="32" spans="3:23" ht="15.75" thickBot="1">
      <c r="C32" t="s">
        <v>159</v>
      </c>
      <c r="D32" s="11">
        <v>7.2212499999999995</v>
      </c>
      <c r="E32" s="2" t="s">
        <v>43</v>
      </c>
      <c r="F32" s="2" t="s">
        <v>34</v>
      </c>
      <c r="G32">
        <f t="shared" si="0"/>
        <v>0</v>
      </c>
      <c r="H32">
        <f t="shared" si="1"/>
        <v>1</v>
      </c>
      <c r="I32">
        <f t="shared" si="2"/>
        <v>0</v>
      </c>
      <c r="J32">
        <f t="shared" si="3"/>
        <v>0</v>
      </c>
      <c r="K32">
        <f t="shared" si="4"/>
        <v>0</v>
      </c>
      <c r="L32">
        <f t="shared" si="5"/>
        <v>0</v>
      </c>
      <c r="M32">
        <f t="shared" si="6"/>
        <v>0</v>
      </c>
    </row>
    <row r="33" spans="3:17">
      <c r="C33" t="s">
        <v>163</v>
      </c>
      <c r="D33" s="11">
        <v>9.125</v>
      </c>
      <c r="E33" s="2" t="s">
        <v>43</v>
      </c>
      <c r="F33" s="2" t="s">
        <v>66</v>
      </c>
      <c r="G33">
        <f t="shared" si="0"/>
        <v>1</v>
      </c>
      <c r="H33">
        <f t="shared" si="1"/>
        <v>0</v>
      </c>
      <c r="I33">
        <f t="shared" si="2"/>
        <v>0</v>
      </c>
      <c r="J33">
        <f t="shared" si="3"/>
        <v>0</v>
      </c>
      <c r="K33">
        <f t="shared" si="4"/>
        <v>0</v>
      </c>
      <c r="L33">
        <f t="shared" si="5"/>
        <v>0</v>
      </c>
      <c r="M33">
        <f t="shared" si="6"/>
        <v>0</v>
      </c>
      <c r="O33" s="43"/>
      <c r="P33" s="43"/>
      <c r="Q33" s="43"/>
    </row>
    <row r="34" spans="3:17">
      <c r="C34" t="s">
        <v>166</v>
      </c>
      <c r="D34" s="11">
        <v>8.1875</v>
      </c>
      <c r="E34" s="2" t="s">
        <v>43</v>
      </c>
      <c r="F34" s="2" t="s">
        <v>117</v>
      </c>
      <c r="G34">
        <f t="shared" si="0"/>
        <v>0</v>
      </c>
      <c r="H34">
        <f t="shared" si="1"/>
        <v>0</v>
      </c>
      <c r="I34">
        <f t="shared" si="2"/>
        <v>1</v>
      </c>
      <c r="J34">
        <f t="shared" si="3"/>
        <v>0</v>
      </c>
      <c r="K34">
        <f t="shared" si="4"/>
        <v>0</v>
      </c>
      <c r="L34">
        <f t="shared" si="5"/>
        <v>0</v>
      </c>
      <c r="M34">
        <f t="shared" si="6"/>
        <v>0</v>
      </c>
      <c r="O34" s="41"/>
      <c r="P34" s="41"/>
      <c r="Q34" s="41"/>
    </row>
    <row r="35" spans="3:17">
      <c r="C35" t="s">
        <v>169</v>
      </c>
      <c r="D35" s="11">
        <v>8.125</v>
      </c>
      <c r="E35" s="2" t="s">
        <v>43</v>
      </c>
      <c r="F35" s="2" t="s">
        <v>117</v>
      </c>
      <c r="G35">
        <f t="shared" si="0"/>
        <v>0</v>
      </c>
      <c r="H35">
        <f t="shared" si="1"/>
        <v>0</v>
      </c>
      <c r="I35">
        <f t="shared" si="2"/>
        <v>1</v>
      </c>
      <c r="J35">
        <f t="shared" si="3"/>
        <v>0</v>
      </c>
      <c r="K35">
        <f t="shared" si="4"/>
        <v>0</v>
      </c>
      <c r="L35">
        <f t="shared" si="5"/>
        <v>0</v>
      </c>
      <c r="M35">
        <f t="shared" si="6"/>
        <v>0</v>
      </c>
      <c r="O35" s="41"/>
      <c r="P35" s="41"/>
      <c r="Q35" s="41"/>
    </row>
    <row r="36" spans="3:17">
      <c r="C36" t="s">
        <v>172</v>
      </c>
      <c r="D36" s="11">
        <v>6.2750000000000004</v>
      </c>
      <c r="E36" s="2" t="s">
        <v>43</v>
      </c>
      <c r="F36" s="2" t="s">
        <v>34</v>
      </c>
      <c r="G36">
        <f t="shared" si="0"/>
        <v>0</v>
      </c>
      <c r="H36">
        <f t="shared" si="1"/>
        <v>1</v>
      </c>
      <c r="I36">
        <f t="shared" si="2"/>
        <v>0</v>
      </c>
      <c r="J36">
        <f t="shared" si="3"/>
        <v>0</v>
      </c>
      <c r="K36">
        <f t="shared" si="4"/>
        <v>0</v>
      </c>
      <c r="L36">
        <f t="shared" si="5"/>
        <v>0</v>
      </c>
      <c r="M36">
        <f t="shared" si="6"/>
        <v>0</v>
      </c>
      <c r="O36" s="41"/>
      <c r="P36" s="41"/>
      <c r="Q36" s="41"/>
    </row>
    <row r="37" spans="3:17">
      <c r="C37" t="s">
        <v>176</v>
      </c>
      <c r="D37" s="11">
        <v>7.125</v>
      </c>
      <c r="E37" s="2" t="s">
        <v>43</v>
      </c>
      <c r="F37" s="2" t="s">
        <v>117</v>
      </c>
      <c r="G37">
        <f t="shared" si="0"/>
        <v>0</v>
      </c>
      <c r="H37">
        <f t="shared" si="1"/>
        <v>0</v>
      </c>
      <c r="I37">
        <f t="shared" si="2"/>
        <v>1</v>
      </c>
      <c r="J37">
        <f t="shared" si="3"/>
        <v>0</v>
      </c>
      <c r="K37">
        <f t="shared" si="4"/>
        <v>0</v>
      </c>
      <c r="L37">
        <f t="shared" si="5"/>
        <v>0</v>
      </c>
      <c r="M37">
        <f t="shared" si="6"/>
        <v>0</v>
      </c>
      <c r="O37" s="41"/>
      <c r="P37" s="41"/>
      <c r="Q37" s="41"/>
    </row>
    <row r="38" spans="3:17">
      <c r="C38" t="s">
        <v>179</v>
      </c>
      <c r="D38" s="11">
        <v>6.5477499999999997</v>
      </c>
      <c r="E38" s="2" t="s">
        <v>43</v>
      </c>
      <c r="F38" s="2" t="s">
        <v>117</v>
      </c>
      <c r="G38">
        <f t="shared" si="0"/>
        <v>0</v>
      </c>
      <c r="H38">
        <f t="shared" si="1"/>
        <v>0</v>
      </c>
      <c r="I38">
        <f t="shared" si="2"/>
        <v>1</v>
      </c>
      <c r="J38">
        <f t="shared" si="3"/>
        <v>0</v>
      </c>
      <c r="K38">
        <f t="shared" si="4"/>
        <v>0</v>
      </c>
      <c r="L38">
        <f t="shared" si="5"/>
        <v>0</v>
      </c>
      <c r="M38">
        <f t="shared" si="6"/>
        <v>0</v>
      </c>
      <c r="O38" s="41"/>
      <c r="P38" s="41"/>
      <c r="Q38" s="41"/>
    </row>
    <row r="39" spans="3:17">
      <c r="C39" t="s">
        <v>182</v>
      </c>
      <c r="D39" s="11">
        <v>7.7750000000000004</v>
      </c>
      <c r="E39" s="2" t="s">
        <v>61</v>
      </c>
      <c r="F39" s="2" t="s">
        <v>48</v>
      </c>
      <c r="G39">
        <f t="shared" si="0"/>
        <v>0</v>
      </c>
      <c r="H39">
        <f t="shared" si="1"/>
        <v>0</v>
      </c>
      <c r="I39">
        <f t="shared" si="2"/>
        <v>0</v>
      </c>
      <c r="J39">
        <f t="shared" si="3"/>
        <v>1</v>
      </c>
      <c r="K39">
        <f t="shared" si="4"/>
        <v>0</v>
      </c>
      <c r="L39">
        <f t="shared" si="5"/>
        <v>1</v>
      </c>
      <c r="M39">
        <f t="shared" si="6"/>
        <v>0</v>
      </c>
      <c r="O39" s="41"/>
      <c r="P39" s="41"/>
      <c r="Q39" s="41"/>
    </row>
    <row r="40" spans="3:17">
      <c r="C40" t="s">
        <v>185</v>
      </c>
      <c r="D40" s="11">
        <v>8.0250000000000004</v>
      </c>
      <c r="E40" s="2" t="s">
        <v>51</v>
      </c>
      <c r="F40" s="2" t="s">
        <v>117</v>
      </c>
      <c r="G40">
        <f t="shared" si="0"/>
        <v>0</v>
      </c>
      <c r="H40">
        <f t="shared" si="1"/>
        <v>0</v>
      </c>
      <c r="I40">
        <f t="shared" si="2"/>
        <v>1</v>
      </c>
      <c r="J40">
        <f t="shared" si="3"/>
        <v>0</v>
      </c>
      <c r="K40">
        <f t="shared" si="4"/>
        <v>1</v>
      </c>
      <c r="L40">
        <f t="shared" si="5"/>
        <v>0</v>
      </c>
      <c r="M40">
        <f t="shared" si="6"/>
        <v>0</v>
      </c>
      <c r="O40" s="41"/>
      <c r="P40" s="41"/>
      <c r="Q40" s="41"/>
    </row>
    <row r="41" spans="3:17">
      <c r="C41" t="s">
        <v>188</v>
      </c>
      <c r="D41" s="11">
        <v>7.2750000000000004</v>
      </c>
      <c r="E41" s="2" t="s">
        <v>43</v>
      </c>
      <c r="F41" s="2" t="s">
        <v>34</v>
      </c>
      <c r="G41">
        <f t="shared" si="0"/>
        <v>0</v>
      </c>
      <c r="H41">
        <f t="shared" si="1"/>
        <v>1</v>
      </c>
      <c r="I41">
        <f t="shared" si="2"/>
        <v>0</v>
      </c>
      <c r="J41">
        <f t="shared" si="3"/>
        <v>0</v>
      </c>
      <c r="K41">
        <f t="shared" si="4"/>
        <v>0</v>
      </c>
      <c r="L41">
        <f t="shared" si="5"/>
        <v>0</v>
      </c>
      <c r="M41">
        <f t="shared" si="6"/>
        <v>0</v>
      </c>
      <c r="O41" s="41"/>
      <c r="P41" s="41"/>
      <c r="Q41" s="41"/>
    </row>
    <row r="42" spans="3:17">
      <c r="C42" t="s">
        <v>191</v>
      </c>
      <c r="D42" s="11">
        <v>7.7</v>
      </c>
      <c r="E42" s="2" t="s">
        <v>51</v>
      </c>
      <c r="F42" s="2" t="s">
        <v>34</v>
      </c>
      <c r="G42">
        <f t="shared" si="0"/>
        <v>0</v>
      </c>
      <c r="H42">
        <f t="shared" si="1"/>
        <v>1</v>
      </c>
      <c r="I42">
        <f t="shared" si="2"/>
        <v>0</v>
      </c>
      <c r="J42">
        <f t="shared" si="3"/>
        <v>0</v>
      </c>
      <c r="K42">
        <f t="shared" si="4"/>
        <v>1</v>
      </c>
      <c r="L42">
        <f t="shared" si="5"/>
        <v>0</v>
      </c>
      <c r="M42">
        <f t="shared" si="6"/>
        <v>0</v>
      </c>
      <c r="O42" s="41"/>
      <c r="P42" s="41"/>
      <c r="Q42" s="41"/>
    </row>
    <row r="43" spans="3:17">
      <c r="C43" t="s">
        <v>193</v>
      </c>
      <c r="D43" s="11">
        <v>5.8405000000000005</v>
      </c>
      <c r="E43" s="2" t="s">
        <v>43</v>
      </c>
      <c r="F43" s="2" t="s">
        <v>34</v>
      </c>
      <c r="G43">
        <f t="shared" si="0"/>
        <v>0</v>
      </c>
      <c r="H43">
        <f t="shared" si="1"/>
        <v>1</v>
      </c>
      <c r="I43">
        <f t="shared" si="2"/>
        <v>0</v>
      </c>
      <c r="J43">
        <f t="shared" si="3"/>
        <v>0</v>
      </c>
      <c r="K43">
        <f t="shared" si="4"/>
        <v>0</v>
      </c>
      <c r="L43">
        <f t="shared" si="5"/>
        <v>0</v>
      </c>
      <c r="M43">
        <f t="shared" si="6"/>
        <v>0</v>
      </c>
      <c r="O43" s="41"/>
      <c r="P43" s="41"/>
      <c r="Q43" s="41"/>
    </row>
    <row r="44" spans="3:17">
      <c r="C44" t="s">
        <v>57</v>
      </c>
      <c r="D44" s="11">
        <v>9.8125</v>
      </c>
      <c r="E44" s="2" t="s">
        <v>43</v>
      </c>
      <c r="F44" s="2" t="s">
        <v>66</v>
      </c>
      <c r="G44">
        <f t="shared" si="0"/>
        <v>1</v>
      </c>
      <c r="H44">
        <f t="shared" si="1"/>
        <v>0</v>
      </c>
      <c r="I44">
        <f t="shared" si="2"/>
        <v>0</v>
      </c>
      <c r="J44">
        <f t="shared" si="3"/>
        <v>0</v>
      </c>
      <c r="K44">
        <f t="shared" si="4"/>
        <v>0</v>
      </c>
      <c r="L44">
        <f t="shared" si="5"/>
        <v>0</v>
      </c>
      <c r="M44">
        <f t="shared" si="6"/>
        <v>0</v>
      </c>
      <c r="O44" s="41"/>
      <c r="P44" s="41"/>
      <c r="Q44" s="41"/>
    </row>
    <row r="45" spans="3:17">
      <c r="C45" t="s">
        <v>198</v>
      </c>
      <c r="D45" s="11">
        <v>6.5749999999999993</v>
      </c>
      <c r="E45" s="2" t="s">
        <v>61</v>
      </c>
      <c r="F45" s="2" t="s">
        <v>34</v>
      </c>
      <c r="G45">
        <f t="shared" si="0"/>
        <v>0</v>
      </c>
      <c r="H45">
        <f t="shared" si="1"/>
        <v>1</v>
      </c>
      <c r="I45">
        <f t="shared" si="2"/>
        <v>0</v>
      </c>
      <c r="J45">
        <f t="shared" si="3"/>
        <v>0</v>
      </c>
      <c r="K45">
        <f t="shared" si="4"/>
        <v>0</v>
      </c>
      <c r="L45">
        <f t="shared" si="5"/>
        <v>1</v>
      </c>
      <c r="M45">
        <f t="shared" si="6"/>
        <v>0</v>
      </c>
      <c r="O45" s="41"/>
      <c r="P45" s="41"/>
      <c r="Q45" s="41"/>
    </row>
    <row r="46" spans="3:17">
      <c r="C46" t="s">
        <v>201</v>
      </c>
      <c r="D46" s="11">
        <v>8.85</v>
      </c>
      <c r="E46" s="2" t="s">
        <v>51</v>
      </c>
      <c r="F46" s="2" t="s">
        <v>117</v>
      </c>
      <c r="G46">
        <f t="shared" si="0"/>
        <v>0</v>
      </c>
      <c r="H46">
        <f t="shared" si="1"/>
        <v>0</v>
      </c>
      <c r="I46">
        <f t="shared" si="2"/>
        <v>1</v>
      </c>
      <c r="J46">
        <f t="shared" si="3"/>
        <v>0</v>
      </c>
      <c r="K46">
        <f t="shared" si="4"/>
        <v>1</v>
      </c>
      <c r="L46">
        <f t="shared" si="5"/>
        <v>0</v>
      </c>
      <c r="M46">
        <f t="shared" si="6"/>
        <v>0</v>
      </c>
      <c r="O46" s="41"/>
      <c r="P46" s="41"/>
      <c r="Q46" s="41"/>
    </row>
    <row r="47" spans="3:17">
      <c r="C47" t="s">
        <v>203</v>
      </c>
      <c r="D47" s="11">
        <v>8.6524999999999999</v>
      </c>
      <c r="E47" s="2" t="s">
        <v>51</v>
      </c>
      <c r="F47" s="2" t="s">
        <v>117</v>
      </c>
      <c r="G47">
        <f t="shared" si="0"/>
        <v>0</v>
      </c>
      <c r="H47">
        <f t="shared" si="1"/>
        <v>0</v>
      </c>
      <c r="I47">
        <f t="shared" si="2"/>
        <v>1</v>
      </c>
      <c r="J47">
        <f t="shared" si="3"/>
        <v>0</v>
      </c>
      <c r="K47">
        <f t="shared" si="4"/>
        <v>1</v>
      </c>
      <c r="L47">
        <f t="shared" si="5"/>
        <v>0</v>
      </c>
      <c r="M47">
        <f t="shared" si="6"/>
        <v>0</v>
      </c>
      <c r="O47" s="41"/>
      <c r="P47" s="41"/>
      <c r="Q47" s="41"/>
    </row>
    <row r="48" spans="3:17">
      <c r="C48" t="s">
        <v>205</v>
      </c>
      <c r="D48" s="11">
        <v>7.7899999999999991</v>
      </c>
      <c r="E48" s="2" t="s">
        <v>43</v>
      </c>
      <c r="F48" s="2" t="s">
        <v>34</v>
      </c>
      <c r="G48">
        <f t="shared" si="0"/>
        <v>0</v>
      </c>
      <c r="H48">
        <f t="shared" si="1"/>
        <v>1</v>
      </c>
      <c r="I48">
        <f t="shared" si="2"/>
        <v>0</v>
      </c>
      <c r="J48">
        <f t="shared" si="3"/>
        <v>0</v>
      </c>
      <c r="K48">
        <f t="shared" si="4"/>
        <v>0</v>
      </c>
      <c r="L48">
        <f t="shared" si="5"/>
        <v>0</v>
      </c>
      <c r="M48">
        <f t="shared" si="6"/>
        <v>0</v>
      </c>
      <c r="O48" s="41"/>
      <c r="P48" s="41"/>
      <c r="Q48" s="41"/>
    </row>
    <row r="49" spans="3:17">
      <c r="C49" t="s">
        <v>207</v>
      </c>
      <c r="D49" s="11">
        <v>7.4124999999999996</v>
      </c>
      <c r="E49" s="2" t="s">
        <v>51</v>
      </c>
      <c r="F49" s="2" t="s">
        <v>34</v>
      </c>
      <c r="G49">
        <f t="shared" si="0"/>
        <v>0</v>
      </c>
      <c r="H49">
        <f t="shared" si="1"/>
        <v>1</v>
      </c>
      <c r="I49">
        <f t="shared" si="2"/>
        <v>0</v>
      </c>
      <c r="J49">
        <f t="shared" si="3"/>
        <v>0</v>
      </c>
      <c r="K49">
        <f t="shared" si="4"/>
        <v>1</v>
      </c>
      <c r="L49">
        <f t="shared" si="5"/>
        <v>0</v>
      </c>
      <c r="M49">
        <f t="shared" si="6"/>
        <v>0</v>
      </c>
      <c r="O49" s="41"/>
      <c r="P49" s="41"/>
      <c r="Q49" s="41"/>
    </row>
    <row r="50" spans="3:17">
      <c r="C50" t="s">
        <v>210</v>
      </c>
      <c r="D50" s="11">
        <v>7.544999999999999</v>
      </c>
      <c r="E50" s="2" t="s">
        <v>43</v>
      </c>
      <c r="F50" s="2" t="s">
        <v>34</v>
      </c>
      <c r="G50">
        <f t="shared" si="0"/>
        <v>0</v>
      </c>
      <c r="H50">
        <f t="shared" si="1"/>
        <v>1</v>
      </c>
      <c r="I50">
        <f t="shared" si="2"/>
        <v>0</v>
      </c>
      <c r="J50">
        <f t="shared" si="3"/>
        <v>0</v>
      </c>
      <c r="K50">
        <f t="shared" si="4"/>
        <v>0</v>
      </c>
      <c r="L50">
        <f t="shared" si="5"/>
        <v>0</v>
      </c>
      <c r="M50">
        <f t="shared" si="6"/>
        <v>0</v>
      </c>
      <c r="O50" s="41"/>
      <c r="P50" s="41"/>
      <c r="Q50" s="41"/>
    </row>
    <row r="51" spans="3:17">
      <c r="C51" t="s">
        <v>212</v>
      </c>
      <c r="D51" s="11">
        <v>9.5650000000000013</v>
      </c>
      <c r="E51" s="2" t="s">
        <v>61</v>
      </c>
      <c r="F51" s="2" t="s">
        <v>117</v>
      </c>
      <c r="G51">
        <f t="shared" si="0"/>
        <v>0</v>
      </c>
      <c r="H51">
        <f t="shared" si="1"/>
        <v>0</v>
      </c>
      <c r="I51">
        <f t="shared" si="2"/>
        <v>1</v>
      </c>
      <c r="J51">
        <f t="shared" si="3"/>
        <v>0</v>
      </c>
      <c r="K51">
        <f t="shared" si="4"/>
        <v>0</v>
      </c>
      <c r="L51">
        <f t="shared" si="5"/>
        <v>1</v>
      </c>
      <c r="M51">
        <f t="shared" si="6"/>
        <v>0</v>
      </c>
      <c r="O51" s="41"/>
      <c r="P51" s="41"/>
      <c r="Q51" s="41"/>
    </row>
    <row r="52" spans="3:17">
      <c r="C52" t="s">
        <v>215</v>
      </c>
      <c r="D52" s="11">
        <v>7.2249999999999996</v>
      </c>
      <c r="E52" s="2" t="s">
        <v>61</v>
      </c>
      <c r="F52" s="2" t="s">
        <v>66</v>
      </c>
      <c r="G52">
        <f t="shared" si="0"/>
        <v>1</v>
      </c>
      <c r="H52">
        <f t="shared" si="1"/>
        <v>0</v>
      </c>
      <c r="I52">
        <f t="shared" si="2"/>
        <v>0</v>
      </c>
      <c r="J52">
        <f t="shared" si="3"/>
        <v>0</v>
      </c>
      <c r="K52">
        <f t="shared" si="4"/>
        <v>0</v>
      </c>
      <c r="L52">
        <f t="shared" si="5"/>
        <v>1</v>
      </c>
      <c r="M52">
        <f t="shared" si="6"/>
        <v>0</v>
      </c>
      <c r="O52" s="41"/>
      <c r="P52" s="41"/>
      <c r="Q52" s="41"/>
    </row>
    <row r="53" spans="3:17">
      <c r="C53" t="s">
        <v>217</v>
      </c>
      <c r="D53" s="11">
        <v>6.4675000000000002</v>
      </c>
      <c r="E53" s="2" t="s">
        <v>43</v>
      </c>
      <c r="F53" s="2" t="s">
        <v>66</v>
      </c>
      <c r="G53">
        <f t="shared" si="0"/>
        <v>1</v>
      </c>
      <c r="H53">
        <f t="shared" si="1"/>
        <v>0</v>
      </c>
      <c r="I53">
        <f t="shared" si="2"/>
        <v>0</v>
      </c>
      <c r="J53">
        <f t="shared" si="3"/>
        <v>0</v>
      </c>
      <c r="K53">
        <f t="shared" si="4"/>
        <v>0</v>
      </c>
      <c r="L53">
        <f t="shared" si="5"/>
        <v>0</v>
      </c>
      <c r="M53">
        <f t="shared" si="6"/>
        <v>0</v>
      </c>
      <c r="O53" s="41"/>
      <c r="P53" s="41"/>
      <c r="Q53" s="41"/>
    </row>
    <row r="54" spans="3:17">
      <c r="C54" t="s">
        <v>221</v>
      </c>
      <c r="D54" s="11">
        <v>7.0249999999999995</v>
      </c>
      <c r="E54" s="2" t="s">
        <v>51</v>
      </c>
      <c r="F54" s="2" t="s">
        <v>34</v>
      </c>
      <c r="G54">
        <f t="shared" si="0"/>
        <v>0</v>
      </c>
      <c r="H54">
        <f t="shared" si="1"/>
        <v>1</v>
      </c>
      <c r="I54">
        <f t="shared" si="2"/>
        <v>0</v>
      </c>
      <c r="J54">
        <f t="shared" si="3"/>
        <v>0</v>
      </c>
      <c r="K54">
        <f t="shared" si="4"/>
        <v>1</v>
      </c>
      <c r="L54">
        <f t="shared" si="5"/>
        <v>0</v>
      </c>
      <c r="M54">
        <f t="shared" si="6"/>
        <v>0</v>
      </c>
      <c r="O54" s="41"/>
      <c r="P54" s="41"/>
      <c r="Q54" s="41"/>
    </row>
    <row r="55" spans="3:17">
      <c r="C55" t="s">
        <v>223</v>
      </c>
      <c r="D55" s="11">
        <v>6.8847500000000004</v>
      </c>
      <c r="E55" s="2" t="s">
        <v>43</v>
      </c>
      <c r="F55" s="2" t="s">
        <v>34</v>
      </c>
      <c r="G55">
        <f t="shared" si="0"/>
        <v>0</v>
      </c>
      <c r="H55">
        <f t="shared" si="1"/>
        <v>1</v>
      </c>
      <c r="I55">
        <f t="shared" si="2"/>
        <v>0</v>
      </c>
      <c r="J55">
        <f t="shared" si="3"/>
        <v>0</v>
      </c>
      <c r="K55">
        <f t="shared" si="4"/>
        <v>0</v>
      </c>
      <c r="L55">
        <f t="shared" si="5"/>
        <v>0</v>
      </c>
      <c r="M55">
        <f t="shared" si="6"/>
        <v>0</v>
      </c>
      <c r="O55" s="41"/>
      <c r="P55" s="41"/>
      <c r="Q55" s="41"/>
    </row>
    <row r="56" spans="3:17">
      <c r="C56" t="s">
        <v>227</v>
      </c>
      <c r="D56" s="11">
        <v>7.2</v>
      </c>
      <c r="E56" s="2" t="s">
        <v>51</v>
      </c>
      <c r="F56" s="2" t="s">
        <v>34</v>
      </c>
      <c r="G56">
        <f t="shared" si="0"/>
        <v>0</v>
      </c>
      <c r="H56">
        <f t="shared" si="1"/>
        <v>1</v>
      </c>
      <c r="I56">
        <f t="shared" si="2"/>
        <v>0</v>
      </c>
      <c r="J56">
        <f t="shared" si="3"/>
        <v>0</v>
      </c>
      <c r="K56">
        <f t="shared" si="4"/>
        <v>1</v>
      </c>
      <c r="L56">
        <f t="shared" si="5"/>
        <v>0</v>
      </c>
      <c r="M56">
        <f t="shared" si="6"/>
        <v>0</v>
      </c>
      <c r="O56" s="41"/>
      <c r="P56" s="41"/>
      <c r="Q56" s="41"/>
    </row>
    <row r="57" spans="3:17">
      <c r="C57" t="s">
        <v>229</v>
      </c>
      <c r="D57" s="11">
        <v>7.625</v>
      </c>
      <c r="E57" s="2" t="s">
        <v>43</v>
      </c>
      <c r="F57" s="2" t="s">
        <v>48</v>
      </c>
      <c r="G57">
        <f t="shared" si="0"/>
        <v>0</v>
      </c>
      <c r="H57">
        <f t="shared" si="1"/>
        <v>0</v>
      </c>
      <c r="I57">
        <f t="shared" si="2"/>
        <v>0</v>
      </c>
      <c r="J57">
        <f t="shared" si="3"/>
        <v>1</v>
      </c>
      <c r="K57">
        <f t="shared" si="4"/>
        <v>0</v>
      </c>
      <c r="L57">
        <f t="shared" si="5"/>
        <v>0</v>
      </c>
      <c r="M57">
        <f t="shared" si="6"/>
        <v>0</v>
      </c>
      <c r="O57" s="41"/>
      <c r="P57" s="41"/>
      <c r="Q57" s="41"/>
    </row>
    <row r="58" spans="3:17">
      <c r="C58" t="s">
        <v>231</v>
      </c>
      <c r="D58" s="11">
        <v>7.2250000000000005</v>
      </c>
      <c r="E58" s="2" t="s">
        <v>51</v>
      </c>
      <c r="F58" s="2" t="s">
        <v>34</v>
      </c>
      <c r="G58">
        <f t="shared" si="0"/>
        <v>0</v>
      </c>
      <c r="H58">
        <f t="shared" si="1"/>
        <v>1</v>
      </c>
      <c r="I58">
        <f t="shared" si="2"/>
        <v>0</v>
      </c>
      <c r="J58">
        <f t="shared" si="3"/>
        <v>0</v>
      </c>
      <c r="K58">
        <f t="shared" si="4"/>
        <v>1</v>
      </c>
      <c r="L58">
        <f t="shared" si="5"/>
        <v>0</v>
      </c>
      <c r="M58">
        <f t="shared" si="6"/>
        <v>0</v>
      </c>
      <c r="O58" s="41"/>
      <c r="P58" s="41"/>
      <c r="Q58" s="41"/>
    </row>
    <row r="59" spans="3:17">
      <c r="C59" t="s">
        <v>233</v>
      </c>
      <c r="D59" s="11">
        <v>6.7249999999999996</v>
      </c>
      <c r="E59" s="2" t="s">
        <v>51</v>
      </c>
      <c r="F59" s="2" t="s">
        <v>34</v>
      </c>
      <c r="G59">
        <f t="shared" si="0"/>
        <v>0</v>
      </c>
      <c r="H59">
        <f t="shared" si="1"/>
        <v>1</v>
      </c>
      <c r="I59">
        <f t="shared" si="2"/>
        <v>0</v>
      </c>
      <c r="J59">
        <f t="shared" si="3"/>
        <v>0</v>
      </c>
      <c r="K59">
        <f t="shared" si="4"/>
        <v>1</v>
      </c>
      <c r="L59">
        <f t="shared" si="5"/>
        <v>0</v>
      </c>
      <c r="M59">
        <f t="shared" si="6"/>
        <v>0</v>
      </c>
      <c r="O59" s="41"/>
      <c r="P59" s="41"/>
      <c r="Q59" s="41"/>
    </row>
    <row r="60" spans="3:17">
      <c r="C60" t="s">
        <v>236</v>
      </c>
      <c r="D60" s="11">
        <v>7.3874999999999993</v>
      </c>
      <c r="E60" s="2" t="s">
        <v>43</v>
      </c>
      <c r="F60" s="2" t="s">
        <v>34</v>
      </c>
      <c r="G60">
        <f t="shared" si="0"/>
        <v>0</v>
      </c>
      <c r="H60">
        <f t="shared" si="1"/>
        <v>1</v>
      </c>
      <c r="I60">
        <f t="shared" si="2"/>
        <v>0</v>
      </c>
      <c r="J60">
        <f t="shared" si="3"/>
        <v>0</v>
      </c>
      <c r="K60">
        <f t="shared" si="4"/>
        <v>0</v>
      </c>
      <c r="L60">
        <f t="shared" si="5"/>
        <v>0</v>
      </c>
      <c r="M60">
        <f t="shared" si="6"/>
        <v>0</v>
      </c>
      <c r="O60" s="41"/>
      <c r="P60" s="41"/>
      <c r="Q60" s="41"/>
    </row>
    <row r="61" spans="3:17">
      <c r="C61" t="s">
        <v>238</v>
      </c>
      <c r="D61" s="11">
        <v>7.9249999999999998</v>
      </c>
      <c r="E61" s="2" t="s">
        <v>51</v>
      </c>
      <c r="F61" s="2" t="s">
        <v>34</v>
      </c>
      <c r="G61">
        <f t="shared" si="0"/>
        <v>0</v>
      </c>
      <c r="H61">
        <f t="shared" si="1"/>
        <v>1</v>
      </c>
      <c r="I61">
        <f t="shared" si="2"/>
        <v>0</v>
      </c>
      <c r="J61">
        <f t="shared" si="3"/>
        <v>0</v>
      </c>
      <c r="K61">
        <f t="shared" si="4"/>
        <v>1</v>
      </c>
      <c r="L61">
        <f t="shared" si="5"/>
        <v>0</v>
      </c>
      <c r="M61">
        <f t="shared" si="6"/>
        <v>0</v>
      </c>
      <c r="O61" s="41"/>
      <c r="P61" s="41"/>
      <c r="Q61" s="41"/>
    </row>
    <row r="62" spans="3:17">
      <c r="C62" t="s">
        <v>242</v>
      </c>
      <c r="D62" s="11">
        <v>8.5</v>
      </c>
      <c r="E62" s="2" t="s">
        <v>43</v>
      </c>
      <c r="F62" s="2" t="s">
        <v>34</v>
      </c>
      <c r="G62">
        <f t="shared" si="0"/>
        <v>0</v>
      </c>
      <c r="H62">
        <f t="shared" si="1"/>
        <v>1</v>
      </c>
      <c r="I62">
        <f t="shared" si="2"/>
        <v>0</v>
      </c>
      <c r="J62">
        <f t="shared" si="3"/>
        <v>0</v>
      </c>
      <c r="K62">
        <f t="shared" si="4"/>
        <v>0</v>
      </c>
      <c r="L62">
        <f t="shared" si="5"/>
        <v>0</v>
      </c>
      <c r="M62">
        <f t="shared" si="6"/>
        <v>0</v>
      </c>
      <c r="O62" s="41"/>
      <c r="P62" s="41"/>
      <c r="Q62" s="41"/>
    </row>
    <row r="63" spans="3:17">
      <c r="C63" t="s">
        <v>245</v>
      </c>
      <c r="D63" s="11">
        <v>7.2750000000000004</v>
      </c>
      <c r="E63" s="2" t="s">
        <v>43</v>
      </c>
      <c r="F63" s="2" t="s">
        <v>34</v>
      </c>
      <c r="G63">
        <f t="shared" si="0"/>
        <v>0</v>
      </c>
      <c r="H63">
        <f t="shared" si="1"/>
        <v>1</v>
      </c>
      <c r="I63">
        <f t="shared" si="2"/>
        <v>0</v>
      </c>
      <c r="J63">
        <f t="shared" si="3"/>
        <v>0</v>
      </c>
      <c r="K63">
        <f t="shared" si="4"/>
        <v>0</v>
      </c>
      <c r="L63">
        <f t="shared" si="5"/>
        <v>0</v>
      </c>
      <c r="M63">
        <f t="shared" si="6"/>
        <v>0</v>
      </c>
      <c r="O63" s="41"/>
      <c r="P63" s="41"/>
      <c r="Q63" s="41"/>
    </row>
    <row r="64" spans="3:17">
      <c r="C64" t="s">
        <v>247</v>
      </c>
      <c r="D64" s="11">
        <v>7.8872499999999999</v>
      </c>
      <c r="E64" s="2" t="s">
        <v>61</v>
      </c>
      <c r="F64" s="2" t="s">
        <v>34</v>
      </c>
      <c r="G64">
        <f t="shared" si="0"/>
        <v>0</v>
      </c>
      <c r="H64">
        <f t="shared" si="1"/>
        <v>1</v>
      </c>
      <c r="I64">
        <f t="shared" si="2"/>
        <v>0</v>
      </c>
      <c r="J64">
        <f t="shared" si="3"/>
        <v>0</v>
      </c>
      <c r="K64">
        <f t="shared" si="4"/>
        <v>0</v>
      </c>
      <c r="L64">
        <f t="shared" si="5"/>
        <v>1</v>
      </c>
      <c r="M64">
        <f t="shared" si="6"/>
        <v>0</v>
      </c>
      <c r="O64" s="41"/>
      <c r="P64" s="41"/>
      <c r="Q64" s="41"/>
    </row>
    <row r="65" spans="3:17">
      <c r="C65" t="s">
        <v>250</v>
      </c>
      <c r="D65" s="11">
        <v>9.8825000000000003</v>
      </c>
      <c r="E65" s="2" t="s">
        <v>51</v>
      </c>
      <c r="F65" s="2" t="s">
        <v>34</v>
      </c>
      <c r="G65">
        <f t="shared" si="0"/>
        <v>0</v>
      </c>
      <c r="H65">
        <f t="shared" si="1"/>
        <v>1</v>
      </c>
      <c r="I65">
        <f t="shared" si="2"/>
        <v>0</v>
      </c>
      <c r="J65">
        <f t="shared" si="3"/>
        <v>0</v>
      </c>
      <c r="K65">
        <f t="shared" si="4"/>
        <v>1</v>
      </c>
      <c r="L65">
        <f t="shared" si="5"/>
        <v>0</v>
      </c>
      <c r="M65">
        <f t="shared" si="6"/>
        <v>0</v>
      </c>
      <c r="O65" s="41"/>
      <c r="P65" s="41"/>
      <c r="Q65" s="41"/>
    </row>
    <row r="66" spans="3:17">
      <c r="C66" t="s">
        <v>254</v>
      </c>
      <c r="D66" s="11">
        <v>8.0749999999999993</v>
      </c>
      <c r="E66" s="2" t="s">
        <v>51</v>
      </c>
      <c r="F66" s="2" t="s">
        <v>34</v>
      </c>
      <c r="G66">
        <f t="shared" si="0"/>
        <v>0</v>
      </c>
      <c r="H66">
        <f t="shared" si="1"/>
        <v>1</v>
      </c>
      <c r="I66">
        <f t="shared" si="2"/>
        <v>0</v>
      </c>
      <c r="J66">
        <f t="shared" si="3"/>
        <v>0</v>
      </c>
      <c r="K66">
        <f t="shared" si="4"/>
        <v>1</v>
      </c>
      <c r="L66">
        <f t="shared" si="5"/>
        <v>0</v>
      </c>
      <c r="M66">
        <f t="shared" si="6"/>
        <v>0</v>
      </c>
      <c r="O66" s="41"/>
      <c r="P66" s="41"/>
      <c r="Q66" s="41"/>
    </row>
    <row r="67" spans="3:17">
      <c r="C67" t="s">
        <v>257</v>
      </c>
      <c r="D67" s="11">
        <v>8.0399999999999991</v>
      </c>
      <c r="E67" s="2" t="s">
        <v>43</v>
      </c>
      <c r="F67" s="2" t="s">
        <v>34</v>
      </c>
      <c r="G67">
        <f t="shared" si="0"/>
        <v>0</v>
      </c>
      <c r="H67">
        <f t="shared" si="1"/>
        <v>1</v>
      </c>
      <c r="I67">
        <f t="shared" si="2"/>
        <v>0</v>
      </c>
      <c r="J67">
        <f t="shared" si="3"/>
        <v>0</v>
      </c>
      <c r="K67">
        <f t="shared" si="4"/>
        <v>0</v>
      </c>
      <c r="L67">
        <f t="shared" si="5"/>
        <v>0</v>
      </c>
      <c r="M67">
        <f t="shared" si="6"/>
        <v>0</v>
      </c>
      <c r="O67" s="41"/>
      <c r="P67" s="41"/>
      <c r="Q67" s="41"/>
    </row>
    <row r="68" spans="3:17">
      <c r="C68" t="s">
        <v>261</v>
      </c>
      <c r="D68" s="11">
        <v>8.9975000000000005</v>
      </c>
      <c r="E68" s="2" t="s">
        <v>51</v>
      </c>
      <c r="F68" s="2" t="s">
        <v>66</v>
      </c>
      <c r="G68">
        <f t="shared" ref="G68:G122" si="7">IF(F68="Less than 2 hours",1,0)</f>
        <v>1</v>
      </c>
      <c r="H68">
        <f t="shared" ref="H68:H122" si="8">IF(F68="2-5 hours",1,0)</f>
        <v>0</v>
      </c>
      <c r="I68">
        <f t="shared" ref="I68:I121" si="9">IF(F68="5-8 hours",1,0)</f>
        <v>0</v>
      </c>
      <c r="J68">
        <f t="shared" ref="J68:J121" si="10">IF(F68="8-11 hours",1,0)</f>
        <v>0</v>
      </c>
      <c r="K68">
        <f t="shared" ref="K68:K121" si="11">IF(E68="Less than 10 hours",1,0)</f>
        <v>1</v>
      </c>
      <c r="L68">
        <f t="shared" ref="L68:L121" si="12">IF(E68="Above 10 hours - Upto 30 hours",1,0)</f>
        <v>0</v>
      </c>
      <c r="M68">
        <f t="shared" ref="M68:M121" si="13">IF(E68="Above 30 hours - Upto 50 hours",1,0)</f>
        <v>0</v>
      </c>
      <c r="O68" s="41"/>
      <c r="P68" s="41"/>
      <c r="Q68" s="41"/>
    </row>
    <row r="69" spans="3:17">
      <c r="C69" t="s">
        <v>265</v>
      </c>
      <c r="D69" s="11">
        <v>8.5249999999999986</v>
      </c>
      <c r="E69" s="2" t="s">
        <v>51</v>
      </c>
      <c r="F69" s="2" t="s">
        <v>117</v>
      </c>
      <c r="G69">
        <f t="shared" si="7"/>
        <v>0</v>
      </c>
      <c r="H69">
        <f t="shared" si="8"/>
        <v>0</v>
      </c>
      <c r="I69">
        <f t="shared" si="9"/>
        <v>1</v>
      </c>
      <c r="J69">
        <f t="shared" si="10"/>
        <v>0</v>
      </c>
      <c r="K69">
        <f t="shared" si="11"/>
        <v>1</v>
      </c>
      <c r="L69">
        <f t="shared" si="12"/>
        <v>0</v>
      </c>
      <c r="M69">
        <f t="shared" si="13"/>
        <v>0</v>
      </c>
      <c r="O69" s="41"/>
      <c r="P69" s="41"/>
      <c r="Q69" s="41"/>
    </row>
    <row r="70" spans="3:17">
      <c r="C70" t="s">
        <v>268</v>
      </c>
      <c r="D70" s="11">
        <v>8.7124999999999986</v>
      </c>
      <c r="E70" s="2" t="s">
        <v>51</v>
      </c>
      <c r="F70" s="2" t="s">
        <v>34</v>
      </c>
      <c r="G70">
        <f t="shared" si="7"/>
        <v>0</v>
      </c>
      <c r="H70">
        <f t="shared" si="8"/>
        <v>1</v>
      </c>
      <c r="I70">
        <f t="shared" si="9"/>
        <v>0</v>
      </c>
      <c r="J70">
        <f t="shared" si="10"/>
        <v>0</v>
      </c>
      <c r="K70">
        <f t="shared" si="11"/>
        <v>1</v>
      </c>
      <c r="L70">
        <f t="shared" si="12"/>
        <v>0</v>
      </c>
      <c r="M70">
        <f t="shared" si="13"/>
        <v>0</v>
      </c>
      <c r="O70" s="41"/>
      <c r="P70" s="41"/>
      <c r="Q70" s="41"/>
    </row>
    <row r="71" spans="3:17">
      <c r="C71" t="s">
        <v>270</v>
      </c>
      <c r="D71" s="11">
        <v>8.0975000000000001</v>
      </c>
      <c r="E71" s="2" t="s">
        <v>43</v>
      </c>
      <c r="F71" s="2" t="s">
        <v>34</v>
      </c>
      <c r="G71">
        <f t="shared" si="7"/>
        <v>0</v>
      </c>
      <c r="H71">
        <f t="shared" si="8"/>
        <v>1</v>
      </c>
      <c r="I71">
        <f t="shared" si="9"/>
        <v>0</v>
      </c>
      <c r="J71">
        <f t="shared" si="10"/>
        <v>0</v>
      </c>
      <c r="K71">
        <f t="shared" si="11"/>
        <v>0</v>
      </c>
      <c r="L71">
        <f t="shared" si="12"/>
        <v>0</v>
      </c>
      <c r="M71">
        <f t="shared" si="13"/>
        <v>0</v>
      </c>
      <c r="O71" s="41"/>
      <c r="P71" s="41"/>
      <c r="Q71" s="41"/>
    </row>
    <row r="72" spans="3:17">
      <c r="C72" t="s">
        <v>273</v>
      </c>
      <c r="D72" s="11">
        <v>7.7694999999999999</v>
      </c>
      <c r="E72" s="2" t="s">
        <v>43</v>
      </c>
      <c r="F72" s="2" t="s">
        <v>66</v>
      </c>
      <c r="G72">
        <f t="shared" si="7"/>
        <v>1</v>
      </c>
      <c r="H72">
        <f t="shared" si="8"/>
        <v>0</v>
      </c>
      <c r="I72">
        <f t="shared" si="9"/>
        <v>0</v>
      </c>
      <c r="J72">
        <f t="shared" si="10"/>
        <v>0</v>
      </c>
      <c r="K72">
        <f t="shared" si="11"/>
        <v>0</v>
      </c>
      <c r="L72">
        <f t="shared" si="12"/>
        <v>0</v>
      </c>
      <c r="M72">
        <f t="shared" si="13"/>
        <v>0</v>
      </c>
      <c r="O72" s="41"/>
      <c r="P72" s="41"/>
      <c r="Q72" s="41"/>
    </row>
    <row r="73" spans="3:17">
      <c r="C73" t="s">
        <v>275</v>
      </c>
      <c r="D73" s="11">
        <v>8.8500000000000014</v>
      </c>
      <c r="E73" s="2" t="s">
        <v>43</v>
      </c>
      <c r="F73" s="2" t="s">
        <v>34</v>
      </c>
      <c r="G73">
        <f t="shared" si="7"/>
        <v>0</v>
      </c>
      <c r="H73">
        <f t="shared" si="8"/>
        <v>1</v>
      </c>
      <c r="I73">
        <f t="shared" si="9"/>
        <v>0</v>
      </c>
      <c r="J73">
        <f t="shared" si="10"/>
        <v>0</v>
      </c>
      <c r="K73">
        <f t="shared" si="11"/>
        <v>0</v>
      </c>
      <c r="L73">
        <f t="shared" si="12"/>
        <v>0</v>
      </c>
      <c r="M73">
        <f t="shared" si="13"/>
        <v>0</v>
      </c>
      <c r="O73" s="41"/>
      <c r="P73" s="41"/>
      <c r="Q73" s="41"/>
    </row>
    <row r="74" spans="3:17">
      <c r="C74" t="s">
        <v>277</v>
      </c>
      <c r="D74" s="11">
        <v>6.4375</v>
      </c>
      <c r="E74" s="2" t="s">
        <v>43</v>
      </c>
      <c r="F74" s="2" t="s">
        <v>34</v>
      </c>
      <c r="G74">
        <f t="shared" si="7"/>
        <v>0</v>
      </c>
      <c r="H74">
        <f t="shared" si="8"/>
        <v>1</v>
      </c>
      <c r="I74">
        <f t="shared" si="9"/>
        <v>0</v>
      </c>
      <c r="J74">
        <f t="shared" si="10"/>
        <v>0</v>
      </c>
      <c r="K74">
        <f t="shared" si="11"/>
        <v>0</v>
      </c>
      <c r="L74">
        <f t="shared" si="12"/>
        <v>0</v>
      </c>
      <c r="M74">
        <f t="shared" si="13"/>
        <v>0</v>
      </c>
      <c r="O74" s="41"/>
      <c r="P74" s="41"/>
      <c r="Q74" s="41"/>
    </row>
    <row r="75" spans="3:17">
      <c r="C75" t="s">
        <v>280</v>
      </c>
      <c r="D75" s="11">
        <v>5.5749999999999993</v>
      </c>
      <c r="E75" s="2" t="s">
        <v>51</v>
      </c>
      <c r="F75" s="2" t="s">
        <v>66</v>
      </c>
      <c r="G75">
        <f t="shared" si="7"/>
        <v>1</v>
      </c>
      <c r="H75">
        <f t="shared" si="8"/>
        <v>0</v>
      </c>
      <c r="I75">
        <f t="shared" si="9"/>
        <v>0</v>
      </c>
      <c r="J75">
        <f t="shared" si="10"/>
        <v>0</v>
      </c>
      <c r="K75">
        <f t="shared" si="11"/>
        <v>1</v>
      </c>
      <c r="L75">
        <f t="shared" si="12"/>
        <v>0</v>
      </c>
      <c r="M75">
        <f t="shared" si="13"/>
        <v>0</v>
      </c>
      <c r="O75" s="41"/>
      <c r="P75" s="41"/>
      <c r="Q75" s="41"/>
    </row>
    <row r="76" spans="3:17">
      <c r="C76" t="s">
        <v>284</v>
      </c>
      <c r="D76" s="11">
        <v>9.120000000000001</v>
      </c>
      <c r="E76" s="2" t="s">
        <v>51</v>
      </c>
      <c r="F76" s="2" t="s">
        <v>34</v>
      </c>
      <c r="G76">
        <f t="shared" si="7"/>
        <v>0</v>
      </c>
      <c r="H76">
        <f t="shared" si="8"/>
        <v>1</v>
      </c>
      <c r="I76">
        <f t="shared" si="9"/>
        <v>0</v>
      </c>
      <c r="J76">
        <f t="shared" si="10"/>
        <v>0</v>
      </c>
      <c r="K76">
        <f t="shared" si="11"/>
        <v>1</v>
      </c>
      <c r="L76">
        <f t="shared" si="12"/>
        <v>0</v>
      </c>
      <c r="M76">
        <f t="shared" si="13"/>
        <v>0</v>
      </c>
      <c r="O76" s="41"/>
      <c r="P76" s="41"/>
      <c r="Q76" s="41"/>
    </row>
    <row r="77" spans="3:17">
      <c r="C77" t="s">
        <v>287</v>
      </c>
      <c r="D77" s="11">
        <v>6.8249999999999993</v>
      </c>
      <c r="E77" s="2" t="s">
        <v>43</v>
      </c>
      <c r="F77" s="2" t="s">
        <v>34</v>
      </c>
      <c r="G77">
        <f t="shared" si="7"/>
        <v>0</v>
      </c>
      <c r="H77">
        <f t="shared" si="8"/>
        <v>1</v>
      </c>
      <c r="I77">
        <f t="shared" si="9"/>
        <v>0</v>
      </c>
      <c r="J77">
        <f t="shared" si="10"/>
        <v>0</v>
      </c>
      <c r="K77">
        <f t="shared" si="11"/>
        <v>0</v>
      </c>
      <c r="L77">
        <f t="shared" si="12"/>
        <v>0</v>
      </c>
      <c r="M77">
        <f t="shared" si="13"/>
        <v>0</v>
      </c>
      <c r="O77" s="41"/>
      <c r="P77" s="41"/>
      <c r="Q77" s="41"/>
    </row>
    <row r="78" spans="3:17">
      <c r="C78" t="s">
        <v>291</v>
      </c>
      <c r="D78" s="11">
        <v>8.2250000000000014</v>
      </c>
      <c r="E78" s="2" t="s">
        <v>61</v>
      </c>
      <c r="F78" s="2" t="s">
        <v>117</v>
      </c>
      <c r="G78">
        <f t="shared" si="7"/>
        <v>0</v>
      </c>
      <c r="H78">
        <f t="shared" si="8"/>
        <v>0</v>
      </c>
      <c r="I78">
        <f t="shared" si="9"/>
        <v>1</v>
      </c>
      <c r="J78">
        <f t="shared" si="10"/>
        <v>0</v>
      </c>
      <c r="K78">
        <f t="shared" si="11"/>
        <v>0</v>
      </c>
      <c r="L78">
        <f t="shared" si="12"/>
        <v>1</v>
      </c>
      <c r="M78">
        <f t="shared" si="13"/>
        <v>0</v>
      </c>
      <c r="O78" s="41"/>
      <c r="P78" s="41"/>
      <c r="Q78" s="41"/>
    </row>
    <row r="79" spans="3:17">
      <c r="C79" t="s">
        <v>293</v>
      </c>
      <c r="D79" s="11">
        <v>8.0749999999999993</v>
      </c>
      <c r="E79" s="2" t="s">
        <v>43</v>
      </c>
      <c r="F79" s="2" t="s">
        <v>117</v>
      </c>
      <c r="G79">
        <f t="shared" si="7"/>
        <v>0</v>
      </c>
      <c r="H79">
        <f t="shared" si="8"/>
        <v>0</v>
      </c>
      <c r="I79">
        <f t="shared" si="9"/>
        <v>1</v>
      </c>
      <c r="J79">
        <f t="shared" si="10"/>
        <v>0</v>
      </c>
      <c r="K79">
        <f t="shared" si="11"/>
        <v>0</v>
      </c>
      <c r="L79">
        <f t="shared" si="12"/>
        <v>0</v>
      </c>
      <c r="M79">
        <f t="shared" si="13"/>
        <v>0</v>
      </c>
      <c r="O79" s="41"/>
      <c r="P79" s="41"/>
      <c r="Q79" s="41"/>
    </row>
    <row r="80" spans="3:17">
      <c r="C80" t="s">
        <v>296</v>
      </c>
      <c r="D80" s="11">
        <v>8.9274999999999984</v>
      </c>
      <c r="E80" s="2" t="s">
        <v>43</v>
      </c>
      <c r="F80" s="2" t="s">
        <v>117</v>
      </c>
      <c r="G80">
        <f t="shared" si="7"/>
        <v>0</v>
      </c>
      <c r="H80">
        <f t="shared" si="8"/>
        <v>0</v>
      </c>
      <c r="I80">
        <f t="shared" si="9"/>
        <v>1</v>
      </c>
      <c r="J80">
        <f t="shared" si="10"/>
        <v>0</v>
      </c>
      <c r="K80">
        <f t="shared" si="11"/>
        <v>0</v>
      </c>
      <c r="L80">
        <f t="shared" si="12"/>
        <v>0</v>
      </c>
      <c r="M80">
        <f t="shared" si="13"/>
        <v>0</v>
      </c>
      <c r="O80" s="41"/>
      <c r="P80" s="41"/>
      <c r="Q80" s="41"/>
    </row>
    <row r="81" spans="3:17">
      <c r="C81" t="s">
        <v>301</v>
      </c>
      <c r="D81" s="11">
        <v>7.1250000000000009</v>
      </c>
      <c r="E81" s="2" t="s">
        <v>43</v>
      </c>
      <c r="F81" s="2" t="s">
        <v>117</v>
      </c>
      <c r="G81">
        <f t="shared" si="7"/>
        <v>0</v>
      </c>
      <c r="H81">
        <f t="shared" si="8"/>
        <v>0</v>
      </c>
      <c r="I81">
        <f t="shared" si="9"/>
        <v>1</v>
      </c>
      <c r="J81">
        <f t="shared" si="10"/>
        <v>0</v>
      </c>
      <c r="K81">
        <f t="shared" si="11"/>
        <v>0</v>
      </c>
      <c r="L81">
        <f t="shared" si="12"/>
        <v>0</v>
      </c>
      <c r="M81">
        <f t="shared" si="13"/>
        <v>0</v>
      </c>
      <c r="O81" s="41"/>
      <c r="P81" s="41"/>
      <c r="Q81" s="41"/>
    </row>
    <row r="82" spans="3:17">
      <c r="C82" t="s">
        <v>303</v>
      </c>
      <c r="D82" s="11">
        <v>7.0475000000000003</v>
      </c>
      <c r="E82" s="2" t="s">
        <v>51</v>
      </c>
      <c r="F82" s="2" t="s">
        <v>34</v>
      </c>
      <c r="G82">
        <f t="shared" si="7"/>
        <v>0</v>
      </c>
      <c r="H82">
        <f t="shared" si="8"/>
        <v>1</v>
      </c>
      <c r="I82">
        <f t="shared" si="9"/>
        <v>0</v>
      </c>
      <c r="J82">
        <f t="shared" si="10"/>
        <v>0</v>
      </c>
      <c r="K82">
        <f t="shared" si="11"/>
        <v>1</v>
      </c>
      <c r="L82">
        <f t="shared" si="12"/>
        <v>0</v>
      </c>
      <c r="M82">
        <f t="shared" si="13"/>
        <v>0</v>
      </c>
      <c r="O82" s="41"/>
      <c r="P82" s="41"/>
      <c r="Q82" s="41"/>
    </row>
    <row r="83" spans="3:17">
      <c r="C83" t="s">
        <v>306</v>
      </c>
      <c r="D83" s="11">
        <v>9.34</v>
      </c>
      <c r="E83" s="2" t="s">
        <v>43</v>
      </c>
      <c r="F83" s="2" t="s">
        <v>104</v>
      </c>
      <c r="G83">
        <f t="shared" si="7"/>
        <v>0</v>
      </c>
      <c r="H83">
        <f t="shared" si="8"/>
        <v>0</v>
      </c>
      <c r="I83">
        <f t="shared" si="9"/>
        <v>0</v>
      </c>
      <c r="J83">
        <f t="shared" si="10"/>
        <v>0</v>
      </c>
      <c r="K83">
        <f t="shared" si="11"/>
        <v>0</v>
      </c>
      <c r="L83">
        <f t="shared" si="12"/>
        <v>0</v>
      </c>
      <c r="M83">
        <f t="shared" si="13"/>
        <v>0</v>
      </c>
      <c r="O83" s="41"/>
      <c r="P83" s="41"/>
      <c r="Q83" s="41"/>
    </row>
    <row r="84" spans="3:17">
      <c r="C84" t="s">
        <v>310</v>
      </c>
      <c r="D84" s="11">
        <v>7.5625</v>
      </c>
      <c r="E84" s="2" t="s">
        <v>43</v>
      </c>
      <c r="F84" s="2" t="s">
        <v>66</v>
      </c>
      <c r="G84">
        <f t="shared" si="7"/>
        <v>1</v>
      </c>
      <c r="H84">
        <f t="shared" si="8"/>
        <v>0</v>
      </c>
      <c r="I84">
        <f t="shared" si="9"/>
        <v>0</v>
      </c>
      <c r="J84">
        <f t="shared" si="10"/>
        <v>0</v>
      </c>
      <c r="K84">
        <f t="shared" si="11"/>
        <v>0</v>
      </c>
      <c r="L84">
        <f t="shared" si="12"/>
        <v>0</v>
      </c>
      <c r="M84">
        <f t="shared" si="13"/>
        <v>0</v>
      </c>
      <c r="O84" s="41"/>
      <c r="P84" s="41"/>
      <c r="Q84" s="41"/>
    </row>
    <row r="85" spans="3:17">
      <c r="C85" t="s">
        <v>312</v>
      </c>
      <c r="D85" s="11">
        <v>6.5750000000000002</v>
      </c>
      <c r="E85" s="2" t="s">
        <v>43</v>
      </c>
      <c r="F85" s="2" t="s">
        <v>66</v>
      </c>
      <c r="G85">
        <f t="shared" si="7"/>
        <v>1</v>
      </c>
      <c r="H85">
        <f t="shared" si="8"/>
        <v>0</v>
      </c>
      <c r="I85">
        <f t="shared" si="9"/>
        <v>0</v>
      </c>
      <c r="J85">
        <f t="shared" si="10"/>
        <v>0</v>
      </c>
      <c r="K85">
        <f t="shared" si="11"/>
        <v>0</v>
      </c>
      <c r="L85">
        <f t="shared" si="12"/>
        <v>0</v>
      </c>
      <c r="M85">
        <f t="shared" si="13"/>
        <v>0</v>
      </c>
      <c r="O85" s="41"/>
      <c r="P85" s="41"/>
      <c r="Q85" s="41"/>
    </row>
    <row r="86" spans="3:17">
      <c r="C86" t="s">
        <v>315</v>
      </c>
      <c r="D86" s="11">
        <v>7.3249999999999993</v>
      </c>
      <c r="E86" s="2" t="s">
        <v>43</v>
      </c>
      <c r="F86" s="2" t="s">
        <v>117</v>
      </c>
      <c r="G86">
        <f t="shared" si="7"/>
        <v>0</v>
      </c>
      <c r="H86">
        <f t="shared" si="8"/>
        <v>0</v>
      </c>
      <c r="I86">
        <f t="shared" si="9"/>
        <v>1</v>
      </c>
      <c r="J86">
        <f t="shared" si="10"/>
        <v>0</v>
      </c>
      <c r="K86">
        <f t="shared" si="11"/>
        <v>0</v>
      </c>
      <c r="L86">
        <f t="shared" si="12"/>
        <v>0</v>
      </c>
      <c r="M86">
        <f t="shared" si="13"/>
        <v>0</v>
      </c>
      <c r="O86" s="41"/>
      <c r="P86" s="41"/>
      <c r="Q86" s="41"/>
    </row>
    <row r="87" spans="3:17">
      <c r="C87" t="s">
        <v>318</v>
      </c>
      <c r="D87" s="11">
        <v>7.7349999999999994</v>
      </c>
      <c r="E87" s="2" t="s">
        <v>51</v>
      </c>
      <c r="F87" s="2" t="s">
        <v>66</v>
      </c>
      <c r="G87">
        <f t="shared" si="7"/>
        <v>1</v>
      </c>
      <c r="H87">
        <f t="shared" si="8"/>
        <v>0</v>
      </c>
      <c r="I87">
        <f t="shared" si="9"/>
        <v>0</v>
      </c>
      <c r="J87">
        <f t="shared" si="10"/>
        <v>0</v>
      </c>
      <c r="K87">
        <f t="shared" si="11"/>
        <v>1</v>
      </c>
      <c r="L87">
        <f t="shared" si="12"/>
        <v>0</v>
      </c>
      <c r="M87">
        <f t="shared" si="13"/>
        <v>0</v>
      </c>
      <c r="O87" s="41"/>
      <c r="P87" s="41"/>
      <c r="Q87" s="41"/>
    </row>
    <row r="88" spans="3:17">
      <c r="C88" t="s">
        <v>321</v>
      </c>
      <c r="D88" s="11">
        <v>8.3049999999999997</v>
      </c>
      <c r="E88" s="2" t="s">
        <v>43</v>
      </c>
      <c r="F88" s="2" t="s">
        <v>117</v>
      </c>
      <c r="G88">
        <f t="shared" si="7"/>
        <v>0</v>
      </c>
      <c r="H88">
        <f t="shared" si="8"/>
        <v>0</v>
      </c>
      <c r="I88">
        <f t="shared" si="9"/>
        <v>1</v>
      </c>
      <c r="J88">
        <f t="shared" si="10"/>
        <v>0</v>
      </c>
      <c r="K88">
        <f t="shared" si="11"/>
        <v>0</v>
      </c>
      <c r="L88">
        <f t="shared" si="12"/>
        <v>0</v>
      </c>
      <c r="M88">
        <f t="shared" si="13"/>
        <v>0</v>
      </c>
      <c r="O88" s="41"/>
      <c r="P88" s="41"/>
      <c r="Q88" s="41"/>
    </row>
    <row r="89" spans="3:17">
      <c r="C89" t="s">
        <v>324</v>
      </c>
      <c r="D89" s="11">
        <v>8.34</v>
      </c>
      <c r="E89" s="2" t="s">
        <v>51</v>
      </c>
      <c r="F89" s="2" t="s">
        <v>66</v>
      </c>
      <c r="G89">
        <f t="shared" si="7"/>
        <v>1</v>
      </c>
      <c r="H89">
        <f t="shared" si="8"/>
        <v>0</v>
      </c>
      <c r="I89">
        <f t="shared" si="9"/>
        <v>0</v>
      </c>
      <c r="J89">
        <f t="shared" si="10"/>
        <v>0</v>
      </c>
      <c r="K89">
        <f t="shared" si="11"/>
        <v>1</v>
      </c>
      <c r="L89">
        <f t="shared" si="12"/>
        <v>0</v>
      </c>
      <c r="M89">
        <f t="shared" si="13"/>
        <v>0</v>
      </c>
      <c r="O89" s="41"/>
      <c r="P89" s="41"/>
      <c r="Q89" s="41"/>
    </row>
    <row r="90" spans="3:17">
      <c r="C90" t="s">
        <v>327</v>
      </c>
      <c r="D90" s="11">
        <v>7.4074999999999989</v>
      </c>
      <c r="E90" s="2" t="s">
        <v>43</v>
      </c>
      <c r="F90" s="2" t="s">
        <v>34</v>
      </c>
      <c r="G90">
        <f t="shared" si="7"/>
        <v>0</v>
      </c>
      <c r="H90">
        <f t="shared" si="8"/>
        <v>1</v>
      </c>
      <c r="I90">
        <f t="shared" si="9"/>
        <v>0</v>
      </c>
      <c r="J90">
        <f t="shared" si="10"/>
        <v>0</v>
      </c>
      <c r="K90">
        <f t="shared" si="11"/>
        <v>0</v>
      </c>
      <c r="L90">
        <f t="shared" si="12"/>
        <v>0</v>
      </c>
      <c r="M90">
        <f t="shared" si="13"/>
        <v>0</v>
      </c>
      <c r="O90" s="41"/>
      <c r="P90" s="41"/>
      <c r="Q90" s="41"/>
    </row>
    <row r="91" spans="3:17">
      <c r="C91" t="s">
        <v>331</v>
      </c>
      <c r="D91" s="11">
        <v>7.7874999999999996</v>
      </c>
      <c r="E91" s="2" t="s">
        <v>61</v>
      </c>
      <c r="F91" s="2" t="s">
        <v>48</v>
      </c>
      <c r="G91">
        <f t="shared" si="7"/>
        <v>0</v>
      </c>
      <c r="H91">
        <f t="shared" si="8"/>
        <v>0</v>
      </c>
      <c r="I91">
        <f t="shared" si="9"/>
        <v>0</v>
      </c>
      <c r="J91">
        <f t="shared" si="10"/>
        <v>1</v>
      </c>
      <c r="K91">
        <f t="shared" si="11"/>
        <v>0</v>
      </c>
      <c r="L91">
        <f t="shared" si="12"/>
        <v>1</v>
      </c>
      <c r="M91">
        <f t="shared" si="13"/>
        <v>0</v>
      </c>
      <c r="O91" s="41"/>
      <c r="P91" s="41"/>
      <c r="Q91" s="41"/>
    </row>
    <row r="92" spans="3:17">
      <c r="C92" t="s">
        <v>335</v>
      </c>
      <c r="D92" s="11">
        <v>7.6850000000000005</v>
      </c>
      <c r="E92" s="2" t="s">
        <v>51</v>
      </c>
      <c r="F92" s="2" t="s">
        <v>34</v>
      </c>
      <c r="G92">
        <f t="shared" si="7"/>
        <v>0</v>
      </c>
      <c r="H92">
        <f t="shared" si="8"/>
        <v>1</v>
      </c>
      <c r="I92">
        <f t="shared" si="9"/>
        <v>0</v>
      </c>
      <c r="J92">
        <f t="shared" si="10"/>
        <v>0</v>
      </c>
      <c r="K92">
        <f t="shared" si="11"/>
        <v>1</v>
      </c>
      <c r="L92">
        <f t="shared" si="12"/>
        <v>0</v>
      </c>
      <c r="M92">
        <f t="shared" si="13"/>
        <v>0</v>
      </c>
      <c r="O92" s="41"/>
      <c r="P92" s="41"/>
      <c r="Q92" s="41"/>
    </row>
    <row r="93" spans="3:17">
      <c r="C93" t="s">
        <v>338</v>
      </c>
      <c r="D93" s="11">
        <v>6.65</v>
      </c>
      <c r="E93" s="2" t="s">
        <v>61</v>
      </c>
      <c r="F93" s="2" t="s">
        <v>66</v>
      </c>
      <c r="G93">
        <f t="shared" si="7"/>
        <v>1</v>
      </c>
      <c r="H93">
        <f t="shared" si="8"/>
        <v>0</v>
      </c>
      <c r="I93">
        <f t="shared" si="9"/>
        <v>0</v>
      </c>
      <c r="J93">
        <f t="shared" si="10"/>
        <v>0</v>
      </c>
      <c r="K93">
        <f t="shared" si="11"/>
        <v>0</v>
      </c>
      <c r="L93">
        <f t="shared" si="12"/>
        <v>1</v>
      </c>
      <c r="M93">
        <f t="shared" si="13"/>
        <v>0</v>
      </c>
      <c r="O93" s="41"/>
      <c r="P93" s="41"/>
      <c r="Q93" s="41"/>
    </row>
    <row r="94" spans="3:17">
      <c r="C94" t="s">
        <v>340</v>
      </c>
      <c r="D94" s="11">
        <v>6.8549999999999995</v>
      </c>
      <c r="E94" s="2" t="s">
        <v>43</v>
      </c>
      <c r="F94" s="2" t="s">
        <v>34</v>
      </c>
      <c r="G94">
        <f t="shared" si="7"/>
        <v>0</v>
      </c>
      <c r="H94">
        <f t="shared" si="8"/>
        <v>1</v>
      </c>
      <c r="I94">
        <f t="shared" si="9"/>
        <v>0</v>
      </c>
      <c r="J94">
        <f t="shared" si="10"/>
        <v>0</v>
      </c>
      <c r="K94">
        <f t="shared" si="11"/>
        <v>0</v>
      </c>
      <c r="L94">
        <f t="shared" si="12"/>
        <v>0</v>
      </c>
      <c r="M94">
        <f t="shared" si="13"/>
        <v>0</v>
      </c>
      <c r="O94" s="41"/>
      <c r="P94" s="41"/>
      <c r="Q94" s="41"/>
    </row>
    <row r="95" spans="3:17">
      <c r="C95" t="s">
        <v>342</v>
      </c>
      <c r="D95" s="11">
        <v>7.669999999999999</v>
      </c>
      <c r="E95" s="2" t="s">
        <v>43</v>
      </c>
      <c r="F95" s="2" t="s">
        <v>34</v>
      </c>
      <c r="G95">
        <f t="shared" si="7"/>
        <v>0</v>
      </c>
      <c r="H95">
        <f t="shared" si="8"/>
        <v>1</v>
      </c>
      <c r="I95">
        <f t="shared" si="9"/>
        <v>0</v>
      </c>
      <c r="J95">
        <f t="shared" si="10"/>
        <v>0</v>
      </c>
      <c r="K95">
        <f t="shared" si="11"/>
        <v>0</v>
      </c>
      <c r="L95">
        <f t="shared" si="12"/>
        <v>0</v>
      </c>
      <c r="M95">
        <f t="shared" si="13"/>
        <v>0</v>
      </c>
      <c r="O95" s="41"/>
      <c r="P95" s="41"/>
      <c r="Q95" s="41"/>
    </row>
    <row r="96" spans="3:17">
      <c r="C96" t="s">
        <v>345</v>
      </c>
      <c r="D96" s="11">
        <v>9.4499999999999993</v>
      </c>
      <c r="E96" s="2" t="s">
        <v>36</v>
      </c>
      <c r="F96" s="2" t="s">
        <v>34</v>
      </c>
      <c r="G96">
        <f t="shared" si="7"/>
        <v>0</v>
      </c>
      <c r="H96">
        <f t="shared" si="8"/>
        <v>1</v>
      </c>
      <c r="I96">
        <f t="shared" si="9"/>
        <v>0</v>
      </c>
      <c r="J96">
        <f t="shared" si="10"/>
        <v>0</v>
      </c>
      <c r="K96">
        <f t="shared" si="11"/>
        <v>0</v>
      </c>
      <c r="L96">
        <f t="shared" si="12"/>
        <v>0</v>
      </c>
      <c r="M96">
        <f t="shared" si="13"/>
        <v>1</v>
      </c>
      <c r="O96" s="41"/>
      <c r="P96" s="41"/>
      <c r="Q96" s="41"/>
    </row>
    <row r="97" spans="3:17">
      <c r="C97" t="s">
        <v>347</v>
      </c>
      <c r="D97" s="11">
        <v>9.1475000000000009</v>
      </c>
      <c r="E97" s="2" t="s">
        <v>43</v>
      </c>
      <c r="F97" s="2" t="s">
        <v>66</v>
      </c>
      <c r="G97">
        <f t="shared" si="7"/>
        <v>1</v>
      </c>
      <c r="H97">
        <f t="shared" si="8"/>
        <v>0</v>
      </c>
      <c r="I97">
        <f t="shared" si="9"/>
        <v>0</v>
      </c>
      <c r="J97">
        <f t="shared" si="10"/>
        <v>0</v>
      </c>
      <c r="K97">
        <f t="shared" si="11"/>
        <v>0</v>
      </c>
      <c r="L97">
        <f t="shared" si="12"/>
        <v>0</v>
      </c>
      <c r="M97">
        <f t="shared" si="13"/>
        <v>0</v>
      </c>
      <c r="O97" s="41"/>
      <c r="P97" s="41"/>
      <c r="Q97" s="41"/>
    </row>
    <row r="98" spans="3:17">
      <c r="C98" t="s">
        <v>350</v>
      </c>
      <c r="D98" s="11">
        <v>7.1344999999999992</v>
      </c>
      <c r="E98" s="2" t="s">
        <v>43</v>
      </c>
      <c r="F98" s="2" t="s">
        <v>117</v>
      </c>
      <c r="G98">
        <f t="shared" si="7"/>
        <v>0</v>
      </c>
      <c r="H98">
        <f t="shared" si="8"/>
        <v>0</v>
      </c>
      <c r="I98">
        <f t="shared" si="9"/>
        <v>1</v>
      </c>
      <c r="J98">
        <f t="shared" si="10"/>
        <v>0</v>
      </c>
      <c r="K98">
        <f t="shared" si="11"/>
        <v>0</v>
      </c>
      <c r="L98">
        <f t="shared" si="12"/>
        <v>0</v>
      </c>
      <c r="M98">
        <f t="shared" si="13"/>
        <v>0</v>
      </c>
      <c r="O98" s="41"/>
      <c r="P98" s="41"/>
      <c r="Q98" s="41"/>
    </row>
    <row r="99" spans="3:17">
      <c r="C99" t="s">
        <v>353</v>
      </c>
      <c r="D99" s="11">
        <v>6.8000000000000007</v>
      </c>
      <c r="E99" s="2" t="s">
        <v>43</v>
      </c>
      <c r="F99" s="2" t="s">
        <v>34</v>
      </c>
      <c r="G99">
        <f t="shared" si="7"/>
        <v>0</v>
      </c>
      <c r="H99">
        <f t="shared" si="8"/>
        <v>1</v>
      </c>
      <c r="I99">
        <f t="shared" si="9"/>
        <v>0</v>
      </c>
      <c r="J99">
        <f t="shared" si="10"/>
        <v>0</v>
      </c>
      <c r="K99">
        <f t="shared" si="11"/>
        <v>0</v>
      </c>
      <c r="L99">
        <f t="shared" si="12"/>
        <v>0</v>
      </c>
      <c r="M99">
        <f t="shared" si="13"/>
        <v>0</v>
      </c>
      <c r="O99" s="41"/>
      <c r="P99" s="41"/>
      <c r="Q99" s="41"/>
    </row>
    <row r="100" spans="3:17">
      <c r="C100" t="s">
        <v>356</v>
      </c>
      <c r="D100" s="11">
        <v>8.0950000000000006</v>
      </c>
      <c r="E100" s="2" t="s">
        <v>43</v>
      </c>
      <c r="F100" s="2" t="s">
        <v>117</v>
      </c>
      <c r="G100">
        <f t="shared" si="7"/>
        <v>0</v>
      </c>
      <c r="H100">
        <f t="shared" si="8"/>
        <v>0</v>
      </c>
      <c r="I100">
        <f t="shared" si="9"/>
        <v>1</v>
      </c>
      <c r="J100">
        <f t="shared" si="10"/>
        <v>0</v>
      </c>
      <c r="K100">
        <f t="shared" si="11"/>
        <v>0</v>
      </c>
      <c r="L100">
        <f t="shared" si="12"/>
        <v>0</v>
      </c>
      <c r="M100">
        <f t="shared" si="13"/>
        <v>0</v>
      </c>
      <c r="O100" s="41"/>
      <c r="P100" s="41"/>
      <c r="Q100" s="41"/>
    </row>
    <row r="101" spans="3:17">
      <c r="C101" t="s">
        <v>359</v>
      </c>
      <c r="D101" s="11">
        <v>9.375</v>
      </c>
      <c r="E101" s="2" t="s">
        <v>51</v>
      </c>
      <c r="F101" s="2" t="s">
        <v>34</v>
      </c>
      <c r="G101">
        <f t="shared" si="7"/>
        <v>0</v>
      </c>
      <c r="H101">
        <f t="shared" si="8"/>
        <v>1</v>
      </c>
      <c r="I101">
        <f t="shared" si="9"/>
        <v>0</v>
      </c>
      <c r="J101">
        <f t="shared" si="10"/>
        <v>0</v>
      </c>
      <c r="K101">
        <f t="shared" si="11"/>
        <v>1</v>
      </c>
      <c r="L101">
        <f t="shared" si="12"/>
        <v>0</v>
      </c>
      <c r="M101">
        <f t="shared" si="13"/>
        <v>0</v>
      </c>
      <c r="O101" s="41"/>
      <c r="P101" s="41"/>
      <c r="Q101" s="41"/>
    </row>
    <row r="102" spans="3:17">
      <c r="C102" t="s">
        <v>362</v>
      </c>
      <c r="D102" s="11">
        <v>9.5</v>
      </c>
      <c r="E102" s="2" t="s">
        <v>51</v>
      </c>
      <c r="F102" s="2" t="s">
        <v>34</v>
      </c>
      <c r="G102">
        <f t="shared" si="7"/>
        <v>0</v>
      </c>
      <c r="H102">
        <f t="shared" si="8"/>
        <v>1</v>
      </c>
      <c r="I102">
        <f t="shared" si="9"/>
        <v>0</v>
      </c>
      <c r="J102">
        <f t="shared" si="10"/>
        <v>0</v>
      </c>
      <c r="K102">
        <f t="shared" si="11"/>
        <v>1</v>
      </c>
      <c r="L102">
        <f t="shared" si="12"/>
        <v>0</v>
      </c>
      <c r="M102">
        <f t="shared" si="13"/>
        <v>0</v>
      </c>
      <c r="O102" s="41"/>
      <c r="P102" s="41"/>
      <c r="Q102" s="41"/>
    </row>
    <row r="103" spans="3:17">
      <c r="C103" t="s">
        <v>365</v>
      </c>
      <c r="D103" s="11">
        <v>7.4750000000000005</v>
      </c>
      <c r="E103" s="2" t="s">
        <v>43</v>
      </c>
      <c r="F103" s="2" t="s">
        <v>117</v>
      </c>
      <c r="G103">
        <f t="shared" si="7"/>
        <v>0</v>
      </c>
      <c r="H103">
        <f t="shared" si="8"/>
        <v>0</v>
      </c>
      <c r="I103">
        <f t="shared" si="9"/>
        <v>1</v>
      </c>
      <c r="J103">
        <f t="shared" si="10"/>
        <v>0</v>
      </c>
      <c r="K103">
        <f t="shared" si="11"/>
        <v>0</v>
      </c>
      <c r="L103">
        <f t="shared" si="12"/>
        <v>0</v>
      </c>
      <c r="M103">
        <f t="shared" si="13"/>
        <v>0</v>
      </c>
      <c r="O103" s="41"/>
      <c r="P103" s="41"/>
      <c r="Q103" s="41"/>
    </row>
    <row r="104" spans="3:17">
      <c r="C104" t="s">
        <v>369</v>
      </c>
      <c r="D104" s="11">
        <v>9.1875</v>
      </c>
      <c r="E104" s="2" t="s">
        <v>43</v>
      </c>
      <c r="F104" s="2" t="s">
        <v>117</v>
      </c>
      <c r="G104">
        <f t="shared" si="7"/>
        <v>0</v>
      </c>
      <c r="H104">
        <f t="shared" si="8"/>
        <v>0</v>
      </c>
      <c r="I104">
        <f t="shared" si="9"/>
        <v>1</v>
      </c>
      <c r="J104">
        <f t="shared" si="10"/>
        <v>0</v>
      </c>
      <c r="K104">
        <f t="shared" si="11"/>
        <v>0</v>
      </c>
      <c r="L104">
        <f t="shared" si="12"/>
        <v>0</v>
      </c>
      <c r="M104">
        <f t="shared" si="13"/>
        <v>0</v>
      </c>
      <c r="O104" s="41"/>
      <c r="P104" s="41"/>
      <c r="Q104" s="41"/>
    </row>
    <row r="105" spans="3:17">
      <c r="C105" t="s">
        <v>372</v>
      </c>
      <c r="D105" s="11">
        <v>8.7575000000000003</v>
      </c>
      <c r="E105" s="2" t="s">
        <v>43</v>
      </c>
      <c r="F105" s="2" t="s">
        <v>34</v>
      </c>
      <c r="G105">
        <f t="shared" si="7"/>
        <v>0</v>
      </c>
      <c r="H105">
        <f t="shared" si="8"/>
        <v>1</v>
      </c>
      <c r="I105">
        <f t="shared" si="9"/>
        <v>0</v>
      </c>
      <c r="J105">
        <f t="shared" si="10"/>
        <v>0</v>
      </c>
      <c r="K105">
        <f t="shared" si="11"/>
        <v>0</v>
      </c>
      <c r="L105">
        <f t="shared" si="12"/>
        <v>0</v>
      </c>
      <c r="M105">
        <f t="shared" si="13"/>
        <v>0</v>
      </c>
      <c r="O105" s="41"/>
      <c r="P105" s="41"/>
      <c r="Q105" s="41"/>
    </row>
    <row r="106" spans="3:17">
      <c r="C106" t="s">
        <v>375</v>
      </c>
      <c r="D106" s="11">
        <v>8.24</v>
      </c>
      <c r="E106" s="2" t="s">
        <v>51</v>
      </c>
      <c r="F106" s="2" t="s">
        <v>66</v>
      </c>
      <c r="G106">
        <f t="shared" si="7"/>
        <v>1</v>
      </c>
      <c r="H106">
        <f t="shared" si="8"/>
        <v>0</v>
      </c>
      <c r="I106">
        <f t="shared" si="9"/>
        <v>0</v>
      </c>
      <c r="J106">
        <f t="shared" si="10"/>
        <v>0</v>
      </c>
      <c r="K106">
        <f t="shared" si="11"/>
        <v>1</v>
      </c>
      <c r="L106">
        <f t="shared" si="12"/>
        <v>0</v>
      </c>
      <c r="M106">
        <f t="shared" si="13"/>
        <v>0</v>
      </c>
      <c r="O106" s="41"/>
      <c r="P106" s="41"/>
      <c r="Q106" s="41"/>
    </row>
    <row r="107" spans="3:17">
      <c r="C107" t="s">
        <v>378</v>
      </c>
      <c r="D107" s="11">
        <v>9.2950000000000017</v>
      </c>
      <c r="E107" s="2" t="s">
        <v>36</v>
      </c>
      <c r="F107" s="2" t="s">
        <v>66</v>
      </c>
      <c r="G107">
        <f t="shared" si="7"/>
        <v>1</v>
      </c>
      <c r="H107">
        <f t="shared" si="8"/>
        <v>0</v>
      </c>
      <c r="I107">
        <f t="shared" si="9"/>
        <v>0</v>
      </c>
      <c r="J107">
        <f t="shared" si="10"/>
        <v>0</v>
      </c>
      <c r="K107">
        <f t="shared" si="11"/>
        <v>0</v>
      </c>
      <c r="L107">
        <f t="shared" si="12"/>
        <v>0</v>
      </c>
      <c r="M107">
        <f t="shared" si="13"/>
        <v>1</v>
      </c>
      <c r="O107" s="41"/>
      <c r="P107" s="41"/>
      <c r="Q107" s="41"/>
    </row>
    <row r="108" spans="3:17">
      <c r="C108" t="s">
        <v>381</v>
      </c>
      <c r="D108" s="11">
        <v>7.75</v>
      </c>
      <c r="E108" s="2" t="s">
        <v>61</v>
      </c>
      <c r="F108" s="2" t="s">
        <v>66</v>
      </c>
      <c r="G108">
        <f t="shared" si="7"/>
        <v>1</v>
      </c>
      <c r="H108">
        <f t="shared" si="8"/>
        <v>0</v>
      </c>
      <c r="I108">
        <f t="shared" si="9"/>
        <v>0</v>
      </c>
      <c r="J108">
        <f t="shared" si="10"/>
        <v>0</v>
      </c>
      <c r="K108">
        <f t="shared" si="11"/>
        <v>0</v>
      </c>
      <c r="L108">
        <f t="shared" si="12"/>
        <v>1</v>
      </c>
      <c r="M108">
        <f t="shared" si="13"/>
        <v>0</v>
      </c>
      <c r="O108" s="41"/>
      <c r="P108" s="41"/>
      <c r="Q108" s="41"/>
    </row>
    <row r="109" spans="3:17">
      <c r="C109" t="s">
        <v>384</v>
      </c>
      <c r="D109" s="11">
        <v>8.3535000000000004</v>
      </c>
      <c r="E109" s="2" t="s">
        <v>43</v>
      </c>
      <c r="F109" s="2" t="s">
        <v>117</v>
      </c>
      <c r="G109">
        <f t="shared" si="7"/>
        <v>0</v>
      </c>
      <c r="H109">
        <f t="shared" si="8"/>
        <v>0</v>
      </c>
      <c r="I109">
        <f t="shared" si="9"/>
        <v>1</v>
      </c>
      <c r="J109">
        <f t="shared" si="10"/>
        <v>0</v>
      </c>
      <c r="K109">
        <f t="shared" si="11"/>
        <v>0</v>
      </c>
      <c r="L109">
        <f t="shared" si="12"/>
        <v>0</v>
      </c>
      <c r="M109">
        <f t="shared" si="13"/>
        <v>0</v>
      </c>
      <c r="O109" s="41"/>
      <c r="P109" s="41"/>
      <c r="Q109" s="41"/>
    </row>
    <row r="110" spans="3:17">
      <c r="C110" t="s">
        <v>387</v>
      </c>
      <c r="D110" s="11">
        <v>8.10975</v>
      </c>
      <c r="E110" s="2" t="s">
        <v>51</v>
      </c>
      <c r="F110" s="2" t="s">
        <v>117</v>
      </c>
      <c r="G110">
        <f t="shared" si="7"/>
        <v>0</v>
      </c>
      <c r="H110">
        <f t="shared" si="8"/>
        <v>0</v>
      </c>
      <c r="I110">
        <f t="shared" si="9"/>
        <v>1</v>
      </c>
      <c r="J110">
        <f t="shared" si="10"/>
        <v>0</v>
      </c>
      <c r="K110">
        <f t="shared" si="11"/>
        <v>1</v>
      </c>
      <c r="L110">
        <f t="shared" si="12"/>
        <v>0</v>
      </c>
      <c r="M110">
        <f t="shared" si="13"/>
        <v>0</v>
      </c>
      <c r="O110" s="41"/>
      <c r="P110" s="41"/>
      <c r="Q110" s="41"/>
    </row>
    <row r="111" spans="3:17">
      <c r="C111" t="s">
        <v>389</v>
      </c>
      <c r="D111" s="11">
        <v>7.05</v>
      </c>
      <c r="E111" s="2" t="s">
        <v>43</v>
      </c>
      <c r="F111" s="2" t="s">
        <v>66</v>
      </c>
      <c r="G111">
        <f t="shared" si="7"/>
        <v>1</v>
      </c>
      <c r="H111">
        <f t="shared" si="8"/>
        <v>0</v>
      </c>
      <c r="I111">
        <f t="shared" si="9"/>
        <v>0</v>
      </c>
      <c r="J111">
        <f t="shared" si="10"/>
        <v>0</v>
      </c>
      <c r="K111">
        <f t="shared" si="11"/>
        <v>0</v>
      </c>
      <c r="L111">
        <f t="shared" si="12"/>
        <v>0</v>
      </c>
      <c r="M111">
        <f t="shared" si="13"/>
        <v>0</v>
      </c>
      <c r="O111" s="41"/>
      <c r="P111" s="41"/>
      <c r="Q111" s="41"/>
    </row>
    <row r="112" spans="3:17">
      <c r="C112" t="s">
        <v>392</v>
      </c>
      <c r="D112" s="11">
        <v>7.4057500000000003</v>
      </c>
      <c r="E112" s="2" t="s">
        <v>43</v>
      </c>
      <c r="F112" s="2" t="s">
        <v>34</v>
      </c>
      <c r="G112">
        <f t="shared" si="7"/>
        <v>0</v>
      </c>
      <c r="H112">
        <f t="shared" si="8"/>
        <v>1</v>
      </c>
      <c r="I112">
        <f t="shared" si="9"/>
        <v>0</v>
      </c>
      <c r="J112">
        <f t="shared" si="10"/>
        <v>0</v>
      </c>
      <c r="K112">
        <f t="shared" si="11"/>
        <v>0</v>
      </c>
      <c r="L112">
        <f t="shared" si="12"/>
        <v>0</v>
      </c>
      <c r="M112">
        <f t="shared" si="13"/>
        <v>0</v>
      </c>
      <c r="O112" s="41"/>
      <c r="P112" s="41"/>
      <c r="Q112" s="41"/>
    </row>
    <row r="113" spans="3:17">
      <c r="C113" t="s">
        <v>394</v>
      </c>
      <c r="D113" s="11">
        <v>7.3612500000000001</v>
      </c>
      <c r="E113" s="2" t="s">
        <v>43</v>
      </c>
      <c r="F113" s="2" t="s">
        <v>34</v>
      </c>
      <c r="G113">
        <f t="shared" si="7"/>
        <v>0</v>
      </c>
      <c r="H113">
        <f t="shared" si="8"/>
        <v>1</v>
      </c>
      <c r="I113">
        <f t="shared" si="9"/>
        <v>0</v>
      </c>
      <c r="J113">
        <f t="shared" si="10"/>
        <v>0</v>
      </c>
      <c r="K113">
        <f t="shared" si="11"/>
        <v>0</v>
      </c>
      <c r="L113">
        <f t="shared" si="12"/>
        <v>0</v>
      </c>
      <c r="M113">
        <f t="shared" si="13"/>
        <v>0</v>
      </c>
      <c r="O113" s="41"/>
      <c r="P113" s="41"/>
      <c r="Q113" s="41"/>
    </row>
    <row r="114" spans="3:17">
      <c r="C114" t="s">
        <v>396</v>
      </c>
      <c r="D114" s="11">
        <v>6.8</v>
      </c>
      <c r="E114" s="2" t="s">
        <v>43</v>
      </c>
      <c r="F114" s="2" t="s">
        <v>66</v>
      </c>
      <c r="G114">
        <f t="shared" si="7"/>
        <v>1</v>
      </c>
      <c r="H114">
        <f t="shared" si="8"/>
        <v>0</v>
      </c>
      <c r="I114">
        <f t="shared" si="9"/>
        <v>0</v>
      </c>
      <c r="J114">
        <f t="shared" si="10"/>
        <v>0</v>
      </c>
      <c r="K114">
        <f t="shared" si="11"/>
        <v>0</v>
      </c>
      <c r="L114">
        <f t="shared" si="12"/>
        <v>0</v>
      </c>
      <c r="M114">
        <f t="shared" si="13"/>
        <v>0</v>
      </c>
      <c r="O114" s="41"/>
      <c r="P114" s="41"/>
      <c r="Q114" s="41"/>
    </row>
    <row r="115" spans="3:17">
      <c r="C115" t="s">
        <v>398</v>
      </c>
      <c r="D115" s="11">
        <v>7.4750000000000005</v>
      </c>
      <c r="E115" s="2" t="s">
        <v>43</v>
      </c>
      <c r="F115" s="2" t="s">
        <v>66</v>
      </c>
      <c r="G115">
        <f t="shared" si="7"/>
        <v>1</v>
      </c>
      <c r="H115">
        <f t="shared" si="8"/>
        <v>0</v>
      </c>
      <c r="I115">
        <f t="shared" si="9"/>
        <v>0</v>
      </c>
      <c r="J115">
        <f t="shared" si="10"/>
        <v>0</v>
      </c>
      <c r="K115">
        <f t="shared" si="11"/>
        <v>0</v>
      </c>
      <c r="L115">
        <f t="shared" si="12"/>
        <v>0</v>
      </c>
      <c r="M115">
        <f t="shared" si="13"/>
        <v>0</v>
      </c>
      <c r="O115" s="41"/>
      <c r="P115" s="41"/>
      <c r="Q115" s="41"/>
    </row>
    <row r="116" spans="3:17">
      <c r="C116" t="s">
        <v>400</v>
      </c>
      <c r="D116" s="11">
        <v>7.1282499999999995</v>
      </c>
      <c r="E116" s="2" t="s">
        <v>43</v>
      </c>
      <c r="F116" s="2" t="s">
        <v>66</v>
      </c>
      <c r="G116">
        <f t="shared" si="7"/>
        <v>1</v>
      </c>
      <c r="H116">
        <f t="shared" si="8"/>
        <v>0</v>
      </c>
      <c r="I116">
        <f t="shared" si="9"/>
        <v>0</v>
      </c>
      <c r="J116">
        <f t="shared" si="10"/>
        <v>0</v>
      </c>
      <c r="K116">
        <f t="shared" si="11"/>
        <v>0</v>
      </c>
      <c r="L116">
        <f t="shared" si="12"/>
        <v>0</v>
      </c>
      <c r="M116">
        <f t="shared" si="13"/>
        <v>0</v>
      </c>
      <c r="O116" s="41"/>
      <c r="P116" s="41"/>
      <c r="Q116" s="41"/>
    </row>
    <row r="117" spans="3:17">
      <c r="C117" t="s">
        <v>403</v>
      </c>
      <c r="D117" s="11">
        <v>7.1582499999999998</v>
      </c>
      <c r="E117" s="2" t="s">
        <v>51</v>
      </c>
      <c r="F117" s="2" t="s">
        <v>34</v>
      </c>
      <c r="G117">
        <f t="shared" si="7"/>
        <v>0</v>
      </c>
      <c r="H117">
        <f t="shared" si="8"/>
        <v>1</v>
      </c>
      <c r="I117">
        <f t="shared" si="9"/>
        <v>0</v>
      </c>
      <c r="J117">
        <f t="shared" si="10"/>
        <v>0</v>
      </c>
      <c r="K117">
        <f t="shared" si="11"/>
        <v>1</v>
      </c>
      <c r="L117">
        <f t="shared" si="12"/>
        <v>0</v>
      </c>
      <c r="M117">
        <f t="shared" si="13"/>
        <v>0</v>
      </c>
      <c r="O117" s="41"/>
      <c r="P117" s="41"/>
      <c r="Q117" s="41"/>
    </row>
    <row r="118" spans="3:17">
      <c r="C118" t="s">
        <v>406</v>
      </c>
      <c r="D118" s="11">
        <v>6.8250000000000002</v>
      </c>
      <c r="E118" s="2" t="s">
        <v>43</v>
      </c>
      <c r="F118" s="2" t="s">
        <v>34</v>
      </c>
      <c r="G118">
        <f t="shared" si="7"/>
        <v>0</v>
      </c>
      <c r="H118">
        <f t="shared" si="8"/>
        <v>1</v>
      </c>
      <c r="I118">
        <f t="shared" si="9"/>
        <v>0</v>
      </c>
      <c r="J118">
        <f t="shared" si="10"/>
        <v>0</v>
      </c>
      <c r="K118">
        <f t="shared" si="11"/>
        <v>0</v>
      </c>
      <c r="L118">
        <f t="shared" si="12"/>
        <v>0</v>
      </c>
      <c r="M118">
        <f t="shared" si="13"/>
        <v>0</v>
      </c>
      <c r="O118" s="41"/>
      <c r="P118" s="41"/>
      <c r="Q118" s="41"/>
    </row>
    <row r="119" spans="3:17">
      <c r="C119" t="s">
        <v>408</v>
      </c>
      <c r="D119" s="11">
        <v>7.4325000000000001</v>
      </c>
      <c r="E119" s="2" t="s">
        <v>43</v>
      </c>
      <c r="F119" s="2" t="s">
        <v>34</v>
      </c>
      <c r="G119">
        <f t="shared" si="7"/>
        <v>0</v>
      </c>
      <c r="H119">
        <f t="shared" si="8"/>
        <v>1</v>
      </c>
      <c r="I119">
        <f t="shared" si="9"/>
        <v>0</v>
      </c>
      <c r="J119">
        <f t="shared" si="10"/>
        <v>0</v>
      </c>
      <c r="K119">
        <f t="shared" si="11"/>
        <v>0</v>
      </c>
      <c r="L119">
        <f t="shared" si="12"/>
        <v>0</v>
      </c>
      <c r="M119">
        <f t="shared" si="13"/>
        <v>0</v>
      </c>
      <c r="O119" s="41"/>
      <c r="P119" s="41"/>
      <c r="Q119" s="41"/>
    </row>
    <row r="120" spans="3:17">
      <c r="C120" t="s">
        <v>410</v>
      </c>
      <c r="D120" s="11">
        <v>6.2249999999999996</v>
      </c>
      <c r="E120" s="2" t="s">
        <v>43</v>
      </c>
      <c r="F120" s="2" t="s">
        <v>66</v>
      </c>
      <c r="G120">
        <f t="shared" si="7"/>
        <v>1</v>
      </c>
      <c r="H120">
        <f t="shared" si="8"/>
        <v>0</v>
      </c>
      <c r="I120">
        <f t="shared" si="9"/>
        <v>0</v>
      </c>
      <c r="J120">
        <f t="shared" si="10"/>
        <v>0</v>
      </c>
      <c r="K120">
        <f t="shared" si="11"/>
        <v>0</v>
      </c>
      <c r="L120">
        <f t="shared" si="12"/>
        <v>0</v>
      </c>
      <c r="M120">
        <f t="shared" si="13"/>
        <v>0</v>
      </c>
      <c r="O120" s="41"/>
      <c r="P120" s="41"/>
      <c r="Q120" s="41"/>
    </row>
    <row r="121" spans="3:17">
      <c r="C121" t="s">
        <v>412</v>
      </c>
      <c r="D121" s="11">
        <v>6.5250000000000004</v>
      </c>
      <c r="E121" s="2" t="s">
        <v>43</v>
      </c>
      <c r="F121" s="2" t="s">
        <v>34</v>
      </c>
      <c r="G121">
        <f t="shared" si="7"/>
        <v>0</v>
      </c>
      <c r="H121">
        <f t="shared" si="8"/>
        <v>1</v>
      </c>
      <c r="I121">
        <f t="shared" si="9"/>
        <v>0</v>
      </c>
      <c r="J121">
        <f t="shared" si="10"/>
        <v>0</v>
      </c>
      <c r="K121">
        <f t="shared" si="11"/>
        <v>0</v>
      </c>
      <c r="L121">
        <f t="shared" si="12"/>
        <v>0</v>
      </c>
      <c r="M121">
        <f t="shared" si="13"/>
        <v>0</v>
      </c>
      <c r="O121" s="41"/>
      <c r="P121" s="41"/>
      <c r="Q121" s="41"/>
    </row>
    <row r="122" spans="3:17">
      <c r="C122" t="s">
        <v>414</v>
      </c>
      <c r="D122" s="11">
        <v>7.05</v>
      </c>
      <c r="E122" s="2" t="s">
        <v>43</v>
      </c>
      <c r="F122" s="2" t="s">
        <v>66</v>
      </c>
      <c r="G122">
        <f t="shared" si="7"/>
        <v>1</v>
      </c>
      <c r="H122">
        <f t="shared" si="8"/>
        <v>0</v>
      </c>
      <c r="I122">
        <f t="shared" ref="I122" si="14">IF(F122="5-8 hours",1,0)</f>
        <v>0</v>
      </c>
      <c r="J122">
        <f t="shared" ref="J122" si="15">IF(F122="8-11 hours",1,0)</f>
        <v>0</v>
      </c>
      <c r="K122">
        <f t="shared" ref="K122" si="16">IF(E122="Less than 10 hours",1,0)</f>
        <v>0</v>
      </c>
      <c r="L122">
        <f t="shared" ref="L122" si="17">IF(E122="Above 10 hours - Upto 30 hours",1,0)</f>
        <v>0</v>
      </c>
      <c r="M122">
        <f t="shared" ref="M122" si="18">IF(E122="Above 30 hours - Upto 50 hours",1,0)</f>
        <v>0</v>
      </c>
      <c r="O122" s="41"/>
      <c r="P122" s="41"/>
      <c r="Q122" s="41"/>
    </row>
    <row r="123" spans="3:17">
      <c r="O123" s="41"/>
      <c r="P123" s="41"/>
      <c r="Q123" s="41"/>
    </row>
    <row r="124" spans="3:17">
      <c r="O124" s="41"/>
      <c r="P124" s="41"/>
      <c r="Q124" s="41"/>
    </row>
    <row r="125" spans="3:17">
      <c r="O125" s="41"/>
      <c r="P125" s="41"/>
      <c r="Q125" s="41"/>
    </row>
    <row r="126" spans="3:17">
      <c r="O126" s="41"/>
      <c r="P126" s="41"/>
      <c r="Q126" s="41"/>
    </row>
    <row r="127" spans="3:17">
      <c r="O127" s="41"/>
      <c r="P127" s="41"/>
      <c r="Q127" s="41"/>
    </row>
    <row r="128" spans="3:17">
      <c r="O128" s="41"/>
      <c r="P128" s="41"/>
      <c r="Q128" s="41"/>
    </row>
    <row r="129" spans="15:17">
      <c r="O129" s="41"/>
      <c r="P129" s="41"/>
      <c r="Q129" s="41"/>
    </row>
    <row r="130" spans="15:17">
      <c r="O130" s="41"/>
      <c r="P130" s="41"/>
      <c r="Q130" s="41"/>
    </row>
    <row r="131" spans="15:17">
      <c r="O131" s="41"/>
      <c r="P131" s="41"/>
      <c r="Q131" s="41"/>
    </row>
    <row r="132" spans="15:17">
      <c r="O132" s="41"/>
      <c r="P132" s="41"/>
      <c r="Q132" s="41"/>
    </row>
    <row r="133" spans="15:17">
      <c r="O133" s="41"/>
      <c r="P133" s="41"/>
      <c r="Q133" s="41"/>
    </row>
    <row r="134" spans="15:17">
      <c r="O134" s="41"/>
      <c r="P134" s="41"/>
      <c r="Q134" s="41"/>
    </row>
    <row r="135" spans="15:17">
      <c r="O135" s="41"/>
      <c r="P135" s="41"/>
      <c r="Q135" s="41"/>
    </row>
    <row r="136" spans="15:17">
      <c r="O136" s="41"/>
      <c r="P136" s="41"/>
      <c r="Q136" s="41"/>
    </row>
    <row r="137" spans="15:17">
      <c r="O137" s="41"/>
      <c r="P137" s="41"/>
      <c r="Q137" s="41"/>
    </row>
    <row r="138" spans="15:17">
      <c r="O138" s="41"/>
      <c r="P138" s="41"/>
      <c r="Q138" s="41"/>
    </row>
    <row r="139" spans="15:17">
      <c r="O139" s="41"/>
      <c r="P139" s="41"/>
      <c r="Q139" s="41"/>
    </row>
    <row r="140" spans="15:17">
      <c r="O140" s="41"/>
      <c r="P140" s="41"/>
      <c r="Q140" s="41"/>
    </row>
    <row r="141" spans="15:17">
      <c r="O141" s="41"/>
      <c r="P141" s="41"/>
      <c r="Q141" s="41"/>
    </row>
    <row r="142" spans="15:17">
      <c r="O142" s="41"/>
      <c r="P142" s="41"/>
      <c r="Q142" s="41"/>
    </row>
    <row r="143" spans="15:17">
      <c r="O143" s="41"/>
      <c r="P143" s="41"/>
      <c r="Q143" s="41"/>
    </row>
    <row r="144" spans="15:17">
      <c r="O144" s="41"/>
      <c r="P144" s="41"/>
      <c r="Q144" s="41"/>
    </row>
    <row r="145" spans="15:17">
      <c r="O145" s="41"/>
      <c r="P145" s="41"/>
      <c r="Q145" s="41"/>
    </row>
    <row r="146" spans="15:17">
      <c r="O146" s="41"/>
      <c r="P146" s="41"/>
      <c r="Q146" s="41"/>
    </row>
    <row r="147" spans="15:17">
      <c r="O147" s="41"/>
      <c r="P147" s="41"/>
      <c r="Q147" s="41"/>
    </row>
    <row r="148" spans="15:17">
      <c r="O148" s="41"/>
      <c r="P148" s="41"/>
      <c r="Q148" s="41"/>
    </row>
    <row r="149" spans="15:17">
      <c r="O149" s="41"/>
      <c r="P149" s="41"/>
      <c r="Q149" s="41"/>
    </row>
    <row r="150" spans="15:17">
      <c r="O150" s="41"/>
      <c r="P150" s="41"/>
      <c r="Q150" s="41"/>
    </row>
    <row r="151" spans="15:17">
      <c r="O151" s="41"/>
      <c r="P151" s="41"/>
      <c r="Q151" s="41"/>
    </row>
    <row r="152" spans="15:17" ht="15.75" thickBot="1">
      <c r="O152" s="42"/>
      <c r="P152" s="42"/>
      <c r="Q152" s="42"/>
    </row>
  </sheetData>
  <mergeCells count="2">
    <mergeCell ref="G1:J1"/>
    <mergeCell ref="K1:M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I150"/>
  <sheetViews>
    <sheetView topLeftCell="A2" workbookViewId="0">
      <selection activeCell="A17" sqref="A17"/>
    </sheetView>
  </sheetViews>
  <sheetFormatPr defaultRowHeight="15"/>
  <cols>
    <col min="1" max="1" width="18" bestFit="1" customWidth="1"/>
    <col min="2" max="2" width="19.42578125" bestFit="1" customWidth="1"/>
  </cols>
  <sheetData>
    <row r="1" spans="1:9">
      <c r="A1" t="s">
        <v>510</v>
      </c>
    </row>
    <row r="2" spans="1:9" ht="15.75" thickBot="1"/>
    <row r="3" spans="1:9">
      <c r="A3" s="44" t="s">
        <v>511</v>
      </c>
      <c r="B3" s="44"/>
    </row>
    <row r="4" spans="1:9">
      <c r="A4" s="41" t="s">
        <v>512</v>
      </c>
      <c r="B4" s="41">
        <v>0.38917032939997598</v>
      </c>
    </row>
    <row r="5" spans="1:9">
      <c r="A5" s="41" t="s">
        <v>513</v>
      </c>
      <c r="B5" s="41">
        <v>0.15145354528528582</v>
      </c>
    </row>
    <row r="6" spans="1:9">
      <c r="A6" s="41" t="s">
        <v>514</v>
      </c>
      <c r="B6" s="41">
        <v>9.8419391865616185E-2</v>
      </c>
    </row>
    <row r="7" spans="1:9">
      <c r="A7" s="41" t="s">
        <v>515</v>
      </c>
      <c r="B7" s="41">
        <v>0.86775325396543679</v>
      </c>
    </row>
    <row r="8" spans="1:9" ht="15.75" thickBot="1">
      <c r="A8" s="42" t="s">
        <v>516</v>
      </c>
      <c r="B8" s="42">
        <v>120</v>
      </c>
    </row>
    <row r="10" spans="1:9" ht="15.75" thickBot="1">
      <c r="A10" t="s">
        <v>517</v>
      </c>
    </row>
    <row r="11" spans="1:9">
      <c r="A11" s="43"/>
      <c r="B11" s="43" t="s">
        <v>521</v>
      </c>
      <c r="C11" s="43" t="s">
        <v>479</v>
      </c>
      <c r="D11" s="43" t="s">
        <v>480</v>
      </c>
      <c r="E11" s="43" t="s">
        <v>522</v>
      </c>
      <c r="F11" s="43" t="s">
        <v>523</v>
      </c>
    </row>
    <row r="12" spans="1:9">
      <c r="A12" s="41" t="s">
        <v>518</v>
      </c>
      <c r="B12" s="41">
        <v>7</v>
      </c>
      <c r="C12" s="41">
        <v>15.052697881028394</v>
      </c>
      <c r="D12" s="41">
        <v>2.1503854115754848</v>
      </c>
      <c r="E12" s="41">
        <v>2.8557737895202031</v>
      </c>
      <c r="F12" s="41">
        <v>8.850719264213611E-3</v>
      </c>
    </row>
    <row r="13" spans="1:9">
      <c r="A13" s="41" t="s">
        <v>519</v>
      </c>
      <c r="B13" s="41">
        <v>112</v>
      </c>
      <c r="C13" s="41">
        <v>84.335519493971617</v>
      </c>
      <c r="D13" s="41">
        <v>0.75299570976760377</v>
      </c>
      <c r="E13" s="41"/>
      <c r="F13" s="41"/>
    </row>
    <row r="14" spans="1:9" ht="15.75" thickBot="1">
      <c r="A14" s="42" t="s">
        <v>483</v>
      </c>
      <c r="B14" s="42">
        <v>119</v>
      </c>
      <c r="C14" s="42">
        <v>99.388217375000011</v>
      </c>
      <c r="D14" s="42"/>
      <c r="E14" s="42"/>
      <c r="F14" s="42"/>
    </row>
    <row r="15" spans="1:9" ht="15.75" thickBot="1"/>
    <row r="16" spans="1:9">
      <c r="A16" s="43"/>
      <c r="B16" s="43" t="s">
        <v>524</v>
      </c>
      <c r="C16" s="43" t="s">
        <v>515</v>
      </c>
      <c r="D16" s="43" t="s">
        <v>525</v>
      </c>
      <c r="E16" s="43" t="s">
        <v>526</v>
      </c>
      <c r="F16" s="43" t="s">
        <v>527</v>
      </c>
      <c r="G16" s="43" t="s">
        <v>528</v>
      </c>
      <c r="H16" s="43" t="s">
        <v>529</v>
      </c>
      <c r="I16" s="43" t="s">
        <v>530</v>
      </c>
    </row>
    <row r="17" spans="1:9">
      <c r="A17" s="41" t="s">
        <v>520</v>
      </c>
      <c r="B17" s="41">
        <v>8.3360477024888038</v>
      </c>
      <c r="C17" s="41">
        <v>0.619728208283711</v>
      </c>
      <c r="D17" s="41">
        <v>13.451134854059392</v>
      </c>
      <c r="E17" s="41">
        <v>3.9431326352191859E-25</v>
      </c>
      <c r="F17" s="41">
        <v>7.1081357364013833</v>
      </c>
      <c r="G17" s="41">
        <v>9.5639596685762243</v>
      </c>
      <c r="H17" s="41">
        <v>7.1081357364013833</v>
      </c>
      <c r="I17" s="41">
        <v>9.5639596685762243</v>
      </c>
    </row>
    <row r="18" spans="1:9">
      <c r="A18" s="41" t="s">
        <v>500</v>
      </c>
      <c r="B18" s="41">
        <v>-0.89480846345467691</v>
      </c>
      <c r="C18" s="41">
        <v>0.63691411193416703</v>
      </c>
      <c r="D18" s="41">
        <v>-1.4049122898805646</v>
      </c>
      <c r="E18" s="41">
        <v>0.16281486109773213</v>
      </c>
      <c r="F18" s="41">
        <v>-2.1567720935753725</v>
      </c>
      <c r="G18" s="41">
        <v>0.36715516666601888</v>
      </c>
      <c r="H18" s="41">
        <v>-2.1567720935753725</v>
      </c>
      <c r="I18" s="41">
        <v>0.36715516666601888</v>
      </c>
    </row>
    <row r="19" spans="1:9">
      <c r="A19" s="41" t="s">
        <v>501</v>
      </c>
      <c r="B19" s="41">
        <v>-0.8511031445122168</v>
      </c>
      <c r="C19" s="41">
        <v>0.62458018635053814</v>
      </c>
      <c r="D19" s="41">
        <v>-1.3626803461141903</v>
      </c>
      <c r="E19" s="41">
        <v>0.1757169917382172</v>
      </c>
      <c r="F19" s="41">
        <v>-2.0886286828847371</v>
      </c>
      <c r="G19" s="41">
        <v>0.38642239386030358</v>
      </c>
      <c r="H19" s="41">
        <v>-2.0886286828847371</v>
      </c>
      <c r="I19" s="41">
        <v>0.38642239386030358</v>
      </c>
    </row>
    <row r="20" spans="1:9">
      <c r="A20" s="41" t="s">
        <v>502</v>
      </c>
      <c r="B20" s="41">
        <v>-0.48490485824990742</v>
      </c>
      <c r="C20" s="41">
        <v>0.6373329819515654</v>
      </c>
      <c r="D20" s="41">
        <v>-0.76083440208145092</v>
      </c>
      <c r="E20" s="41">
        <v>0.44835484602994757</v>
      </c>
      <c r="F20" s="41">
        <v>-1.7476984255910231</v>
      </c>
      <c r="G20" s="41">
        <v>0.77788870909120811</v>
      </c>
      <c r="H20" s="41">
        <v>-1.7476984255910231</v>
      </c>
      <c r="I20" s="41">
        <v>0.77788870909120811</v>
      </c>
    </row>
    <row r="21" spans="1:9">
      <c r="A21" s="41" t="s">
        <v>503</v>
      </c>
      <c r="B21" s="41">
        <v>-0.30411614754270117</v>
      </c>
      <c r="C21" s="41">
        <v>0.73532092403491989</v>
      </c>
      <c r="D21" s="41">
        <v>-0.41358288279616384</v>
      </c>
      <c r="E21" s="41">
        <v>0.67997046101298797</v>
      </c>
      <c r="F21" s="41">
        <v>-1.7610602554081065</v>
      </c>
      <c r="G21" s="41">
        <v>1.1528279603227041</v>
      </c>
      <c r="H21" s="41">
        <v>-1.7610602554081065</v>
      </c>
      <c r="I21" s="41">
        <v>1.1528279603227041</v>
      </c>
    </row>
    <row r="22" spans="1:9">
      <c r="A22" s="41" t="s">
        <v>507</v>
      </c>
      <c r="B22" s="41">
        <v>0.4429045950224017</v>
      </c>
      <c r="C22" s="41">
        <v>0.17395628483888514</v>
      </c>
      <c r="D22" s="41">
        <v>2.546068372479966</v>
      </c>
      <c r="E22" s="41">
        <v>1.2253159331461955E-2</v>
      </c>
      <c r="F22" s="41">
        <v>9.8232526082154964E-2</v>
      </c>
      <c r="G22" s="41">
        <v>0.78757666396264847</v>
      </c>
      <c r="H22" s="41">
        <v>9.8232526082154964E-2</v>
      </c>
      <c r="I22" s="41">
        <v>0.78757666396264847</v>
      </c>
    </row>
    <row r="23" spans="1:9">
      <c r="A23" s="41" t="s">
        <v>508</v>
      </c>
      <c r="B23" s="41">
        <v>0.18871881512354435</v>
      </c>
      <c r="C23" s="41">
        <v>0.29006310453579104</v>
      </c>
      <c r="D23" s="41">
        <v>0.65061296032656313</v>
      </c>
      <c r="E23" s="41">
        <v>0.51662884283932697</v>
      </c>
      <c r="F23" s="41">
        <v>-0.38600402663051214</v>
      </c>
      <c r="G23" s="41">
        <v>0.7634416568776009</v>
      </c>
      <c r="H23" s="41">
        <v>-0.38600402663051214</v>
      </c>
      <c r="I23" s="41">
        <v>0.7634416568776009</v>
      </c>
    </row>
    <row r="24" spans="1:9" ht="15.75" thickBot="1">
      <c r="A24" s="42" t="s">
        <v>509</v>
      </c>
      <c r="B24" s="42">
        <v>1.909408101494646</v>
      </c>
      <c r="C24" s="42">
        <v>0.62564260412805739</v>
      </c>
      <c r="D24" s="42">
        <v>3.0519150852198451</v>
      </c>
      <c r="E24" s="42">
        <v>2.8399867368962398E-3</v>
      </c>
      <c r="F24" s="42">
        <v>0.66977751854845236</v>
      </c>
      <c r="G24" s="42">
        <v>3.1490386844408396</v>
      </c>
      <c r="H24" s="42">
        <v>0.66977751854845236</v>
      </c>
      <c r="I24" s="42">
        <v>3.1490386844408396</v>
      </c>
    </row>
    <row r="28" spans="1:9">
      <c r="A28" t="s">
        <v>531</v>
      </c>
    </row>
    <row r="29" spans="1:9" ht="15.75" thickBot="1"/>
    <row r="30" spans="1:9">
      <c r="A30" s="43" t="s">
        <v>532</v>
      </c>
      <c r="B30" s="43" t="s">
        <v>533</v>
      </c>
      <c r="C30" s="43" t="s">
        <v>534</v>
      </c>
    </row>
    <row r="31" spans="1:9">
      <c r="A31" s="41">
        <v>1</v>
      </c>
      <c r="B31" s="41">
        <v>7.4849445579765872</v>
      </c>
      <c r="C31" s="41">
        <v>-8.4944557976586843E-2</v>
      </c>
    </row>
    <row r="32" spans="1:9">
      <c r="A32" s="41">
        <v>2</v>
      </c>
      <c r="B32" s="41">
        <v>8.474836149968505</v>
      </c>
      <c r="C32" s="41">
        <v>1.0426638500314933</v>
      </c>
    </row>
    <row r="33" spans="1:3">
      <c r="A33" s="41">
        <v>3</v>
      </c>
      <c r="B33" s="41">
        <v>7.4849445579765872</v>
      </c>
      <c r="C33" s="41">
        <v>0.11755544202341284</v>
      </c>
    </row>
    <row r="34" spans="1:3">
      <c r="A34" s="41">
        <v>4</v>
      </c>
      <c r="B34" s="41">
        <v>7.4412392390341271</v>
      </c>
      <c r="C34" s="41">
        <v>0.35376076096587283</v>
      </c>
    </row>
    <row r="35" spans="1:3">
      <c r="A35" s="41">
        <v>5</v>
      </c>
      <c r="B35" s="41">
        <v>7.9278491529989887</v>
      </c>
      <c r="C35" s="41">
        <v>0.64715084700101055</v>
      </c>
    </row>
    <row r="36" spans="1:3">
      <c r="A36" s="41">
        <v>6</v>
      </c>
      <c r="B36" s="41">
        <v>7.9278491529989887</v>
      </c>
      <c r="C36" s="41">
        <v>0.19715084700101126</v>
      </c>
    </row>
    <row r="37" spans="1:3">
      <c r="A37" s="41">
        <v>7</v>
      </c>
      <c r="B37" s="41">
        <v>7.8841438340565286</v>
      </c>
      <c r="C37" s="41">
        <v>0.2858561659434713</v>
      </c>
    </row>
    <row r="38" spans="1:3">
      <c r="A38" s="41">
        <v>8</v>
      </c>
      <c r="B38" s="41">
        <v>7.4849445579765872</v>
      </c>
      <c r="C38" s="41">
        <v>0.56505544202341351</v>
      </c>
    </row>
    <row r="39" spans="1:3">
      <c r="A39" s="41">
        <v>9</v>
      </c>
      <c r="B39" s="41">
        <v>8.0319315549461034</v>
      </c>
      <c r="C39" s="41">
        <v>0.24306844505389691</v>
      </c>
    </row>
    <row r="40" spans="1:3">
      <c r="A40" s="41">
        <v>10</v>
      </c>
      <c r="B40" s="41">
        <v>7.8841438340565286</v>
      </c>
      <c r="C40" s="41">
        <v>1.1908561659434707</v>
      </c>
    </row>
    <row r="41" spans="1:3">
      <c r="A41" s="41">
        <v>11</v>
      </c>
      <c r="B41" s="41">
        <v>7.4849445579765872</v>
      </c>
      <c r="C41" s="41">
        <v>1.6475554420234131</v>
      </c>
    </row>
    <row r="42" spans="1:3">
      <c r="A42" s="41">
        <v>12</v>
      </c>
      <c r="B42" s="41">
        <v>8.7789522975112053</v>
      </c>
      <c r="C42" s="41">
        <v>-1.003952297511205</v>
      </c>
    </row>
    <row r="43" spans="1:3">
      <c r="A43" s="41">
        <v>13</v>
      </c>
      <c r="B43" s="41">
        <v>7.6736633731001316</v>
      </c>
      <c r="C43" s="41">
        <v>0.77633662689986771</v>
      </c>
    </row>
    <row r="44" spans="1:3">
      <c r="A44" s="41">
        <v>14</v>
      </c>
      <c r="B44" s="41">
        <v>7.4412392390341271</v>
      </c>
      <c r="C44" s="41">
        <v>-1.4712392390341273</v>
      </c>
    </row>
    <row r="45" spans="1:3">
      <c r="A45" s="41">
        <v>15</v>
      </c>
      <c r="B45" s="41">
        <v>8.2940474392612984</v>
      </c>
      <c r="C45" s="41">
        <v>-1.2400474392612981</v>
      </c>
    </row>
    <row r="46" spans="1:3">
      <c r="A46" s="41">
        <v>16</v>
      </c>
      <c r="B46" s="41">
        <v>7.9278491529989887</v>
      </c>
      <c r="C46" s="41">
        <v>-1.1528491529989884</v>
      </c>
    </row>
    <row r="47" spans="1:3">
      <c r="A47" s="41">
        <v>17</v>
      </c>
      <c r="B47" s="41">
        <v>7.8841438340565286</v>
      </c>
      <c r="C47" s="41">
        <v>0.11585616594347137</v>
      </c>
    </row>
    <row r="48" spans="1:3">
      <c r="A48" s="41">
        <v>18</v>
      </c>
      <c r="B48" s="41">
        <v>7.4412392390341271</v>
      </c>
      <c r="C48" s="41">
        <v>-7.2989239034126463E-2</v>
      </c>
    </row>
    <row r="49" spans="1:3">
      <c r="A49" s="41">
        <v>19</v>
      </c>
      <c r="B49" s="41">
        <v>8.2940474392612984</v>
      </c>
      <c r="C49" s="41">
        <v>-0.51904743926129893</v>
      </c>
    </row>
    <row r="50" spans="1:3">
      <c r="A50" s="41">
        <v>20</v>
      </c>
      <c r="B50" s="41">
        <v>7.4849445579765872</v>
      </c>
      <c r="C50" s="41">
        <v>-0.23844455797658703</v>
      </c>
    </row>
    <row r="51" spans="1:3">
      <c r="A51" s="41">
        <v>21</v>
      </c>
      <c r="B51" s="41">
        <v>7.851142844238896</v>
      </c>
      <c r="C51" s="41">
        <v>0.24885715576110368</v>
      </c>
    </row>
    <row r="52" spans="1:3">
      <c r="A52" s="41">
        <v>22</v>
      </c>
      <c r="B52" s="41">
        <v>7.4849445579765872</v>
      </c>
      <c r="C52" s="41">
        <v>4.5805442023412191E-2</v>
      </c>
    </row>
    <row r="53" spans="1:3">
      <c r="A53" s="41">
        <v>23</v>
      </c>
      <c r="B53" s="41">
        <v>7.4849445579765872</v>
      </c>
      <c r="C53" s="41">
        <v>0.42755544202341333</v>
      </c>
    </row>
    <row r="54" spans="1:3">
      <c r="A54" s="41">
        <v>24</v>
      </c>
      <c r="B54" s="41">
        <v>8.0398616593624403</v>
      </c>
      <c r="C54" s="41">
        <v>0.54213834063756039</v>
      </c>
    </row>
    <row r="55" spans="1:3">
      <c r="A55" s="41">
        <v>25</v>
      </c>
      <c r="B55" s="41">
        <v>7.9278491529989887</v>
      </c>
      <c r="C55" s="41">
        <v>1.3721508470010102</v>
      </c>
    </row>
    <row r="56" spans="1:3">
      <c r="A56" s="41">
        <v>26</v>
      </c>
      <c r="B56" s="41">
        <v>7.851142844238896</v>
      </c>
      <c r="C56" s="41">
        <v>-6.2392844238895684E-2</v>
      </c>
    </row>
    <row r="57" spans="1:3">
      <c r="A57" s="41">
        <v>27</v>
      </c>
      <c r="B57" s="41">
        <v>7.9278491529989887</v>
      </c>
      <c r="C57" s="41">
        <v>0.15465084700101261</v>
      </c>
    </row>
    <row r="58" spans="1:3">
      <c r="A58" s="41">
        <v>28</v>
      </c>
      <c r="B58" s="41">
        <v>7.9278491529989887</v>
      </c>
      <c r="C58" s="41">
        <v>-0.72784915299898856</v>
      </c>
    </row>
    <row r="59" spans="1:3">
      <c r="A59" s="41">
        <v>29</v>
      </c>
      <c r="B59" s="41">
        <v>8.2940474392612984</v>
      </c>
      <c r="C59" s="41">
        <v>-1.4440474392612979</v>
      </c>
    </row>
    <row r="60" spans="1:3">
      <c r="A60" s="41">
        <v>30</v>
      </c>
      <c r="B60" s="41">
        <v>7.4849445579765872</v>
      </c>
      <c r="C60" s="41">
        <v>-0.2636945579765877</v>
      </c>
    </row>
    <row r="61" spans="1:3">
      <c r="A61" s="41">
        <v>31</v>
      </c>
      <c r="B61" s="41">
        <v>7.4412392390341271</v>
      </c>
      <c r="C61" s="41">
        <v>1.6837607609658729</v>
      </c>
    </row>
    <row r="62" spans="1:3">
      <c r="A62" s="41">
        <v>32</v>
      </c>
      <c r="B62" s="41">
        <v>7.851142844238896</v>
      </c>
      <c r="C62" s="41">
        <v>0.33635715576110403</v>
      </c>
    </row>
    <row r="63" spans="1:3">
      <c r="A63" s="41">
        <v>33</v>
      </c>
      <c r="B63" s="41">
        <v>7.851142844238896</v>
      </c>
      <c r="C63" s="41">
        <v>0.27385715576110403</v>
      </c>
    </row>
    <row r="64" spans="1:3">
      <c r="A64" s="41">
        <v>34</v>
      </c>
      <c r="B64" s="41">
        <v>7.4849445579765872</v>
      </c>
      <c r="C64" s="41">
        <v>-1.2099445579765868</v>
      </c>
    </row>
    <row r="65" spans="1:3">
      <c r="A65" s="41">
        <v>35</v>
      </c>
      <c r="B65" s="41">
        <v>7.851142844238896</v>
      </c>
      <c r="C65" s="41">
        <v>-0.72614284423889597</v>
      </c>
    </row>
    <row r="66" spans="1:3">
      <c r="A66" s="41">
        <v>36</v>
      </c>
      <c r="B66" s="41">
        <v>7.851142844238896</v>
      </c>
      <c r="C66" s="41">
        <v>-1.3033928442388962</v>
      </c>
    </row>
    <row r="67" spans="1:3">
      <c r="A67" s="41">
        <v>37</v>
      </c>
      <c r="B67" s="41">
        <v>8.2206503700696469</v>
      </c>
      <c r="C67" s="41">
        <v>-0.44565037006964658</v>
      </c>
    </row>
    <row r="68" spans="1:3">
      <c r="A68" s="41">
        <v>38</v>
      </c>
      <c r="B68" s="41">
        <v>8.2940474392612984</v>
      </c>
      <c r="C68" s="41">
        <v>-0.26904743926129804</v>
      </c>
    </row>
    <row r="69" spans="1:3">
      <c r="A69" s="41">
        <v>39</v>
      </c>
      <c r="B69" s="41">
        <v>7.4849445579765872</v>
      </c>
      <c r="C69" s="41">
        <v>-0.20994455797658684</v>
      </c>
    </row>
    <row r="70" spans="1:3">
      <c r="A70" s="41">
        <v>40</v>
      </c>
      <c r="B70" s="41">
        <v>7.9278491529989887</v>
      </c>
      <c r="C70" s="41">
        <v>-0.22784915299898856</v>
      </c>
    </row>
    <row r="71" spans="1:3">
      <c r="A71" s="41">
        <v>41</v>
      </c>
      <c r="B71" s="41">
        <v>7.4849445579765872</v>
      </c>
      <c r="C71" s="41">
        <v>-1.6444445579765867</v>
      </c>
    </row>
    <row r="72" spans="1:3">
      <c r="A72" s="41">
        <v>42</v>
      </c>
      <c r="B72" s="41">
        <v>7.4412392390341271</v>
      </c>
      <c r="C72" s="41">
        <v>2.3712607609658729</v>
      </c>
    </row>
    <row r="73" spans="1:3">
      <c r="A73" s="41">
        <v>43</v>
      </c>
      <c r="B73" s="41">
        <v>7.6736633731001316</v>
      </c>
      <c r="C73" s="41">
        <v>-1.0986633731001323</v>
      </c>
    </row>
    <row r="74" spans="1:3">
      <c r="A74" s="41">
        <v>44</v>
      </c>
      <c r="B74" s="41">
        <v>8.2940474392612984</v>
      </c>
      <c r="C74" s="41">
        <v>0.55595256073870125</v>
      </c>
    </row>
    <row r="75" spans="1:3">
      <c r="A75" s="41">
        <v>45</v>
      </c>
      <c r="B75" s="41">
        <v>8.2940474392612984</v>
      </c>
      <c r="C75" s="41">
        <v>0.35845256073870146</v>
      </c>
    </row>
    <row r="76" spans="1:3">
      <c r="A76" s="41">
        <v>46</v>
      </c>
      <c r="B76" s="41">
        <v>7.4849445579765872</v>
      </c>
      <c r="C76" s="41">
        <v>0.30505544202341195</v>
      </c>
    </row>
    <row r="77" spans="1:3">
      <c r="A77" s="41">
        <v>47</v>
      </c>
      <c r="B77" s="41">
        <v>7.9278491529989887</v>
      </c>
      <c r="C77" s="41">
        <v>-0.51534915299898909</v>
      </c>
    </row>
    <row r="78" spans="1:3">
      <c r="A78" s="41">
        <v>48</v>
      </c>
      <c r="B78" s="41">
        <v>7.4849445579765872</v>
      </c>
      <c r="C78" s="41">
        <v>6.0055442023411842E-2</v>
      </c>
    </row>
    <row r="79" spans="1:3">
      <c r="A79" s="41">
        <v>49</v>
      </c>
      <c r="B79" s="41">
        <v>8.0398616593624403</v>
      </c>
      <c r="C79" s="41">
        <v>1.5251383406375609</v>
      </c>
    </row>
    <row r="80" spans="1:3">
      <c r="A80" s="41">
        <v>50</v>
      </c>
      <c r="B80" s="41">
        <v>7.6299580541576715</v>
      </c>
      <c r="C80" s="41">
        <v>-0.40495805415767183</v>
      </c>
    </row>
    <row r="81" spans="1:3">
      <c r="A81" s="41">
        <v>51</v>
      </c>
      <c r="B81" s="41">
        <v>7.4412392390341271</v>
      </c>
      <c r="C81" s="41">
        <v>-0.97373923903412685</v>
      </c>
    </row>
    <row r="82" spans="1:3">
      <c r="A82" s="41">
        <v>52</v>
      </c>
      <c r="B82" s="41">
        <v>7.9278491529989887</v>
      </c>
      <c r="C82" s="41">
        <v>-0.90284915299898927</v>
      </c>
    </row>
    <row r="83" spans="1:3">
      <c r="A83" s="41">
        <v>53</v>
      </c>
      <c r="B83" s="41">
        <v>7.4849445579765872</v>
      </c>
      <c r="C83" s="41">
        <v>-0.60019455797658683</v>
      </c>
    </row>
    <row r="84" spans="1:3">
      <c r="A84" s="41">
        <v>54</v>
      </c>
      <c r="B84" s="41">
        <v>7.9278491529989887</v>
      </c>
      <c r="C84" s="41">
        <v>-0.72784915299898856</v>
      </c>
    </row>
    <row r="85" spans="1:3">
      <c r="A85" s="41">
        <v>55</v>
      </c>
      <c r="B85" s="41">
        <v>8.0319315549461034</v>
      </c>
      <c r="C85" s="41">
        <v>-0.40693155494610345</v>
      </c>
    </row>
    <row r="86" spans="1:3">
      <c r="A86" s="41">
        <v>56</v>
      </c>
      <c r="B86" s="41">
        <v>7.9278491529989887</v>
      </c>
      <c r="C86" s="41">
        <v>-0.7028491529989882</v>
      </c>
    </row>
    <row r="87" spans="1:3">
      <c r="A87" s="41">
        <v>57</v>
      </c>
      <c r="B87" s="41">
        <v>7.9278491529989887</v>
      </c>
      <c r="C87" s="41">
        <v>-1.2028491529989891</v>
      </c>
    </row>
    <row r="88" spans="1:3">
      <c r="A88" s="41">
        <v>58</v>
      </c>
      <c r="B88" s="41">
        <v>7.4849445579765872</v>
      </c>
      <c r="C88" s="41">
        <v>-9.7444557976587909E-2</v>
      </c>
    </row>
    <row r="89" spans="1:3">
      <c r="A89" s="41">
        <v>59</v>
      </c>
      <c r="B89" s="41">
        <v>7.9278491529989887</v>
      </c>
      <c r="C89" s="41">
        <v>-2.8491529989889131E-3</v>
      </c>
    </row>
    <row r="90" spans="1:3">
      <c r="A90" s="41">
        <v>60</v>
      </c>
      <c r="B90" s="41">
        <v>7.4849445579765872</v>
      </c>
      <c r="C90" s="41">
        <v>1.0150554420234128</v>
      </c>
    </row>
    <row r="91" spans="1:3">
      <c r="A91" s="41">
        <v>61</v>
      </c>
      <c r="B91" s="41">
        <v>7.4849445579765872</v>
      </c>
      <c r="C91" s="41">
        <v>-0.20994455797658684</v>
      </c>
    </row>
    <row r="92" spans="1:3">
      <c r="A92" s="41">
        <v>62</v>
      </c>
      <c r="B92" s="41">
        <v>7.6736633731001316</v>
      </c>
      <c r="C92" s="41">
        <v>0.21358662689986829</v>
      </c>
    </row>
    <row r="93" spans="1:3">
      <c r="A93" s="41">
        <v>63</v>
      </c>
      <c r="B93" s="41">
        <v>7.9278491529989887</v>
      </c>
      <c r="C93" s="41">
        <v>1.9546508470010115</v>
      </c>
    </row>
    <row r="94" spans="1:3">
      <c r="A94" s="41">
        <v>64</v>
      </c>
      <c r="B94" s="41">
        <v>7.9278491529989887</v>
      </c>
      <c r="C94" s="41">
        <v>0.14715084700101055</v>
      </c>
    </row>
    <row r="95" spans="1:3">
      <c r="A95" s="41">
        <v>65</v>
      </c>
      <c r="B95" s="41">
        <v>7.4849445579765872</v>
      </c>
      <c r="C95" s="41">
        <v>0.55505544202341195</v>
      </c>
    </row>
    <row r="96" spans="1:3">
      <c r="A96" s="41">
        <v>66</v>
      </c>
      <c r="B96" s="41">
        <v>7.8841438340565286</v>
      </c>
      <c r="C96" s="41">
        <v>1.1133561659434719</v>
      </c>
    </row>
    <row r="97" spans="1:3">
      <c r="A97" s="41">
        <v>67</v>
      </c>
      <c r="B97" s="41">
        <v>8.2940474392612984</v>
      </c>
      <c r="C97" s="41">
        <v>0.23095256073870019</v>
      </c>
    </row>
    <row r="98" spans="1:3">
      <c r="A98" s="41">
        <v>68</v>
      </c>
      <c r="B98" s="41">
        <v>7.9278491529989887</v>
      </c>
      <c r="C98" s="41">
        <v>0.78465084700100984</v>
      </c>
    </row>
    <row r="99" spans="1:3">
      <c r="A99" s="41">
        <v>69</v>
      </c>
      <c r="B99" s="41">
        <v>7.4849445579765872</v>
      </c>
      <c r="C99" s="41">
        <v>0.61255544202341294</v>
      </c>
    </row>
    <row r="100" spans="1:3">
      <c r="A100" s="41">
        <v>70</v>
      </c>
      <c r="B100" s="41">
        <v>7.4412392390341271</v>
      </c>
      <c r="C100" s="41">
        <v>0.32826076096587276</v>
      </c>
    </row>
    <row r="101" spans="1:3">
      <c r="A101" s="41">
        <v>71</v>
      </c>
      <c r="B101" s="41">
        <v>7.4849445579765872</v>
      </c>
      <c r="C101" s="41">
        <v>1.3650554420234142</v>
      </c>
    </row>
    <row r="102" spans="1:3">
      <c r="A102" s="41">
        <v>72</v>
      </c>
      <c r="B102" s="41">
        <v>7.4849445579765872</v>
      </c>
      <c r="C102" s="41">
        <v>-1.0474445579765872</v>
      </c>
    </row>
    <row r="103" spans="1:3">
      <c r="A103" s="41">
        <v>73</v>
      </c>
      <c r="B103" s="41">
        <v>7.8841438340565286</v>
      </c>
      <c r="C103" s="41">
        <v>-2.3091438340565293</v>
      </c>
    </row>
    <row r="104" spans="1:3">
      <c r="A104" s="41">
        <v>74</v>
      </c>
      <c r="B104" s="41">
        <v>7.9278491529989887</v>
      </c>
      <c r="C104" s="41">
        <v>1.1921508470010123</v>
      </c>
    </row>
    <row r="105" spans="1:3">
      <c r="A105" s="41">
        <v>75</v>
      </c>
      <c r="B105" s="41">
        <v>7.4849445579765872</v>
      </c>
      <c r="C105" s="41">
        <v>-0.65994455797658791</v>
      </c>
    </row>
    <row r="106" spans="1:3">
      <c r="A106" s="41">
        <v>76</v>
      </c>
      <c r="B106" s="41">
        <v>8.0398616593624403</v>
      </c>
      <c r="C106" s="41">
        <v>0.18513834063756107</v>
      </c>
    </row>
    <row r="107" spans="1:3">
      <c r="A107" s="41">
        <v>77</v>
      </c>
      <c r="B107" s="41">
        <v>7.851142844238896</v>
      </c>
      <c r="C107" s="41">
        <v>0.22385715576110332</v>
      </c>
    </row>
    <row r="108" spans="1:3">
      <c r="A108" s="41">
        <v>78</v>
      </c>
      <c r="B108" s="41">
        <v>7.851142844238896</v>
      </c>
      <c r="C108" s="41">
        <v>1.0763571557611025</v>
      </c>
    </row>
    <row r="109" spans="1:3">
      <c r="A109" s="41">
        <v>79</v>
      </c>
      <c r="B109" s="41">
        <v>7.851142844238896</v>
      </c>
      <c r="C109" s="41">
        <v>-0.72614284423889508</v>
      </c>
    </row>
    <row r="110" spans="1:3">
      <c r="A110" s="41">
        <v>80</v>
      </c>
      <c r="B110" s="41">
        <v>7.9278491529989887</v>
      </c>
      <c r="C110" s="41">
        <v>-0.88034915299898842</v>
      </c>
    </row>
    <row r="111" spans="1:3">
      <c r="A111" s="41">
        <v>81</v>
      </c>
      <c r="B111" s="41">
        <v>8.3360477024888038</v>
      </c>
      <c r="C111" s="41">
        <v>1.0039522975111961</v>
      </c>
    </row>
    <row r="112" spans="1:3">
      <c r="A112" s="41">
        <v>82</v>
      </c>
      <c r="B112" s="41">
        <v>7.4412392390341271</v>
      </c>
      <c r="C112" s="41">
        <v>0.1212607609658729</v>
      </c>
    </row>
    <row r="113" spans="1:3">
      <c r="A113" s="41">
        <v>83</v>
      </c>
      <c r="B113" s="41">
        <v>7.4412392390341271</v>
      </c>
      <c r="C113" s="41">
        <v>-0.86623923903412692</v>
      </c>
    </row>
    <row r="114" spans="1:3">
      <c r="A114" s="41">
        <v>84</v>
      </c>
      <c r="B114" s="41">
        <v>7.851142844238896</v>
      </c>
      <c r="C114" s="41">
        <v>-0.52614284423889668</v>
      </c>
    </row>
    <row r="115" spans="1:3">
      <c r="A115" s="41">
        <v>85</v>
      </c>
      <c r="B115" s="41">
        <v>7.8841438340565286</v>
      </c>
      <c r="C115" s="41">
        <v>-0.1491438340565292</v>
      </c>
    </row>
    <row r="116" spans="1:3">
      <c r="A116" s="41">
        <v>86</v>
      </c>
      <c r="B116" s="41">
        <v>7.851142844238896</v>
      </c>
      <c r="C116" s="41">
        <v>0.45385715576110375</v>
      </c>
    </row>
    <row r="117" spans="1:3">
      <c r="A117" s="41">
        <v>87</v>
      </c>
      <c r="B117" s="41">
        <v>7.8841438340565286</v>
      </c>
      <c r="C117" s="41">
        <v>0.45585616594347123</v>
      </c>
    </row>
    <row r="118" spans="1:3">
      <c r="A118" s="41">
        <v>88</v>
      </c>
      <c r="B118" s="41">
        <v>7.4849445579765872</v>
      </c>
      <c r="C118" s="41">
        <v>-7.7444557976588335E-2</v>
      </c>
    </row>
    <row r="119" spans="1:3">
      <c r="A119" s="41">
        <v>89</v>
      </c>
      <c r="B119" s="41">
        <v>8.2206503700696469</v>
      </c>
      <c r="C119" s="41">
        <v>-0.43315037006964729</v>
      </c>
    </row>
    <row r="120" spans="1:3">
      <c r="A120" s="41">
        <v>90</v>
      </c>
      <c r="B120" s="41">
        <v>7.9278491529989887</v>
      </c>
      <c r="C120" s="41">
        <v>-0.24284915299898824</v>
      </c>
    </row>
    <row r="121" spans="1:3">
      <c r="A121" s="41">
        <v>91</v>
      </c>
      <c r="B121" s="41">
        <v>7.6299580541576715</v>
      </c>
      <c r="C121" s="41">
        <v>-0.97995805415767112</v>
      </c>
    </row>
    <row r="122" spans="1:3">
      <c r="A122" s="41">
        <v>92</v>
      </c>
      <c r="B122" s="41">
        <v>7.4849445579765872</v>
      </c>
      <c r="C122" s="41">
        <v>-0.62994455797658766</v>
      </c>
    </row>
    <row r="123" spans="1:3">
      <c r="A123" s="41">
        <v>93</v>
      </c>
      <c r="B123" s="41">
        <v>7.4849445579765872</v>
      </c>
      <c r="C123" s="41">
        <v>0.18505544202341184</v>
      </c>
    </row>
    <row r="124" spans="1:3">
      <c r="A124" s="41">
        <v>94</v>
      </c>
      <c r="B124" s="41">
        <v>9.3943526594712328</v>
      </c>
      <c r="C124" s="41">
        <v>5.564734052876652E-2</v>
      </c>
    </row>
    <row r="125" spans="1:3">
      <c r="A125" s="41">
        <v>95</v>
      </c>
      <c r="B125" s="41">
        <v>7.4412392390341271</v>
      </c>
      <c r="C125" s="41">
        <v>1.7062607609658738</v>
      </c>
    </row>
    <row r="126" spans="1:3">
      <c r="A126" s="41">
        <v>96</v>
      </c>
      <c r="B126" s="41">
        <v>7.851142844238896</v>
      </c>
      <c r="C126" s="41">
        <v>-0.71664284423889679</v>
      </c>
    </row>
    <row r="127" spans="1:3">
      <c r="A127" s="41">
        <v>97</v>
      </c>
      <c r="B127" s="41">
        <v>7.4849445579765872</v>
      </c>
      <c r="C127" s="41">
        <v>-0.68494455797658649</v>
      </c>
    </row>
    <row r="128" spans="1:3">
      <c r="A128" s="41">
        <v>98</v>
      </c>
      <c r="B128" s="41">
        <v>7.851142844238896</v>
      </c>
      <c r="C128" s="41">
        <v>0.24385715576110467</v>
      </c>
    </row>
    <row r="129" spans="1:3">
      <c r="A129" s="41">
        <v>99</v>
      </c>
      <c r="B129" s="41">
        <v>7.9278491529989887</v>
      </c>
      <c r="C129" s="41">
        <v>1.4471508470010113</v>
      </c>
    </row>
    <row r="130" spans="1:3">
      <c r="A130" s="41">
        <v>100</v>
      </c>
      <c r="B130" s="41">
        <v>7.9278491529989887</v>
      </c>
      <c r="C130" s="41">
        <v>1.5721508470010113</v>
      </c>
    </row>
    <row r="131" spans="1:3">
      <c r="A131" s="41">
        <v>101</v>
      </c>
      <c r="B131" s="41">
        <v>7.851142844238896</v>
      </c>
      <c r="C131" s="41">
        <v>-0.37614284423889544</v>
      </c>
    </row>
    <row r="132" spans="1:3">
      <c r="A132" s="41">
        <v>102</v>
      </c>
      <c r="B132" s="41">
        <v>7.851142844238896</v>
      </c>
      <c r="C132" s="41">
        <v>1.336357155761104</v>
      </c>
    </row>
    <row r="133" spans="1:3">
      <c r="A133" s="41">
        <v>103</v>
      </c>
      <c r="B133" s="41">
        <v>7.4849445579765872</v>
      </c>
      <c r="C133" s="41">
        <v>1.2725554420234131</v>
      </c>
    </row>
    <row r="134" spans="1:3">
      <c r="A134" s="41">
        <v>104</v>
      </c>
      <c r="B134" s="41">
        <v>7.8841438340565286</v>
      </c>
      <c r="C134" s="41">
        <v>0.35585616594347158</v>
      </c>
    </row>
    <row r="135" spans="1:3">
      <c r="A135" s="41">
        <v>105</v>
      </c>
      <c r="B135" s="41">
        <v>9.3506473405287736</v>
      </c>
      <c r="C135" s="41">
        <v>-5.5647340528771849E-2</v>
      </c>
    </row>
    <row r="136" spans="1:3">
      <c r="A136" s="41">
        <v>106</v>
      </c>
      <c r="B136" s="41">
        <v>7.6299580541576715</v>
      </c>
      <c r="C136" s="41">
        <v>0.12004194584232852</v>
      </c>
    </row>
    <row r="137" spans="1:3">
      <c r="A137" s="41">
        <v>107</v>
      </c>
      <c r="B137" s="41">
        <v>7.851142844238896</v>
      </c>
      <c r="C137" s="41">
        <v>0.5023571557611044</v>
      </c>
    </row>
    <row r="138" spans="1:3">
      <c r="A138" s="41">
        <v>108</v>
      </c>
      <c r="B138" s="41">
        <v>8.2940474392612984</v>
      </c>
      <c r="C138" s="41">
        <v>-0.18429743926129838</v>
      </c>
    </row>
    <row r="139" spans="1:3">
      <c r="A139" s="41">
        <v>109</v>
      </c>
      <c r="B139" s="41">
        <v>7.4412392390341271</v>
      </c>
      <c r="C139" s="41">
        <v>-0.39123923903412727</v>
      </c>
    </row>
    <row r="140" spans="1:3">
      <c r="A140" s="41">
        <v>110</v>
      </c>
      <c r="B140" s="41">
        <v>7.4849445579765872</v>
      </c>
      <c r="C140" s="41">
        <v>-7.9194557976586921E-2</v>
      </c>
    </row>
    <row r="141" spans="1:3">
      <c r="A141" s="41">
        <v>111</v>
      </c>
      <c r="B141" s="41">
        <v>7.4849445579765872</v>
      </c>
      <c r="C141" s="41">
        <v>-0.12369455797658713</v>
      </c>
    </row>
    <row r="142" spans="1:3">
      <c r="A142" s="41">
        <v>112</v>
      </c>
      <c r="B142" s="41">
        <v>7.4412392390341271</v>
      </c>
      <c r="C142" s="41">
        <v>-0.64123923903412727</v>
      </c>
    </row>
    <row r="143" spans="1:3">
      <c r="A143" s="41">
        <v>113</v>
      </c>
      <c r="B143" s="41">
        <v>7.4412392390341271</v>
      </c>
      <c r="C143" s="41">
        <v>3.3760760965873438E-2</v>
      </c>
    </row>
    <row r="144" spans="1:3">
      <c r="A144" s="41">
        <v>114</v>
      </c>
      <c r="B144" s="41">
        <v>7.4412392390341271</v>
      </c>
      <c r="C144" s="41">
        <v>-0.31298923903412756</v>
      </c>
    </row>
    <row r="145" spans="1:3">
      <c r="A145" s="41">
        <v>115</v>
      </c>
      <c r="B145" s="41">
        <v>7.9278491529989887</v>
      </c>
      <c r="C145" s="41">
        <v>-0.76959915299898896</v>
      </c>
    </row>
    <row r="146" spans="1:3">
      <c r="A146" s="41">
        <v>116</v>
      </c>
      <c r="B146" s="41">
        <v>7.4849445579765872</v>
      </c>
      <c r="C146" s="41">
        <v>-0.65994455797658702</v>
      </c>
    </row>
    <row r="147" spans="1:3">
      <c r="A147" s="41">
        <v>117</v>
      </c>
      <c r="B147" s="41">
        <v>7.4849445579765872</v>
      </c>
      <c r="C147" s="41">
        <v>-5.2444557976587092E-2</v>
      </c>
    </row>
    <row r="148" spans="1:3">
      <c r="A148" s="41">
        <v>118</v>
      </c>
      <c r="B148" s="41">
        <v>7.4412392390341271</v>
      </c>
      <c r="C148" s="41">
        <v>-1.2162392390341275</v>
      </c>
    </row>
    <row r="149" spans="1:3">
      <c r="A149" s="41">
        <v>119</v>
      </c>
      <c r="B149" s="41">
        <v>7.4849445579765872</v>
      </c>
      <c r="C149" s="41">
        <v>-0.95994455797658684</v>
      </c>
    </row>
    <row r="150" spans="1:3" ht="15.75" thickBot="1">
      <c r="A150" s="42">
        <v>120</v>
      </c>
      <c r="B150" s="42">
        <v>7.4412392390341271</v>
      </c>
      <c r="C150" s="42">
        <v>-0.39123923903412727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C2:O118"/>
  <sheetViews>
    <sheetView topLeftCell="B1" workbookViewId="0">
      <selection activeCell="M7" sqref="M7"/>
    </sheetView>
  </sheetViews>
  <sheetFormatPr defaultRowHeight="15"/>
  <cols>
    <col min="3" max="3" width="27.42578125" style="64" bestFit="1" customWidth="1"/>
    <col min="4" max="4" width="19.7109375" style="64" bestFit="1" customWidth="1"/>
    <col min="8" max="8" width="27.42578125" style="64" bestFit="1" customWidth="1"/>
    <col min="9" max="10" width="6" bestFit="1" customWidth="1"/>
    <col min="12" max="12" width="6" bestFit="1" customWidth="1"/>
  </cols>
  <sheetData>
    <row r="2" spans="3:15" ht="30">
      <c r="C2" s="63" t="s">
        <v>505</v>
      </c>
      <c r="D2" s="63" t="s">
        <v>590</v>
      </c>
      <c r="H2" s="63" t="s">
        <v>505</v>
      </c>
      <c r="I2" s="3" t="s">
        <v>591</v>
      </c>
      <c r="J2" s="3" t="s">
        <v>592</v>
      </c>
      <c r="K2" s="3" t="s">
        <v>593</v>
      </c>
      <c r="L2" s="3" t="s">
        <v>594</v>
      </c>
      <c r="M2" s="3" t="s">
        <v>595</v>
      </c>
      <c r="N2" s="3" t="s">
        <v>604</v>
      </c>
      <c r="O2" s="3" t="s">
        <v>605</v>
      </c>
    </row>
    <row r="3" spans="3:15">
      <c r="C3" s="64" t="s">
        <v>30</v>
      </c>
      <c r="D3" s="64">
        <v>7.2839999999999998</v>
      </c>
      <c r="H3" s="64" t="s">
        <v>30</v>
      </c>
      <c r="I3" s="64">
        <v>9.1</v>
      </c>
      <c r="J3" s="64">
        <v>6.4</v>
      </c>
      <c r="K3" s="64">
        <v>6.8</v>
      </c>
      <c r="L3" s="64">
        <v>7.3</v>
      </c>
      <c r="M3" s="64">
        <v>7.2839999999999998</v>
      </c>
      <c r="N3" s="64">
        <f>AVERAGE(I3:M3)</f>
        <v>7.3768000000000002</v>
      </c>
      <c r="O3">
        <f>AVERAGE(I3:L3)</f>
        <v>7.4</v>
      </c>
    </row>
    <row r="4" spans="3:15">
      <c r="C4" s="64" t="s">
        <v>46</v>
      </c>
      <c r="D4" s="64">
        <v>10</v>
      </c>
      <c r="H4" s="64" t="s">
        <v>46</v>
      </c>
      <c r="I4" s="64">
        <v>9.33</v>
      </c>
      <c r="J4" s="64">
        <v>9.5399999999999991</v>
      </c>
      <c r="K4" s="64">
        <v>9.43</v>
      </c>
      <c r="L4" s="64">
        <v>9.77</v>
      </c>
      <c r="M4" s="64">
        <v>10</v>
      </c>
      <c r="N4" s="64">
        <f t="shared" ref="N4:N44" si="0">AVERAGE(I4:M4)</f>
        <v>9.613999999999999</v>
      </c>
      <c r="O4">
        <f t="shared" ref="O4:O44" si="1">AVERAGE(I4:L4)</f>
        <v>9.5174999999999983</v>
      </c>
    </row>
    <row r="5" spans="3:15">
      <c r="C5" s="64" t="s">
        <v>57</v>
      </c>
      <c r="D5" s="64">
        <v>7.6</v>
      </c>
      <c r="H5" s="64" t="s">
        <v>57</v>
      </c>
      <c r="I5" s="64">
        <v>8.6</v>
      </c>
      <c r="J5" s="64">
        <v>8.1199999999999992</v>
      </c>
      <c r="K5" s="64">
        <v>6.19</v>
      </c>
      <c r="L5" s="64">
        <v>7.5</v>
      </c>
      <c r="M5" s="64">
        <v>7.6</v>
      </c>
      <c r="N5" s="64">
        <f t="shared" si="0"/>
        <v>7.6019999999999994</v>
      </c>
      <c r="O5">
        <f t="shared" si="1"/>
        <v>7.6025</v>
      </c>
    </row>
    <row r="6" spans="3:15">
      <c r="C6" s="64" t="s">
        <v>64</v>
      </c>
      <c r="D6" s="64">
        <v>9</v>
      </c>
      <c r="H6" s="64" t="s">
        <v>64</v>
      </c>
      <c r="I6" s="64">
        <v>7.82</v>
      </c>
      <c r="J6" s="64">
        <v>7.91</v>
      </c>
      <c r="K6" s="64">
        <v>6.59</v>
      </c>
      <c r="L6" s="64">
        <v>8.86</v>
      </c>
      <c r="M6" s="64">
        <v>9</v>
      </c>
      <c r="N6" s="64">
        <f t="shared" si="0"/>
        <v>8.0359999999999996</v>
      </c>
      <c r="O6">
        <f t="shared" si="1"/>
        <v>7.7949999999999999</v>
      </c>
    </row>
    <row r="7" spans="3:15">
      <c r="C7" s="64" t="s">
        <v>71</v>
      </c>
      <c r="D7" s="64">
        <v>7.9390000000000001</v>
      </c>
      <c r="H7" s="64" t="s">
        <v>71</v>
      </c>
      <c r="I7" s="64">
        <v>9.3000000000000007</v>
      </c>
      <c r="J7" s="64">
        <v>8.6</v>
      </c>
      <c r="K7" s="64">
        <v>8.3000000000000007</v>
      </c>
      <c r="L7" s="64">
        <v>8.1</v>
      </c>
      <c r="M7" s="64">
        <v>7.9390000000000001</v>
      </c>
      <c r="N7" s="64">
        <f t="shared" si="0"/>
        <v>8.4477999999999991</v>
      </c>
      <c r="O7">
        <f t="shared" si="1"/>
        <v>8.5749999999999993</v>
      </c>
    </row>
    <row r="8" spans="3:15">
      <c r="C8" s="64" t="s">
        <v>76</v>
      </c>
      <c r="D8" s="64">
        <v>8.1</v>
      </c>
      <c r="H8" s="64" t="s">
        <v>76</v>
      </c>
      <c r="I8" s="64">
        <v>7.96</v>
      </c>
      <c r="J8" s="64">
        <v>8.34</v>
      </c>
      <c r="K8" s="64">
        <v>8.24</v>
      </c>
      <c r="L8" s="64">
        <v>7.96</v>
      </c>
      <c r="M8" s="64">
        <v>8.1</v>
      </c>
      <c r="N8" s="64">
        <f t="shared" si="0"/>
        <v>8.120000000000001</v>
      </c>
      <c r="O8">
        <f t="shared" si="1"/>
        <v>8.125</v>
      </c>
    </row>
    <row r="9" spans="3:15">
      <c r="C9" s="64" t="s">
        <v>81</v>
      </c>
      <c r="D9" s="64">
        <v>9.11</v>
      </c>
      <c r="H9" s="64" t="s">
        <v>81</v>
      </c>
      <c r="I9" s="64">
        <v>8.77</v>
      </c>
      <c r="J9" s="64">
        <v>7.5</v>
      </c>
      <c r="K9" s="64">
        <v>8.01</v>
      </c>
      <c r="L9" s="64">
        <v>8.4</v>
      </c>
      <c r="M9" s="64">
        <v>9.11</v>
      </c>
      <c r="N9" s="64">
        <f t="shared" si="0"/>
        <v>8.3580000000000005</v>
      </c>
      <c r="O9">
        <f t="shared" si="1"/>
        <v>8.17</v>
      </c>
    </row>
    <row r="10" spans="3:15">
      <c r="C10" s="64" t="s">
        <v>85</v>
      </c>
      <c r="D10" s="64">
        <v>7.46</v>
      </c>
      <c r="H10" s="64" t="s">
        <v>85</v>
      </c>
      <c r="I10" s="64">
        <v>9.6999999999999993</v>
      </c>
      <c r="J10" s="64">
        <v>9.4</v>
      </c>
      <c r="K10" s="64">
        <v>6.7</v>
      </c>
      <c r="L10" s="64">
        <v>6.4</v>
      </c>
      <c r="M10" s="64">
        <v>7.46</v>
      </c>
      <c r="N10" s="64">
        <f t="shared" si="0"/>
        <v>7.9320000000000004</v>
      </c>
      <c r="O10">
        <f t="shared" si="1"/>
        <v>8.0500000000000007</v>
      </c>
    </row>
    <row r="11" spans="3:15">
      <c r="C11" s="64" t="s">
        <v>89</v>
      </c>
      <c r="D11" s="64">
        <v>8.1869999999999994</v>
      </c>
      <c r="H11" s="64" t="s">
        <v>89</v>
      </c>
      <c r="I11" s="64">
        <v>9.3989999999999991</v>
      </c>
      <c r="J11" s="64">
        <v>7.6079999999999997</v>
      </c>
      <c r="K11" s="64">
        <v>8.3800000000000008</v>
      </c>
      <c r="L11" s="64">
        <v>7.7130000000000001</v>
      </c>
      <c r="M11" s="64">
        <v>8.1869999999999994</v>
      </c>
      <c r="N11" s="64">
        <f t="shared" si="0"/>
        <v>8.2574000000000005</v>
      </c>
      <c r="O11">
        <f t="shared" si="1"/>
        <v>8.2750000000000004</v>
      </c>
    </row>
    <row r="12" spans="3:15">
      <c r="C12" s="64" t="s">
        <v>94</v>
      </c>
      <c r="D12" s="64">
        <v>8.81</v>
      </c>
      <c r="H12" s="64" t="s">
        <v>94</v>
      </c>
      <c r="I12" s="64">
        <v>9.4600000000000009</v>
      </c>
      <c r="J12" s="64">
        <v>9.44</v>
      </c>
      <c r="K12" s="64">
        <v>8.59</v>
      </c>
      <c r="L12" s="64">
        <v>8.81</v>
      </c>
      <c r="M12" s="64">
        <v>8.81</v>
      </c>
      <c r="N12" s="64">
        <f t="shared" si="0"/>
        <v>9.0220000000000002</v>
      </c>
      <c r="O12">
        <f t="shared" si="1"/>
        <v>9.0749999999999993</v>
      </c>
    </row>
    <row r="13" spans="3:15">
      <c r="C13" s="64" t="s">
        <v>416</v>
      </c>
      <c r="D13" s="64">
        <v>9</v>
      </c>
      <c r="H13" s="64" t="s">
        <v>416</v>
      </c>
      <c r="I13" s="64">
        <v>9.1</v>
      </c>
      <c r="J13" s="64">
        <v>9.0299999999999994</v>
      </c>
      <c r="K13" s="64">
        <v>9.1</v>
      </c>
      <c r="L13" s="64">
        <v>9.3000000000000007</v>
      </c>
      <c r="M13" s="64">
        <v>9</v>
      </c>
      <c r="N13" s="64">
        <f t="shared" si="0"/>
        <v>9.1059999999999999</v>
      </c>
      <c r="O13">
        <f t="shared" si="1"/>
        <v>9.1325000000000003</v>
      </c>
    </row>
    <row r="14" spans="3:15">
      <c r="C14" s="64" t="s">
        <v>119</v>
      </c>
      <c r="D14" s="64">
        <v>6.1989999999999998</v>
      </c>
      <c r="H14" s="64" t="s">
        <v>119</v>
      </c>
      <c r="I14" s="64">
        <v>9.3000000000000007</v>
      </c>
      <c r="J14" s="64">
        <v>5.6</v>
      </c>
      <c r="K14" s="64">
        <v>6.2</v>
      </c>
      <c r="L14" s="64">
        <v>6</v>
      </c>
      <c r="M14" s="64">
        <v>6.1989999999999998</v>
      </c>
      <c r="N14" s="64">
        <f t="shared" si="0"/>
        <v>6.6597999999999997</v>
      </c>
      <c r="O14">
        <f t="shared" si="1"/>
        <v>6.7750000000000004</v>
      </c>
    </row>
    <row r="15" spans="3:15">
      <c r="C15" s="64" t="s">
        <v>129</v>
      </c>
      <c r="D15" s="64">
        <v>7.5679999999999996</v>
      </c>
      <c r="H15" s="64" t="s">
        <v>129</v>
      </c>
      <c r="I15" s="64">
        <v>9.1999999999999993</v>
      </c>
      <c r="J15" s="64">
        <v>7.1</v>
      </c>
      <c r="K15" s="64">
        <v>7.3</v>
      </c>
      <c r="L15" s="64">
        <v>7.5</v>
      </c>
      <c r="M15" s="64">
        <v>7.5679999999999996</v>
      </c>
      <c r="N15" s="64">
        <f t="shared" si="0"/>
        <v>7.7336</v>
      </c>
      <c r="O15">
        <f t="shared" si="1"/>
        <v>7.7749999999999995</v>
      </c>
    </row>
    <row r="16" spans="3:15">
      <c r="C16" s="64" t="s">
        <v>135</v>
      </c>
      <c r="D16" s="64">
        <v>8.1010000000000009</v>
      </c>
      <c r="H16" s="64" t="s">
        <v>135</v>
      </c>
      <c r="I16" s="64">
        <v>9.6</v>
      </c>
      <c r="J16" s="64">
        <v>7.6</v>
      </c>
      <c r="K16" s="64">
        <v>7.2</v>
      </c>
      <c r="L16" s="64">
        <v>8</v>
      </c>
      <c r="M16" s="64">
        <f>D16</f>
        <v>8.1010000000000009</v>
      </c>
      <c r="N16" s="64">
        <f t="shared" si="0"/>
        <v>8.1001999999999992</v>
      </c>
      <c r="O16">
        <f t="shared" si="1"/>
        <v>8.1</v>
      </c>
    </row>
    <row r="17" spans="3:15">
      <c r="C17" s="64" t="s">
        <v>139</v>
      </c>
      <c r="D17" s="64">
        <v>8.0500000000000007</v>
      </c>
      <c r="H17" s="64" t="s">
        <v>139</v>
      </c>
      <c r="I17" s="64">
        <v>8.66</v>
      </c>
      <c r="J17" s="64">
        <v>8.61</v>
      </c>
      <c r="K17" s="64">
        <v>6.94</v>
      </c>
      <c r="L17" s="64">
        <v>7.44</v>
      </c>
      <c r="M17" s="64">
        <f t="shared" ref="M17:M44" si="2">D17</f>
        <v>8.0500000000000007</v>
      </c>
      <c r="N17" s="64">
        <f t="shared" si="0"/>
        <v>7.94</v>
      </c>
      <c r="O17">
        <f t="shared" si="1"/>
        <v>7.9125000000000005</v>
      </c>
    </row>
    <row r="18" spans="3:15">
      <c r="C18" s="64" t="s">
        <v>142</v>
      </c>
      <c r="D18" s="64">
        <v>8.7360000000000007</v>
      </c>
      <c r="H18" s="64" t="s">
        <v>142</v>
      </c>
      <c r="I18" s="64">
        <v>9.4359999999999999</v>
      </c>
      <c r="J18" s="64">
        <v>7.5759999999999996</v>
      </c>
      <c r="K18" s="64">
        <v>8.782</v>
      </c>
      <c r="L18" s="64">
        <v>8.5340000000000007</v>
      </c>
      <c r="M18" s="64">
        <f t="shared" si="2"/>
        <v>8.7360000000000007</v>
      </c>
      <c r="N18" s="64">
        <f t="shared" si="0"/>
        <v>8.6128000000000018</v>
      </c>
      <c r="O18">
        <f t="shared" si="1"/>
        <v>8.5820000000000007</v>
      </c>
    </row>
    <row r="19" spans="3:15">
      <c r="C19" s="64" t="s">
        <v>148</v>
      </c>
      <c r="D19" s="64">
        <v>8.6999999999999993</v>
      </c>
      <c r="H19" s="64" t="s">
        <v>148</v>
      </c>
      <c r="I19" s="64">
        <v>8.7650000000000006</v>
      </c>
      <c r="J19" s="64">
        <v>6.8310000000000004</v>
      </c>
      <c r="K19" s="64">
        <v>7.7750000000000004</v>
      </c>
      <c r="L19" s="64">
        <v>7.7839999999999998</v>
      </c>
      <c r="M19" s="64">
        <f t="shared" si="2"/>
        <v>8.6999999999999993</v>
      </c>
      <c r="N19" s="64">
        <f t="shared" si="0"/>
        <v>7.971000000000001</v>
      </c>
      <c r="O19">
        <f t="shared" si="1"/>
        <v>7.7887500000000003</v>
      </c>
    </row>
    <row r="20" spans="3:15">
      <c r="C20" s="64" t="s">
        <v>151</v>
      </c>
      <c r="D20" s="64">
        <v>8.0299999999999994</v>
      </c>
      <c r="H20" s="64" t="s">
        <v>151</v>
      </c>
      <c r="I20" s="64">
        <v>9.23</v>
      </c>
      <c r="J20" s="64">
        <v>6.9</v>
      </c>
      <c r="K20" s="64">
        <v>8.3000000000000007</v>
      </c>
      <c r="L20" s="64">
        <v>7.9</v>
      </c>
      <c r="M20" s="64">
        <f t="shared" si="2"/>
        <v>8.0299999999999994</v>
      </c>
      <c r="N20" s="64">
        <f t="shared" si="0"/>
        <v>8.072000000000001</v>
      </c>
      <c r="O20">
        <f t="shared" si="1"/>
        <v>8.0825000000000014</v>
      </c>
    </row>
    <row r="21" spans="3:15">
      <c r="C21" s="64" t="s">
        <v>157</v>
      </c>
      <c r="D21" s="64">
        <v>5.8410000000000002</v>
      </c>
      <c r="H21" s="64" t="s">
        <v>157</v>
      </c>
      <c r="I21" s="64">
        <v>8.9</v>
      </c>
      <c r="J21" s="64">
        <v>5.4</v>
      </c>
      <c r="K21" s="64">
        <v>6.4</v>
      </c>
      <c r="L21" s="64">
        <v>6.7</v>
      </c>
      <c r="M21" s="64">
        <f t="shared" si="2"/>
        <v>5.8410000000000002</v>
      </c>
      <c r="N21" s="64">
        <f t="shared" si="0"/>
        <v>6.6482000000000001</v>
      </c>
      <c r="O21">
        <f t="shared" si="1"/>
        <v>6.8500000000000005</v>
      </c>
    </row>
    <row r="22" spans="3:15">
      <c r="C22" s="64" t="s">
        <v>159</v>
      </c>
      <c r="D22" s="64">
        <v>7.391</v>
      </c>
      <c r="H22" s="64" t="s">
        <v>159</v>
      </c>
      <c r="I22" s="64">
        <v>9.3089999999999993</v>
      </c>
      <c r="J22" s="64">
        <v>6.4779999999999998</v>
      </c>
      <c r="K22" s="64">
        <v>6.1020000000000003</v>
      </c>
      <c r="L22" s="64">
        <v>6.9960000000000004</v>
      </c>
      <c r="M22" s="64">
        <f t="shared" si="2"/>
        <v>7.391</v>
      </c>
      <c r="N22" s="64">
        <f t="shared" si="0"/>
        <v>7.2551999999999994</v>
      </c>
      <c r="O22">
        <f t="shared" si="1"/>
        <v>7.2212499999999995</v>
      </c>
    </row>
    <row r="23" spans="3:15">
      <c r="C23" s="64" t="s">
        <v>166</v>
      </c>
      <c r="D23" s="64">
        <v>7.2</v>
      </c>
      <c r="H23" s="64" t="s">
        <v>166</v>
      </c>
      <c r="I23" s="64">
        <v>9.1</v>
      </c>
      <c r="J23" s="64">
        <v>8.23</v>
      </c>
      <c r="K23" s="64">
        <v>7.4</v>
      </c>
      <c r="L23" s="64">
        <v>8.02</v>
      </c>
      <c r="M23" s="64">
        <f t="shared" si="2"/>
        <v>7.2</v>
      </c>
      <c r="N23" s="64">
        <f t="shared" si="0"/>
        <v>7.99</v>
      </c>
      <c r="O23">
        <f t="shared" si="1"/>
        <v>8.1875</v>
      </c>
    </row>
    <row r="24" spans="3:15">
      <c r="C24" s="64" t="s">
        <v>179</v>
      </c>
      <c r="D24" s="64">
        <v>6.5540000000000003</v>
      </c>
      <c r="H24" s="64" t="s">
        <v>179</v>
      </c>
      <c r="I24" s="64">
        <v>7.5940000000000003</v>
      </c>
      <c r="J24" s="64">
        <v>6.4080000000000004</v>
      </c>
      <c r="K24" s="64">
        <v>5.9039999999999999</v>
      </c>
      <c r="L24" s="64">
        <v>6.2850000000000001</v>
      </c>
      <c r="M24" s="64">
        <f t="shared" si="2"/>
        <v>6.5540000000000003</v>
      </c>
      <c r="N24" s="64">
        <f t="shared" si="0"/>
        <v>6.5489999999999995</v>
      </c>
      <c r="O24">
        <f t="shared" si="1"/>
        <v>6.5477499999999997</v>
      </c>
    </row>
    <row r="25" spans="3:15">
      <c r="C25" s="64" t="s">
        <v>191</v>
      </c>
      <c r="D25" s="64">
        <v>7.8369999999999997</v>
      </c>
      <c r="H25" s="64" t="s">
        <v>191</v>
      </c>
      <c r="I25" s="64">
        <v>9.1999999999999993</v>
      </c>
      <c r="J25" s="64">
        <v>6.8</v>
      </c>
      <c r="K25" s="64">
        <v>7.3</v>
      </c>
      <c r="L25" s="64">
        <v>7.5</v>
      </c>
      <c r="M25" s="64">
        <f t="shared" si="2"/>
        <v>7.8369999999999997</v>
      </c>
      <c r="N25" s="64">
        <f t="shared" si="0"/>
        <v>7.7274000000000003</v>
      </c>
      <c r="O25">
        <f t="shared" si="1"/>
        <v>7.7</v>
      </c>
    </row>
    <row r="26" spans="3:15">
      <c r="C26" s="64" t="s">
        <v>203</v>
      </c>
      <c r="D26" s="64">
        <v>8.1890000000000001</v>
      </c>
      <c r="H26" s="64" t="s">
        <v>203</v>
      </c>
      <c r="I26" s="64">
        <v>9.5</v>
      </c>
      <c r="J26" s="64">
        <v>8.6999999999999993</v>
      </c>
      <c r="K26" s="64">
        <v>8.4</v>
      </c>
      <c r="L26" s="64">
        <v>8.01</v>
      </c>
      <c r="M26" s="64">
        <f t="shared" si="2"/>
        <v>8.1890000000000001</v>
      </c>
      <c r="N26" s="64">
        <f t="shared" si="0"/>
        <v>8.5597999999999992</v>
      </c>
      <c r="O26">
        <f t="shared" si="1"/>
        <v>8.6524999999999999</v>
      </c>
    </row>
    <row r="27" spans="3:15">
      <c r="C27" s="64" t="s">
        <v>205</v>
      </c>
      <c r="D27" s="64">
        <v>7.5</v>
      </c>
      <c r="H27" s="64" t="s">
        <v>205</v>
      </c>
      <c r="I27" s="64">
        <v>7.88</v>
      </c>
      <c r="J27" s="64">
        <v>7.79</v>
      </c>
      <c r="K27" s="64">
        <v>7.73</v>
      </c>
      <c r="L27" s="64">
        <v>7.76</v>
      </c>
      <c r="M27" s="64">
        <f t="shared" si="2"/>
        <v>7.5</v>
      </c>
      <c r="N27" s="64">
        <f t="shared" si="0"/>
        <v>7.7319999999999993</v>
      </c>
      <c r="O27">
        <f t="shared" si="1"/>
        <v>7.7899999999999991</v>
      </c>
    </row>
    <row r="28" spans="3:15">
      <c r="C28" s="64" t="s">
        <v>207</v>
      </c>
      <c r="D28" s="64">
        <v>6.6</v>
      </c>
      <c r="H28" s="64" t="s">
        <v>207</v>
      </c>
      <c r="I28" s="64">
        <v>8.9</v>
      </c>
      <c r="J28" s="64">
        <v>6.8</v>
      </c>
      <c r="K28" s="64">
        <v>6.7</v>
      </c>
      <c r="L28" s="64">
        <v>7.25</v>
      </c>
      <c r="M28" s="64">
        <f t="shared" si="2"/>
        <v>6.6</v>
      </c>
      <c r="N28" s="64">
        <f t="shared" si="0"/>
        <v>7.25</v>
      </c>
      <c r="O28">
        <f t="shared" si="1"/>
        <v>7.4124999999999996</v>
      </c>
    </row>
    <row r="29" spans="3:15">
      <c r="C29" s="64" t="s">
        <v>210</v>
      </c>
      <c r="D29" s="64">
        <v>7.1180000000000003</v>
      </c>
      <c r="H29" s="64" t="s">
        <v>210</v>
      </c>
      <c r="I29" s="64">
        <v>8.7899999999999991</v>
      </c>
      <c r="J29" s="64">
        <v>7.13</v>
      </c>
      <c r="K29" s="64">
        <v>6.79</v>
      </c>
      <c r="L29" s="64">
        <v>7.47</v>
      </c>
      <c r="M29" s="64">
        <f t="shared" si="2"/>
        <v>7.1180000000000003</v>
      </c>
      <c r="N29" s="64">
        <f t="shared" si="0"/>
        <v>7.4595999999999991</v>
      </c>
      <c r="O29">
        <f t="shared" si="1"/>
        <v>7.544999999999999</v>
      </c>
    </row>
    <row r="30" spans="3:15">
      <c r="C30" s="64" t="s">
        <v>215</v>
      </c>
      <c r="D30" s="64">
        <v>7</v>
      </c>
      <c r="H30" s="64" t="s">
        <v>215</v>
      </c>
      <c r="I30" s="64">
        <v>8.6999999999999993</v>
      </c>
      <c r="J30" s="64">
        <v>7.2</v>
      </c>
      <c r="K30" s="64">
        <v>6.8</v>
      </c>
      <c r="L30" s="64">
        <v>6.2</v>
      </c>
      <c r="M30" s="64">
        <f t="shared" si="2"/>
        <v>7</v>
      </c>
      <c r="N30" s="64">
        <f t="shared" si="0"/>
        <v>7.18</v>
      </c>
      <c r="O30">
        <f t="shared" si="1"/>
        <v>7.2249999999999996</v>
      </c>
    </row>
    <row r="31" spans="3:15">
      <c r="C31" s="64" t="s">
        <v>223</v>
      </c>
      <c r="D31" s="64">
        <v>6.68</v>
      </c>
      <c r="H31" s="64" t="s">
        <v>223</v>
      </c>
      <c r="I31" s="64">
        <v>8.5169999999999995</v>
      </c>
      <c r="J31" s="64">
        <v>6.665</v>
      </c>
      <c r="K31" s="64">
        <v>5.992</v>
      </c>
      <c r="L31" s="64">
        <v>6.3650000000000002</v>
      </c>
      <c r="M31" s="64">
        <f t="shared" si="2"/>
        <v>6.68</v>
      </c>
      <c r="N31" s="64">
        <f t="shared" si="0"/>
        <v>6.8437999999999999</v>
      </c>
      <c r="O31">
        <f t="shared" si="1"/>
        <v>6.8847500000000004</v>
      </c>
    </row>
    <row r="32" spans="3:15">
      <c r="C32" s="64" t="s">
        <v>233</v>
      </c>
      <c r="D32" s="64">
        <v>7.45</v>
      </c>
      <c r="H32" s="64" t="s">
        <v>233</v>
      </c>
      <c r="I32" s="64">
        <v>8.9</v>
      </c>
      <c r="J32" s="64">
        <v>6.3</v>
      </c>
      <c r="K32" s="64">
        <v>6.2</v>
      </c>
      <c r="L32" s="64">
        <v>5.5</v>
      </c>
      <c r="M32" s="64">
        <f t="shared" si="2"/>
        <v>7.45</v>
      </c>
      <c r="N32" s="64">
        <f t="shared" si="0"/>
        <v>6.87</v>
      </c>
      <c r="O32">
        <f t="shared" si="1"/>
        <v>6.7249999999999996</v>
      </c>
    </row>
    <row r="33" spans="3:15">
      <c r="C33" s="64" t="s">
        <v>238</v>
      </c>
      <c r="D33" s="64">
        <v>7.7249999999999996</v>
      </c>
      <c r="H33" s="64" t="s">
        <v>238</v>
      </c>
      <c r="I33" s="64">
        <v>9.1999999999999993</v>
      </c>
      <c r="J33" s="64">
        <v>6.8</v>
      </c>
      <c r="K33" s="64">
        <v>7.9</v>
      </c>
      <c r="L33" s="64">
        <v>7.8</v>
      </c>
      <c r="M33" s="64">
        <f t="shared" si="2"/>
        <v>7.7249999999999996</v>
      </c>
      <c r="N33" s="64">
        <f t="shared" si="0"/>
        <v>7.8849999999999998</v>
      </c>
      <c r="O33">
        <f t="shared" si="1"/>
        <v>7.9249999999999998</v>
      </c>
    </row>
    <row r="34" spans="3:15">
      <c r="C34" s="64" t="s">
        <v>275</v>
      </c>
      <c r="D34" s="64">
        <v>8.6739999999999995</v>
      </c>
      <c r="H34" s="64" t="s">
        <v>275</v>
      </c>
      <c r="I34" s="64">
        <v>9.4</v>
      </c>
      <c r="J34" s="64">
        <v>8.1999999999999993</v>
      </c>
      <c r="K34" s="64">
        <v>9.1</v>
      </c>
      <c r="L34" s="64">
        <v>8.6999999999999993</v>
      </c>
      <c r="M34" s="64">
        <f t="shared" si="2"/>
        <v>8.6739999999999995</v>
      </c>
      <c r="N34" s="64">
        <f t="shared" si="0"/>
        <v>8.8148000000000017</v>
      </c>
      <c r="O34">
        <f t="shared" si="1"/>
        <v>8.8500000000000014</v>
      </c>
    </row>
    <row r="35" spans="3:15">
      <c r="C35" s="64" t="s">
        <v>277</v>
      </c>
      <c r="D35" s="64">
        <v>5.61</v>
      </c>
      <c r="H35" s="64" t="s">
        <v>277</v>
      </c>
      <c r="I35" s="64">
        <v>7.359</v>
      </c>
      <c r="J35" s="64">
        <v>6.133</v>
      </c>
      <c r="K35" s="64">
        <v>5.7169999999999996</v>
      </c>
      <c r="L35" s="64">
        <v>6.5410000000000004</v>
      </c>
      <c r="M35" s="64">
        <f t="shared" si="2"/>
        <v>5.61</v>
      </c>
      <c r="N35" s="64">
        <f t="shared" si="0"/>
        <v>6.2720000000000002</v>
      </c>
      <c r="O35">
        <f t="shared" si="1"/>
        <v>6.4375</v>
      </c>
    </row>
    <row r="36" spans="3:15">
      <c r="C36" s="64" t="s">
        <v>291</v>
      </c>
      <c r="D36" s="64">
        <v>6.9009999999999998</v>
      </c>
      <c r="H36" s="64" t="s">
        <v>291</v>
      </c>
      <c r="I36" s="64">
        <v>9.3000000000000007</v>
      </c>
      <c r="J36" s="64">
        <v>7.8</v>
      </c>
      <c r="K36" s="64">
        <v>8.1</v>
      </c>
      <c r="L36" s="64">
        <v>7.7</v>
      </c>
      <c r="M36" s="64">
        <f t="shared" si="2"/>
        <v>6.9009999999999998</v>
      </c>
      <c r="N36" s="64">
        <f t="shared" si="0"/>
        <v>7.9602000000000004</v>
      </c>
      <c r="O36">
        <f t="shared" si="1"/>
        <v>8.2250000000000014</v>
      </c>
    </row>
    <row r="37" spans="3:15">
      <c r="C37" s="64" t="s">
        <v>306</v>
      </c>
      <c r="D37" s="64">
        <v>8.9</v>
      </c>
      <c r="H37" s="64" t="s">
        <v>306</v>
      </c>
      <c r="I37" s="64">
        <v>9.34</v>
      </c>
      <c r="J37" s="64">
        <v>9.56</v>
      </c>
      <c r="K37" s="64">
        <v>8.9</v>
      </c>
      <c r="L37" s="64">
        <v>9.56</v>
      </c>
      <c r="M37" s="64">
        <f t="shared" si="2"/>
        <v>8.9</v>
      </c>
      <c r="N37" s="64">
        <f t="shared" si="0"/>
        <v>9.2519999999999989</v>
      </c>
      <c r="O37">
        <f t="shared" si="1"/>
        <v>9.34</v>
      </c>
    </row>
    <row r="38" spans="3:15">
      <c r="C38" s="64" t="s">
        <v>310</v>
      </c>
      <c r="D38" s="64">
        <v>7.056</v>
      </c>
      <c r="H38" s="64" t="s">
        <v>310</v>
      </c>
      <c r="I38" s="64">
        <v>8.58</v>
      </c>
      <c r="J38" s="64">
        <v>7.16</v>
      </c>
      <c r="K38" s="64">
        <v>7.5</v>
      </c>
      <c r="L38" s="64">
        <v>7.01</v>
      </c>
      <c r="M38" s="64">
        <f t="shared" si="2"/>
        <v>7.056</v>
      </c>
      <c r="N38" s="64">
        <f t="shared" si="0"/>
        <v>7.4611999999999998</v>
      </c>
      <c r="O38">
        <f t="shared" si="1"/>
        <v>7.5625</v>
      </c>
    </row>
    <row r="39" spans="3:15">
      <c r="C39" s="64" t="s">
        <v>312</v>
      </c>
      <c r="D39" s="64">
        <v>5.984</v>
      </c>
      <c r="H39" s="64" t="s">
        <v>312</v>
      </c>
      <c r="I39" s="64">
        <v>9.1999999999999993</v>
      </c>
      <c r="J39" s="64">
        <v>5.4</v>
      </c>
      <c r="K39" s="64">
        <v>6</v>
      </c>
      <c r="L39" s="64">
        <v>5.7</v>
      </c>
      <c r="M39" s="64">
        <f t="shared" si="2"/>
        <v>5.984</v>
      </c>
      <c r="N39" s="64">
        <f t="shared" si="0"/>
        <v>6.4567999999999994</v>
      </c>
      <c r="O39">
        <f t="shared" si="1"/>
        <v>6.5750000000000002</v>
      </c>
    </row>
    <row r="40" spans="3:15">
      <c r="C40" s="64" t="s">
        <v>318</v>
      </c>
      <c r="D40" s="64">
        <v>5.968</v>
      </c>
      <c r="H40" s="64" t="s">
        <v>318</v>
      </c>
      <c r="I40" s="64">
        <v>8.9</v>
      </c>
      <c r="J40" s="64">
        <v>6.6</v>
      </c>
      <c r="K40" s="64">
        <v>8.0399999999999991</v>
      </c>
      <c r="L40" s="64">
        <v>7.4</v>
      </c>
      <c r="M40" s="64">
        <f t="shared" si="2"/>
        <v>5.968</v>
      </c>
      <c r="N40" s="64">
        <f t="shared" si="0"/>
        <v>7.3816000000000006</v>
      </c>
      <c r="O40">
        <f t="shared" si="1"/>
        <v>7.7349999999999994</v>
      </c>
    </row>
    <row r="41" spans="3:15">
      <c r="C41" s="64" t="s">
        <v>324</v>
      </c>
      <c r="D41" s="64">
        <v>9</v>
      </c>
      <c r="H41" s="64" t="s">
        <v>324</v>
      </c>
      <c r="I41" s="64">
        <v>8</v>
      </c>
      <c r="J41" s="64">
        <v>7</v>
      </c>
      <c r="K41" s="64">
        <v>9.27</v>
      </c>
      <c r="L41" s="64">
        <v>9.09</v>
      </c>
      <c r="M41" s="64">
        <f t="shared" si="2"/>
        <v>9</v>
      </c>
      <c r="N41" s="64">
        <f t="shared" si="0"/>
        <v>8.4719999999999995</v>
      </c>
      <c r="O41">
        <f t="shared" si="1"/>
        <v>8.34</v>
      </c>
    </row>
    <row r="42" spans="3:15">
      <c r="C42" s="64" t="s">
        <v>327</v>
      </c>
      <c r="D42" s="64">
        <v>6.6</v>
      </c>
      <c r="H42" s="64" t="s">
        <v>327</v>
      </c>
      <c r="I42" s="64">
        <v>9.31</v>
      </c>
      <c r="J42" s="64">
        <v>6.91</v>
      </c>
      <c r="K42" s="64">
        <v>6.01</v>
      </c>
      <c r="L42" s="64">
        <v>7.4</v>
      </c>
      <c r="M42" s="64">
        <f t="shared" si="2"/>
        <v>6.6</v>
      </c>
      <c r="N42" s="64">
        <f t="shared" si="0"/>
        <v>7.2459999999999996</v>
      </c>
      <c r="O42">
        <f t="shared" si="1"/>
        <v>7.4074999999999989</v>
      </c>
    </row>
    <row r="43" spans="3:15">
      <c r="C43" s="64" t="s">
        <v>369</v>
      </c>
      <c r="D43" s="64">
        <v>8.92</v>
      </c>
      <c r="H43" s="64" t="s">
        <v>369</v>
      </c>
      <c r="I43" s="64">
        <v>9.3000000000000007</v>
      </c>
      <c r="J43" s="64">
        <v>9.61</v>
      </c>
      <c r="K43" s="64">
        <v>8.56</v>
      </c>
      <c r="L43" s="64">
        <v>9.2799999999999994</v>
      </c>
      <c r="M43" s="64">
        <f t="shared" si="2"/>
        <v>8.92</v>
      </c>
      <c r="N43" s="64">
        <f t="shared" si="0"/>
        <v>9.1340000000000003</v>
      </c>
      <c r="O43">
        <f t="shared" si="1"/>
        <v>9.1875</v>
      </c>
    </row>
    <row r="44" spans="3:15">
      <c r="C44" s="64" t="s">
        <v>375</v>
      </c>
      <c r="D44" s="64">
        <v>7.5</v>
      </c>
      <c r="H44" s="64" t="s">
        <v>375</v>
      </c>
      <c r="I44" s="64">
        <v>9.4499999999999993</v>
      </c>
      <c r="J44" s="64">
        <v>9.11</v>
      </c>
      <c r="K44" s="64">
        <v>7.5</v>
      </c>
      <c r="L44" s="64">
        <v>6.9</v>
      </c>
      <c r="M44" s="64">
        <f t="shared" si="2"/>
        <v>7.5</v>
      </c>
      <c r="N44" s="64">
        <f t="shared" si="0"/>
        <v>8.0920000000000005</v>
      </c>
      <c r="O44">
        <f t="shared" si="1"/>
        <v>8.24</v>
      </c>
    </row>
    <row r="47" spans="3:15">
      <c r="I47" s="64"/>
      <c r="J47" s="64"/>
      <c r="K47" s="64"/>
      <c r="L47" s="64"/>
    </row>
    <row r="49" spans="9:12">
      <c r="I49" s="64"/>
      <c r="J49" s="64"/>
      <c r="K49" s="64"/>
      <c r="L49" s="64"/>
    </row>
    <row r="50" spans="9:12">
      <c r="I50" s="64"/>
      <c r="J50" s="64"/>
      <c r="K50" s="64"/>
      <c r="L50" s="64"/>
    </row>
    <row r="52" spans="9:12">
      <c r="I52" s="64"/>
      <c r="J52" s="64"/>
      <c r="K52" s="64"/>
      <c r="L52" s="64"/>
    </row>
    <row r="53" spans="9:12">
      <c r="I53" s="64"/>
      <c r="J53" s="64"/>
      <c r="K53" s="64"/>
      <c r="L53" s="64"/>
    </row>
    <row r="54" spans="9:12">
      <c r="I54" s="64"/>
      <c r="J54" s="64"/>
      <c r="K54" s="64"/>
      <c r="L54" s="64"/>
    </row>
    <row r="56" spans="9:12">
      <c r="I56" s="64"/>
      <c r="J56" s="64"/>
      <c r="K56" s="64"/>
      <c r="L56" s="64"/>
    </row>
    <row r="58" spans="9:12">
      <c r="I58" s="64"/>
      <c r="J58" s="64"/>
      <c r="K58" s="64"/>
      <c r="L58" s="64"/>
    </row>
    <row r="59" spans="9:12">
      <c r="I59" s="64"/>
      <c r="J59" s="64"/>
      <c r="K59" s="64"/>
      <c r="L59" s="64"/>
    </row>
    <row r="60" spans="9:12">
      <c r="I60" s="64"/>
      <c r="J60" s="64"/>
      <c r="K60" s="64"/>
      <c r="L60" s="64"/>
    </row>
    <row r="61" spans="9:12">
      <c r="I61" s="64"/>
      <c r="J61" s="64"/>
      <c r="K61" s="64"/>
      <c r="L61" s="64"/>
    </row>
    <row r="62" spans="9:12">
      <c r="I62" s="64"/>
      <c r="J62" s="64"/>
      <c r="K62" s="64"/>
      <c r="L62" s="64"/>
    </row>
    <row r="63" spans="9:12">
      <c r="I63" s="64"/>
      <c r="J63" s="64"/>
      <c r="K63" s="64"/>
      <c r="L63" s="64"/>
    </row>
    <row r="64" spans="9:12">
      <c r="I64" s="64"/>
      <c r="J64" s="64"/>
      <c r="K64" s="64"/>
      <c r="L64" s="64"/>
    </row>
    <row r="65" spans="9:12">
      <c r="I65" s="64"/>
      <c r="J65" s="64"/>
      <c r="K65" s="64"/>
      <c r="L65" s="64"/>
    </row>
    <row r="66" spans="9:12">
      <c r="I66" s="64"/>
      <c r="J66" s="64"/>
      <c r="K66" s="64"/>
      <c r="L66" s="64"/>
    </row>
    <row r="67" spans="9:12">
      <c r="I67" s="64"/>
      <c r="J67" s="64"/>
      <c r="K67" s="64"/>
      <c r="L67" s="64"/>
    </row>
    <row r="68" spans="9:12">
      <c r="I68" s="64"/>
      <c r="J68" s="64"/>
      <c r="K68" s="64"/>
      <c r="L68" s="64"/>
    </row>
    <row r="71" spans="9:12">
      <c r="I71" s="64"/>
      <c r="J71" s="64"/>
      <c r="K71" s="64"/>
      <c r="L71" s="64"/>
    </row>
    <row r="72" spans="9:12">
      <c r="I72" s="64"/>
      <c r="J72" s="64"/>
      <c r="K72" s="64"/>
      <c r="L72" s="64"/>
    </row>
    <row r="73" spans="9:12">
      <c r="I73" s="64"/>
      <c r="J73" s="64"/>
      <c r="K73" s="64"/>
      <c r="L73" s="64"/>
    </row>
    <row r="75" spans="9:12">
      <c r="I75" s="64"/>
      <c r="J75" s="64"/>
      <c r="K75" s="64"/>
      <c r="L75" s="64"/>
    </row>
    <row r="76" spans="9:12">
      <c r="I76" s="64"/>
      <c r="J76" s="64"/>
      <c r="K76" s="64"/>
      <c r="L76" s="64"/>
    </row>
    <row r="77" spans="9:12">
      <c r="I77" s="64"/>
      <c r="J77" s="64"/>
      <c r="K77" s="64"/>
      <c r="L77" s="64"/>
    </row>
    <row r="78" spans="9:12">
      <c r="I78" s="64"/>
      <c r="J78" s="64"/>
      <c r="K78" s="64"/>
      <c r="L78" s="64"/>
    </row>
    <row r="82" spans="9:12">
      <c r="I82" s="64"/>
      <c r="J82" s="64"/>
      <c r="K82" s="64"/>
      <c r="L82" s="64"/>
    </row>
    <row r="84" spans="9:12">
      <c r="I84" s="64"/>
      <c r="J84" s="64"/>
      <c r="K84" s="64"/>
      <c r="L84" s="64"/>
    </row>
    <row r="87" spans="9:12">
      <c r="I87" s="64"/>
      <c r="J87" s="64"/>
      <c r="K87" s="64"/>
      <c r="L87" s="64"/>
    </row>
    <row r="88" spans="9:12">
      <c r="I88" s="64"/>
      <c r="J88" s="64"/>
      <c r="K88" s="64"/>
      <c r="L88" s="64"/>
    </row>
    <row r="89" spans="9:12">
      <c r="I89" s="64"/>
      <c r="J89" s="64"/>
      <c r="K89" s="64"/>
      <c r="L89" s="64"/>
    </row>
    <row r="90" spans="9:12">
      <c r="I90" s="64"/>
      <c r="J90" s="64"/>
      <c r="K90" s="64"/>
      <c r="L90" s="64"/>
    </row>
    <row r="91" spans="9:12">
      <c r="I91" s="64"/>
      <c r="J91" s="64"/>
      <c r="K91" s="64"/>
      <c r="L91" s="64"/>
    </row>
    <row r="92" spans="9:12">
      <c r="I92" s="64"/>
      <c r="J92" s="64"/>
      <c r="K92" s="64"/>
      <c r="L92" s="64"/>
    </row>
    <row r="93" spans="9:12">
      <c r="I93" s="64"/>
      <c r="J93" s="64"/>
      <c r="K93" s="64"/>
      <c r="L93" s="64"/>
    </row>
    <row r="94" spans="9:12">
      <c r="I94" s="64"/>
      <c r="J94" s="64"/>
      <c r="K94" s="64"/>
      <c r="L94" s="64"/>
    </row>
    <row r="95" spans="9:12">
      <c r="I95" s="64"/>
      <c r="J95" s="64"/>
      <c r="K95" s="64"/>
      <c r="L95" s="64"/>
    </row>
    <row r="96" spans="9:12">
      <c r="I96" s="64"/>
      <c r="J96" s="64"/>
      <c r="K96" s="64"/>
      <c r="L96" s="64"/>
    </row>
    <row r="97" spans="9:12">
      <c r="I97" s="64"/>
      <c r="J97" s="64"/>
      <c r="K97" s="64"/>
      <c r="L97" s="64"/>
    </row>
    <row r="98" spans="9:12">
      <c r="I98" s="64"/>
      <c r="J98" s="64"/>
      <c r="K98" s="64"/>
      <c r="L98" s="64"/>
    </row>
    <row r="99" spans="9:12">
      <c r="I99" s="64"/>
      <c r="J99" s="64"/>
      <c r="K99" s="64"/>
      <c r="L99" s="64"/>
    </row>
    <row r="101" spans="9:12">
      <c r="I101" s="64"/>
      <c r="J101" s="64"/>
      <c r="K101" s="64"/>
      <c r="L101" s="64"/>
    </row>
    <row r="103" spans="9:12">
      <c r="I103" s="64"/>
      <c r="J103" s="64"/>
      <c r="K103" s="64"/>
      <c r="L103" s="64"/>
    </row>
    <row r="104" spans="9:12">
      <c r="I104" s="64"/>
      <c r="J104" s="64"/>
      <c r="K104" s="64"/>
      <c r="L104" s="64"/>
    </row>
    <row r="105" spans="9:12">
      <c r="I105" s="64"/>
      <c r="J105" s="64"/>
      <c r="K105" s="64"/>
      <c r="L105" s="64"/>
    </row>
    <row r="106" spans="9:12">
      <c r="I106" s="64"/>
      <c r="J106" s="64"/>
      <c r="K106" s="64"/>
      <c r="L106" s="64"/>
    </row>
    <row r="107" spans="9:12">
      <c r="I107" s="64"/>
      <c r="J107" s="64"/>
      <c r="K107" s="64"/>
      <c r="L107" s="64"/>
    </row>
    <row r="108" spans="9:12">
      <c r="I108" s="64"/>
      <c r="J108" s="64"/>
      <c r="K108" s="64"/>
      <c r="L108" s="64"/>
    </row>
    <row r="109" spans="9:12">
      <c r="I109" s="64"/>
      <c r="J109" s="64"/>
      <c r="K109" s="64"/>
      <c r="L109" s="64"/>
    </row>
    <row r="110" spans="9:12">
      <c r="I110" s="64"/>
      <c r="J110" s="64"/>
      <c r="K110" s="64"/>
      <c r="L110" s="64"/>
    </row>
    <row r="111" spans="9:12">
      <c r="I111" s="64"/>
      <c r="J111" s="64"/>
      <c r="K111" s="64"/>
      <c r="L111" s="64"/>
    </row>
    <row r="112" spans="9:12">
      <c r="I112" s="64"/>
      <c r="J112" s="64"/>
      <c r="K112" s="64"/>
      <c r="L112" s="64"/>
    </row>
    <row r="113" spans="9:12">
      <c r="I113" s="64"/>
      <c r="J113" s="64"/>
      <c r="K113" s="64"/>
      <c r="L113" s="64"/>
    </row>
    <row r="114" spans="9:12">
      <c r="I114" s="64"/>
      <c r="J114" s="64"/>
      <c r="K114" s="64"/>
      <c r="L114" s="64"/>
    </row>
    <row r="115" spans="9:12">
      <c r="I115" s="64"/>
      <c r="J115" s="64"/>
      <c r="K115" s="64"/>
      <c r="L115" s="64"/>
    </row>
    <row r="116" spans="9:12">
      <c r="I116" s="64"/>
      <c r="J116" s="64"/>
      <c r="K116" s="64"/>
      <c r="L116" s="64"/>
    </row>
    <row r="117" spans="9:12">
      <c r="I117" s="64"/>
      <c r="J117" s="64"/>
      <c r="K117" s="64"/>
      <c r="L117" s="64"/>
    </row>
    <row r="118" spans="9:12">
      <c r="I118" s="64"/>
      <c r="J118" s="64"/>
      <c r="K118" s="64"/>
      <c r="L118" s="6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H32"/>
  <sheetViews>
    <sheetView workbookViewId="0">
      <selection activeCell="J13" sqref="J13"/>
    </sheetView>
  </sheetViews>
  <sheetFormatPr defaultRowHeight="15"/>
  <cols>
    <col min="1" max="1" width="26" style="2" customWidth="1"/>
    <col min="2" max="2" width="16.42578125" style="2" customWidth="1"/>
    <col min="3" max="3" width="20.85546875" style="2" bestFit="1" customWidth="1"/>
    <col min="4" max="4" width="15.42578125" style="2" customWidth="1"/>
    <col min="5" max="5" width="21.5703125" style="2" bestFit="1" customWidth="1"/>
    <col min="6" max="6" width="16.42578125" style="2" customWidth="1"/>
    <col min="7" max="7" width="27.42578125" style="2" bestFit="1" customWidth="1"/>
    <col min="8" max="8" width="15.140625" style="2" bestFit="1" customWidth="1"/>
    <col min="9" max="16384" width="9.140625" style="2"/>
  </cols>
  <sheetData>
    <row r="2" spans="1:8" ht="37.5" customHeight="1">
      <c r="A2" s="47" t="s">
        <v>505</v>
      </c>
      <c r="B2" s="48" t="s">
        <v>536</v>
      </c>
      <c r="C2" s="47" t="s">
        <v>505</v>
      </c>
      <c r="D2" s="48" t="s">
        <v>536</v>
      </c>
      <c r="E2" s="47" t="s">
        <v>505</v>
      </c>
      <c r="F2" s="48" t="s">
        <v>536</v>
      </c>
      <c r="G2" s="47" t="s">
        <v>505</v>
      </c>
      <c r="H2" s="48" t="s">
        <v>536</v>
      </c>
    </row>
    <row r="3" spans="1:8">
      <c r="A3" s="47" t="s">
        <v>30</v>
      </c>
      <c r="B3" s="46">
        <v>7.4849445579765872</v>
      </c>
      <c r="C3" s="47" t="s">
        <v>163</v>
      </c>
      <c r="D3" s="46">
        <v>7.4412392390341271</v>
      </c>
      <c r="E3" s="47" t="s">
        <v>245</v>
      </c>
      <c r="F3" s="46">
        <v>7.4849445579765872</v>
      </c>
      <c r="G3" s="47" t="s">
        <v>338</v>
      </c>
      <c r="H3" s="46">
        <v>7.6299580541576715</v>
      </c>
    </row>
    <row r="4" spans="1:8">
      <c r="A4" s="47" t="s">
        <v>46</v>
      </c>
      <c r="B4" s="46">
        <v>8.474836149968505</v>
      </c>
      <c r="C4" s="47" t="s">
        <v>166</v>
      </c>
      <c r="D4" s="46">
        <v>7.851142844238896</v>
      </c>
      <c r="E4" s="47" t="s">
        <v>247</v>
      </c>
      <c r="F4" s="46">
        <v>7.6736633731001316</v>
      </c>
      <c r="G4" s="47" t="s">
        <v>340</v>
      </c>
      <c r="H4" s="46">
        <v>7.4849445579765872</v>
      </c>
    </row>
    <row r="5" spans="1:8">
      <c r="A5" s="47" t="s">
        <v>57</v>
      </c>
      <c r="B5" s="46">
        <v>7.4849445579765872</v>
      </c>
      <c r="C5" s="47" t="s">
        <v>169</v>
      </c>
      <c r="D5" s="46">
        <v>7.851142844238896</v>
      </c>
      <c r="E5" s="47" t="s">
        <v>250</v>
      </c>
      <c r="F5" s="46">
        <v>7.9278491529989887</v>
      </c>
      <c r="G5" s="47" t="s">
        <v>342</v>
      </c>
      <c r="H5" s="46">
        <v>7.4849445579765872</v>
      </c>
    </row>
    <row r="6" spans="1:8">
      <c r="A6" s="47" t="s">
        <v>64</v>
      </c>
      <c r="B6" s="46">
        <v>7.4412392390341271</v>
      </c>
      <c r="C6" s="47" t="s">
        <v>172</v>
      </c>
      <c r="D6" s="46">
        <v>7.4849445579765872</v>
      </c>
      <c r="E6" s="47" t="s">
        <v>254</v>
      </c>
      <c r="F6" s="46">
        <v>7.9278491529989887</v>
      </c>
      <c r="G6" s="47" t="s">
        <v>345</v>
      </c>
      <c r="H6" s="46">
        <v>9.3943526594712328</v>
      </c>
    </row>
    <row r="7" spans="1:8">
      <c r="A7" s="47" t="s">
        <v>71</v>
      </c>
      <c r="B7" s="46">
        <v>7.9278491529989887</v>
      </c>
      <c r="C7" s="47" t="s">
        <v>176</v>
      </c>
      <c r="D7" s="46">
        <v>7.851142844238896</v>
      </c>
      <c r="E7" s="47" t="s">
        <v>257</v>
      </c>
      <c r="F7" s="46">
        <v>7.4849445579765872</v>
      </c>
      <c r="G7" s="47" t="s">
        <v>347</v>
      </c>
      <c r="H7" s="46">
        <v>7.4412392390341271</v>
      </c>
    </row>
    <row r="8" spans="1:8">
      <c r="A8" s="47" t="s">
        <v>76</v>
      </c>
      <c r="B8" s="46">
        <v>7.9278491529989887</v>
      </c>
      <c r="C8" s="47" t="s">
        <v>179</v>
      </c>
      <c r="D8" s="46">
        <v>7.851142844238896</v>
      </c>
      <c r="E8" s="47" t="s">
        <v>261</v>
      </c>
      <c r="F8" s="46">
        <v>7.8841438340565286</v>
      </c>
      <c r="G8" s="47" t="s">
        <v>350</v>
      </c>
      <c r="H8" s="46">
        <v>7.851142844238896</v>
      </c>
    </row>
    <row r="9" spans="1:8">
      <c r="A9" s="47" t="s">
        <v>81</v>
      </c>
      <c r="B9" s="46">
        <v>7.8841438340565286</v>
      </c>
      <c r="C9" s="47" t="s">
        <v>182</v>
      </c>
      <c r="D9" s="46">
        <v>8.2206503700696469</v>
      </c>
      <c r="E9" s="47" t="s">
        <v>265</v>
      </c>
      <c r="F9" s="46">
        <v>8.2940474392612984</v>
      </c>
      <c r="G9" s="47" t="s">
        <v>353</v>
      </c>
      <c r="H9" s="46">
        <v>7.4849445579765872</v>
      </c>
    </row>
    <row r="10" spans="1:8">
      <c r="A10" s="47" t="s">
        <v>85</v>
      </c>
      <c r="B10" s="46">
        <v>7.4849445579765872</v>
      </c>
      <c r="C10" s="47" t="s">
        <v>185</v>
      </c>
      <c r="D10" s="46">
        <v>8.2940474392612984</v>
      </c>
      <c r="E10" s="47" t="s">
        <v>268</v>
      </c>
      <c r="F10" s="46">
        <v>7.9278491529989887</v>
      </c>
      <c r="G10" s="47" t="s">
        <v>356</v>
      </c>
      <c r="H10" s="46">
        <v>7.851142844238896</v>
      </c>
    </row>
    <row r="11" spans="1:8">
      <c r="A11" s="47" t="s">
        <v>89</v>
      </c>
      <c r="B11" s="46">
        <v>8.0319315549461034</v>
      </c>
      <c r="C11" s="47" t="s">
        <v>188</v>
      </c>
      <c r="D11" s="46">
        <v>7.4849445579765872</v>
      </c>
      <c r="E11" s="47" t="s">
        <v>270</v>
      </c>
      <c r="F11" s="46">
        <v>7.4849445579765872</v>
      </c>
      <c r="G11" s="47" t="s">
        <v>359</v>
      </c>
      <c r="H11" s="46">
        <v>7.9278491529989887</v>
      </c>
    </row>
    <row r="12" spans="1:8">
      <c r="A12" s="47" t="s">
        <v>94</v>
      </c>
      <c r="B12" s="46">
        <v>7.8841438340565286</v>
      </c>
      <c r="C12" s="47" t="s">
        <v>191</v>
      </c>
      <c r="D12" s="46">
        <v>7.9278491529989887</v>
      </c>
      <c r="E12" s="47" t="s">
        <v>273</v>
      </c>
      <c r="F12" s="46">
        <v>7.4412392390341271</v>
      </c>
      <c r="G12" s="47" t="s">
        <v>362</v>
      </c>
      <c r="H12" s="46">
        <v>7.9278491529989887</v>
      </c>
    </row>
    <row r="13" spans="1:8">
      <c r="A13" s="47" t="s">
        <v>416</v>
      </c>
      <c r="B13" s="46">
        <v>7.4849445579765872</v>
      </c>
      <c r="C13" s="47" t="s">
        <v>193</v>
      </c>
      <c r="D13" s="46">
        <v>7.4849445579765872</v>
      </c>
      <c r="E13" s="47" t="s">
        <v>275</v>
      </c>
      <c r="F13" s="46">
        <v>7.4849445579765872</v>
      </c>
      <c r="G13" s="47" t="s">
        <v>365</v>
      </c>
      <c r="H13" s="46">
        <v>7.851142844238896</v>
      </c>
    </row>
    <row r="14" spans="1:8">
      <c r="A14" s="47" t="s">
        <v>102</v>
      </c>
      <c r="B14" s="46">
        <v>8.7789522975112053</v>
      </c>
      <c r="C14" s="47" t="s">
        <v>57</v>
      </c>
      <c r="D14" s="46">
        <v>7.4412392390341271</v>
      </c>
      <c r="E14" s="47" t="s">
        <v>277</v>
      </c>
      <c r="F14" s="46">
        <v>7.4849445579765872</v>
      </c>
      <c r="G14" s="47" t="s">
        <v>369</v>
      </c>
      <c r="H14" s="46">
        <v>7.851142844238896</v>
      </c>
    </row>
    <row r="15" spans="1:8">
      <c r="A15" s="47" t="s">
        <v>106</v>
      </c>
      <c r="B15" s="46">
        <v>7.6736633731001316</v>
      </c>
      <c r="C15" s="47" t="s">
        <v>198</v>
      </c>
      <c r="D15" s="46">
        <v>7.6736633731001316</v>
      </c>
      <c r="E15" s="47" t="s">
        <v>280</v>
      </c>
      <c r="F15" s="46">
        <v>7.8841438340565286</v>
      </c>
      <c r="G15" s="47" t="s">
        <v>372</v>
      </c>
      <c r="H15" s="46">
        <v>7.4849445579765872</v>
      </c>
    </row>
    <row r="16" spans="1:8">
      <c r="A16" s="47" t="s">
        <v>110</v>
      </c>
      <c r="B16" s="46">
        <v>7.4412392390341271</v>
      </c>
      <c r="C16" s="47" t="s">
        <v>201</v>
      </c>
      <c r="D16" s="46">
        <v>8.2940474392612984</v>
      </c>
      <c r="E16" s="47" t="s">
        <v>284</v>
      </c>
      <c r="F16" s="46">
        <v>7.9278491529989887</v>
      </c>
      <c r="G16" s="47" t="s">
        <v>375</v>
      </c>
      <c r="H16" s="46">
        <v>7.8841438340565286</v>
      </c>
    </row>
    <row r="17" spans="1:8">
      <c r="A17" s="47" t="s">
        <v>115</v>
      </c>
      <c r="B17" s="46">
        <v>8.2940474392612984</v>
      </c>
      <c r="C17" s="47" t="s">
        <v>203</v>
      </c>
      <c r="D17" s="46">
        <v>8.2940474392612984</v>
      </c>
      <c r="E17" s="47" t="s">
        <v>287</v>
      </c>
      <c r="F17" s="46">
        <v>7.4849445579765872</v>
      </c>
      <c r="G17" s="47" t="s">
        <v>378</v>
      </c>
      <c r="H17" s="46">
        <v>9.3506473405287736</v>
      </c>
    </row>
    <row r="18" spans="1:8">
      <c r="A18" s="47" t="s">
        <v>119</v>
      </c>
      <c r="B18" s="46">
        <v>7.9278491529989887</v>
      </c>
      <c r="C18" s="47" t="s">
        <v>205</v>
      </c>
      <c r="D18" s="46">
        <v>7.4849445579765872</v>
      </c>
      <c r="E18" s="47" t="s">
        <v>291</v>
      </c>
      <c r="F18" s="46">
        <v>8.0398616593624403</v>
      </c>
      <c r="G18" s="47" t="s">
        <v>381</v>
      </c>
      <c r="H18" s="46">
        <v>7.6299580541576715</v>
      </c>
    </row>
    <row r="19" spans="1:8">
      <c r="A19" s="47" t="s">
        <v>122</v>
      </c>
      <c r="B19" s="46">
        <v>7.8841438340565286</v>
      </c>
      <c r="C19" s="47" t="s">
        <v>207</v>
      </c>
      <c r="D19" s="46">
        <v>7.9278491529989887</v>
      </c>
      <c r="E19" s="47" t="s">
        <v>293</v>
      </c>
      <c r="F19" s="46">
        <v>7.851142844238896</v>
      </c>
      <c r="G19" s="47" t="s">
        <v>384</v>
      </c>
      <c r="H19" s="46">
        <v>7.851142844238896</v>
      </c>
    </row>
    <row r="20" spans="1:8">
      <c r="A20" s="47" t="s">
        <v>125</v>
      </c>
      <c r="B20" s="46">
        <v>7.4412392390341271</v>
      </c>
      <c r="C20" s="47" t="s">
        <v>210</v>
      </c>
      <c r="D20" s="46">
        <v>7.4849445579765872</v>
      </c>
      <c r="E20" s="47" t="s">
        <v>296</v>
      </c>
      <c r="F20" s="46">
        <v>7.851142844238896</v>
      </c>
      <c r="G20" s="47" t="s">
        <v>387</v>
      </c>
      <c r="H20" s="46">
        <v>8.2940474392612984</v>
      </c>
    </row>
    <row r="21" spans="1:8">
      <c r="A21" s="47" t="s">
        <v>129</v>
      </c>
      <c r="B21" s="46">
        <v>8.2940474392612984</v>
      </c>
      <c r="C21" s="47" t="s">
        <v>212</v>
      </c>
      <c r="D21" s="46">
        <v>8.0398616593624403</v>
      </c>
      <c r="E21" s="47" t="s">
        <v>301</v>
      </c>
      <c r="F21" s="46">
        <v>7.851142844238896</v>
      </c>
      <c r="G21" s="47" t="s">
        <v>389</v>
      </c>
      <c r="H21" s="46">
        <v>7.4412392390341271</v>
      </c>
    </row>
    <row r="22" spans="1:8">
      <c r="A22" s="47" t="s">
        <v>132</v>
      </c>
      <c r="B22" s="46">
        <v>7.4849445579765872</v>
      </c>
      <c r="C22" s="47" t="s">
        <v>215</v>
      </c>
      <c r="D22" s="46">
        <v>7.6299580541576715</v>
      </c>
      <c r="E22" s="47" t="s">
        <v>303</v>
      </c>
      <c r="F22" s="46">
        <v>7.9278491529989887</v>
      </c>
      <c r="G22" s="47" t="s">
        <v>392</v>
      </c>
      <c r="H22" s="46">
        <v>7.4849445579765872</v>
      </c>
    </row>
    <row r="23" spans="1:8">
      <c r="A23" s="47" t="s">
        <v>135</v>
      </c>
      <c r="B23" s="46">
        <v>7.851142844238896</v>
      </c>
      <c r="C23" s="47" t="s">
        <v>217</v>
      </c>
      <c r="D23" s="46">
        <v>7.4412392390341271</v>
      </c>
      <c r="E23" s="47" t="s">
        <v>306</v>
      </c>
      <c r="F23" s="46">
        <v>8.3360477024888038</v>
      </c>
      <c r="G23" s="47" t="s">
        <v>394</v>
      </c>
      <c r="H23" s="46">
        <v>7.4849445579765872</v>
      </c>
    </row>
    <row r="24" spans="1:8">
      <c r="A24" s="47" t="s">
        <v>137</v>
      </c>
      <c r="B24" s="46">
        <v>7.4849445579765872</v>
      </c>
      <c r="C24" s="47" t="s">
        <v>221</v>
      </c>
      <c r="D24" s="46">
        <v>7.9278491529989887</v>
      </c>
      <c r="E24" s="47" t="s">
        <v>310</v>
      </c>
      <c r="F24" s="46">
        <v>7.4412392390341271</v>
      </c>
      <c r="G24" s="47" t="s">
        <v>396</v>
      </c>
      <c r="H24" s="46">
        <v>7.4412392390341271</v>
      </c>
    </row>
    <row r="25" spans="1:8">
      <c r="A25" s="47" t="s">
        <v>139</v>
      </c>
      <c r="B25" s="46">
        <v>7.4849445579765872</v>
      </c>
      <c r="C25" s="47" t="s">
        <v>223</v>
      </c>
      <c r="D25" s="46">
        <v>7.4849445579765872</v>
      </c>
      <c r="E25" s="47" t="s">
        <v>312</v>
      </c>
      <c r="F25" s="46">
        <v>7.4412392390341271</v>
      </c>
      <c r="G25" s="47" t="s">
        <v>398</v>
      </c>
      <c r="H25" s="46">
        <v>7.4412392390341271</v>
      </c>
    </row>
    <row r="26" spans="1:8">
      <c r="A26" s="47" t="s">
        <v>142</v>
      </c>
      <c r="B26" s="46">
        <v>8.0398616593624403</v>
      </c>
      <c r="C26" s="47" t="s">
        <v>227</v>
      </c>
      <c r="D26" s="46">
        <v>7.9278491529989887</v>
      </c>
      <c r="E26" s="47" t="s">
        <v>315</v>
      </c>
      <c r="F26" s="46">
        <v>7.851142844238896</v>
      </c>
      <c r="G26" s="47" t="s">
        <v>400</v>
      </c>
      <c r="H26" s="46">
        <v>7.4412392390341271</v>
      </c>
    </row>
    <row r="27" spans="1:8">
      <c r="A27" s="47" t="s">
        <v>145</v>
      </c>
      <c r="B27" s="46">
        <v>7.9278491529989887</v>
      </c>
      <c r="C27" s="47" t="s">
        <v>229</v>
      </c>
      <c r="D27" s="46">
        <v>8.0319315549461034</v>
      </c>
      <c r="E27" s="47" t="s">
        <v>318</v>
      </c>
      <c r="F27" s="46">
        <v>7.8841438340565286</v>
      </c>
      <c r="G27" s="47" t="s">
        <v>403</v>
      </c>
      <c r="H27" s="46">
        <v>7.9278491529989887</v>
      </c>
    </row>
    <row r="28" spans="1:8">
      <c r="A28" s="47" t="s">
        <v>148</v>
      </c>
      <c r="B28" s="46">
        <v>7.851142844238896</v>
      </c>
      <c r="C28" s="47" t="s">
        <v>231</v>
      </c>
      <c r="D28" s="46">
        <v>7.9278491529989887</v>
      </c>
      <c r="E28" s="47" t="s">
        <v>321</v>
      </c>
      <c r="F28" s="46">
        <v>7.851142844238896</v>
      </c>
      <c r="G28" s="47" t="s">
        <v>406</v>
      </c>
      <c r="H28" s="46">
        <v>7.4849445579765872</v>
      </c>
    </row>
    <row r="29" spans="1:8">
      <c r="A29" s="47" t="s">
        <v>151</v>
      </c>
      <c r="B29" s="46">
        <v>7.9278491529989887</v>
      </c>
      <c r="C29" s="47" t="s">
        <v>233</v>
      </c>
      <c r="D29" s="46">
        <v>7.9278491529989887</v>
      </c>
      <c r="E29" s="47" t="s">
        <v>324</v>
      </c>
      <c r="F29" s="46">
        <v>7.8841438340565286</v>
      </c>
      <c r="G29" s="47" t="s">
        <v>408</v>
      </c>
      <c r="H29" s="46">
        <v>7.4849445579765872</v>
      </c>
    </row>
    <row r="30" spans="1:8">
      <c r="A30" s="47" t="s">
        <v>154</v>
      </c>
      <c r="B30" s="46">
        <v>7.9278491529989887</v>
      </c>
      <c r="C30" s="47" t="s">
        <v>236</v>
      </c>
      <c r="D30" s="46">
        <v>7.4849445579765872</v>
      </c>
      <c r="E30" s="47" t="s">
        <v>327</v>
      </c>
      <c r="F30" s="46">
        <v>7.4849445579765872</v>
      </c>
      <c r="G30" s="47" t="s">
        <v>410</v>
      </c>
      <c r="H30" s="46">
        <v>7.4412392390341271</v>
      </c>
    </row>
    <row r="31" spans="1:8">
      <c r="A31" s="47" t="s">
        <v>157</v>
      </c>
      <c r="B31" s="46">
        <v>8.2940474392612984</v>
      </c>
      <c r="C31" s="47" t="s">
        <v>238</v>
      </c>
      <c r="D31" s="46">
        <v>7.9278491529989887</v>
      </c>
      <c r="E31" s="47" t="s">
        <v>331</v>
      </c>
      <c r="F31" s="46">
        <v>8.2206503700696469</v>
      </c>
      <c r="G31" s="47" t="s">
        <v>412</v>
      </c>
      <c r="H31" s="46">
        <v>7.4849445579765872</v>
      </c>
    </row>
    <row r="32" spans="1:8">
      <c r="A32" s="47" t="s">
        <v>159</v>
      </c>
      <c r="B32" s="46">
        <v>7.4849445579765872</v>
      </c>
      <c r="C32" s="47" t="s">
        <v>242</v>
      </c>
      <c r="D32" s="46">
        <v>7.4849445579765872</v>
      </c>
      <c r="E32" s="47" t="s">
        <v>335</v>
      </c>
      <c r="F32" s="46">
        <v>7.9278491529989887</v>
      </c>
      <c r="G32" s="47" t="s">
        <v>414</v>
      </c>
      <c r="H32" s="46">
        <v>7.4412392390341271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C2:T122"/>
  <sheetViews>
    <sheetView workbookViewId="0">
      <selection activeCell="D3" sqref="D3:D44"/>
    </sheetView>
  </sheetViews>
  <sheetFormatPr defaultRowHeight="15"/>
  <cols>
    <col min="1" max="2" width="9.140625" style="2"/>
    <col min="3" max="3" width="21.5703125" style="2" bestFit="1" customWidth="1"/>
    <col min="4" max="4" width="14.85546875" style="2" bestFit="1" customWidth="1"/>
    <col min="5" max="5" width="11.85546875" style="2" bestFit="1" customWidth="1"/>
    <col min="6" max="12" width="9.140625" style="2"/>
    <col min="13" max="13" width="28.85546875" style="2" customWidth="1"/>
    <col min="14" max="14" width="9.140625" style="2"/>
    <col min="15" max="15" width="14.85546875" style="2" bestFit="1" customWidth="1"/>
    <col min="16" max="16" width="9.140625" style="2"/>
    <col min="17" max="17" width="23" style="2" bestFit="1" customWidth="1"/>
    <col min="18" max="18" width="10.42578125" style="2" bestFit="1" customWidth="1"/>
    <col min="19" max="19" width="10.5703125" style="2" bestFit="1" customWidth="1"/>
    <col min="20" max="20" width="10.7109375" style="2" bestFit="1" customWidth="1"/>
    <col min="21" max="16384" width="9.140625" style="2"/>
  </cols>
  <sheetData>
    <row r="2" spans="3:20">
      <c r="C2" s="56" t="s">
        <v>505</v>
      </c>
      <c r="D2" s="56" t="s">
        <v>535</v>
      </c>
      <c r="E2" s="56" t="s">
        <v>537</v>
      </c>
      <c r="G2" s="2" t="s">
        <v>571</v>
      </c>
      <c r="H2" s="2" t="s">
        <v>572</v>
      </c>
      <c r="I2" s="2" t="s">
        <v>573</v>
      </c>
      <c r="J2" s="2" t="s">
        <v>574</v>
      </c>
    </row>
    <row r="3" spans="3:20">
      <c r="C3" s="56" t="s">
        <v>30</v>
      </c>
      <c r="D3" s="55">
        <v>7.4849445579765872</v>
      </c>
      <c r="E3" s="54">
        <v>7.2839999999999998</v>
      </c>
      <c r="G3" s="2">
        <f>IF(AND(D3&gt;=7,E3&gt;=7),1,0)</f>
        <v>1</v>
      </c>
      <c r="H3" s="2">
        <f>IF(AND(D3&lt;7,E3&lt;7),1,0)</f>
        <v>0</v>
      </c>
      <c r="I3" s="2">
        <f>IF(AND(D3&lt;7,E3&gt;=7),1,0)</f>
        <v>0</v>
      </c>
      <c r="J3" s="2">
        <f>IF(AND(D3&gt;=7,E3&lt;7),1,0)</f>
        <v>0</v>
      </c>
      <c r="N3" s="90" t="s">
        <v>535</v>
      </c>
      <c r="O3" s="90"/>
      <c r="P3" s="59"/>
      <c r="Q3" s="2" t="s">
        <v>575</v>
      </c>
      <c r="R3" s="2" t="s">
        <v>583</v>
      </c>
      <c r="S3" s="2" t="s">
        <v>578</v>
      </c>
      <c r="T3" s="2" t="s">
        <v>576</v>
      </c>
    </row>
    <row r="4" spans="3:20">
      <c r="C4" s="56" t="s">
        <v>46</v>
      </c>
      <c r="D4" s="55">
        <v>8.474836149968505</v>
      </c>
      <c r="E4" s="54">
        <v>10</v>
      </c>
      <c r="G4" s="2">
        <f t="shared" ref="G4:G44" si="0">IF(AND(D4&gt;=7,E4&gt;=7),1,0)</f>
        <v>1</v>
      </c>
      <c r="H4" s="2">
        <f t="shared" ref="H4:H44" si="1">IF(AND(D4&lt;7,E4&lt;7),1,0)</f>
        <v>0</v>
      </c>
      <c r="I4" s="2">
        <f t="shared" ref="I4:I44" si="2">IF(AND(D4&lt;7,E4&gt;=7),1,0)</f>
        <v>0</v>
      </c>
      <c r="J4" s="2">
        <f t="shared" ref="J4:J44" si="3">IF(AND(D4&gt;=7,E4&lt;7),1,0)</f>
        <v>0</v>
      </c>
      <c r="M4" s="89" t="s">
        <v>537</v>
      </c>
      <c r="Q4" s="60" t="s">
        <v>579</v>
      </c>
      <c r="R4" s="60" t="s">
        <v>580</v>
      </c>
      <c r="S4" s="60" t="s">
        <v>581</v>
      </c>
      <c r="T4" s="60" t="s">
        <v>582</v>
      </c>
    </row>
    <row r="5" spans="3:20">
      <c r="C5" s="56" t="s">
        <v>57</v>
      </c>
      <c r="D5" s="55">
        <v>7.4849445579765872</v>
      </c>
      <c r="E5" s="54">
        <v>7.6</v>
      </c>
      <c r="G5" s="2">
        <f t="shared" si="0"/>
        <v>1</v>
      </c>
      <c r="H5" s="2">
        <f t="shared" si="1"/>
        <v>0</v>
      </c>
      <c r="I5" s="2">
        <f t="shared" si="2"/>
        <v>0</v>
      </c>
      <c r="J5" s="2">
        <f t="shared" si="3"/>
        <v>0</v>
      </c>
      <c r="M5" s="89"/>
      <c r="Q5" s="2">
        <f>(O11+0)/(O11+0+0+N10)</f>
        <v>0.76190476190476186</v>
      </c>
      <c r="R5" s="2">
        <f>O11/(O11+N10)</f>
        <v>0.76190476190476186</v>
      </c>
      <c r="S5" s="2" t="s">
        <v>584</v>
      </c>
      <c r="T5" s="2">
        <f>O11/(O11+0)</f>
        <v>1</v>
      </c>
    </row>
    <row r="6" spans="3:20">
      <c r="C6" s="56" t="s">
        <v>64</v>
      </c>
      <c r="D6" s="55">
        <v>7.4412392390341271</v>
      </c>
      <c r="E6" s="54">
        <v>9</v>
      </c>
      <c r="G6" s="2">
        <f t="shared" si="0"/>
        <v>1</v>
      </c>
      <c r="H6" s="2">
        <f t="shared" si="1"/>
        <v>0</v>
      </c>
      <c r="I6" s="2">
        <f t="shared" si="2"/>
        <v>0</v>
      </c>
      <c r="J6" s="2">
        <f t="shared" si="3"/>
        <v>0</v>
      </c>
      <c r="M6" s="89"/>
    </row>
    <row r="7" spans="3:20">
      <c r="C7" s="56" t="s">
        <v>71</v>
      </c>
      <c r="D7" s="55">
        <v>7.9278491529989887</v>
      </c>
      <c r="E7" s="54">
        <v>7.9390000000000001</v>
      </c>
      <c r="G7" s="2">
        <f t="shared" si="0"/>
        <v>1</v>
      </c>
      <c r="H7" s="2">
        <f t="shared" si="1"/>
        <v>0</v>
      </c>
      <c r="I7" s="2">
        <f t="shared" si="2"/>
        <v>0</v>
      </c>
      <c r="J7" s="2">
        <f t="shared" si="3"/>
        <v>0</v>
      </c>
      <c r="M7" s="89"/>
    </row>
    <row r="8" spans="3:20" ht="45.75" customHeight="1">
      <c r="C8" s="56" t="s">
        <v>76</v>
      </c>
      <c r="D8" s="55">
        <v>7.9278491529989887</v>
      </c>
      <c r="E8" s="54">
        <v>8.1</v>
      </c>
      <c r="G8" s="2">
        <f t="shared" si="0"/>
        <v>1</v>
      </c>
      <c r="H8" s="2">
        <f t="shared" si="1"/>
        <v>0</v>
      </c>
      <c r="I8" s="2">
        <f t="shared" si="2"/>
        <v>0</v>
      </c>
      <c r="J8" s="2">
        <f t="shared" si="3"/>
        <v>0</v>
      </c>
      <c r="M8" s="89"/>
    </row>
    <row r="9" spans="3:20">
      <c r="C9" s="56" t="s">
        <v>81</v>
      </c>
      <c r="D9" s="55">
        <v>7.8841438340565286</v>
      </c>
      <c r="E9" s="54">
        <v>9.11</v>
      </c>
      <c r="G9" s="2">
        <f t="shared" si="0"/>
        <v>1</v>
      </c>
      <c r="H9" s="2">
        <f t="shared" si="1"/>
        <v>0</v>
      </c>
      <c r="I9" s="2">
        <f t="shared" si="2"/>
        <v>0</v>
      </c>
      <c r="J9" s="2">
        <f t="shared" si="3"/>
        <v>0</v>
      </c>
      <c r="M9" s="66" t="s">
        <v>585</v>
      </c>
      <c r="N9" s="66">
        <v>0</v>
      </c>
      <c r="O9" s="66">
        <v>1</v>
      </c>
    </row>
    <row r="10" spans="3:20">
      <c r="C10" s="56" t="s">
        <v>85</v>
      </c>
      <c r="D10" s="55">
        <v>7.4849445579765872</v>
      </c>
      <c r="E10" s="54">
        <v>7.46</v>
      </c>
      <c r="G10" s="2">
        <f t="shared" si="0"/>
        <v>1</v>
      </c>
      <c r="H10" s="2">
        <f t="shared" si="1"/>
        <v>0</v>
      </c>
      <c r="I10" s="2">
        <f t="shared" si="2"/>
        <v>0</v>
      </c>
      <c r="J10" s="2">
        <f t="shared" si="3"/>
        <v>0</v>
      </c>
      <c r="M10" s="66">
        <v>0</v>
      </c>
      <c r="N10" s="65">
        <v>10</v>
      </c>
      <c r="O10" s="65">
        <v>0</v>
      </c>
    </row>
    <row r="11" spans="3:20">
      <c r="C11" s="56" t="s">
        <v>89</v>
      </c>
      <c r="D11" s="55">
        <v>8.0319315549461034</v>
      </c>
      <c r="E11" s="54">
        <v>8.1869999999999994</v>
      </c>
      <c r="G11" s="2">
        <f t="shared" si="0"/>
        <v>1</v>
      </c>
      <c r="H11" s="2">
        <f t="shared" si="1"/>
        <v>0</v>
      </c>
      <c r="I11" s="2">
        <f t="shared" si="2"/>
        <v>0</v>
      </c>
      <c r="J11" s="2">
        <f t="shared" si="3"/>
        <v>0</v>
      </c>
      <c r="M11" s="66">
        <v>1</v>
      </c>
      <c r="N11" s="65">
        <v>0</v>
      </c>
      <c r="O11" s="65">
        <v>32</v>
      </c>
    </row>
    <row r="12" spans="3:20">
      <c r="C12" s="56" t="s">
        <v>94</v>
      </c>
      <c r="D12" s="55">
        <v>7.8841438340565286</v>
      </c>
      <c r="E12" s="54">
        <v>8.81</v>
      </c>
      <c r="G12" s="2">
        <f t="shared" si="0"/>
        <v>1</v>
      </c>
      <c r="H12" s="2">
        <f t="shared" si="1"/>
        <v>0</v>
      </c>
      <c r="I12" s="2">
        <f t="shared" si="2"/>
        <v>0</v>
      </c>
      <c r="J12" s="2">
        <f t="shared" si="3"/>
        <v>0</v>
      </c>
    </row>
    <row r="13" spans="3:20">
      <c r="C13" s="56" t="s">
        <v>416</v>
      </c>
      <c r="D13" s="55">
        <v>7.4849445579765872</v>
      </c>
      <c r="E13" s="54">
        <v>9</v>
      </c>
      <c r="G13" s="2">
        <f t="shared" si="0"/>
        <v>1</v>
      </c>
      <c r="H13" s="2">
        <f t="shared" si="1"/>
        <v>0</v>
      </c>
      <c r="I13" s="2">
        <f t="shared" si="2"/>
        <v>0</v>
      </c>
      <c r="J13" s="2">
        <f t="shared" si="3"/>
        <v>0</v>
      </c>
      <c r="M13" s="2" t="s">
        <v>575</v>
      </c>
    </row>
    <row r="14" spans="3:20">
      <c r="C14" s="56" t="s">
        <v>119</v>
      </c>
      <c r="D14" s="55">
        <v>7.9278491529989887</v>
      </c>
      <c r="E14" s="54">
        <v>6.1989999999999998</v>
      </c>
      <c r="G14" s="2">
        <f t="shared" si="0"/>
        <v>0</v>
      </c>
      <c r="H14" s="2">
        <f t="shared" si="1"/>
        <v>0</v>
      </c>
      <c r="I14" s="2">
        <f t="shared" si="2"/>
        <v>0</v>
      </c>
      <c r="J14" s="2">
        <f t="shared" si="3"/>
        <v>1</v>
      </c>
      <c r="M14" s="2" t="s">
        <v>576</v>
      </c>
    </row>
    <row r="15" spans="3:20">
      <c r="C15" s="56" t="s">
        <v>129</v>
      </c>
      <c r="D15" s="55">
        <v>8.2940474392612984</v>
      </c>
      <c r="E15" s="54">
        <v>7.5679999999999996</v>
      </c>
      <c r="G15" s="2">
        <f t="shared" si="0"/>
        <v>1</v>
      </c>
      <c r="H15" s="2">
        <f t="shared" si="1"/>
        <v>0</v>
      </c>
      <c r="I15" s="2">
        <f t="shared" si="2"/>
        <v>0</v>
      </c>
      <c r="J15" s="2">
        <f t="shared" si="3"/>
        <v>0</v>
      </c>
      <c r="M15" s="2" t="s">
        <v>577</v>
      </c>
    </row>
    <row r="16" spans="3:20">
      <c r="C16" s="56" t="s">
        <v>135</v>
      </c>
      <c r="D16" s="55">
        <v>7.851142844238896</v>
      </c>
      <c r="E16" s="54">
        <v>8.1010000000000009</v>
      </c>
      <c r="G16" s="2">
        <f t="shared" si="0"/>
        <v>1</v>
      </c>
      <c r="H16" s="2">
        <f t="shared" si="1"/>
        <v>0</v>
      </c>
      <c r="I16" s="2">
        <f t="shared" si="2"/>
        <v>0</v>
      </c>
      <c r="J16" s="2">
        <f t="shared" si="3"/>
        <v>0</v>
      </c>
      <c r="M16" s="2" t="s">
        <v>578</v>
      </c>
    </row>
    <row r="17" spans="3:10">
      <c r="C17" s="56" t="s">
        <v>139</v>
      </c>
      <c r="D17" s="55">
        <v>7.4849445579765872</v>
      </c>
      <c r="E17" s="54">
        <v>8.0500000000000007</v>
      </c>
      <c r="G17" s="2">
        <f t="shared" si="0"/>
        <v>1</v>
      </c>
      <c r="H17" s="2">
        <f t="shared" si="1"/>
        <v>0</v>
      </c>
      <c r="I17" s="2">
        <f t="shared" si="2"/>
        <v>0</v>
      </c>
      <c r="J17" s="2">
        <f t="shared" si="3"/>
        <v>0</v>
      </c>
    </row>
    <row r="18" spans="3:10">
      <c r="C18" s="56" t="s">
        <v>142</v>
      </c>
      <c r="D18" s="55">
        <v>8.0398616593624403</v>
      </c>
      <c r="E18" s="54">
        <v>8.7360000000000007</v>
      </c>
      <c r="G18" s="2">
        <f t="shared" si="0"/>
        <v>1</v>
      </c>
      <c r="H18" s="2">
        <f t="shared" si="1"/>
        <v>0</v>
      </c>
      <c r="I18" s="2">
        <f t="shared" si="2"/>
        <v>0</v>
      </c>
      <c r="J18" s="2">
        <f t="shared" si="3"/>
        <v>0</v>
      </c>
    </row>
    <row r="19" spans="3:10">
      <c r="C19" s="56" t="s">
        <v>148</v>
      </c>
      <c r="D19" s="55">
        <v>7.851142844238896</v>
      </c>
      <c r="E19" s="54">
        <v>8.6999999999999993</v>
      </c>
      <c r="G19" s="2">
        <f t="shared" si="0"/>
        <v>1</v>
      </c>
      <c r="H19" s="2">
        <f t="shared" si="1"/>
        <v>0</v>
      </c>
      <c r="I19" s="2">
        <f t="shared" si="2"/>
        <v>0</v>
      </c>
      <c r="J19" s="2">
        <f t="shared" si="3"/>
        <v>0</v>
      </c>
    </row>
    <row r="20" spans="3:10">
      <c r="C20" s="56" t="s">
        <v>151</v>
      </c>
      <c r="D20" s="55">
        <v>7.9278491529989887</v>
      </c>
      <c r="E20" s="54">
        <v>8.0299999999999994</v>
      </c>
      <c r="G20" s="2">
        <f t="shared" si="0"/>
        <v>1</v>
      </c>
      <c r="H20" s="2">
        <f t="shared" si="1"/>
        <v>0</v>
      </c>
      <c r="I20" s="2">
        <f t="shared" si="2"/>
        <v>0</v>
      </c>
      <c r="J20" s="2">
        <f t="shared" si="3"/>
        <v>0</v>
      </c>
    </row>
    <row r="21" spans="3:10">
      <c r="C21" s="56" t="s">
        <v>157</v>
      </c>
      <c r="D21" s="55">
        <v>8.2940474392612984</v>
      </c>
      <c r="E21" s="55">
        <v>5.8410000000000002</v>
      </c>
      <c r="G21" s="2">
        <f t="shared" si="0"/>
        <v>0</v>
      </c>
      <c r="H21" s="2">
        <f t="shared" si="1"/>
        <v>0</v>
      </c>
      <c r="I21" s="2">
        <f t="shared" si="2"/>
        <v>0</v>
      </c>
      <c r="J21" s="2">
        <f t="shared" si="3"/>
        <v>1</v>
      </c>
    </row>
    <row r="22" spans="3:10">
      <c r="C22" s="56" t="s">
        <v>159</v>
      </c>
      <c r="D22" s="55">
        <v>7.4849445579765872</v>
      </c>
      <c r="E22" s="55">
        <v>7.391</v>
      </c>
      <c r="G22" s="2">
        <f t="shared" si="0"/>
        <v>1</v>
      </c>
      <c r="H22" s="2">
        <f t="shared" si="1"/>
        <v>0</v>
      </c>
      <c r="I22" s="2">
        <f t="shared" si="2"/>
        <v>0</v>
      </c>
      <c r="J22" s="2">
        <f t="shared" si="3"/>
        <v>0</v>
      </c>
    </row>
    <row r="23" spans="3:10">
      <c r="C23" s="56" t="s">
        <v>166</v>
      </c>
      <c r="D23" s="55">
        <v>7.851142844238896</v>
      </c>
      <c r="E23" s="54">
        <v>7.2</v>
      </c>
      <c r="G23" s="2">
        <f t="shared" si="0"/>
        <v>1</v>
      </c>
      <c r="H23" s="2">
        <f t="shared" si="1"/>
        <v>0</v>
      </c>
      <c r="I23" s="2">
        <f t="shared" si="2"/>
        <v>0</v>
      </c>
      <c r="J23" s="2">
        <f t="shared" si="3"/>
        <v>0</v>
      </c>
    </row>
    <row r="24" spans="3:10">
      <c r="C24" s="56" t="s">
        <v>179</v>
      </c>
      <c r="D24" s="55">
        <v>7.851142844238896</v>
      </c>
      <c r="E24" s="55">
        <v>6.5540000000000003</v>
      </c>
      <c r="G24" s="2">
        <f t="shared" si="0"/>
        <v>0</v>
      </c>
      <c r="H24" s="2">
        <f t="shared" si="1"/>
        <v>0</v>
      </c>
      <c r="I24" s="2">
        <f t="shared" si="2"/>
        <v>0</v>
      </c>
      <c r="J24" s="2">
        <f t="shared" si="3"/>
        <v>1</v>
      </c>
    </row>
    <row r="25" spans="3:10">
      <c r="C25" s="56" t="s">
        <v>191</v>
      </c>
      <c r="D25" s="55">
        <v>7.9278491529989887</v>
      </c>
      <c r="E25" s="55">
        <v>7.8369999999999997</v>
      </c>
      <c r="G25" s="2">
        <f t="shared" si="0"/>
        <v>1</v>
      </c>
      <c r="H25" s="2">
        <f t="shared" si="1"/>
        <v>0</v>
      </c>
      <c r="I25" s="2">
        <f t="shared" si="2"/>
        <v>0</v>
      </c>
      <c r="J25" s="2">
        <f t="shared" si="3"/>
        <v>0</v>
      </c>
    </row>
    <row r="26" spans="3:10">
      <c r="C26" s="56" t="s">
        <v>203</v>
      </c>
      <c r="D26" s="55">
        <v>8.2940474392612984</v>
      </c>
      <c r="E26" s="54">
        <v>8.1890000000000001</v>
      </c>
      <c r="G26" s="2">
        <f t="shared" si="0"/>
        <v>1</v>
      </c>
      <c r="H26" s="2">
        <f t="shared" si="1"/>
        <v>0</v>
      </c>
      <c r="I26" s="2">
        <f t="shared" si="2"/>
        <v>0</v>
      </c>
      <c r="J26" s="2">
        <f t="shared" si="3"/>
        <v>0</v>
      </c>
    </row>
    <row r="27" spans="3:10">
      <c r="C27" s="56" t="s">
        <v>205</v>
      </c>
      <c r="D27" s="55">
        <v>7.4849445579765872</v>
      </c>
      <c r="E27" s="54">
        <v>7.5</v>
      </c>
      <c r="G27" s="2">
        <f t="shared" si="0"/>
        <v>1</v>
      </c>
      <c r="H27" s="2">
        <f t="shared" si="1"/>
        <v>0</v>
      </c>
      <c r="I27" s="2">
        <f t="shared" si="2"/>
        <v>0</v>
      </c>
      <c r="J27" s="2">
        <f t="shared" si="3"/>
        <v>0</v>
      </c>
    </row>
    <row r="28" spans="3:10">
      <c r="C28" s="56" t="s">
        <v>207</v>
      </c>
      <c r="D28" s="55">
        <v>7.9278491529989887</v>
      </c>
      <c r="E28" s="54">
        <v>6.6</v>
      </c>
      <c r="G28" s="2">
        <f t="shared" si="0"/>
        <v>0</v>
      </c>
      <c r="H28" s="2">
        <f t="shared" si="1"/>
        <v>0</v>
      </c>
      <c r="I28" s="2">
        <f t="shared" si="2"/>
        <v>0</v>
      </c>
      <c r="J28" s="2">
        <f t="shared" si="3"/>
        <v>1</v>
      </c>
    </row>
    <row r="29" spans="3:10">
      <c r="C29" s="56" t="s">
        <v>210</v>
      </c>
      <c r="D29" s="55">
        <v>7.4849445579765872</v>
      </c>
      <c r="E29" s="54">
        <v>7.1180000000000003</v>
      </c>
      <c r="G29" s="2">
        <f t="shared" si="0"/>
        <v>1</v>
      </c>
      <c r="H29" s="2">
        <f t="shared" si="1"/>
        <v>0</v>
      </c>
      <c r="I29" s="2">
        <f t="shared" si="2"/>
        <v>0</v>
      </c>
      <c r="J29" s="2">
        <f t="shared" si="3"/>
        <v>0</v>
      </c>
    </row>
    <row r="30" spans="3:10">
      <c r="C30" s="56" t="s">
        <v>215</v>
      </c>
      <c r="D30" s="55">
        <v>7.6299580541576715</v>
      </c>
      <c r="E30" s="54">
        <v>7</v>
      </c>
      <c r="G30" s="2">
        <f t="shared" si="0"/>
        <v>1</v>
      </c>
      <c r="H30" s="2">
        <f t="shared" si="1"/>
        <v>0</v>
      </c>
      <c r="I30" s="2">
        <f t="shared" si="2"/>
        <v>0</v>
      </c>
      <c r="J30" s="2">
        <f t="shared" si="3"/>
        <v>0</v>
      </c>
    </row>
    <row r="31" spans="3:10">
      <c r="C31" s="56" t="s">
        <v>223</v>
      </c>
      <c r="D31" s="55">
        <v>7.4849445579765872</v>
      </c>
      <c r="E31" s="54">
        <v>6.68</v>
      </c>
      <c r="G31" s="2">
        <f t="shared" si="0"/>
        <v>0</v>
      </c>
      <c r="H31" s="2">
        <f t="shared" si="1"/>
        <v>0</v>
      </c>
      <c r="I31" s="2">
        <f t="shared" si="2"/>
        <v>0</v>
      </c>
      <c r="J31" s="2">
        <f t="shared" si="3"/>
        <v>1</v>
      </c>
    </row>
    <row r="32" spans="3:10">
      <c r="C32" s="56" t="s">
        <v>233</v>
      </c>
      <c r="D32" s="55">
        <v>7.9278491529989887</v>
      </c>
      <c r="E32" s="54">
        <v>7.45</v>
      </c>
      <c r="G32" s="2">
        <f t="shared" si="0"/>
        <v>1</v>
      </c>
      <c r="H32" s="2">
        <f t="shared" si="1"/>
        <v>0</v>
      </c>
      <c r="I32" s="2">
        <f t="shared" si="2"/>
        <v>0</v>
      </c>
      <c r="J32" s="2">
        <f t="shared" si="3"/>
        <v>0</v>
      </c>
    </row>
    <row r="33" spans="3:10">
      <c r="C33" s="56" t="s">
        <v>238</v>
      </c>
      <c r="D33" s="55">
        <v>7.9278491529989887</v>
      </c>
      <c r="E33" s="54">
        <v>7.7249999999999996</v>
      </c>
      <c r="G33" s="2">
        <f t="shared" si="0"/>
        <v>1</v>
      </c>
      <c r="H33" s="2">
        <f t="shared" si="1"/>
        <v>0</v>
      </c>
      <c r="I33" s="2">
        <f t="shared" si="2"/>
        <v>0</v>
      </c>
      <c r="J33" s="2">
        <f t="shared" si="3"/>
        <v>0</v>
      </c>
    </row>
    <row r="34" spans="3:10">
      <c r="C34" s="56" t="s">
        <v>275</v>
      </c>
      <c r="D34" s="55">
        <v>7.4849445579765872</v>
      </c>
      <c r="E34" s="55">
        <v>8.6739999999999995</v>
      </c>
      <c r="G34" s="2">
        <f t="shared" si="0"/>
        <v>1</v>
      </c>
      <c r="H34" s="2">
        <f t="shared" si="1"/>
        <v>0</v>
      </c>
      <c r="I34" s="2">
        <f t="shared" si="2"/>
        <v>0</v>
      </c>
      <c r="J34" s="2">
        <f t="shared" si="3"/>
        <v>0</v>
      </c>
    </row>
    <row r="35" spans="3:10">
      <c r="C35" s="56" t="s">
        <v>277</v>
      </c>
      <c r="D35" s="55">
        <v>7.4849445579765872</v>
      </c>
      <c r="E35" s="55">
        <v>5.61</v>
      </c>
      <c r="G35" s="2">
        <f t="shared" si="0"/>
        <v>0</v>
      </c>
      <c r="H35" s="2">
        <f t="shared" si="1"/>
        <v>0</v>
      </c>
      <c r="I35" s="2">
        <f t="shared" si="2"/>
        <v>0</v>
      </c>
      <c r="J35" s="2">
        <f t="shared" si="3"/>
        <v>1</v>
      </c>
    </row>
    <row r="36" spans="3:10">
      <c r="C36" s="56" t="s">
        <v>291</v>
      </c>
      <c r="D36" s="55">
        <v>8.0398616593624403</v>
      </c>
      <c r="E36" s="54">
        <v>6.9009999999999998</v>
      </c>
      <c r="G36" s="2">
        <f t="shared" si="0"/>
        <v>0</v>
      </c>
      <c r="H36" s="2">
        <f t="shared" si="1"/>
        <v>0</v>
      </c>
      <c r="I36" s="2">
        <f t="shared" si="2"/>
        <v>0</v>
      </c>
      <c r="J36" s="2">
        <f t="shared" si="3"/>
        <v>1</v>
      </c>
    </row>
    <row r="37" spans="3:10">
      <c r="C37" s="56" t="s">
        <v>306</v>
      </c>
      <c r="D37" s="55">
        <v>8.3360477024888038</v>
      </c>
      <c r="E37" s="54">
        <v>8.9</v>
      </c>
      <c r="G37" s="2">
        <f t="shared" si="0"/>
        <v>1</v>
      </c>
      <c r="H37" s="2">
        <f t="shared" si="1"/>
        <v>0</v>
      </c>
      <c r="I37" s="2">
        <f t="shared" si="2"/>
        <v>0</v>
      </c>
      <c r="J37" s="2">
        <f t="shared" si="3"/>
        <v>0</v>
      </c>
    </row>
    <row r="38" spans="3:10">
      <c r="C38" s="56" t="s">
        <v>310</v>
      </c>
      <c r="D38" s="55">
        <v>7.4412392390341271</v>
      </c>
      <c r="E38" s="55">
        <v>7.056</v>
      </c>
      <c r="G38" s="2">
        <f t="shared" si="0"/>
        <v>1</v>
      </c>
      <c r="H38" s="2">
        <f t="shared" si="1"/>
        <v>0</v>
      </c>
      <c r="I38" s="2">
        <f t="shared" si="2"/>
        <v>0</v>
      </c>
      <c r="J38" s="2">
        <f t="shared" si="3"/>
        <v>0</v>
      </c>
    </row>
    <row r="39" spans="3:10">
      <c r="C39" s="56" t="s">
        <v>312</v>
      </c>
      <c r="D39" s="55">
        <v>7.4412392390341271</v>
      </c>
      <c r="E39" s="55">
        <v>5.984</v>
      </c>
      <c r="G39" s="2">
        <f t="shared" si="0"/>
        <v>0</v>
      </c>
      <c r="H39" s="2">
        <f t="shared" si="1"/>
        <v>0</v>
      </c>
      <c r="I39" s="2">
        <f t="shared" si="2"/>
        <v>0</v>
      </c>
      <c r="J39" s="2">
        <f t="shared" si="3"/>
        <v>1</v>
      </c>
    </row>
    <row r="40" spans="3:10">
      <c r="C40" s="56" t="s">
        <v>318</v>
      </c>
      <c r="D40" s="55">
        <v>7.8841438340565286</v>
      </c>
      <c r="E40" s="55">
        <v>5.968</v>
      </c>
      <c r="G40" s="2">
        <f t="shared" si="0"/>
        <v>0</v>
      </c>
      <c r="H40" s="2">
        <f t="shared" si="1"/>
        <v>0</v>
      </c>
      <c r="I40" s="2">
        <f t="shared" si="2"/>
        <v>0</v>
      </c>
      <c r="J40" s="2">
        <f t="shared" si="3"/>
        <v>1</v>
      </c>
    </row>
    <row r="41" spans="3:10">
      <c r="C41" s="56" t="s">
        <v>324</v>
      </c>
      <c r="D41" s="55">
        <v>7.8841438340565286</v>
      </c>
      <c r="E41" s="54">
        <v>9</v>
      </c>
      <c r="G41" s="2">
        <f t="shared" si="0"/>
        <v>1</v>
      </c>
      <c r="H41" s="2">
        <f t="shared" si="1"/>
        <v>0</v>
      </c>
      <c r="I41" s="2">
        <f t="shared" si="2"/>
        <v>0</v>
      </c>
      <c r="J41" s="2">
        <f t="shared" si="3"/>
        <v>0</v>
      </c>
    </row>
    <row r="42" spans="3:10">
      <c r="C42" s="56" t="s">
        <v>327</v>
      </c>
      <c r="D42" s="55">
        <v>7.4849445579765872</v>
      </c>
      <c r="E42" s="54">
        <v>6.6</v>
      </c>
      <c r="G42" s="2">
        <f t="shared" si="0"/>
        <v>0</v>
      </c>
      <c r="H42" s="2">
        <f t="shared" si="1"/>
        <v>0</v>
      </c>
      <c r="I42" s="2">
        <f t="shared" si="2"/>
        <v>0</v>
      </c>
      <c r="J42" s="2">
        <f t="shared" si="3"/>
        <v>1</v>
      </c>
    </row>
    <row r="43" spans="3:10">
      <c r="C43" s="56" t="s">
        <v>369</v>
      </c>
      <c r="D43" s="55">
        <v>7.851142844238896</v>
      </c>
      <c r="E43" s="54">
        <v>8.92</v>
      </c>
      <c r="G43" s="2">
        <f t="shared" si="0"/>
        <v>1</v>
      </c>
      <c r="H43" s="2">
        <f t="shared" si="1"/>
        <v>0</v>
      </c>
      <c r="I43" s="2">
        <f t="shared" si="2"/>
        <v>0</v>
      </c>
      <c r="J43" s="2">
        <f t="shared" si="3"/>
        <v>0</v>
      </c>
    </row>
    <row r="44" spans="3:10">
      <c r="C44" s="56" t="s">
        <v>375</v>
      </c>
      <c r="D44" s="55">
        <v>7.8841438340565286</v>
      </c>
      <c r="E44" s="54">
        <v>7.5</v>
      </c>
      <c r="G44" s="2">
        <f t="shared" si="0"/>
        <v>1</v>
      </c>
      <c r="H44" s="2">
        <f t="shared" si="1"/>
        <v>0</v>
      </c>
      <c r="I44" s="2">
        <f t="shared" si="2"/>
        <v>0</v>
      </c>
      <c r="J44" s="2">
        <f t="shared" si="3"/>
        <v>0</v>
      </c>
    </row>
    <row r="45" spans="3:10">
      <c r="G45" s="2">
        <f>SUM(G3:G44)</f>
        <v>32</v>
      </c>
      <c r="H45" s="2">
        <f t="shared" ref="H45:J45" si="4">SUM(H3:H44)</f>
        <v>0</v>
      </c>
      <c r="I45" s="2">
        <f t="shared" si="4"/>
        <v>0</v>
      </c>
      <c r="J45" s="2">
        <f t="shared" si="4"/>
        <v>10</v>
      </c>
    </row>
    <row r="47" spans="3:10">
      <c r="D47" s="45"/>
    </row>
    <row r="51" spans="4:4">
      <c r="D51" s="45"/>
    </row>
    <row r="53" spans="4:4">
      <c r="D53" s="45"/>
    </row>
    <row r="54" spans="4:4">
      <c r="D54" s="45"/>
    </row>
    <row r="56" spans="4:4">
      <c r="D56" s="45"/>
    </row>
    <row r="57" spans="4:4">
      <c r="D57" s="45"/>
    </row>
    <row r="58" spans="4:4">
      <c r="D58" s="45"/>
    </row>
    <row r="60" spans="4:4">
      <c r="D60" s="45"/>
    </row>
    <row r="62" spans="4:4">
      <c r="D62" s="45"/>
    </row>
    <row r="63" spans="4:4">
      <c r="D63" s="45"/>
    </row>
    <row r="64" spans="4:4">
      <c r="D64" s="45"/>
    </row>
    <row r="65" spans="4:4">
      <c r="D65" s="45"/>
    </row>
    <row r="66" spans="4:4">
      <c r="D66" s="45"/>
    </row>
    <row r="67" spans="4:4">
      <c r="D67" s="45"/>
    </row>
    <row r="68" spans="4:4">
      <c r="D68" s="45"/>
    </row>
    <row r="69" spans="4:4">
      <c r="D69" s="45"/>
    </row>
    <row r="70" spans="4:4">
      <c r="D70" s="45"/>
    </row>
    <row r="71" spans="4:4">
      <c r="D71" s="45"/>
    </row>
    <row r="72" spans="4:4">
      <c r="D72" s="45"/>
    </row>
    <row r="75" spans="4:4">
      <c r="D75" s="45"/>
    </row>
    <row r="76" spans="4:4">
      <c r="D76" s="45"/>
    </row>
    <row r="77" spans="4:4">
      <c r="D77" s="45"/>
    </row>
    <row r="79" spans="4:4">
      <c r="D79" s="45"/>
    </row>
    <row r="80" spans="4:4">
      <c r="D80" s="45"/>
    </row>
    <row r="81" spans="4:4">
      <c r="D81" s="45"/>
    </row>
    <row r="82" spans="4:4">
      <c r="D82" s="45"/>
    </row>
    <row r="88" spans="4:4">
      <c r="D88" s="45"/>
    </row>
    <row r="91" spans="4:4">
      <c r="D91" s="45"/>
    </row>
    <row r="92" spans="4:4">
      <c r="D92" s="45"/>
    </row>
    <row r="93" spans="4:4">
      <c r="D93" s="45"/>
    </row>
    <row r="94" spans="4:4">
      <c r="D94" s="45"/>
    </row>
    <row r="95" spans="4:4">
      <c r="D95" s="45"/>
    </row>
    <row r="97" spans="4:4">
      <c r="D97" s="45"/>
    </row>
    <row r="98" spans="4:4">
      <c r="D98" s="45"/>
    </row>
    <row r="99" spans="4:4">
      <c r="D99" s="45"/>
    </row>
    <row r="100" spans="4:4">
      <c r="D100" s="45"/>
    </row>
    <row r="101" spans="4:4">
      <c r="D101" s="45"/>
    </row>
    <row r="102" spans="4:4">
      <c r="D102" s="45"/>
    </row>
    <row r="103" spans="4:4">
      <c r="D103" s="45"/>
    </row>
    <row r="105" spans="4:4">
      <c r="D105" s="45"/>
    </row>
    <row r="107" spans="4:4">
      <c r="D107" s="45"/>
    </row>
    <row r="109" spans="4:4">
      <c r="D109" s="45"/>
    </row>
    <row r="110" spans="4:4">
      <c r="D110" s="45"/>
    </row>
    <row r="111" spans="4:4">
      <c r="D111" s="45"/>
    </row>
    <row r="112" spans="4:4">
      <c r="D112" s="45"/>
    </row>
    <row r="113" spans="4:4">
      <c r="D113" s="45"/>
    </row>
    <row r="114" spans="4:4">
      <c r="D114" s="45"/>
    </row>
    <row r="115" spans="4:4">
      <c r="D115" s="45"/>
    </row>
    <row r="116" spans="4:4">
      <c r="D116" s="45"/>
    </row>
    <row r="117" spans="4:4">
      <c r="D117" s="45"/>
    </row>
    <row r="118" spans="4:4">
      <c r="D118" s="45"/>
    </row>
    <row r="119" spans="4:4">
      <c r="D119" s="45"/>
    </row>
    <row r="120" spans="4:4">
      <c r="D120" s="45"/>
    </row>
    <row r="121" spans="4:4">
      <c r="D121" s="45"/>
    </row>
    <row r="122" spans="4:4">
      <c r="D122" s="45"/>
    </row>
  </sheetData>
  <mergeCells count="2">
    <mergeCell ref="M4:M8"/>
    <mergeCell ref="N3:O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C1:N167"/>
  <sheetViews>
    <sheetView topLeftCell="A137" workbookViewId="0">
      <selection activeCell="D37" sqref="D37:E157"/>
    </sheetView>
  </sheetViews>
  <sheetFormatPr defaultRowHeight="15"/>
  <cols>
    <col min="3" max="3" width="27.42578125" bestFit="1" customWidth="1"/>
    <col min="4" max="4" width="19.5703125" style="61" bestFit="1" customWidth="1"/>
    <col min="5" max="5" width="16.42578125" style="61" bestFit="1" customWidth="1"/>
    <col min="6" max="6" width="20.85546875" bestFit="1" customWidth="1"/>
    <col min="7" max="7" width="28.140625" bestFit="1" customWidth="1"/>
    <col min="8" max="8" width="16.42578125" bestFit="1" customWidth="1"/>
    <col min="9" max="9" width="21.5703125" bestFit="1" customWidth="1"/>
    <col min="10" max="10" width="19.5703125" bestFit="1" customWidth="1"/>
    <col min="11" max="11" width="25.140625" bestFit="1" customWidth="1"/>
    <col min="12" max="12" width="27.42578125" bestFit="1" customWidth="1"/>
    <col min="13" max="13" width="19.7109375" bestFit="1" customWidth="1"/>
    <col min="14" max="14" width="16.7109375" bestFit="1" customWidth="1"/>
  </cols>
  <sheetData>
    <row r="1" spans="3:14">
      <c r="C1" s="87" t="s">
        <v>587</v>
      </c>
      <c r="D1" s="87"/>
      <c r="E1" s="87"/>
      <c r="F1" s="87"/>
      <c r="G1" s="87"/>
      <c r="H1" s="87"/>
      <c r="I1" s="87"/>
      <c r="J1" s="87"/>
      <c r="K1" s="87"/>
      <c r="L1" s="87"/>
      <c r="M1" s="87"/>
      <c r="N1" s="87"/>
    </row>
    <row r="2" spans="3:14">
      <c r="C2" s="47" t="s">
        <v>505</v>
      </c>
      <c r="D2" s="70" t="s">
        <v>533</v>
      </c>
      <c r="E2" s="70" t="s">
        <v>586</v>
      </c>
      <c r="F2" s="47" t="s">
        <v>505</v>
      </c>
      <c r="G2" s="70" t="s">
        <v>533</v>
      </c>
      <c r="H2" s="70" t="s">
        <v>586</v>
      </c>
      <c r="I2" s="47" t="s">
        <v>505</v>
      </c>
      <c r="J2" s="70" t="s">
        <v>533</v>
      </c>
      <c r="K2" s="70" t="s">
        <v>586</v>
      </c>
      <c r="L2" s="47" t="s">
        <v>505</v>
      </c>
      <c r="M2" s="70" t="s">
        <v>533</v>
      </c>
      <c r="N2" s="70" t="s">
        <v>586</v>
      </c>
    </row>
    <row r="3" spans="3:14">
      <c r="C3" s="47" t="s">
        <v>30</v>
      </c>
      <c r="D3" s="69">
        <v>7.4849445579765872</v>
      </c>
      <c r="E3" s="69">
        <v>7.4</v>
      </c>
      <c r="F3" s="47" t="s">
        <v>163</v>
      </c>
      <c r="G3" s="69">
        <v>7.4412392390341271</v>
      </c>
      <c r="H3" s="69">
        <v>9.125</v>
      </c>
      <c r="I3" s="47" t="s">
        <v>245</v>
      </c>
      <c r="J3" s="69">
        <v>7.4849445579765872</v>
      </c>
      <c r="K3" s="69">
        <v>7.2750000000000004</v>
      </c>
      <c r="L3" s="47" t="s">
        <v>338</v>
      </c>
      <c r="M3" s="69">
        <v>7.6299580541576715</v>
      </c>
      <c r="N3" s="69">
        <v>6.65</v>
      </c>
    </row>
    <row r="4" spans="3:14">
      <c r="C4" s="47" t="s">
        <v>46</v>
      </c>
      <c r="D4" s="69">
        <v>8.474836149968505</v>
      </c>
      <c r="E4" s="69">
        <v>9.5174999999999983</v>
      </c>
      <c r="F4" s="47" t="s">
        <v>166</v>
      </c>
      <c r="G4" s="69">
        <v>7.851142844238896</v>
      </c>
      <c r="H4" s="69">
        <v>8.1875</v>
      </c>
      <c r="I4" s="47" t="s">
        <v>247</v>
      </c>
      <c r="J4" s="69">
        <v>7.6736633731001316</v>
      </c>
      <c r="K4" s="69">
        <v>7.8872499999999999</v>
      </c>
      <c r="L4" s="47" t="s">
        <v>340</v>
      </c>
      <c r="M4" s="69">
        <v>7.4849445579765872</v>
      </c>
      <c r="N4" s="69">
        <v>6.8549999999999995</v>
      </c>
    </row>
    <row r="5" spans="3:14">
      <c r="C5" s="47" t="s">
        <v>57</v>
      </c>
      <c r="D5" s="69">
        <v>7.4849445579765872</v>
      </c>
      <c r="E5" s="69">
        <v>7.6025</v>
      </c>
      <c r="F5" s="47" t="s">
        <v>169</v>
      </c>
      <c r="G5" s="69">
        <v>7.851142844238896</v>
      </c>
      <c r="H5" s="69">
        <v>8.125</v>
      </c>
      <c r="I5" s="47" t="s">
        <v>250</v>
      </c>
      <c r="J5" s="69">
        <v>7.9278491529989887</v>
      </c>
      <c r="K5" s="69">
        <v>9.8825000000000003</v>
      </c>
      <c r="L5" s="47" t="s">
        <v>342</v>
      </c>
      <c r="M5" s="69">
        <v>7.4849445579765872</v>
      </c>
      <c r="N5" s="69">
        <v>7.669999999999999</v>
      </c>
    </row>
    <row r="6" spans="3:14">
      <c r="C6" s="47" t="s">
        <v>64</v>
      </c>
      <c r="D6" s="69">
        <v>7.4412392390341271</v>
      </c>
      <c r="E6" s="69">
        <v>7.7949999999999999</v>
      </c>
      <c r="F6" s="47" t="s">
        <v>172</v>
      </c>
      <c r="G6" s="69">
        <v>7.4849445579765872</v>
      </c>
      <c r="H6" s="69">
        <v>6.2750000000000004</v>
      </c>
      <c r="I6" s="47" t="s">
        <v>254</v>
      </c>
      <c r="J6" s="69">
        <v>7.9278491529989887</v>
      </c>
      <c r="K6" s="69">
        <v>8.0749999999999993</v>
      </c>
      <c r="L6" s="47" t="s">
        <v>345</v>
      </c>
      <c r="M6" s="69">
        <v>9.3943526594712328</v>
      </c>
      <c r="N6" s="69">
        <v>9.4499999999999993</v>
      </c>
    </row>
    <row r="7" spans="3:14">
      <c r="C7" s="47" t="s">
        <v>71</v>
      </c>
      <c r="D7" s="69">
        <v>7.9278491529989887</v>
      </c>
      <c r="E7" s="69">
        <v>8.5749999999999993</v>
      </c>
      <c r="F7" s="47" t="s">
        <v>176</v>
      </c>
      <c r="G7" s="69">
        <v>7.851142844238896</v>
      </c>
      <c r="H7" s="69">
        <v>7.125</v>
      </c>
      <c r="I7" s="47" t="s">
        <v>257</v>
      </c>
      <c r="J7" s="69">
        <v>7.4849445579765872</v>
      </c>
      <c r="K7" s="69">
        <v>8.0399999999999991</v>
      </c>
      <c r="L7" s="47" t="s">
        <v>347</v>
      </c>
      <c r="M7" s="69">
        <v>7.4412392390341271</v>
      </c>
      <c r="N7" s="69">
        <v>9.1475000000000009</v>
      </c>
    </row>
    <row r="8" spans="3:14">
      <c r="C8" s="47" t="s">
        <v>76</v>
      </c>
      <c r="D8" s="69">
        <v>7.9278491529989887</v>
      </c>
      <c r="E8" s="69">
        <v>8.125</v>
      </c>
      <c r="F8" s="47" t="s">
        <v>179</v>
      </c>
      <c r="G8" s="69">
        <v>7.851142844238896</v>
      </c>
      <c r="H8" s="69">
        <v>6.5477499999999997</v>
      </c>
      <c r="I8" s="47" t="s">
        <v>261</v>
      </c>
      <c r="J8" s="69">
        <v>7.8841438340565286</v>
      </c>
      <c r="K8" s="69">
        <v>8.9975000000000005</v>
      </c>
      <c r="L8" s="47" t="s">
        <v>350</v>
      </c>
      <c r="M8" s="69">
        <v>7.851142844238896</v>
      </c>
      <c r="N8" s="69">
        <v>7.1344999999999992</v>
      </c>
    </row>
    <row r="9" spans="3:14">
      <c r="C9" s="47" t="s">
        <v>81</v>
      </c>
      <c r="D9" s="69">
        <v>7.8841438340565286</v>
      </c>
      <c r="E9" s="69">
        <v>8.17</v>
      </c>
      <c r="F9" s="47" t="s">
        <v>182</v>
      </c>
      <c r="G9" s="69">
        <v>8.2206503700696469</v>
      </c>
      <c r="H9" s="69">
        <v>7.7750000000000004</v>
      </c>
      <c r="I9" s="47" t="s">
        <v>265</v>
      </c>
      <c r="J9" s="69">
        <v>8.2940474392612984</v>
      </c>
      <c r="K9" s="69">
        <v>8.5249999999999986</v>
      </c>
      <c r="L9" s="47" t="s">
        <v>353</v>
      </c>
      <c r="M9" s="69">
        <v>7.4849445579765872</v>
      </c>
      <c r="N9" s="69">
        <v>6.8000000000000007</v>
      </c>
    </row>
    <row r="10" spans="3:14">
      <c r="C10" s="47" t="s">
        <v>85</v>
      </c>
      <c r="D10" s="69">
        <v>7.4849445579765872</v>
      </c>
      <c r="E10" s="69">
        <v>8.0500000000000007</v>
      </c>
      <c r="F10" s="47" t="s">
        <v>185</v>
      </c>
      <c r="G10" s="69">
        <v>8.2940474392612984</v>
      </c>
      <c r="H10" s="69">
        <v>8.0250000000000004</v>
      </c>
      <c r="I10" s="47" t="s">
        <v>268</v>
      </c>
      <c r="J10" s="69">
        <v>7.9278491529989887</v>
      </c>
      <c r="K10" s="69">
        <v>8.7124999999999986</v>
      </c>
      <c r="L10" s="47" t="s">
        <v>356</v>
      </c>
      <c r="M10" s="69">
        <v>7.851142844238896</v>
      </c>
      <c r="N10" s="69">
        <v>8.0950000000000006</v>
      </c>
    </row>
    <row r="11" spans="3:14">
      <c r="C11" s="47" t="s">
        <v>89</v>
      </c>
      <c r="D11" s="69">
        <v>8.0319315549461034</v>
      </c>
      <c r="E11" s="69">
        <v>8.2750000000000004</v>
      </c>
      <c r="F11" s="47" t="s">
        <v>188</v>
      </c>
      <c r="G11" s="69">
        <v>7.4849445579765872</v>
      </c>
      <c r="H11" s="69">
        <v>7.2750000000000004</v>
      </c>
      <c r="I11" s="47" t="s">
        <v>270</v>
      </c>
      <c r="J11" s="69">
        <v>7.4849445579765872</v>
      </c>
      <c r="K11" s="69">
        <v>8.0975000000000001</v>
      </c>
      <c r="L11" s="47" t="s">
        <v>359</v>
      </c>
      <c r="M11" s="69">
        <v>7.9278491529989887</v>
      </c>
      <c r="N11" s="69">
        <v>9.375</v>
      </c>
    </row>
    <row r="12" spans="3:14">
      <c r="C12" s="47" t="s">
        <v>94</v>
      </c>
      <c r="D12" s="69">
        <v>7.8841438340565286</v>
      </c>
      <c r="E12" s="69">
        <v>9.0749999999999993</v>
      </c>
      <c r="F12" s="47" t="s">
        <v>191</v>
      </c>
      <c r="G12" s="69">
        <v>7.9278491529989887</v>
      </c>
      <c r="H12" s="69">
        <v>7.7</v>
      </c>
      <c r="I12" s="47" t="s">
        <v>273</v>
      </c>
      <c r="J12" s="69">
        <v>7.4412392390341271</v>
      </c>
      <c r="K12" s="69">
        <v>7.7694999999999999</v>
      </c>
      <c r="L12" s="47" t="s">
        <v>362</v>
      </c>
      <c r="M12" s="69">
        <v>7.9278491529989887</v>
      </c>
      <c r="N12" s="69">
        <v>9.5</v>
      </c>
    </row>
    <row r="13" spans="3:14">
      <c r="C13" s="47" t="s">
        <v>416</v>
      </c>
      <c r="D13" s="69">
        <v>7.4849445579765872</v>
      </c>
      <c r="E13" s="69">
        <v>9.1325000000000003</v>
      </c>
      <c r="F13" s="47" t="s">
        <v>193</v>
      </c>
      <c r="G13" s="69">
        <v>7.4849445579765872</v>
      </c>
      <c r="H13" s="69">
        <v>5.8405000000000005</v>
      </c>
      <c r="I13" s="47" t="s">
        <v>275</v>
      </c>
      <c r="J13" s="69">
        <v>7.4849445579765872</v>
      </c>
      <c r="K13" s="69">
        <v>8.8500000000000014</v>
      </c>
      <c r="L13" s="47" t="s">
        <v>365</v>
      </c>
      <c r="M13" s="69">
        <v>7.851142844238896</v>
      </c>
      <c r="N13" s="69">
        <v>7.4750000000000005</v>
      </c>
    </row>
    <row r="14" spans="3:14">
      <c r="C14" s="47" t="s">
        <v>102</v>
      </c>
      <c r="D14" s="69">
        <v>8.7789522975112053</v>
      </c>
      <c r="E14" s="69">
        <v>7.7750000000000004</v>
      </c>
      <c r="F14" s="47" t="s">
        <v>57</v>
      </c>
      <c r="G14" s="69">
        <v>7.4412392390341271</v>
      </c>
      <c r="H14" s="69">
        <v>9.8125</v>
      </c>
      <c r="I14" s="47" t="s">
        <v>277</v>
      </c>
      <c r="J14" s="69">
        <v>7.4849445579765872</v>
      </c>
      <c r="K14" s="69">
        <v>6.4375</v>
      </c>
      <c r="L14" s="47" t="s">
        <v>369</v>
      </c>
      <c r="M14" s="69">
        <v>7.851142844238896</v>
      </c>
      <c r="N14" s="69">
        <v>9.1875</v>
      </c>
    </row>
    <row r="15" spans="3:14">
      <c r="C15" s="47" t="s">
        <v>106</v>
      </c>
      <c r="D15" s="69">
        <v>7.6736633731001316</v>
      </c>
      <c r="E15" s="69">
        <v>8.4499999999999993</v>
      </c>
      <c r="F15" s="47" t="s">
        <v>198</v>
      </c>
      <c r="G15" s="69">
        <v>7.6736633731001316</v>
      </c>
      <c r="H15" s="69">
        <v>6.5749999999999993</v>
      </c>
      <c r="I15" s="47" t="s">
        <v>280</v>
      </c>
      <c r="J15" s="69">
        <v>7.8841438340565286</v>
      </c>
      <c r="K15" s="69">
        <v>5.5749999999999993</v>
      </c>
      <c r="L15" s="47" t="s">
        <v>372</v>
      </c>
      <c r="M15" s="69">
        <v>7.4849445579765872</v>
      </c>
      <c r="N15" s="69">
        <v>8.7575000000000003</v>
      </c>
    </row>
    <row r="16" spans="3:14">
      <c r="C16" s="47" t="s">
        <v>110</v>
      </c>
      <c r="D16" s="69">
        <v>7.4412392390341271</v>
      </c>
      <c r="E16" s="69">
        <v>5.97</v>
      </c>
      <c r="F16" s="47" t="s">
        <v>201</v>
      </c>
      <c r="G16" s="69">
        <v>8.2940474392612984</v>
      </c>
      <c r="H16" s="69">
        <v>8.85</v>
      </c>
      <c r="I16" s="47" t="s">
        <v>284</v>
      </c>
      <c r="J16" s="69">
        <v>7.9278491529989887</v>
      </c>
      <c r="K16" s="69">
        <v>9.120000000000001</v>
      </c>
      <c r="L16" s="47" t="s">
        <v>375</v>
      </c>
      <c r="M16" s="69">
        <v>7.8841438340565286</v>
      </c>
      <c r="N16" s="69">
        <v>8.24</v>
      </c>
    </row>
    <row r="17" spans="3:14">
      <c r="C17" s="47" t="s">
        <v>115</v>
      </c>
      <c r="D17" s="69">
        <v>8.2940474392612984</v>
      </c>
      <c r="E17" s="69">
        <v>7.0540000000000003</v>
      </c>
      <c r="F17" s="47" t="s">
        <v>203</v>
      </c>
      <c r="G17" s="69">
        <v>8.2940474392612984</v>
      </c>
      <c r="H17" s="69">
        <v>8.6524999999999999</v>
      </c>
      <c r="I17" s="47" t="s">
        <v>287</v>
      </c>
      <c r="J17" s="69">
        <v>7.4849445579765872</v>
      </c>
      <c r="K17" s="69">
        <v>6.8249999999999993</v>
      </c>
      <c r="L17" s="47" t="s">
        <v>378</v>
      </c>
      <c r="M17" s="69">
        <v>9.3506473405287736</v>
      </c>
      <c r="N17" s="69">
        <v>9.2950000000000017</v>
      </c>
    </row>
    <row r="18" spans="3:14">
      <c r="C18" s="47" t="s">
        <v>119</v>
      </c>
      <c r="D18" s="69">
        <v>7.9278491529989887</v>
      </c>
      <c r="E18" s="69">
        <v>6.7750000000000004</v>
      </c>
      <c r="F18" s="47" t="s">
        <v>205</v>
      </c>
      <c r="G18" s="69">
        <v>7.4849445579765872</v>
      </c>
      <c r="H18" s="69">
        <v>7.7899999999999991</v>
      </c>
      <c r="I18" s="47" t="s">
        <v>291</v>
      </c>
      <c r="J18" s="69">
        <v>8.0398616593624403</v>
      </c>
      <c r="K18" s="69">
        <v>8.2250000000000014</v>
      </c>
      <c r="L18" s="47" t="s">
        <v>381</v>
      </c>
      <c r="M18" s="69">
        <v>7.6299580541576715</v>
      </c>
      <c r="N18" s="69">
        <v>7.75</v>
      </c>
    </row>
    <row r="19" spans="3:14">
      <c r="C19" s="47" t="s">
        <v>122</v>
      </c>
      <c r="D19" s="69">
        <v>7.8841438340565286</v>
      </c>
      <c r="E19" s="69">
        <v>8</v>
      </c>
      <c r="F19" s="47" t="s">
        <v>207</v>
      </c>
      <c r="G19" s="69">
        <v>7.9278491529989887</v>
      </c>
      <c r="H19" s="69">
        <v>7.4124999999999996</v>
      </c>
      <c r="I19" s="47" t="s">
        <v>293</v>
      </c>
      <c r="J19" s="69">
        <v>7.851142844238896</v>
      </c>
      <c r="K19" s="69">
        <v>8.0749999999999993</v>
      </c>
      <c r="L19" s="47" t="s">
        <v>384</v>
      </c>
      <c r="M19" s="69">
        <v>7.851142844238896</v>
      </c>
      <c r="N19" s="69">
        <v>8.3535000000000004</v>
      </c>
    </row>
    <row r="20" spans="3:14">
      <c r="C20" s="47" t="s">
        <v>125</v>
      </c>
      <c r="D20" s="69">
        <v>7.4412392390341271</v>
      </c>
      <c r="E20" s="69">
        <v>7.3682500000000006</v>
      </c>
      <c r="F20" s="47" t="s">
        <v>210</v>
      </c>
      <c r="G20" s="69">
        <v>7.4849445579765872</v>
      </c>
      <c r="H20" s="69">
        <v>7.544999999999999</v>
      </c>
      <c r="I20" s="47" t="s">
        <v>296</v>
      </c>
      <c r="J20" s="69">
        <v>7.851142844238896</v>
      </c>
      <c r="K20" s="69">
        <v>8.9274999999999984</v>
      </c>
      <c r="L20" s="47" t="s">
        <v>387</v>
      </c>
      <c r="M20" s="69">
        <v>8.2940474392612984</v>
      </c>
      <c r="N20" s="69">
        <v>8.10975</v>
      </c>
    </row>
    <row r="21" spans="3:14">
      <c r="C21" s="47" t="s">
        <v>129</v>
      </c>
      <c r="D21" s="69">
        <v>8.2940474392612984</v>
      </c>
      <c r="E21" s="69">
        <v>7.7749999999999995</v>
      </c>
      <c r="F21" s="47" t="s">
        <v>212</v>
      </c>
      <c r="G21" s="69">
        <v>8.0398616593624403</v>
      </c>
      <c r="H21" s="69">
        <v>9.5650000000000013</v>
      </c>
      <c r="I21" s="47" t="s">
        <v>301</v>
      </c>
      <c r="J21" s="69">
        <v>7.851142844238896</v>
      </c>
      <c r="K21" s="69">
        <v>7.1250000000000009</v>
      </c>
      <c r="L21" s="47" t="s">
        <v>389</v>
      </c>
      <c r="M21" s="69">
        <v>7.4412392390341271</v>
      </c>
      <c r="N21" s="69">
        <v>7.05</v>
      </c>
    </row>
    <row r="22" spans="3:14">
      <c r="C22" s="47" t="s">
        <v>132</v>
      </c>
      <c r="D22" s="69">
        <v>7.4849445579765872</v>
      </c>
      <c r="E22" s="69">
        <v>7.2465000000000002</v>
      </c>
      <c r="F22" s="47" t="s">
        <v>215</v>
      </c>
      <c r="G22" s="69">
        <v>7.6299580541576715</v>
      </c>
      <c r="H22" s="69">
        <v>7.2249999999999996</v>
      </c>
      <c r="I22" s="47" t="s">
        <v>303</v>
      </c>
      <c r="J22" s="69">
        <v>7.9278491529989887</v>
      </c>
      <c r="K22" s="69">
        <v>7.0475000000000003</v>
      </c>
      <c r="L22" s="47" t="s">
        <v>392</v>
      </c>
      <c r="M22" s="69">
        <v>7.4849445579765872</v>
      </c>
      <c r="N22" s="69">
        <v>7.4057500000000003</v>
      </c>
    </row>
    <row r="23" spans="3:14">
      <c r="C23" s="47" t="s">
        <v>135</v>
      </c>
      <c r="D23" s="69">
        <v>7.851142844238896</v>
      </c>
      <c r="E23" s="69">
        <v>8.1</v>
      </c>
      <c r="F23" s="47" t="s">
        <v>217</v>
      </c>
      <c r="G23" s="69">
        <v>7.4412392390341271</v>
      </c>
      <c r="H23" s="69">
        <v>6.4675000000000002</v>
      </c>
      <c r="I23" s="47" t="s">
        <v>306</v>
      </c>
      <c r="J23" s="69">
        <v>8.3360477024888038</v>
      </c>
      <c r="K23" s="69">
        <v>9.34</v>
      </c>
      <c r="L23" s="47" t="s">
        <v>394</v>
      </c>
      <c r="M23" s="69">
        <v>7.4849445579765872</v>
      </c>
      <c r="N23" s="69">
        <v>7.3612500000000001</v>
      </c>
    </row>
    <row r="24" spans="3:14">
      <c r="C24" s="47" t="s">
        <v>137</v>
      </c>
      <c r="D24" s="69">
        <v>7.4849445579765872</v>
      </c>
      <c r="E24" s="69">
        <v>7.5307499999999994</v>
      </c>
      <c r="F24" s="47" t="s">
        <v>221</v>
      </c>
      <c r="G24" s="69">
        <v>7.9278491529989887</v>
      </c>
      <c r="H24" s="69">
        <v>7.0249999999999995</v>
      </c>
      <c r="I24" s="47" t="s">
        <v>310</v>
      </c>
      <c r="J24" s="69">
        <v>7.4412392390341271</v>
      </c>
      <c r="K24" s="69">
        <v>7.5625</v>
      </c>
      <c r="L24" s="47" t="s">
        <v>396</v>
      </c>
      <c r="M24" s="69">
        <v>7.4412392390341271</v>
      </c>
      <c r="N24" s="69">
        <v>6.8</v>
      </c>
    </row>
    <row r="25" spans="3:14">
      <c r="C25" s="47" t="s">
        <v>139</v>
      </c>
      <c r="D25" s="69">
        <v>7.4849445579765872</v>
      </c>
      <c r="E25" s="69">
        <v>7.9125000000000005</v>
      </c>
      <c r="F25" s="47" t="s">
        <v>223</v>
      </c>
      <c r="G25" s="69">
        <v>7.4849445579765872</v>
      </c>
      <c r="H25" s="69">
        <v>6.8847500000000004</v>
      </c>
      <c r="I25" s="47" t="s">
        <v>312</v>
      </c>
      <c r="J25" s="69">
        <v>7.4412392390341271</v>
      </c>
      <c r="K25" s="69">
        <v>6.5750000000000002</v>
      </c>
      <c r="L25" s="47" t="s">
        <v>398</v>
      </c>
      <c r="M25" s="69">
        <v>7.4412392390341271</v>
      </c>
      <c r="N25" s="69">
        <v>7.4750000000000005</v>
      </c>
    </row>
    <row r="26" spans="3:14">
      <c r="C26" s="47" t="s">
        <v>142</v>
      </c>
      <c r="D26" s="69">
        <v>8.0398616593624403</v>
      </c>
      <c r="E26" s="69">
        <v>8.5820000000000007</v>
      </c>
      <c r="F26" s="47" t="s">
        <v>227</v>
      </c>
      <c r="G26" s="69">
        <v>7.9278491529989887</v>
      </c>
      <c r="H26" s="69">
        <v>7.2</v>
      </c>
      <c r="I26" s="47" t="s">
        <v>315</v>
      </c>
      <c r="J26" s="69">
        <v>7.851142844238896</v>
      </c>
      <c r="K26" s="69">
        <v>7.3249999999999993</v>
      </c>
      <c r="L26" s="47" t="s">
        <v>400</v>
      </c>
      <c r="M26" s="69">
        <v>7.4412392390341271</v>
      </c>
      <c r="N26" s="69">
        <v>7.1282499999999995</v>
      </c>
    </row>
    <row r="27" spans="3:14">
      <c r="C27" s="47" t="s">
        <v>145</v>
      </c>
      <c r="D27" s="69">
        <v>7.9278491529989887</v>
      </c>
      <c r="E27" s="69">
        <v>9.2999999999999989</v>
      </c>
      <c r="F27" s="47" t="s">
        <v>229</v>
      </c>
      <c r="G27" s="69">
        <v>8.0319315549461034</v>
      </c>
      <c r="H27" s="69">
        <v>7.625</v>
      </c>
      <c r="I27" s="47" t="s">
        <v>318</v>
      </c>
      <c r="J27" s="69">
        <v>7.8841438340565286</v>
      </c>
      <c r="K27" s="69">
        <v>7.7349999999999994</v>
      </c>
      <c r="L27" s="47" t="s">
        <v>403</v>
      </c>
      <c r="M27" s="69">
        <v>7.9278491529989887</v>
      </c>
      <c r="N27" s="69">
        <v>7.1582499999999998</v>
      </c>
    </row>
    <row r="28" spans="3:14">
      <c r="C28" s="47" t="s">
        <v>148</v>
      </c>
      <c r="D28" s="69">
        <v>7.851142844238896</v>
      </c>
      <c r="E28" s="69">
        <v>7.7887500000000003</v>
      </c>
      <c r="F28" s="47" t="s">
        <v>231</v>
      </c>
      <c r="G28" s="69">
        <v>7.9278491529989887</v>
      </c>
      <c r="H28" s="69">
        <v>7.2250000000000005</v>
      </c>
      <c r="I28" s="47" t="s">
        <v>321</v>
      </c>
      <c r="J28" s="69">
        <v>7.851142844238896</v>
      </c>
      <c r="K28" s="69">
        <v>8.3049999999999997</v>
      </c>
      <c r="L28" s="47" t="s">
        <v>406</v>
      </c>
      <c r="M28" s="69">
        <v>7.4849445579765872</v>
      </c>
      <c r="N28" s="69">
        <v>6.8250000000000002</v>
      </c>
    </row>
    <row r="29" spans="3:14">
      <c r="C29" s="47" t="s">
        <v>151</v>
      </c>
      <c r="D29" s="69">
        <v>7.9278491529989887</v>
      </c>
      <c r="E29" s="69">
        <v>8.0825000000000014</v>
      </c>
      <c r="F29" s="47" t="s">
        <v>233</v>
      </c>
      <c r="G29" s="69">
        <v>7.9278491529989887</v>
      </c>
      <c r="H29" s="69">
        <v>6.7249999999999996</v>
      </c>
      <c r="I29" s="47" t="s">
        <v>324</v>
      </c>
      <c r="J29" s="69">
        <v>7.8841438340565286</v>
      </c>
      <c r="K29" s="69">
        <v>8.34</v>
      </c>
      <c r="L29" s="47" t="s">
        <v>408</v>
      </c>
      <c r="M29" s="69">
        <v>7.4849445579765872</v>
      </c>
      <c r="N29" s="69">
        <v>7.4325000000000001</v>
      </c>
    </row>
    <row r="30" spans="3:14">
      <c r="C30" s="47" t="s">
        <v>154</v>
      </c>
      <c r="D30" s="69">
        <v>7.9278491529989887</v>
      </c>
      <c r="E30" s="69">
        <v>7.2</v>
      </c>
      <c r="F30" s="47" t="s">
        <v>236</v>
      </c>
      <c r="G30" s="69">
        <v>7.4849445579765872</v>
      </c>
      <c r="H30" s="69">
        <v>7.3874999999999993</v>
      </c>
      <c r="I30" s="47" t="s">
        <v>327</v>
      </c>
      <c r="J30" s="69">
        <v>7.4849445579765872</v>
      </c>
      <c r="K30" s="69">
        <v>7.4074999999999989</v>
      </c>
      <c r="L30" s="47" t="s">
        <v>410</v>
      </c>
      <c r="M30" s="69">
        <v>7.4412392390341271</v>
      </c>
      <c r="N30" s="69">
        <v>6.2249999999999996</v>
      </c>
    </row>
    <row r="31" spans="3:14">
      <c r="C31" s="47" t="s">
        <v>157</v>
      </c>
      <c r="D31" s="69">
        <v>8.2940474392612984</v>
      </c>
      <c r="E31" s="69">
        <v>6.8500000000000005</v>
      </c>
      <c r="F31" s="47" t="s">
        <v>238</v>
      </c>
      <c r="G31" s="69">
        <v>7.9278491529989887</v>
      </c>
      <c r="H31" s="69">
        <v>7.9249999999999998</v>
      </c>
      <c r="I31" s="47" t="s">
        <v>331</v>
      </c>
      <c r="J31" s="69">
        <v>8.2206503700696469</v>
      </c>
      <c r="K31" s="69">
        <v>7.7874999999999996</v>
      </c>
      <c r="L31" s="47" t="s">
        <v>412</v>
      </c>
      <c r="M31" s="69">
        <v>7.4849445579765872</v>
      </c>
      <c r="N31" s="69">
        <v>6.5250000000000004</v>
      </c>
    </row>
    <row r="32" spans="3:14">
      <c r="C32" s="47" t="s">
        <v>159</v>
      </c>
      <c r="D32" s="69">
        <v>7.4849445579765872</v>
      </c>
      <c r="E32" s="69">
        <v>7.2212499999999995</v>
      </c>
      <c r="F32" s="47" t="s">
        <v>242</v>
      </c>
      <c r="G32" s="69">
        <v>7.4849445579765872</v>
      </c>
      <c r="H32" s="69">
        <v>8.5</v>
      </c>
      <c r="I32" s="47" t="s">
        <v>335</v>
      </c>
      <c r="J32" s="69">
        <v>7.9278491529989887</v>
      </c>
      <c r="K32" s="69">
        <v>7.6850000000000005</v>
      </c>
      <c r="L32" s="47" t="s">
        <v>414</v>
      </c>
      <c r="M32" s="69">
        <v>7.4412392390341271</v>
      </c>
      <c r="N32" s="69">
        <v>7.05</v>
      </c>
    </row>
    <row r="37" spans="3:10">
      <c r="C37" s="47" t="s">
        <v>505</v>
      </c>
      <c r="D37" s="70" t="s">
        <v>533</v>
      </c>
      <c r="E37" s="70" t="s">
        <v>586</v>
      </c>
      <c r="G37" s="64" t="s">
        <v>571</v>
      </c>
      <c r="H37" s="64" t="s">
        <v>572</v>
      </c>
      <c r="I37" s="64" t="s">
        <v>573</v>
      </c>
      <c r="J37" s="64" t="s">
        <v>574</v>
      </c>
    </row>
    <row r="38" spans="3:10">
      <c r="C38" s="47" t="s">
        <v>30</v>
      </c>
      <c r="D38" s="69">
        <v>7.4849445579765872</v>
      </c>
      <c r="E38" s="69">
        <v>7.4</v>
      </c>
      <c r="G38">
        <f>IF(AND(D38&gt;=7,E38&gt;=7),1,0)</f>
        <v>1</v>
      </c>
      <c r="H38">
        <f>IF(AND(D38&lt;7,E38&lt;7),1,0)</f>
        <v>0</v>
      </c>
      <c r="I38">
        <f>IF(AND(D38&lt;7,E38&gt;=7),1,0)</f>
        <v>0</v>
      </c>
      <c r="J38">
        <f>IF(AND(D38&gt;=7,E38&lt;7),1,0)</f>
        <v>0</v>
      </c>
    </row>
    <row r="39" spans="3:10">
      <c r="C39" s="47" t="s">
        <v>46</v>
      </c>
      <c r="D39" s="69">
        <v>8.474836149968505</v>
      </c>
      <c r="E39" s="69">
        <v>9.5174999999999983</v>
      </c>
      <c r="G39">
        <f t="shared" ref="G39:G102" si="0">IF(AND(D39&gt;=7,E39&gt;=7),1,0)</f>
        <v>1</v>
      </c>
      <c r="H39">
        <f t="shared" ref="H39:H102" si="1">IF(AND(D39&lt;7,E39&lt;7),1,0)</f>
        <v>0</v>
      </c>
      <c r="I39">
        <f t="shared" ref="I39:I102" si="2">IF(AND(D39&lt;7,E39&gt;=7),1,0)</f>
        <v>0</v>
      </c>
      <c r="J39">
        <f t="shared" ref="J39:J102" si="3">IF(AND(D39&gt;=7,E39&lt;7),1,0)</f>
        <v>0</v>
      </c>
    </row>
    <row r="40" spans="3:10">
      <c r="C40" s="47" t="s">
        <v>57</v>
      </c>
      <c r="D40" s="69">
        <v>7.4849445579765872</v>
      </c>
      <c r="E40" s="69">
        <v>7.6025</v>
      </c>
      <c r="G40">
        <f t="shared" si="0"/>
        <v>1</v>
      </c>
      <c r="H40">
        <f t="shared" si="1"/>
        <v>0</v>
      </c>
      <c r="I40">
        <f t="shared" si="2"/>
        <v>0</v>
      </c>
      <c r="J40">
        <f t="shared" si="3"/>
        <v>0</v>
      </c>
    </row>
    <row r="41" spans="3:10">
      <c r="C41" s="47" t="s">
        <v>64</v>
      </c>
      <c r="D41" s="69">
        <v>7.4412392390341271</v>
      </c>
      <c r="E41" s="69">
        <v>7.7949999999999999</v>
      </c>
      <c r="G41">
        <f t="shared" si="0"/>
        <v>1</v>
      </c>
      <c r="H41">
        <f t="shared" si="1"/>
        <v>0</v>
      </c>
      <c r="I41">
        <f t="shared" si="2"/>
        <v>0</v>
      </c>
      <c r="J41">
        <f t="shared" si="3"/>
        <v>0</v>
      </c>
    </row>
    <row r="42" spans="3:10">
      <c r="C42" s="47" t="s">
        <v>71</v>
      </c>
      <c r="D42" s="69">
        <v>7.9278491529989887</v>
      </c>
      <c r="E42" s="69">
        <v>8.5749999999999993</v>
      </c>
      <c r="G42">
        <f t="shared" si="0"/>
        <v>1</v>
      </c>
      <c r="H42">
        <f t="shared" si="1"/>
        <v>0</v>
      </c>
      <c r="I42">
        <f t="shared" si="2"/>
        <v>0</v>
      </c>
      <c r="J42">
        <f t="shared" si="3"/>
        <v>0</v>
      </c>
    </row>
    <row r="43" spans="3:10">
      <c r="C43" s="47" t="s">
        <v>76</v>
      </c>
      <c r="D43" s="69">
        <v>7.9278491529989887</v>
      </c>
      <c r="E43" s="69">
        <v>8.125</v>
      </c>
      <c r="G43">
        <f t="shared" si="0"/>
        <v>1</v>
      </c>
      <c r="H43">
        <f t="shared" si="1"/>
        <v>0</v>
      </c>
      <c r="I43">
        <f t="shared" si="2"/>
        <v>0</v>
      </c>
      <c r="J43">
        <f t="shared" si="3"/>
        <v>0</v>
      </c>
    </row>
    <row r="44" spans="3:10">
      <c r="C44" s="47" t="s">
        <v>81</v>
      </c>
      <c r="D44" s="69">
        <v>7.8841438340565286</v>
      </c>
      <c r="E44" s="69">
        <v>8.17</v>
      </c>
      <c r="G44">
        <f t="shared" si="0"/>
        <v>1</v>
      </c>
      <c r="H44">
        <f t="shared" si="1"/>
        <v>0</v>
      </c>
      <c r="I44">
        <f t="shared" si="2"/>
        <v>0</v>
      </c>
      <c r="J44">
        <f t="shared" si="3"/>
        <v>0</v>
      </c>
    </row>
    <row r="45" spans="3:10">
      <c r="C45" s="47" t="s">
        <v>85</v>
      </c>
      <c r="D45" s="69">
        <v>7.4849445579765872</v>
      </c>
      <c r="E45" s="69">
        <v>8.0500000000000007</v>
      </c>
      <c r="G45">
        <f t="shared" si="0"/>
        <v>1</v>
      </c>
      <c r="H45">
        <f t="shared" si="1"/>
        <v>0</v>
      </c>
      <c r="I45">
        <f t="shared" si="2"/>
        <v>0</v>
      </c>
      <c r="J45">
        <f t="shared" si="3"/>
        <v>0</v>
      </c>
    </row>
    <row r="46" spans="3:10">
      <c r="C46" s="47" t="s">
        <v>89</v>
      </c>
      <c r="D46" s="69">
        <v>8.0319315549461034</v>
      </c>
      <c r="E46" s="69">
        <v>8.2750000000000004</v>
      </c>
      <c r="G46">
        <f t="shared" si="0"/>
        <v>1</v>
      </c>
      <c r="H46">
        <f t="shared" si="1"/>
        <v>0</v>
      </c>
      <c r="I46">
        <f t="shared" si="2"/>
        <v>0</v>
      </c>
      <c r="J46">
        <f t="shared" si="3"/>
        <v>0</v>
      </c>
    </row>
    <row r="47" spans="3:10">
      <c r="C47" s="47" t="s">
        <v>94</v>
      </c>
      <c r="D47" s="69">
        <v>7.8841438340565286</v>
      </c>
      <c r="E47" s="69">
        <v>9.0749999999999993</v>
      </c>
      <c r="G47">
        <f t="shared" si="0"/>
        <v>1</v>
      </c>
      <c r="H47">
        <f t="shared" si="1"/>
        <v>0</v>
      </c>
      <c r="I47">
        <f t="shared" si="2"/>
        <v>0</v>
      </c>
      <c r="J47">
        <f t="shared" si="3"/>
        <v>0</v>
      </c>
    </row>
    <row r="48" spans="3:10">
      <c r="C48" s="47" t="s">
        <v>416</v>
      </c>
      <c r="D48" s="69">
        <v>7.4849445579765872</v>
      </c>
      <c r="E48" s="69">
        <v>9.1325000000000003</v>
      </c>
      <c r="G48">
        <f t="shared" si="0"/>
        <v>1</v>
      </c>
      <c r="H48">
        <f t="shared" si="1"/>
        <v>0</v>
      </c>
      <c r="I48">
        <f t="shared" si="2"/>
        <v>0</v>
      </c>
      <c r="J48">
        <f t="shared" si="3"/>
        <v>0</v>
      </c>
    </row>
    <row r="49" spans="3:10">
      <c r="C49" s="47" t="s">
        <v>102</v>
      </c>
      <c r="D49" s="69">
        <v>8.7789522975112053</v>
      </c>
      <c r="E49" s="69">
        <v>7.7750000000000004</v>
      </c>
      <c r="G49">
        <f t="shared" si="0"/>
        <v>1</v>
      </c>
      <c r="H49">
        <f t="shared" si="1"/>
        <v>0</v>
      </c>
      <c r="I49">
        <f t="shared" si="2"/>
        <v>0</v>
      </c>
      <c r="J49">
        <f t="shared" si="3"/>
        <v>0</v>
      </c>
    </row>
    <row r="50" spans="3:10">
      <c r="C50" s="47" t="s">
        <v>106</v>
      </c>
      <c r="D50" s="69">
        <v>7.6736633731001316</v>
      </c>
      <c r="E50" s="69">
        <v>8.4499999999999993</v>
      </c>
      <c r="G50">
        <f t="shared" si="0"/>
        <v>1</v>
      </c>
      <c r="H50">
        <f t="shared" si="1"/>
        <v>0</v>
      </c>
      <c r="I50">
        <f t="shared" si="2"/>
        <v>0</v>
      </c>
      <c r="J50">
        <f t="shared" si="3"/>
        <v>0</v>
      </c>
    </row>
    <row r="51" spans="3:10">
      <c r="C51" s="47" t="s">
        <v>110</v>
      </c>
      <c r="D51" s="69">
        <v>7.4412392390341271</v>
      </c>
      <c r="E51" s="69">
        <v>5.97</v>
      </c>
      <c r="G51">
        <f t="shared" si="0"/>
        <v>0</v>
      </c>
      <c r="H51">
        <f t="shared" si="1"/>
        <v>0</v>
      </c>
      <c r="I51">
        <f t="shared" si="2"/>
        <v>0</v>
      </c>
      <c r="J51">
        <f t="shared" si="3"/>
        <v>1</v>
      </c>
    </row>
    <row r="52" spans="3:10">
      <c r="C52" s="47" t="s">
        <v>115</v>
      </c>
      <c r="D52" s="69">
        <v>8.2940474392612984</v>
      </c>
      <c r="E52" s="69">
        <v>7.0540000000000003</v>
      </c>
      <c r="G52">
        <f t="shared" si="0"/>
        <v>1</v>
      </c>
      <c r="H52">
        <f t="shared" si="1"/>
        <v>0</v>
      </c>
      <c r="I52">
        <f t="shared" si="2"/>
        <v>0</v>
      </c>
      <c r="J52">
        <f t="shared" si="3"/>
        <v>0</v>
      </c>
    </row>
    <row r="53" spans="3:10">
      <c r="C53" s="47" t="s">
        <v>119</v>
      </c>
      <c r="D53" s="69">
        <v>7.9278491529989887</v>
      </c>
      <c r="E53" s="69">
        <v>6.7750000000000004</v>
      </c>
      <c r="G53">
        <f t="shared" si="0"/>
        <v>0</v>
      </c>
      <c r="H53">
        <f t="shared" si="1"/>
        <v>0</v>
      </c>
      <c r="I53">
        <f t="shared" si="2"/>
        <v>0</v>
      </c>
      <c r="J53">
        <f t="shared" si="3"/>
        <v>1</v>
      </c>
    </row>
    <row r="54" spans="3:10">
      <c r="C54" s="47" t="s">
        <v>122</v>
      </c>
      <c r="D54" s="69">
        <v>7.8841438340565286</v>
      </c>
      <c r="E54" s="69">
        <v>8</v>
      </c>
      <c r="G54">
        <f t="shared" si="0"/>
        <v>1</v>
      </c>
      <c r="H54">
        <f t="shared" si="1"/>
        <v>0</v>
      </c>
      <c r="I54">
        <f t="shared" si="2"/>
        <v>0</v>
      </c>
      <c r="J54">
        <f t="shared" si="3"/>
        <v>0</v>
      </c>
    </row>
    <row r="55" spans="3:10">
      <c r="C55" s="47" t="s">
        <v>125</v>
      </c>
      <c r="D55" s="69">
        <v>7.4412392390341271</v>
      </c>
      <c r="E55" s="69">
        <v>7.3682500000000006</v>
      </c>
      <c r="G55">
        <f t="shared" si="0"/>
        <v>1</v>
      </c>
      <c r="H55">
        <f t="shared" si="1"/>
        <v>0</v>
      </c>
      <c r="I55">
        <f t="shared" si="2"/>
        <v>0</v>
      </c>
      <c r="J55">
        <f t="shared" si="3"/>
        <v>0</v>
      </c>
    </row>
    <row r="56" spans="3:10">
      <c r="C56" s="47" t="s">
        <v>129</v>
      </c>
      <c r="D56" s="69">
        <v>8.2940474392612984</v>
      </c>
      <c r="E56" s="69">
        <v>7.7749999999999995</v>
      </c>
      <c r="G56">
        <f t="shared" si="0"/>
        <v>1</v>
      </c>
      <c r="H56">
        <f t="shared" si="1"/>
        <v>0</v>
      </c>
      <c r="I56">
        <f t="shared" si="2"/>
        <v>0</v>
      </c>
      <c r="J56">
        <f t="shared" si="3"/>
        <v>0</v>
      </c>
    </row>
    <row r="57" spans="3:10">
      <c r="C57" s="47" t="s">
        <v>132</v>
      </c>
      <c r="D57" s="69">
        <v>7.4849445579765872</v>
      </c>
      <c r="E57" s="69">
        <v>7.2465000000000002</v>
      </c>
      <c r="G57">
        <f t="shared" si="0"/>
        <v>1</v>
      </c>
      <c r="H57">
        <f t="shared" si="1"/>
        <v>0</v>
      </c>
      <c r="I57">
        <f t="shared" si="2"/>
        <v>0</v>
      </c>
      <c r="J57">
        <f t="shared" si="3"/>
        <v>0</v>
      </c>
    </row>
    <row r="58" spans="3:10">
      <c r="C58" s="47" t="s">
        <v>135</v>
      </c>
      <c r="D58" s="69">
        <v>7.851142844238896</v>
      </c>
      <c r="E58" s="69">
        <v>8.1</v>
      </c>
      <c r="G58">
        <f t="shared" si="0"/>
        <v>1</v>
      </c>
      <c r="H58">
        <f t="shared" si="1"/>
        <v>0</v>
      </c>
      <c r="I58">
        <f t="shared" si="2"/>
        <v>0</v>
      </c>
      <c r="J58">
        <f t="shared" si="3"/>
        <v>0</v>
      </c>
    </row>
    <row r="59" spans="3:10">
      <c r="C59" s="47" t="s">
        <v>137</v>
      </c>
      <c r="D59" s="69">
        <v>7.4849445579765872</v>
      </c>
      <c r="E59" s="69">
        <v>7.5307499999999994</v>
      </c>
      <c r="G59">
        <f t="shared" si="0"/>
        <v>1</v>
      </c>
      <c r="H59">
        <f t="shared" si="1"/>
        <v>0</v>
      </c>
      <c r="I59">
        <f t="shared" si="2"/>
        <v>0</v>
      </c>
      <c r="J59">
        <f t="shared" si="3"/>
        <v>0</v>
      </c>
    </row>
    <row r="60" spans="3:10">
      <c r="C60" s="47" t="s">
        <v>139</v>
      </c>
      <c r="D60" s="69">
        <v>7.4849445579765872</v>
      </c>
      <c r="E60" s="69">
        <v>7.9125000000000005</v>
      </c>
      <c r="G60">
        <f t="shared" si="0"/>
        <v>1</v>
      </c>
      <c r="H60">
        <f t="shared" si="1"/>
        <v>0</v>
      </c>
      <c r="I60">
        <f t="shared" si="2"/>
        <v>0</v>
      </c>
      <c r="J60">
        <f t="shared" si="3"/>
        <v>0</v>
      </c>
    </row>
    <row r="61" spans="3:10">
      <c r="C61" s="47" t="s">
        <v>142</v>
      </c>
      <c r="D61" s="69">
        <v>8.0398616593624403</v>
      </c>
      <c r="E61" s="69">
        <v>8.5820000000000007</v>
      </c>
      <c r="G61">
        <f t="shared" si="0"/>
        <v>1</v>
      </c>
      <c r="H61">
        <f t="shared" si="1"/>
        <v>0</v>
      </c>
      <c r="I61">
        <f t="shared" si="2"/>
        <v>0</v>
      </c>
      <c r="J61">
        <f t="shared" si="3"/>
        <v>0</v>
      </c>
    </row>
    <row r="62" spans="3:10">
      <c r="C62" s="47" t="s">
        <v>145</v>
      </c>
      <c r="D62" s="69">
        <v>7.9278491529989887</v>
      </c>
      <c r="E62" s="69">
        <v>9.2999999999999989</v>
      </c>
      <c r="G62">
        <f t="shared" si="0"/>
        <v>1</v>
      </c>
      <c r="H62">
        <f t="shared" si="1"/>
        <v>0</v>
      </c>
      <c r="I62">
        <f t="shared" si="2"/>
        <v>0</v>
      </c>
      <c r="J62">
        <f t="shared" si="3"/>
        <v>0</v>
      </c>
    </row>
    <row r="63" spans="3:10">
      <c r="C63" s="47" t="s">
        <v>148</v>
      </c>
      <c r="D63" s="69">
        <v>7.851142844238896</v>
      </c>
      <c r="E63" s="69">
        <v>7.7887500000000003</v>
      </c>
      <c r="G63">
        <f t="shared" si="0"/>
        <v>1</v>
      </c>
      <c r="H63">
        <f t="shared" si="1"/>
        <v>0</v>
      </c>
      <c r="I63">
        <f t="shared" si="2"/>
        <v>0</v>
      </c>
      <c r="J63">
        <f t="shared" si="3"/>
        <v>0</v>
      </c>
    </row>
    <row r="64" spans="3:10">
      <c r="C64" s="47" t="s">
        <v>151</v>
      </c>
      <c r="D64" s="69">
        <v>7.9278491529989887</v>
      </c>
      <c r="E64" s="69">
        <v>8.0825000000000014</v>
      </c>
      <c r="G64">
        <f t="shared" si="0"/>
        <v>1</v>
      </c>
      <c r="H64">
        <f t="shared" si="1"/>
        <v>0</v>
      </c>
      <c r="I64">
        <f t="shared" si="2"/>
        <v>0</v>
      </c>
      <c r="J64">
        <f t="shared" si="3"/>
        <v>0</v>
      </c>
    </row>
    <row r="65" spans="3:10">
      <c r="C65" s="47" t="s">
        <v>154</v>
      </c>
      <c r="D65" s="69">
        <v>7.9278491529989887</v>
      </c>
      <c r="E65" s="69">
        <v>7.2</v>
      </c>
      <c r="G65">
        <f t="shared" si="0"/>
        <v>1</v>
      </c>
      <c r="H65">
        <f t="shared" si="1"/>
        <v>0</v>
      </c>
      <c r="I65">
        <f t="shared" si="2"/>
        <v>0</v>
      </c>
      <c r="J65">
        <f t="shared" si="3"/>
        <v>0</v>
      </c>
    </row>
    <row r="66" spans="3:10">
      <c r="C66" s="47" t="s">
        <v>157</v>
      </c>
      <c r="D66" s="69">
        <v>8.2940474392612984</v>
      </c>
      <c r="E66" s="69">
        <v>6.8500000000000005</v>
      </c>
      <c r="G66">
        <f t="shared" si="0"/>
        <v>0</v>
      </c>
      <c r="H66">
        <f t="shared" si="1"/>
        <v>0</v>
      </c>
      <c r="I66">
        <f t="shared" si="2"/>
        <v>0</v>
      </c>
      <c r="J66">
        <f t="shared" si="3"/>
        <v>1</v>
      </c>
    </row>
    <row r="67" spans="3:10">
      <c r="C67" s="47" t="s">
        <v>159</v>
      </c>
      <c r="D67" s="69">
        <v>7.4849445579765872</v>
      </c>
      <c r="E67" s="69">
        <v>7.2212499999999995</v>
      </c>
      <c r="G67">
        <f t="shared" si="0"/>
        <v>1</v>
      </c>
      <c r="H67">
        <f t="shared" si="1"/>
        <v>0</v>
      </c>
      <c r="I67">
        <f t="shared" si="2"/>
        <v>0</v>
      </c>
      <c r="J67">
        <f t="shared" si="3"/>
        <v>0</v>
      </c>
    </row>
    <row r="68" spans="3:10">
      <c r="C68" s="47" t="s">
        <v>163</v>
      </c>
      <c r="D68" s="69">
        <v>7.4412392390341271</v>
      </c>
      <c r="E68" s="69">
        <v>9.125</v>
      </c>
      <c r="G68">
        <f t="shared" si="0"/>
        <v>1</v>
      </c>
      <c r="H68">
        <f t="shared" si="1"/>
        <v>0</v>
      </c>
      <c r="I68">
        <f t="shared" si="2"/>
        <v>0</v>
      </c>
      <c r="J68">
        <f t="shared" si="3"/>
        <v>0</v>
      </c>
    </row>
    <row r="69" spans="3:10">
      <c r="C69" s="47" t="s">
        <v>166</v>
      </c>
      <c r="D69" s="69">
        <v>7.851142844238896</v>
      </c>
      <c r="E69" s="69">
        <v>8.1875</v>
      </c>
      <c r="G69">
        <f t="shared" si="0"/>
        <v>1</v>
      </c>
      <c r="H69">
        <f t="shared" si="1"/>
        <v>0</v>
      </c>
      <c r="I69">
        <f t="shared" si="2"/>
        <v>0</v>
      </c>
      <c r="J69">
        <f t="shared" si="3"/>
        <v>0</v>
      </c>
    </row>
    <row r="70" spans="3:10">
      <c r="C70" s="47" t="s">
        <v>169</v>
      </c>
      <c r="D70" s="69">
        <v>7.851142844238896</v>
      </c>
      <c r="E70" s="69">
        <v>8.125</v>
      </c>
      <c r="G70">
        <f t="shared" si="0"/>
        <v>1</v>
      </c>
      <c r="H70">
        <f t="shared" si="1"/>
        <v>0</v>
      </c>
      <c r="I70">
        <f t="shared" si="2"/>
        <v>0</v>
      </c>
      <c r="J70">
        <f t="shared" si="3"/>
        <v>0</v>
      </c>
    </row>
    <row r="71" spans="3:10">
      <c r="C71" s="47" t="s">
        <v>172</v>
      </c>
      <c r="D71" s="69">
        <v>7.4849445579765872</v>
      </c>
      <c r="E71" s="69">
        <v>6.2750000000000004</v>
      </c>
      <c r="G71">
        <f t="shared" si="0"/>
        <v>0</v>
      </c>
      <c r="H71">
        <f t="shared" si="1"/>
        <v>0</v>
      </c>
      <c r="I71">
        <f t="shared" si="2"/>
        <v>0</v>
      </c>
      <c r="J71">
        <f t="shared" si="3"/>
        <v>1</v>
      </c>
    </row>
    <row r="72" spans="3:10">
      <c r="C72" s="47" t="s">
        <v>176</v>
      </c>
      <c r="D72" s="69">
        <v>7.851142844238896</v>
      </c>
      <c r="E72" s="69">
        <v>7.125</v>
      </c>
      <c r="G72">
        <f t="shared" si="0"/>
        <v>1</v>
      </c>
      <c r="H72">
        <f t="shared" si="1"/>
        <v>0</v>
      </c>
      <c r="I72">
        <f t="shared" si="2"/>
        <v>0</v>
      </c>
      <c r="J72">
        <f t="shared" si="3"/>
        <v>0</v>
      </c>
    </row>
    <row r="73" spans="3:10">
      <c r="C73" s="47" t="s">
        <v>179</v>
      </c>
      <c r="D73" s="69">
        <v>7.851142844238896</v>
      </c>
      <c r="E73" s="69">
        <v>6.5477499999999997</v>
      </c>
      <c r="G73">
        <f t="shared" si="0"/>
        <v>0</v>
      </c>
      <c r="H73">
        <f t="shared" si="1"/>
        <v>0</v>
      </c>
      <c r="I73">
        <f t="shared" si="2"/>
        <v>0</v>
      </c>
      <c r="J73">
        <f t="shared" si="3"/>
        <v>1</v>
      </c>
    </row>
    <row r="74" spans="3:10">
      <c r="C74" s="47" t="s">
        <v>182</v>
      </c>
      <c r="D74" s="69">
        <v>8.2206503700696469</v>
      </c>
      <c r="E74" s="69">
        <v>7.7750000000000004</v>
      </c>
      <c r="G74">
        <f t="shared" si="0"/>
        <v>1</v>
      </c>
      <c r="H74">
        <f t="shared" si="1"/>
        <v>0</v>
      </c>
      <c r="I74">
        <f t="shared" si="2"/>
        <v>0</v>
      </c>
      <c r="J74">
        <f t="shared" si="3"/>
        <v>0</v>
      </c>
    </row>
    <row r="75" spans="3:10">
      <c r="C75" s="47" t="s">
        <v>185</v>
      </c>
      <c r="D75" s="69">
        <v>8.2940474392612984</v>
      </c>
      <c r="E75" s="69">
        <v>8.0250000000000004</v>
      </c>
      <c r="G75">
        <f t="shared" si="0"/>
        <v>1</v>
      </c>
      <c r="H75">
        <f t="shared" si="1"/>
        <v>0</v>
      </c>
      <c r="I75">
        <f t="shared" si="2"/>
        <v>0</v>
      </c>
      <c r="J75">
        <f t="shared" si="3"/>
        <v>0</v>
      </c>
    </row>
    <row r="76" spans="3:10">
      <c r="C76" s="47" t="s">
        <v>188</v>
      </c>
      <c r="D76" s="69">
        <v>7.4849445579765872</v>
      </c>
      <c r="E76" s="69">
        <v>7.2750000000000004</v>
      </c>
      <c r="G76">
        <f t="shared" si="0"/>
        <v>1</v>
      </c>
      <c r="H76">
        <f t="shared" si="1"/>
        <v>0</v>
      </c>
      <c r="I76">
        <f t="shared" si="2"/>
        <v>0</v>
      </c>
      <c r="J76">
        <f t="shared" si="3"/>
        <v>0</v>
      </c>
    </row>
    <row r="77" spans="3:10">
      <c r="C77" s="47" t="s">
        <v>191</v>
      </c>
      <c r="D77" s="69">
        <v>7.9278491529989887</v>
      </c>
      <c r="E77" s="69">
        <v>7.7</v>
      </c>
      <c r="G77">
        <f t="shared" si="0"/>
        <v>1</v>
      </c>
      <c r="H77">
        <f t="shared" si="1"/>
        <v>0</v>
      </c>
      <c r="I77">
        <f t="shared" si="2"/>
        <v>0</v>
      </c>
      <c r="J77">
        <f t="shared" si="3"/>
        <v>0</v>
      </c>
    </row>
    <row r="78" spans="3:10">
      <c r="C78" s="47" t="s">
        <v>193</v>
      </c>
      <c r="D78" s="69">
        <v>7.4849445579765872</v>
      </c>
      <c r="E78" s="69">
        <v>5.8405000000000005</v>
      </c>
      <c r="G78">
        <f t="shared" si="0"/>
        <v>0</v>
      </c>
      <c r="H78">
        <f t="shared" si="1"/>
        <v>0</v>
      </c>
      <c r="I78">
        <f t="shared" si="2"/>
        <v>0</v>
      </c>
      <c r="J78">
        <f t="shared" si="3"/>
        <v>1</v>
      </c>
    </row>
    <row r="79" spans="3:10">
      <c r="C79" s="47" t="s">
        <v>57</v>
      </c>
      <c r="D79" s="69">
        <v>7.4412392390341271</v>
      </c>
      <c r="E79" s="69">
        <v>9.8125</v>
      </c>
      <c r="G79">
        <f t="shared" si="0"/>
        <v>1</v>
      </c>
      <c r="H79">
        <f t="shared" si="1"/>
        <v>0</v>
      </c>
      <c r="I79">
        <f t="shared" si="2"/>
        <v>0</v>
      </c>
      <c r="J79">
        <f t="shared" si="3"/>
        <v>0</v>
      </c>
    </row>
    <row r="80" spans="3:10">
      <c r="C80" s="47" t="s">
        <v>198</v>
      </c>
      <c r="D80" s="69">
        <v>7.6736633731001316</v>
      </c>
      <c r="E80" s="69">
        <v>6.5749999999999993</v>
      </c>
      <c r="G80">
        <f t="shared" si="0"/>
        <v>0</v>
      </c>
      <c r="H80">
        <f t="shared" si="1"/>
        <v>0</v>
      </c>
      <c r="I80">
        <f t="shared" si="2"/>
        <v>0</v>
      </c>
      <c r="J80">
        <f t="shared" si="3"/>
        <v>1</v>
      </c>
    </row>
    <row r="81" spans="3:10">
      <c r="C81" s="47" t="s">
        <v>201</v>
      </c>
      <c r="D81" s="69">
        <v>8.2940474392612984</v>
      </c>
      <c r="E81" s="69">
        <v>8.85</v>
      </c>
      <c r="G81">
        <f t="shared" si="0"/>
        <v>1</v>
      </c>
      <c r="H81">
        <f t="shared" si="1"/>
        <v>0</v>
      </c>
      <c r="I81">
        <f t="shared" si="2"/>
        <v>0</v>
      </c>
      <c r="J81">
        <f t="shared" si="3"/>
        <v>0</v>
      </c>
    </row>
    <row r="82" spans="3:10">
      <c r="C82" s="47" t="s">
        <v>203</v>
      </c>
      <c r="D82" s="69">
        <v>8.2940474392612984</v>
      </c>
      <c r="E82" s="69">
        <v>8.6524999999999999</v>
      </c>
      <c r="G82">
        <f t="shared" si="0"/>
        <v>1</v>
      </c>
      <c r="H82">
        <f t="shared" si="1"/>
        <v>0</v>
      </c>
      <c r="I82">
        <f t="shared" si="2"/>
        <v>0</v>
      </c>
      <c r="J82">
        <f t="shared" si="3"/>
        <v>0</v>
      </c>
    </row>
    <row r="83" spans="3:10">
      <c r="C83" s="47" t="s">
        <v>205</v>
      </c>
      <c r="D83" s="69">
        <v>7.4849445579765872</v>
      </c>
      <c r="E83" s="69">
        <v>7.7899999999999991</v>
      </c>
      <c r="G83">
        <f t="shared" si="0"/>
        <v>1</v>
      </c>
      <c r="H83">
        <f t="shared" si="1"/>
        <v>0</v>
      </c>
      <c r="I83">
        <f t="shared" si="2"/>
        <v>0</v>
      </c>
      <c r="J83">
        <f t="shared" si="3"/>
        <v>0</v>
      </c>
    </row>
    <row r="84" spans="3:10">
      <c r="C84" s="47" t="s">
        <v>207</v>
      </c>
      <c r="D84" s="69">
        <v>7.9278491529989887</v>
      </c>
      <c r="E84" s="69">
        <v>7.4124999999999996</v>
      </c>
      <c r="G84">
        <f t="shared" si="0"/>
        <v>1</v>
      </c>
      <c r="H84">
        <f t="shared" si="1"/>
        <v>0</v>
      </c>
      <c r="I84">
        <f t="shared" si="2"/>
        <v>0</v>
      </c>
      <c r="J84">
        <f t="shared" si="3"/>
        <v>0</v>
      </c>
    </row>
    <row r="85" spans="3:10">
      <c r="C85" s="47" t="s">
        <v>210</v>
      </c>
      <c r="D85" s="69">
        <v>7.4849445579765872</v>
      </c>
      <c r="E85" s="69">
        <v>7.544999999999999</v>
      </c>
      <c r="G85">
        <f t="shared" si="0"/>
        <v>1</v>
      </c>
      <c r="H85">
        <f t="shared" si="1"/>
        <v>0</v>
      </c>
      <c r="I85">
        <f t="shared" si="2"/>
        <v>0</v>
      </c>
      <c r="J85">
        <f t="shared" si="3"/>
        <v>0</v>
      </c>
    </row>
    <row r="86" spans="3:10">
      <c r="C86" s="47" t="s">
        <v>212</v>
      </c>
      <c r="D86" s="69">
        <v>8.0398616593624403</v>
      </c>
      <c r="E86" s="69">
        <v>9.5650000000000013</v>
      </c>
      <c r="G86">
        <f t="shared" si="0"/>
        <v>1</v>
      </c>
      <c r="H86">
        <f t="shared" si="1"/>
        <v>0</v>
      </c>
      <c r="I86">
        <f t="shared" si="2"/>
        <v>0</v>
      </c>
      <c r="J86">
        <f t="shared" si="3"/>
        <v>0</v>
      </c>
    </row>
    <row r="87" spans="3:10">
      <c r="C87" s="47" t="s">
        <v>215</v>
      </c>
      <c r="D87" s="69">
        <v>7.6299580541576715</v>
      </c>
      <c r="E87" s="69">
        <v>7.2249999999999996</v>
      </c>
      <c r="G87">
        <f t="shared" si="0"/>
        <v>1</v>
      </c>
      <c r="H87">
        <f t="shared" si="1"/>
        <v>0</v>
      </c>
      <c r="I87">
        <f t="shared" si="2"/>
        <v>0</v>
      </c>
      <c r="J87">
        <f t="shared" si="3"/>
        <v>0</v>
      </c>
    </row>
    <row r="88" spans="3:10">
      <c r="C88" s="47" t="s">
        <v>217</v>
      </c>
      <c r="D88" s="69">
        <v>7.4412392390341271</v>
      </c>
      <c r="E88" s="69">
        <v>6.4675000000000002</v>
      </c>
      <c r="G88">
        <f t="shared" si="0"/>
        <v>0</v>
      </c>
      <c r="H88">
        <f t="shared" si="1"/>
        <v>0</v>
      </c>
      <c r="I88">
        <f t="shared" si="2"/>
        <v>0</v>
      </c>
      <c r="J88">
        <f t="shared" si="3"/>
        <v>1</v>
      </c>
    </row>
    <row r="89" spans="3:10">
      <c r="C89" s="47" t="s">
        <v>221</v>
      </c>
      <c r="D89" s="69">
        <v>7.9278491529989887</v>
      </c>
      <c r="E89" s="69">
        <v>7.0249999999999995</v>
      </c>
      <c r="G89">
        <f t="shared" si="0"/>
        <v>1</v>
      </c>
      <c r="H89">
        <f t="shared" si="1"/>
        <v>0</v>
      </c>
      <c r="I89">
        <f t="shared" si="2"/>
        <v>0</v>
      </c>
      <c r="J89">
        <f t="shared" si="3"/>
        <v>0</v>
      </c>
    </row>
    <row r="90" spans="3:10">
      <c r="C90" s="47" t="s">
        <v>223</v>
      </c>
      <c r="D90" s="69">
        <v>7.4849445579765872</v>
      </c>
      <c r="E90" s="69">
        <v>6.8847500000000004</v>
      </c>
      <c r="G90">
        <f t="shared" si="0"/>
        <v>0</v>
      </c>
      <c r="H90">
        <f t="shared" si="1"/>
        <v>0</v>
      </c>
      <c r="I90">
        <f t="shared" si="2"/>
        <v>0</v>
      </c>
      <c r="J90">
        <f t="shared" si="3"/>
        <v>1</v>
      </c>
    </row>
    <row r="91" spans="3:10">
      <c r="C91" s="47" t="s">
        <v>227</v>
      </c>
      <c r="D91" s="69">
        <v>7.9278491529989887</v>
      </c>
      <c r="E91" s="69">
        <v>7.2</v>
      </c>
      <c r="G91">
        <f t="shared" si="0"/>
        <v>1</v>
      </c>
      <c r="H91">
        <f t="shared" si="1"/>
        <v>0</v>
      </c>
      <c r="I91">
        <f t="shared" si="2"/>
        <v>0</v>
      </c>
      <c r="J91">
        <f t="shared" si="3"/>
        <v>0</v>
      </c>
    </row>
    <row r="92" spans="3:10">
      <c r="C92" s="47" t="s">
        <v>229</v>
      </c>
      <c r="D92" s="69">
        <v>8.0319315549461034</v>
      </c>
      <c r="E92" s="69">
        <v>7.625</v>
      </c>
      <c r="G92">
        <f t="shared" si="0"/>
        <v>1</v>
      </c>
      <c r="H92">
        <f t="shared" si="1"/>
        <v>0</v>
      </c>
      <c r="I92">
        <f t="shared" si="2"/>
        <v>0</v>
      </c>
      <c r="J92">
        <f t="shared" si="3"/>
        <v>0</v>
      </c>
    </row>
    <row r="93" spans="3:10">
      <c r="C93" s="47" t="s">
        <v>231</v>
      </c>
      <c r="D93" s="69">
        <v>7.9278491529989887</v>
      </c>
      <c r="E93" s="69">
        <v>7.2250000000000005</v>
      </c>
      <c r="G93">
        <f t="shared" si="0"/>
        <v>1</v>
      </c>
      <c r="H93">
        <f t="shared" si="1"/>
        <v>0</v>
      </c>
      <c r="I93">
        <f t="shared" si="2"/>
        <v>0</v>
      </c>
      <c r="J93">
        <f t="shared" si="3"/>
        <v>0</v>
      </c>
    </row>
    <row r="94" spans="3:10">
      <c r="C94" s="47" t="s">
        <v>233</v>
      </c>
      <c r="D94" s="69">
        <v>7.9278491529989887</v>
      </c>
      <c r="E94" s="69">
        <v>6.7249999999999996</v>
      </c>
      <c r="G94">
        <f t="shared" si="0"/>
        <v>0</v>
      </c>
      <c r="H94">
        <f t="shared" si="1"/>
        <v>0</v>
      </c>
      <c r="I94">
        <f t="shared" si="2"/>
        <v>0</v>
      </c>
      <c r="J94">
        <f t="shared" si="3"/>
        <v>1</v>
      </c>
    </row>
    <row r="95" spans="3:10">
      <c r="C95" s="47" t="s">
        <v>236</v>
      </c>
      <c r="D95" s="69">
        <v>7.4849445579765872</v>
      </c>
      <c r="E95" s="69">
        <v>7.3874999999999993</v>
      </c>
      <c r="G95">
        <f t="shared" si="0"/>
        <v>1</v>
      </c>
      <c r="H95">
        <f t="shared" si="1"/>
        <v>0</v>
      </c>
      <c r="I95">
        <f t="shared" si="2"/>
        <v>0</v>
      </c>
      <c r="J95">
        <f t="shared" si="3"/>
        <v>0</v>
      </c>
    </row>
    <row r="96" spans="3:10">
      <c r="C96" s="47" t="s">
        <v>238</v>
      </c>
      <c r="D96" s="69">
        <v>7.9278491529989887</v>
      </c>
      <c r="E96" s="69">
        <v>7.9249999999999998</v>
      </c>
      <c r="G96">
        <f t="shared" si="0"/>
        <v>1</v>
      </c>
      <c r="H96">
        <f t="shared" si="1"/>
        <v>0</v>
      </c>
      <c r="I96">
        <f t="shared" si="2"/>
        <v>0</v>
      </c>
      <c r="J96">
        <f t="shared" si="3"/>
        <v>0</v>
      </c>
    </row>
    <row r="97" spans="3:10">
      <c r="C97" s="47" t="s">
        <v>242</v>
      </c>
      <c r="D97" s="69">
        <v>7.4849445579765872</v>
      </c>
      <c r="E97" s="69">
        <v>8.5</v>
      </c>
      <c r="G97">
        <f t="shared" si="0"/>
        <v>1</v>
      </c>
      <c r="H97">
        <f t="shared" si="1"/>
        <v>0</v>
      </c>
      <c r="I97">
        <f t="shared" si="2"/>
        <v>0</v>
      </c>
      <c r="J97">
        <f t="shared" si="3"/>
        <v>0</v>
      </c>
    </row>
    <row r="98" spans="3:10">
      <c r="C98" s="47" t="s">
        <v>245</v>
      </c>
      <c r="D98" s="69">
        <v>7.4849445579765872</v>
      </c>
      <c r="E98" s="69">
        <v>7.2750000000000004</v>
      </c>
      <c r="G98">
        <f t="shared" si="0"/>
        <v>1</v>
      </c>
      <c r="H98">
        <f t="shared" si="1"/>
        <v>0</v>
      </c>
      <c r="I98">
        <f t="shared" si="2"/>
        <v>0</v>
      </c>
      <c r="J98">
        <f t="shared" si="3"/>
        <v>0</v>
      </c>
    </row>
    <row r="99" spans="3:10">
      <c r="C99" s="47" t="s">
        <v>247</v>
      </c>
      <c r="D99" s="69">
        <v>7.6736633731001316</v>
      </c>
      <c r="E99" s="69">
        <v>7.8872499999999999</v>
      </c>
      <c r="G99">
        <f t="shared" si="0"/>
        <v>1</v>
      </c>
      <c r="H99">
        <f t="shared" si="1"/>
        <v>0</v>
      </c>
      <c r="I99">
        <f t="shared" si="2"/>
        <v>0</v>
      </c>
      <c r="J99">
        <f t="shared" si="3"/>
        <v>0</v>
      </c>
    </row>
    <row r="100" spans="3:10">
      <c r="C100" s="47" t="s">
        <v>250</v>
      </c>
      <c r="D100" s="69">
        <v>7.9278491529989887</v>
      </c>
      <c r="E100" s="69">
        <v>9.8825000000000003</v>
      </c>
      <c r="G100">
        <f t="shared" si="0"/>
        <v>1</v>
      </c>
      <c r="H100">
        <f t="shared" si="1"/>
        <v>0</v>
      </c>
      <c r="I100">
        <f t="shared" si="2"/>
        <v>0</v>
      </c>
      <c r="J100">
        <f t="shared" si="3"/>
        <v>0</v>
      </c>
    </row>
    <row r="101" spans="3:10">
      <c r="C101" s="47" t="s">
        <v>254</v>
      </c>
      <c r="D101" s="69">
        <v>7.9278491529989887</v>
      </c>
      <c r="E101" s="69">
        <v>8.0749999999999993</v>
      </c>
      <c r="G101">
        <f t="shared" si="0"/>
        <v>1</v>
      </c>
      <c r="H101">
        <f t="shared" si="1"/>
        <v>0</v>
      </c>
      <c r="I101">
        <f t="shared" si="2"/>
        <v>0</v>
      </c>
      <c r="J101">
        <f t="shared" si="3"/>
        <v>0</v>
      </c>
    </row>
    <row r="102" spans="3:10">
      <c r="C102" s="47" t="s">
        <v>257</v>
      </c>
      <c r="D102" s="69">
        <v>7.4849445579765872</v>
      </c>
      <c r="E102" s="69">
        <v>8.0399999999999991</v>
      </c>
      <c r="G102">
        <f t="shared" si="0"/>
        <v>1</v>
      </c>
      <c r="H102">
        <f t="shared" si="1"/>
        <v>0</v>
      </c>
      <c r="I102">
        <f t="shared" si="2"/>
        <v>0</v>
      </c>
      <c r="J102">
        <f t="shared" si="3"/>
        <v>0</v>
      </c>
    </row>
    <row r="103" spans="3:10">
      <c r="C103" s="47" t="s">
        <v>261</v>
      </c>
      <c r="D103" s="69">
        <v>7.8841438340565286</v>
      </c>
      <c r="E103" s="69">
        <v>8.9975000000000005</v>
      </c>
      <c r="G103">
        <f t="shared" ref="G103:G157" si="4">IF(AND(D103&gt;=7,E103&gt;=7),1,0)</f>
        <v>1</v>
      </c>
      <c r="H103">
        <f t="shared" ref="H103:H157" si="5">IF(AND(D103&lt;7,E103&lt;7),1,0)</f>
        <v>0</v>
      </c>
      <c r="I103">
        <f t="shared" ref="I103:I157" si="6">IF(AND(D103&lt;7,E103&gt;=7),1,0)</f>
        <v>0</v>
      </c>
      <c r="J103">
        <f t="shared" ref="J103:J157" si="7">IF(AND(D103&gt;=7,E103&lt;7),1,0)</f>
        <v>0</v>
      </c>
    </row>
    <row r="104" spans="3:10">
      <c r="C104" s="47" t="s">
        <v>265</v>
      </c>
      <c r="D104" s="69">
        <v>8.2940474392612984</v>
      </c>
      <c r="E104" s="69">
        <v>8.5249999999999986</v>
      </c>
      <c r="G104">
        <f t="shared" si="4"/>
        <v>1</v>
      </c>
      <c r="H104">
        <f t="shared" si="5"/>
        <v>0</v>
      </c>
      <c r="I104">
        <f t="shared" si="6"/>
        <v>0</v>
      </c>
      <c r="J104">
        <f t="shared" si="7"/>
        <v>0</v>
      </c>
    </row>
    <row r="105" spans="3:10">
      <c r="C105" s="47" t="s">
        <v>268</v>
      </c>
      <c r="D105" s="69">
        <v>7.9278491529989887</v>
      </c>
      <c r="E105" s="69">
        <v>8.7124999999999986</v>
      </c>
      <c r="G105">
        <f t="shared" si="4"/>
        <v>1</v>
      </c>
      <c r="H105">
        <f t="shared" si="5"/>
        <v>0</v>
      </c>
      <c r="I105">
        <f t="shared" si="6"/>
        <v>0</v>
      </c>
      <c r="J105">
        <f t="shared" si="7"/>
        <v>0</v>
      </c>
    </row>
    <row r="106" spans="3:10">
      <c r="C106" s="47" t="s">
        <v>270</v>
      </c>
      <c r="D106" s="69">
        <v>7.4849445579765872</v>
      </c>
      <c r="E106" s="69">
        <v>8.0975000000000001</v>
      </c>
      <c r="G106">
        <f t="shared" si="4"/>
        <v>1</v>
      </c>
      <c r="H106">
        <f t="shared" si="5"/>
        <v>0</v>
      </c>
      <c r="I106">
        <f t="shared" si="6"/>
        <v>0</v>
      </c>
      <c r="J106">
        <f t="shared" si="7"/>
        <v>0</v>
      </c>
    </row>
    <row r="107" spans="3:10">
      <c r="C107" s="47" t="s">
        <v>273</v>
      </c>
      <c r="D107" s="69">
        <v>7.4412392390341271</v>
      </c>
      <c r="E107" s="69">
        <v>7.7694999999999999</v>
      </c>
      <c r="G107">
        <f t="shared" si="4"/>
        <v>1</v>
      </c>
      <c r="H107">
        <f t="shared" si="5"/>
        <v>0</v>
      </c>
      <c r="I107">
        <f t="shared" si="6"/>
        <v>0</v>
      </c>
      <c r="J107">
        <f t="shared" si="7"/>
        <v>0</v>
      </c>
    </row>
    <row r="108" spans="3:10">
      <c r="C108" s="47" t="s">
        <v>275</v>
      </c>
      <c r="D108" s="69">
        <v>7.4849445579765872</v>
      </c>
      <c r="E108" s="69">
        <v>8.8500000000000014</v>
      </c>
      <c r="G108">
        <f t="shared" si="4"/>
        <v>1</v>
      </c>
      <c r="H108">
        <f t="shared" si="5"/>
        <v>0</v>
      </c>
      <c r="I108">
        <f t="shared" si="6"/>
        <v>0</v>
      </c>
      <c r="J108">
        <f t="shared" si="7"/>
        <v>0</v>
      </c>
    </row>
    <row r="109" spans="3:10">
      <c r="C109" s="47" t="s">
        <v>277</v>
      </c>
      <c r="D109" s="69">
        <v>7.4849445579765872</v>
      </c>
      <c r="E109" s="69">
        <v>6.4375</v>
      </c>
      <c r="G109">
        <f t="shared" si="4"/>
        <v>0</v>
      </c>
      <c r="H109">
        <f t="shared" si="5"/>
        <v>0</v>
      </c>
      <c r="I109">
        <f t="shared" si="6"/>
        <v>0</v>
      </c>
      <c r="J109">
        <f t="shared" si="7"/>
        <v>1</v>
      </c>
    </row>
    <row r="110" spans="3:10">
      <c r="C110" s="47" t="s">
        <v>280</v>
      </c>
      <c r="D110" s="69">
        <v>7.8841438340565286</v>
      </c>
      <c r="E110" s="69">
        <v>5.5749999999999993</v>
      </c>
      <c r="G110">
        <f t="shared" si="4"/>
        <v>0</v>
      </c>
      <c r="H110">
        <f t="shared" si="5"/>
        <v>0</v>
      </c>
      <c r="I110">
        <f t="shared" si="6"/>
        <v>0</v>
      </c>
      <c r="J110">
        <f t="shared" si="7"/>
        <v>1</v>
      </c>
    </row>
    <row r="111" spans="3:10">
      <c r="C111" s="47" t="s">
        <v>284</v>
      </c>
      <c r="D111" s="69">
        <v>7.9278491529989887</v>
      </c>
      <c r="E111" s="69">
        <v>9.120000000000001</v>
      </c>
      <c r="G111">
        <f t="shared" si="4"/>
        <v>1</v>
      </c>
      <c r="H111">
        <f t="shared" si="5"/>
        <v>0</v>
      </c>
      <c r="I111">
        <f t="shared" si="6"/>
        <v>0</v>
      </c>
      <c r="J111">
        <f t="shared" si="7"/>
        <v>0</v>
      </c>
    </row>
    <row r="112" spans="3:10">
      <c r="C112" s="47" t="s">
        <v>287</v>
      </c>
      <c r="D112" s="69">
        <v>7.4849445579765872</v>
      </c>
      <c r="E112" s="69">
        <v>6.8249999999999993</v>
      </c>
      <c r="G112">
        <f t="shared" si="4"/>
        <v>0</v>
      </c>
      <c r="H112">
        <f t="shared" si="5"/>
        <v>0</v>
      </c>
      <c r="I112">
        <f t="shared" si="6"/>
        <v>0</v>
      </c>
      <c r="J112">
        <f t="shared" si="7"/>
        <v>1</v>
      </c>
    </row>
    <row r="113" spans="3:10">
      <c r="C113" s="47" t="s">
        <v>291</v>
      </c>
      <c r="D113" s="69">
        <v>8.0398616593624403</v>
      </c>
      <c r="E113" s="69">
        <v>8.2250000000000014</v>
      </c>
      <c r="G113">
        <f t="shared" si="4"/>
        <v>1</v>
      </c>
      <c r="H113">
        <f t="shared" si="5"/>
        <v>0</v>
      </c>
      <c r="I113">
        <f t="shared" si="6"/>
        <v>0</v>
      </c>
      <c r="J113">
        <f t="shared" si="7"/>
        <v>0</v>
      </c>
    </row>
    <row r="114" spans="3:10">
      <c r="C114" s="47" t="s">
        <v>293</v>
      </c>
      <c r="D114" s="69">
        <v>7.851142844238896</v>
      </c>
      <c r="E114" s="69">
        <v>8.0749999999999993</v>
      </c>
      <c r="G114">
        <f t="shared" si="4"/>
        <v>1</v>
      </c>
      <c r="H114">
        <f t="shared" si="5"/>
        <v>0</v>
      </c>
      <c r="I114">
        <f t="shared" si="6"/>
        <v>0</v>
      </c>
      <c r="J114">
        <f t="shared" si="7"/>
        <v>0</v>
      </c>
    </row>
    <row r="115" spans="3:10">
      <c r="C115" s="47" t="s">
        <v>296</v>
      </c>
      <c r="D115" s="69">
        <v>7.851142844238896</v>
      </c>
      <c r="E115" s="69">
        <v>8.9274999999999984</v>
      </c>
      <c r="G115">
        <f t="shared" si="4"/>
        <v>1</v>
      </c>
      <c r="H115">
        <f t="shared" si="5"/>
        <v>0</v>
      </c>
      <c r="I115">
        <f t="shared" si="6"/>
        <v>0</v>
      </c>
      <c r="J115">
        <f t="shared" si="7"/>
        <v>0</v>
      </c>
    </row>
    <row r="116" spans="3:10">
      <c r="C116" s="47" t="s">
        <v>301</v>
      </c>
      <c r="D116" s="69">
        <v>7.851142844238896</v>
      </c>
      <c r="E116" s="69">
        <v>7.1250000000000009</v>
      </c>
      <c r="G116">
        <f t="shared" si="4"/>
        <v>1</v>
      </c>
      <c r="H116">
        <f t="shared" si="5"/>
        <v>0</v>
      </c>
      <c r="I116">
        <f t="shared" si="6"/>
        <v>0</v>
      </c>
      <c r="J116">
        <f t="shared" si="7"/>
        <v>0</v>
      </c>
    </row>
    <row r="117" spans="3:10">
      <c r="C117" s="47" t="s">
        <v>303</v>
      </c>
      <c r="D117" s="69">
        <v>7.9278491529989887</v>
      </c>
      <c r="E117" s="69">
        <v>7.0475000000000003</v>
      </c>
      <c r="G117">
        <f t="shared" si="4"/>
        <v>1</v>
      </c>
      <c r="H117">
        <f t="shared" si="5"/>
        <v>0</v>
      </c>
      <c r="I117">
        <f t="shared" si="6"/>
        <v>0</v>
      </c>
      <c r="J117">
        <f t="shared" si="7"/>
        <v>0</v>
      </c>
    </row>
    <row r="118" spans="3:10">
      <c r="C118" s="47" t="s">
        <v>306</v>
      </c>
      <c r="D118" s="69">
        <v>8.3360477024888038</v>
      </c>
      <c r="E118" s="69">
        <v>9.34</v>
      </c>
      <c r="G118">
        <f t="shared" si="4"/>
        <v>1</v>
      </c>
      <c r="H118">
        <f t="shared" si="5"/>
        <v>0</v>
      </c>
      <c r="I118">
        <f t="shared" si="6"/>
        <v>0</v>
      </c>
      <c r="J118">
        <f t="shared" si="7"/>
        <v>0</v>
      </c>
    </row>
    <row r="119" spans="3:10">
      <c r="C119" s="47" t="s">
        <v>310</v>
      </c>
      <c r="D119" s="69">
        <v>7.4412392390341271</v>
      </c>
      <c r="E119" s="69">
        <v>7.5625</v>
      </c>
      <c r="G119">
        <f t="shared" si="4"/>
        <v>1</v>
      </c>
      <c r="H119">
        <f t="shared" si="5"/>
        <v>0</v>
      </c>
      <c r="I119">
        <f t="shared" si="6"/>
        <v>0</v>
      </c>
      <c r="J119">
        <f t="shared" si="7"/>
        <v>0</v>
      </c>
    </row>
    <row r="120" spans="3:10">
      <c r="C120" s="47" t="s">
        <v>312</v>
      </c>
      <c r="D120" s="69">
        <v>7.4412392390341271</v>
      </c>
      <c r="E120" s="69">
        <v>6.5750000000000002</v>
      </c>
      <c r="G120">
        <f t="shared" si="4"/>
        <v>0</v>
      </c>
      <c r="H120">
        <f t="shared" si="5"/>
        <v>0</v>
      </c>
      <c r="I120">
        <f t="shared" si="6"/>
        <v>0</v>
      </c>
      <c r="J120">
        <f t="shared" si="7"/>
        <v>1</v>
      </c>
    </row>
    <row r="121" spans="3:10">
      <c r="C121" s="47" t="s">
        <v>315</v>
      </c>
      <c r="D121" s="69">
        <v>7.851142844238896</v>
      </c>
      <c r="E121" s="69">
        <v>7.3249999999999993</v>
      </c>
      <c r="G121">
        <f t="shared" si="4"/>
        <v>1</v>
      </c>
      <c r="H121">
        <f t="shared" si="5"/>
        <v>0</v>
      </c>
      <c r="I121">
        <f t="shared" si="6"/>
        <v>0</v>
      </c>
      <c r="J121">
        <f t="shared" si="7"/>
        <v>0</v>
      </c>
    </row>
    <row r="122" spans="3:10">
      <c r="C122" s="47" t="s">
        <v>318</v>
      </c>
      <c r="D122" s="69">
        <v>7.8841438340565286</v>
      </c>
      <c r="E122" s="69">
        <v>7.7349999999999994</v>
      </c>
      <c r="G122">
        <f t="shared" si="4"/>
        <v>1</v>
      </c>
      <c r="H122">
        <f t="shared" si="5"/>
        <v>0</v>
      </c>
      <c r="I122">
        <f t="shared" si="6"/>
        <v>0</v>
      </c>
      <c r="J122">
        <f t="shared" si="7"/>
        <v>0</v>
      </c>
    </row>
    <row r="123" spans="3:10">
      <c r="C123" s="47" t="s">
        <v>321</v>
      </c>
      <c r="D123" s="69">
        <v>7.851142844238896</v>
      </c>
      <c r="E123" s="69">
        <v>8.3049999999999997</v>
      </c>
      <c r="G123">
        <f t="shared" si="4"/>
        <v>1</v>
      </c>
      <c r="H123">
        <f t="shared" si="5"/>
        <v>0</v>
      </c>
      <c r="I123">
        <f t="shared" si="6"/>
        <v>0</v>
      </c>
      <c r="J123">
        <f t="shared" si="7"/>
        <v>0</v>
      </c>
    </row>
    <row r="124" spans="3:10">
      <c r="C124" s="47" t="s">
        <v>324</v>
      </c>
      <c r="D124" s="69">
        <v>7.8841438340565286</v>
      </c>
      <c r="E124" s="69">
        <v>8.34</v>
      </c>
      <c r="G124">
        <f t="shared" si="4"/>
        <v>1</v>
      </c>
      <c r="H124">
        <f t="shared" si="5"/>
        <v>0</v>
      </c>
      <c r="I124">
        <f t="shared" si="6"/>
        <v>0</v>
      </c>
      <c r="J124">
        <f t="shared" si="7"/>
        <v>0</v>
      </c>
    </row>
    <row r="125" spans="3:10">
      <c r="C125" s="47" t="s">
        <v>327</v>
      </c>
      <c r="D125" s="69">
        <v>7.4849445579765872</v>
      </c>
      <c r="E125" s="69">
        <v>7.4074999999999989</v>
      </c>
      <c r="G125">
        <f t="shared" si="4"/>
        <v>1</v>
      </c>
      <c r="H125">
        <f t="shared" si="5"/>
        <v>0</v>
      </c>
      <c r="I125">
        <f t="shared" si="6"/>
        <v>0</v>
      </c>
      <c r="J125">
        <f t="shared" si="7"/>
        <v>0</v>
      </c>
    </row>
    <row r="126" spans="3:10">
      <c r="C126" s="47" t="s">
        <v>331</v>
      </c>
      <c r="D126" s="69">
        <v>8.2206503700696469</v>
      </c>
      <c r="E126" s="69">
        <v>7.7874999999999996</v>
      </c>
      <c r="G126">
        <f t="shared" si="4"/>
        <v>1</v>
      </c>
      <c r="H126">
        <f t="shared" si="5"/>
        <v>0</v>
      </c>
      <c r="I126">
        <f t="shared" si="6"/>
        <v>0</v>
      </c>
      <c r="J126">
        <f t="shared" si="7"/>
        <v>0</v>
      </c>
    </row>
    <row r="127" spans="3:10">
      <c r="C127" s="47" t="s">
        <v>335</v>
      </c>
      <c r="D127" s="69">
        <v>7.9278491529989887</v>
      </c>
      <c r="E127" s="69">
        <v>7.6850000000000005</v>
      </c>
      <c r="G127">
        <f t="shared" si="4"/>
        <v>1</v>
      </c>
      <c r="H127">
        <f t="shared" si="5"/>
        <v>0</v>
      </c>
      <c r="I127">
        <f t="shared" si="6"/>
        <v>0</v>
      </c>
      <c r="J127">
        <f t="shared" si="7"/>
        <v>0</v>
      </c>
    </row>
    <row r="128" spans="3:10">
      <c r="C128" s="47" t="s">
        <v>338</v>
      </c>
      <c r="D128" s="69">
        <v>7.6299580541576715</v>
      </c>
      <c r="E128" s="69">
        <v>6.65</v>
      </c>
      <c r="G128">
        <f t="shared" si="4"/>
        <v>0</v>
      </c>
      <c r="H128">
        <f t="shared" si="5"/>
        <v>0</v>
      </c>
      <c r="I128">
        <f t="shared" si="6"/>
        <v>0</v>
      </c>
      <c r="J128">
        <f t="shared" si="7"/>
        <v>1</v>
      </c>
    </row>
    <row r="129" spans="3:10">
      <c r="C129" s="47" t="s">
        <v>340</v>
      </c>
      <c r="D129" s="69">
        <v>7.4849445579765872</v>
      </c>
      <c r="E129" s="69">
        <v>6.8549999999999995</v>
      </c>
      <c r="G129">
        <f t="shared" si="4"/>
        <v>0</v>
      </c>
      <c r="H129">
        <f t="shared" si="5"/>
        <v>0</v>
      </c>
      <c r="I129">
        <f t="shared" si="6"/>
        <v>0</v>
      </c>
      <c r="J129">
        <f t="shared" si="7"/>
        <v>1</v>
      </c>
    </row>
    <row r="130" spans="3:10">
      <c r="C130" s="47" t="s">
        <v>342</v>
      </c>
      <c r="D130" s="69">
        <v>7.4849445579765872</v>
      </c>
      <c r="E130" s="69">
        <v>7.669999999999999</v>
      </c>
      <c r="G130">
        <f t="shared" si="4"/>
        <v>1</v>
      </c>
      <c r="H130">
        <f t="shared" si="5"/>
        <v>0</v>
      </c>
      <c r="I130">
        <f t="shared" si="6"/>
        <v>0</v>
      </c>
      <c r="J130">
        <f t="shared" si="7"/>
        <v>0</v>
      </c>
    </row>
    <row r="131" spans="3:10">
      <c r="C131" s="47" t="s">
        <v>345</v>
      </c>
      <c r="D131" s="69">
        <v>9.3943526594712328</v>
      </c>
      <c r="E131" s="69">
        <v>9.4499999999999993</v>
      </c>
      <c r="G131">
        <f t="shared" si="4"/>
        <v>1</v>
      </c>
      <c r="H131">
        <f t="shared" si="5"/>
        <v>0</v>
      </c>
      <c r="I131">
        <f t="shared" si="6"/>
        <v>0</v>
      </c>
      <c r="J131">
        <f t="shared" si="7"/>
        <v>0</v>
      </c>
    </row>
    <row r="132" spans="3:10">
      <c r="C132" s="47" t="s">
        <v>347</v>
      </c>
      <c r="D132" s="69">
        <v>7.4412392390341271</v>
      </c>
      <c r="E132" s="69">
        <v>9.1475000000000009</v>
      </c>
      <c r="G132">
        <f t="shared" si="4"/>
        <v>1</v>
      </c>
      <c r="H132">
        <f t="shared" si="5"/>
        <v>0</v>
      </c>
      <c r="I132">
        <f t="shared" si="6"/>
        <v>0</v>
      </c>
      <c r="J132">
        <f t="shared" si="7"/>
        <v>0</v>
      </c>
    </row>
    <row r="133" spans="3:10">
      <c r="C133" s="47" t="s">
        <v>350</v>
      </c>
      <c r="D133" s="69">
        <v>7.851142844238896</v>
      </c>
      <c r="E133" s="69">
        <v>7.1344999999999992</v>
      </c>
      <c r="G133">
        <f t="shared" si="4"/>
        <v>1</v>
      </c>
      <c r="H133">
        <f t="shared" si="5"/>
        <v>0</v>
      </c>
      <c r="I133">
        <f t="shared" si="6"/>
        <v>0</v>
      </c>
      <c r="J133">
        <f t="shared" si="7"/>
        <v>0</v>
      </c>
    </row>
    <row r="134" spans="3:10">
      <c r="C134" s="47" t="s">
        <v>353</v>
      </c>
      <c r="D134" s="69">
        <v>7.4849445579765872</v>
      </c>
      <c r="E134" s="69">
        <v>6.8000000000000007</v>
      </c>
      <c r="G134">
        <f t="shared" si="4"/>
        <v>0</v>
      </c>
      <c r="H134">
        <f t="shared" si="5"/>
        <v>0</v>
      </c>
      <c r="I134">
        <f t="shared" si="6"/>
        <v>0</v>
      </c>
      <c r="J134">
        <f t="shared" si="7"/>
        <v>1</v>
      </c>
    </row>
    <row r="135" spans="3:10">
      <c r="C135" s="47" t="s">
        <v>356</v>
      </c>
      <c r="D135" s="69">
        <v>7.851142844238896</v>
      </c>
      <c r="E135" s="69">
        <v>8.0950000000000006</v>
      </c>
      <c r="G135">
        <f t="shared" si="4"/>
        <v>1</v>
      </c>
      <c r="H135">
        <f t="shared" si="5"/>
        <v>0</v>
      </c>
      <c r="I135">
        <f t="shared" si="6"/>
        <v>0</v>
      </c>
      <c r="J135">
        <f t="shared" si="7"/>
        <v>0</v>
      </c>
    </row>
    <row r="136" spans="3:10">
      <c r="C136" s="47" t="s">
        <v>359</v>
      </c>
      <c r="D136" s="69">
        <v>7.9278491529989887</v>
      </c>
      <c r="E136" s="69">
        <v>9.375</v>
      </c>
      <c r="G136">
        <f t="shared" si="4"/>
        <v>1</v>
      </c>
      <c r="H136">
        <f t="shared" si="5"/>
        <v>0</v>
      </c>
      <c r="I136">
        <f t="shared" si="6"/>
        <v>0</v>
      </c>
      <c r="J136">
        <f t="shared" si="7"/>
        <v>0</v>
      </c>
    </row>
    <row r="137" spans="3:10">
      <c r="C137" s="47" t="s">
        <v>362</v>
      </c>
      <c r="D137" s="69">
        <v>7.9278491529989887</v>
      </c>
      <c r="E137" s="69">
        <v>9.5</v>
      </c>
      <c r="G137">
        <f t="shared" si="4"/>
        <v>1</v>
      </c>
      <c r="H137">
        <f t="shared" si="5"/>
        <v>0</v>
      </c>
      <c r="I137">
        <f t="shared" si="6"/>
        <v>0</v>
      </c>
      <c r="J137">
        <f t="shared" si="7"/>
        <v>0</v>
      </c>
    </row>
    <row r="138" spans="3:10">
      <c r="C138" s="47" t="s">
        <v>365</v>
      </c>
      <c r="D138" s="69">
        <v>7.851142844238896</v>
      </c>
      <c r="E138" s="69">
        <v>7.4750000000000005</v>
      </c>
      <c r="G138">
        <f t="shared" si="4"/>
        <v>1</v>
      </c>
      <c r="H138">
        <f t="shared" si="5"/>
        <v>0</v>
      </c>
      <c r="I138">
        <f t="shared" si="6"/>
        <v>0</v>
      </c>
      <c r="J138">
        <f t="shared" si="7"/>
        <v>0</v>
      </c>
    </row>
    <row r="139" spans="3:10">
      <c r="C139" s="47" t="s">
        <v>369</v>
      </c>
      <c r="D139" s="69">
        <v>7.851142844238896</v>
      </c>
      <c r="E139" s="69">
        <v>9.1875</v>
      </c>
      <c r="G139">
        <f t="shared" si="4"/>
        <v>1</v>
      </c>
      <c r="H139">
        <f t="shared" si="5"/>
        <v>0</v>
      </c>
      <c r="I139">
        <f t="shared" si="6"/>
        <v>0</v>
      </c>
      <c r="J139">
        <f t="shared" si="7"/>
        <v>0</v>
      </c>
    </row>
    <row r="140" spans="3:10">
      <c r="C140" s="47" t="s">
        <v>372</v>
      </c>
      <c r="D140" s="69">
        <v>7.4849445579765872</v>
      </c>
      <c r="E140" s="69">
        <v>8.7575000000000003</v>
      </c>
      <c r="G140">
        <f t="shared" si="4"/>
        <v>1</v>
      </c>
      <c r="H140">
        <f t="shared" si="5"/>
        <v>0</v>
      </c>
      <c r="I140">
        <f t="shared" si="6"/>
        <v>0</v>
      </c>
      <c r="J140">
        <f t="shared" si="7"/>
        <v>0</v>
      </c>
    </row>
    <row r="141" spans="3:10">
      <c r="C141" s="47" t="s">
        <v>375</v>
      </c>
      <c r="D141" s="69">
        <v>7.8841438340565286</v>
      </c>
      <c r="E141" s="69">
        <v>8.24</v>
      </c>
      <c r="G141">
        <f t="shared" si="4"/>
        <v>1</v>
      </c>
      <c r="H141">
        <f t="shared" si="5"/>
        <v>0</v>
      </c>
      <c r="I141">
        <f t="shared" si="6"/>
        <v>0</v>
      </c>
      <c r="J141">
        <f t="shared" si="7"/>
        <v>0</v>
      </c>
    </row>
    <row r="142" spans="3:10">
      <c r="C142" s="47" t="s">
        <v>378</v>
      </c>
      <c r="D142" s="69">
        <v>9.3506473405287736</v>
      </c>
      <c r="E142" s="69">
        <v>9.2950000000000017</v>
      </c>
      <c r="G142">
        <f t="shared" si="4"/>
        <v>1</v>
      </c>
      <c r="H142">
        <f t="shared" si="5"/>
        <v>0</v>
      </c>
      <c r="I142">
        <f t="shared" si="6"/>
        <v>0</v>
      </c>
      <c r="J142">
        <f t="shared" si="7"/>
        <v>0</v>
      </c>
    </row>
    <row r="143" spans="3:10">
      <c r="C143" s="47" t="s">
        <v>381</v>
      </c>
      <c r="D143" s="69">
        <v>7.6299580541576715</v>
      </c>
      <c r="E143" s="69">
        <v>7.75</v>
      </c>
      <c r="G143">
        <f t="shared" si="4"/>
        <v>1</v>
      </c>
      <c r="H143">
        <f t="shared" si="5"/>
        <v>0</v>
      </c>
      <c r="I143">
        <f t="shared" si="6"/>
        <v>0</v>
      </c>
      <c r="J143">
        <f t="shared" si="7"/>
        <v>0</v>
      </c>
    </row>
    <row r="144" spans="3:10">
      <c r="C144" s="47" t="s">
        <v>384</v>
      </c>
      <c r="D144" s="69">
        <v>7.851142844238896</v>
      </c>
      <c r="E144" s="69">
        <v>8.3535000000000004</v>
      </c>
      <c r="G144">
        <f t="shared" si="4"/>
        <v>1</v>
      </c>
      <c r="H144">
        <f t="shared" si="5"/>
        <v>0</v>
      </c>
      <c r="I144">
        <f t="shared" si="6"/>
        <v>0</v>
      </c>
      <c r="J144">
        <f t="shared" si="7"/>
        <v>0</v>
      </c>
    </row>
    <row r="145" spans="3:10">
      <c r="C145" s="47" t="s">
        <v>387</v>
      </c>
      <c r="D145" s="69">
        <v>8.2940474392612984</v>
      </c>
      <c r="E145" s="69">
        <v>8.10975</v>
      </c>
      <c r="G145">
        <f t="shared" si="4"/>
        <v>1</v>
      </c>
      <c r="H145">
        <f t="shared" si="5"/>
        <v>0</v>
      </c>
      <c r="I145">
        <f t="shared" si="6"/>
        <v>0</v>
      </c>
      <c r="J145">
        <f t="shared" si="7"/>
        <v>0</v>
      </c>
    </row>
    <row r="146" spans="3:10">
      <c r="C146" s="47" t="s">
        <v>389</v>
      </c>
      <c r="D146" s="69">
        <v>7.4412392390341271</v>
      </c>
      <c r="E146" s="69">
        <v>7.05</v>
      </c>
      <c r="G146">
        <f t="shared" si="4"/>
        <v>1</v>
      </c>
      <c r="H146">
        <f t="shared" si="5"/>
        <v>0</v>
      </c>
      <c r="I146">
        <f t="shared" si="6"/>
        <v>0</v>
      </c>
      <c r="J146">
        <f t="shared" si="7"/>
        <v>0</v>
      </c>
    </row>
    <row r="147" spans="3:10">
      <c r="C147" s="47" t="s">
        <v>392</v>
      </c>
      <c r="D147" s="69">
        <v>7.4849445579765872</v>
      </c>
      <c r="E147" s="69">
        <v>7.4057500000000003</v>
      </c>
      <c r="G147">
        <f t="shared" si="4"/>
        <v>1</v>
      </c>
      <c r="H147">
        <f t="shared" si="5"/>
        <v>0</v>
      </c>
      <c r="I147">
        <f t="shared" si="6"/>
        <v>0</v>
      </c>
      <c r="J147">
        <f t="shared" si="7"/>
        <v>0</v>
      </c>
    </row>
    <row r="148" spans="3:10">
      <c r="C148" s="47" t="s">
        <v>394</v>
      </c>
      <c r="D148" s="69">
        <v>7.4849445579765872</v>
      </c>
      <c r="E148" s="69">
        <v>7.3612500000000001</v>
      </c>
      <c r="G148">
        <f t="shared" si="4"/>
        <v>1</v>
      </c>
      <c r="H148">
        <f t="shared" si="5"/>
        <v>0</v>
      </c>
      <c r="I148">
        <f t="shared" si="6"/>
        <v>0</v>
      </c>
      <c r="J148">
        <f t="shared" si="7"/>
        <v>0</v>
      </c>
    </row>
    <row r="149" spans="3:10">
      <c r="C149" s="47" t="s">
        <v>396</v>
      </c>
      <c r="D149" s="69">
        <v>7.4412392390341271</v>
      </c>
      <c r="E149" s="69">
        <v>6.8</v>
      </c>
      <c r="G149">
        <f t="shared" si="4"/>
        <v>0</v>
      </c>
      <c r="H149">
        <f t="shared" si="5"/>
        <v>0</v>
      </c>
      <c r="I149">
        <f t="shared" si="6"/>
        <v>0</v>
      </c>
      <c r="J149">
        <f t="shared" si="7"/>
        <v>1</v>
      </c>
    </row>
    <row r="150" spans="3:10">
      <c r="C150" s="47" t="s">
        <v>398</v>
      </c>
      <c r="D150" s="69">
        <v>7.4412392390341271</v>
      </c>
      <c r="E150" s="69">
        <v>7.4750000000000005</v>
      </c>
      <c r="G150">
        <f t="shared" si="4"/>
        <v>1</v>
      </c>
      <c r="H150">
        <f t="shared" si="5"/>
        <v>0</v>
      </c>
      <c r="I150">
        <f t="shared" si="6"/>
        <v>0</v>
      </c>
      <c r="J150">
        <f t="shared" si="7"/>
        <v>0</v>
      </c>
    </row>
    <row r="151" spans="3:10">
      <c r="C151" s="47" t="s">
        <v>400</v>
      </c>
      <c r="D151" s="69">
        <v>7.4412392390341271</v>
      </c>
      <c r="E151" s="69">
        <v>7.1282499999999995</v>
      </c>
      <c r="G151">
        <f t="shared" si="4"/>
        <v>1</v>
      </c>
      <c r="H151">
        <f t="shared" si="5"/>
        <v>0</v>
      </c>
      <c r="I151">
        <f t="shared" si="6"/>
        <v>0</v>
      </c>
      <c r="J151">
        <f t="shared" si="7"/>
        <v>0</v>
      </c>
    </row>
    <row r="152" spans="3:10">
      <c r="C152" s="47" t="s">
        <v>403</v>
      </c>
      <c r="D152" s="69">
        <v>7.9278491529989887</v>
      </c>
      <c r="E152" s="69">
        <v>7.1582499999999998</v>
      </c>
      <c r="G152">
        <f t="shared" si="4"/>
        <v>1</v>
      </c>
      <c r="H152">
        <f t="shared" si="5"/>
        <v>0</v>
      </c>
      <c r="I152">
        <f t="shared" si="6"/>
        <v>0</v>
      </c>
      <c r="J152">
        <f t="shared" si="7"/>
        <v>0</v>
      </c>
    </row>
    <row r="153" spans="3:10">
      <c r="C153" s="47" t="s">
        <v>406</v>
      </c>
      <c r="D153" s="69">
        <v>7.4849445579765872</v>
      </c>
      <c r="E153" s="69">
        <v>6.8250000000000002</v>
      </c>
      <c r="G153">
        <f t="shared" si="4"/>
        <v>0</v>
      </c>
      <c r="H153">
        <f t="shared" si="5"/>
        <v>0</v>
      </c>
      <c r="I153">
        <f t="shared" si="6"/>
        <v>0</v>
      </c>
      <c r="J153">
        <f t="shared" si="7"/>
        <v>1</v>
      </c>
    </row>
    <row r="154" spans="3:10">
      <c r="C154" s="47" t="s">
        <v>408</v>
      </c>
      <c r="D154" s="69">
        <v>7.4849445579765872</v>
      </c>
      <c r="E154" s="69">
        <v>7.4325000000000001</v>
      </c>
      <c r="G154">
        <f t="shared" si="4"/>
        <v>1</v>
      </c>
      <c r="H154">
        <f t="shared" si="5"/>
        <v>0</v>
      </c>
      <c r="I154">
        <f t="shared" si="6"/>
        <v>0</v>
      </c>
      <c r="J154">
        <f t="shared" si="7"/>
        <v>0</v>
      </c>
    </row>
    <row r="155" spans="3:10">
      <c r="C155" s="47" t="s">
        <v>410</v>
      </c>
      <c r="D155" s="69">
        <v>7.4412392390341271</v>
      </c>
      <c r="E155" s="69">
        <v>6.2249999999999996</v>
      </c>
      <c r="G155">
        <f t="shared" si="4"/>
        <v>0</v>
      </c>
      <c r="H155">
        <f t="shared" si="5"/>
        <v>0</v>
      </c>
      <c r="I155">
        <f t="shared" si="6"/>
        <v>0</v>
      </c>
      <c r="J155">
        <f t="shared" si="7"/>
        <v>1</v>
      </c>
    </row>
    <row r="156" spans="3:10">
      <c r="C156" s="47" t="s">
        <v>412</v>
      </c>
      <c r="D156" s="69">
        <v>7.4849445579765872</v>
      </c>
      <c r="E156" s="69">
        <v>6.5250000000000004</v>
      </c>
      <c r="G156">
        <f t="shared" si="4"/>
        <v>0</v>
      </c>
      <c r="H156">
        <f t="shared" si="5"/>
        <v>0</v>
      </c>
      <c r="I156">
        <f t="shared" si="6"/>
        <v>0</v>
      </c>
      <c r="J156">
        <f t="shared" si="7"/>
        <v>1</v>
      </c>
    </row>
    <row r="157" spans="3:10">
      <c r="C157" s="47" t="s">
        <v>414</v>
      </c>
      <c r="D157" s="69">
        <v>7.4412392390341271</v>
      </c>
      <c r="E157" s="69">
        <v>7.05</v>
      </c>
      <c r="G157">
        <f t="shared" si="4"/>
        <v>1</v>
      </c>
      <c r="H157">
        <f t="shared" si="5"/>
        <v>0</v>
      </c>
      <c r="I157">
        <f t="shared" si="6"/>
        <v>0</v>
      </c>
      <c r="J157">
        <f t="shared" si="7"/>
        <v>0</v>
      </c>
    </row>
    <row r="158" spans="3:10">
      <c r="G158">
        <f t="shared" ref="G158:J158" si="8">SUM(G38:G157)</f>
        <v>99</v>
      </c>
      <c r="H158">
        <f t="shared" si="8"/>
        <v>0</v>
      </c>
      <c r="I158">
        <f t="shared" si="8"/>
        <v>0</v>
      </c>
      <c r="J158">
        <f t="shared" si="8"/>
        <v>21</v>
      </c>
    </row>
    <row r="161" spans="7:14">
      <c r="G161" s="66" t="s">
        <v>585</v>
      </c>
      <c r="H161" s="66" t="b">
        <v>0</v>
      </c>
      <c r="I161" s="66" t="b">
        <v>1</v>
      </c>
    </row>
    <row r="162" spans="7:14">
      <c r="G162" s="66" t="s">
        <v>588</v>
      </c>
      <c r="H162" s="65">
        <v>21</v>
      </c>
      <c r="I162" s="65">
        <v>0</v>
      </c>
    </row>
    <row r="163" spans="7:14">
      <c r="G163" s="66" t="s">
        <v>589</v>
      </c>
      <c r="H163" s="65">
        <v>0</v>
      </c>
      <c r="I163" s="65">
        <v>99</v>
      </c>
    </row>
    <row r="165" spans="7:14">
      <c r="K165" s="64" t="s">
        <v>575</v>
      </c>
      <c r="L165" s="64" t="s">
        <v>583</v>
      </c>
      <c r="M165" s="64" t="s">
        <v>578</v>
      </c>
      <c r="N165" s="64" t="s">
        <v>576</v>
      </c>
    </row>
    <row r="166" spans="7:14">
      <c r="K166" s="71" t="s">
        <v>579</v>
      </c>
      <c r="L166" s="71" t="s">
        <v>580</v>
      </c>
      <c r="M166" s="71" t="s">
        <v>581</v>
      </c>
      <c r="N166" s="71" t="s">
        <v>582</v>
      </c>
    </row>
    <row r="167" spans="7:14">
      <c r="K167" s="64">
        <f>(I163+I162)/(I163+I162+H163+H162)</f>
        <v>0.82499999999999996</v>
      </c>
      <c r="L167" s="64">
        <f>I163/(I163+H162)</f>
        <v>0.82499999999999996</v>
      </c>
      <c r="M167" s="64" t="s">
        <v>584</v>
      </c>
      <c r="N167" s="64">
        <f>I163/(I163+H163)</f>
        <v>1</v>
      </c>
    </row>
  </sheetData>
  <mergeCells count="1">
    <mergeCell ref="C1:N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I72"/>
  <sheetViews>
    <sheetView workbookViewId="0">
      <selection activeCell="B24" sqref="B24"/>
    </sheetView>
  </sheetViews>
  <sheetFormatPr defaultRowHeight="15"/>
  <cols>
    <col min="1" max="1" width="18"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c r="A1" t="s">
        <v>510</v>
      </c>
    </row>
    <row r="2" spans="1:9" ht="15.75" thickBot="1"/>
    <row r="3" spans="1:9">
      <c r="A3" s="44" t="s">
        <v>511</v>
      </c>
      <c r="B3" s="44"/>
    </row>
    <row r="4" spans="1:9">
      <c r="A4" s="41" t="s">
        <v>512</v>
      </c>
      <c r="B4" s="41">
        <v>0.46783253801296942</v>
      </c>
    </row>
    <row r="5" spans="1:9">
      <c r="A5" s="41" t="s">
        <v>513</v>
      </c>
      <c r="B5" s="41">
        <v>0.21886728362365646</v>
      </c>
    </row>
    <row r="6" spans="1:9">
      <c r="A6" s="41" t="s">
        <v>514</v>
      </c>
      <c r="B6" s="41">
        <v>5.6387389387711845E-2</v>
      </c>
    </row>
    <row r="7" spans="1:9">
      <c r="A7" s="41" t="s">
        <v>515</v>
      </c>
      <c r="B7" s="41">
        <v>0.76957592246699447</v>
      </c>
    </row>
    <row r="8" spans="1:9" ht="15.75" thickBot="1">
      <c r="A8" s="42" t="s">
        <v>516</v>
      </c>
      <c r="B8" s="42">
        <v>42</v>
      </c>
    </row>
    <row r="10" spans="1:9" ht="15.75" thickBot="1">
      <c r="A10" t="s">
        <v>517</v>
      </c>
    </row>
    <row r="11" spans="1:9">
      <c r="A11" s="43"/>
      <c r="B11" s="43" t="s">
        <v>521</v>
      </c>
      <c r="C11" s="43" t="s">
        <v>479</v>
      </c>
      <c r="D11" s="43" t="s">
        <v>480</v>
      </c>
      <c r="E11" s="43" t="s">
        <v>522</v>
      </c>
      <c r="F11" s="43" t="s">
        <v>523</v>
      </c>
    </row>
    <row r="12" spans="1:9">
      <c r="A12" s="41" t="s">
        <v>518</v>
      </c>
      <c r="B12" s="41">
        <v>7</v>
      </c>
      <c r="C12" s="41">
        <v>5.8080053474247535</v>
      </c>
      <c r="D12" s="41">
        <v>0.82971504963210763</v>
      </c>
      <c r="E12" s="41">
        <v>1.6344544203201437</v>
      </c>
      <c r="F12" s="41">
        <v>0.15925666544802886</v>
      </c>
    </row>
    <row r="13" spans="1:9">
      <c r="A13" s="41" t="s">
        <v>519</v>
      </c>
      <c r="B13" s="41">
        <v>35</v>
      </c>
      <c r="C13" s="41">
        <v>20.728648515432393</v>
      </c>
      <c r="D13" s="41">
        <v>0.59224710044092554</v>
      </c>
      <c r="E13" s="41"/>
      <c r="F13" s="41"/>
    </row>
    <row r="14" spans="1:9" ht="15.75" thickBot="1">
      <c r="A14" s="42" t="s">
        <v>483</v>
      </c>
      <c r="B14" s="42">
        <v>42</v>
      </c>
      <c r="C14" s="42">
        <v>26.536653862857147</v>
      </c>
      <c r="D14" s="42"/>
      <c r="E14" s="42"/>
      <c r="F14" s="42"/>
    </row>
    <row r="15" spans="1:9" ht="15.75" thickBot="1"/>
    <row r="16" spans="1:9">
      <c r="A16" s="43"/>
      <c r="B16" s="43" t="s">
        <v>524</v>
      </c>
      <c r="C16" s="43" t="s">
        <v>515</v>
      </c>
      <c r="D16" s="43" t="s">
        <v>525</v>
      </c>
      <c r="E16" s="43" t="s">
        <v>526</v>
      </c>
      <c r="F16" s="43" t="s">
        <v>527</v>
      </c>
      <c r="G16" s="43" t="s">
        <v>528</v>
      </c>
      <c r="H16" s="43" t="s">
        <v>529</v>
      </c>
      <c r="I16" s="43" t="s">
        <v>530</v>
      </c>
    </row>
    <row r="17" spans="1:9">
      <c r="A17" s="41" t="s">
        <v>520</v>
      </c>
      <c r="B17" s="41">
        <v>9.2519999999999989</v>
      </c>
      <c r="C17" s="41">
        <v>0.76957592246699402</v>
      </c>
      <c r="D17" s="41">
        <v>12.022205645859202</v>
      </c>
      <c r="E17" s="41">
        <v>5.5557220996901096E-14</v>
      </c>
      <c r="F17" s="41">
        <v>7.6896778282613178</v>
      </c>
      <c r="G17" s="41">
        <v>10.814322171738679</v>
      </c>
      <c r="H17" s="41">
        <v>7.6896778282613178</v>
      </c>
      <c r="I17" s="41">
        <v>10.814322171738679</v>
      </c>
    </row>
    <row r="18" spans="1:9">
      <c r="A18" s="41" t="s">
        <v>596</v>
      </c>
      <c r="B18" s="41">
        <v>-1.5630002751572329</v>
      </c>
      <c r="C18" s="41">
        <v>0.82765845094339019</v>
      </c>
      <c r="D18" s="41">
        <v>-1.8884604795319588</v>
      </c>
      <c r="E18" s="41">
        <v>6.7274859588514424E-2</v>
      </c>
      <c r="F18" s="41">
        <v>-3.2432362477050978</v>
      </c>
      <c r="G18" s="41">
        <v>0.11723569739063185</v>
      </c>
      <c r="H18" s="41">
        <v>-3.2432362477050978</v>
      </c>
      <c r="I18" s="41">
        <v>0.11723569739063185</v>
      </c>
    </row>
    <row r="19" spans="1:9">
      <c r="A19" s="41" t="s">
        <v>597</v>
      </c>
      <c r="B19" s="41">
        <v>-1.7113937106918231</v>
      </c>
      <c r="C19" s="41">
        <v>0.79516599785829689</v>
      </c>
      <c r="D19" s="41">
        <v>-2.1522470972115224</v>
      </c>
      <c r="E19" s="41">
        <v>3.8355134074847835E-2</v>
      </c>
      <c r="F19" s="41">
        <v>-3.3256664970393071</v>
      </c>
      <c r="G19" s="41">
        <v>-9.7120924344339138E-2</v>
      </c>
      <c r="H19" s="41">
        <v>-3.3256664970393071</v>
      </c>
      <c r="I19" s="41">
        <v>-9.7120924344339138E-2</v>
      </c>
    </row>
    <row r="20" spans="1:9">
      <c r="A20" s="41" t="s">
        <v>598</v>
      </c>
      <c r="B20" s="41">
        <v>-1.4203340015723267</v>
      </c>
      <c r="C20" s="41">
        <v>0.81917667168107322</v>
      </c>
      <c r="D20" s="41">
        <v>-1.7338555291834528</v>
      </c>
      <c r="E20" s="41">
        <v>9.1745655847551011E-2</v>
      </c>
      <c r="F20" s="41">
        <v>-3.0833510469026764</v>
      </c>
      <c r="G20" s="41">
        <v>0.24268304375802308</v>
      </c>
      <c r="H20" s="41">
        <v>-3.0833510469026764</v>
      </c>
      <c r="I20" s="41">
        <v>0.24268304375802308</v>
      </c>
    </row>
    <row r="21" spans="1:9">
      <c r="A21" s="41" t="s">
        <v>599</v>
      </c>
      <c r="B21" s="41">
        <v>-0.42880463836478155</v>
      </c>
      <c r="C21" s="41">
        <v>0.95113971528101082</v>
      </c>
      <c r="D21" s="41">
        <v>-0.45083243973057391</v>
      </c>
      <c r="E21" s="41">
        <v>0.65489104528360453</v>
      </c>
      <c r="F21" s="41">
        <v>-2.3597209030540154</v>
      </c>
      <c r="G21" s="41">
        <v>1.5021116263244523</v>
      </c>
      <c r="H21" s="41">
        <v>-2.3597209030540154</v>
      </c>
      <c r="I21" s="41">
        <v>1.5021116263244523</v>
      </c>
    </row>
    <row r="22" spans="1:9">
      <c r="A22" s="41" t="s">
        <v>600</v>
      </c>
      <c r="B22" s="41">
        <v>0.22500927672956006</v>
      </c>
      <c r="C22" s="41">
        <v>0.25531241507966779</v>
      </c>
      <c r="D22" s="41">
        <v>0.88130957775534757</v>
      </c>
      <c r="E22" s="41">
        <v>0.38416260154216264</v>
      </c>
      <c r="F22" s="41">
        <v>-0.29330247803589848</v>
      </c>
      <c r="G22" s="41">
        <v>0.7433210314950186</v>
      </c>
      <c r="H22" s="41">
        <v>-0.29330247803589848</v>
      </c>
      <c r="I22" s="41">
        <v>0.7433210314950186</v>
      </c>
    </row>
    <row r="23" spans="1:9">
      <c r="A23" s="41" t="s">
        <v>601</v>
      </c>
      <c r="B23" s="41">
        <v>0.13355609276729655</v>
      </c>
      <c r="C23" s="41">
        <v>0.50200364508690898</v>
      </c>
      <c r="D23" s="41">
        <v>0.26604606176549728</v>
      </c>
      <c r="E23" s="41">
        <v>0.79176475501092036</v>
      </c>
      <c r="F23" s="41">
        <v>-0.88556548070754249</v>
      </c>
      <c r="G23" s="41">
        <v>1.1526776662421356</v>
      </c>
      <c r="H23" s="41">
        <v>-0.88556548070754249</v>
      </c>
      <c r="I23" s="41">
        <v>1.1526776662421356</v>
      </c>
    </row>
    <row r="24" spans="1:9" ht="15.75" thickBot="1">
      <c r="A24" s="42" t="s">
        <v>602</v>
      </c>
      <c r="B24" s="42">
        <v>0</v>
      </c>
      <c r="C24" s="42">
        <v>0</v>
      </c>
      <c r="D24" s="42">
        <v>65535</v>
      </c>
      <c r="E24" s="42" t="e">
        <v>#NUM!</v>
      </c>
      <c r="F24" s="42">
        <v>0</v>
      </c>
      <c r="G24" s="42">
        <v>0</v>
      </c>
      <c r="H24" s="42">
        <v>0</v>
      </c>
      <c r="I24" s="42">
        <v>0</v>
      </c>
    </row>
    <row r="28" spans="1:9">
      <c r="A28" t="s">
        <v>531</v>
      </c>
    </row>
    <row r="29" spans="1:9" ht="15.75" thickBot="1"/>
    <row r="30" spans="1:9">
      <c r="A30" s="43" t="s">
        <v>532</v>
      </c>
      <c r="B30" s="43" t="s">
        <v>603</v>
      </c>
      <c r="C30" s="43" t="s">
        <v>534</v>
      </c>
    </row>
    <row r="31" spans="1:9">
      <c r="A31" s="41">
        <v>1</v>
      </c>
      <c r="B31" s="41">
        <v>7.540606289308176</v>
      </c>
      <c r="C31" s="41">
        <v>-0.16380628930817576</v>
      </c>
    </row>
    <row r="32" spans="1:9">
      <c r="A32" s="41">
        <v>2</v>
      </c>
      <c r="B32" s="41">
        <v>9.0482046383647781</v>
      </c>
      <c r="C32" s="41">
        <v>0.56579536163522093</v>
      </c>
    </row>
    <row r="33" spans="1:3">
      <c r="A33" s="41">
        <v>3</v>
      </c>
      <c r="B33" s="41">
        <v>7.540606289308176</v>
      </c>
      <c r="C33" s="41">
        <v>6.1393710691823422E-2</v>
      </c>
    </row>
    <row r="34" spans="1:3">
      <c r="A34" s="41">
        <v>4</v>
      </c>
      <c r="B34" s="41">
        <v>7.6889997248427662</v>
      </c>
      <c r="C34" s="41">
        <v>0.34700027515723342</v>
      </c>
    </row>
    <row r="35" spans="1:3">
      <c r="A35" s="41">
        <v>5</v>
      </c>
      <c r="B35" s="41">
        <v>7.7656155660377362</v>
      </c>
      <c r="C35" s="41">
        <v>0.68218443396226291</v>
      </c>
    </row>
    <row r="36" spans="1:3">
      <c r="A36" s="41">
        <v>6</v>
      </c>
      <c r="B36" s="41">
        <v>7.7656155660377362</v>
      </c>
      <c r="C36" s="41">
        <v>0.35438443396226482</v>
      </c>
    </row>
    <row r="37" spans="1:3">
      <c r="A37" s="41">
        <v>7</v>
      </c>
      <c r="B37" s="41">
        <v>7.9140090015723263</v>
      </c>
      <c r="C37" s="41">
        <v>0.4439909984276742</v>
      </c>
    </row>
    <row r="38" spans="1:3">
      <c r="A38" s="41">
        <v>8</v>
      </c>
      <c r="B38" s="41">
        <v>7.540606289308176</v>
      </c>
      <c r="C38" s="41">
        <v>0.39139371069182438</v>
      </c>
    </row>
    <row r="39" spans="1:3">
      <c r="A39" s="41">
        <v>9</v>
      </c>
      <c r="B39" s="41">
        <v>8.8231953616352179</v>
      </c>
      <c r="C39" s="41">
        <v>-0.56579536163521738</v>
      </c>
    </row>
    <row r="40" spans="1:3">
      <c r="A40" s="41">
        <v>10</v>
      </c>
      <c r="B40" s="41">
        <v>7.9140090015723263</v>
      </c>
      <c r="C40" s="41">
        <v>1.1079909984276739</v>
      </c>
    </row>
    <row r="41" spans="1:3">
      <c r="A41" s="41">
        <v>11</v>
      </c>
      <c r="B41" s="41">
        <v>7.540606289308176</v>
      </c>
      <c r="C41" s="41">
        <v>1.5653937106918239</v>
      </c>
    </row>
    <row r="42" spans="1:3">
      <c r="A42" s="41">
        <v>12</v>
      </c>
      <c r="B42" s="41">
        <v>7.7656155660377362</v>
      </c>
      <c r="C42" s="41">
        <v>-1.1058155660377365</v>
      </c>
    </row>
    <row r="43" spans="1:3">
      <c r="A43" s="41">
        <v>13</v>
      </c>
      <c r="B43" s="41">
        <v>8.0566752751572324</v>
      </c>
      <c r="C43" s="41">
        <v>-0.32307527515723233</v>
      </c>
    </row>
    <row r="44" spans="1:3">
      <c r="A44" s="41">
        <v>14</v>
      </c>
      <c r="B44" s="41">
        <v>7.8316659984276722</v>
      </c>
      <c r="C44" s="41">
        <v>0.26853400157232699</v>
      </c>
    </row>
    <row r="45" spans="1:3">
      <c r="A45" s="41">
        <v>15</v>
      </c>
      <c r="B45" s="41">
        <v>7.540606289308176</v>
      </c>
      <c r="C45" s="41">
        <v>0.39939371069182439</v>
      </c>
    </row>
    <row r="46" spans="1:3">
      <c r="A46" s="41">
        <v>16</v>
      </c>
      <c r="B46" s="41">
        <v>7.9652220911949687</v>
      </c>
      <c r="C46" s="41">
        <v>0.64757790880503308</v>
      </c>
    </row>
    <row r="47" spans="1:3">
      <c r="A47" s="41">
        <v>17</v>
      </c>
      <c r="B47" s="41">
        <v>7.8316659984276722</v>
      </c>
      <c r="C47" s="41">
        <v>0.13933400157232878</v>
      </c>
    </row>
    <row r="48" spans="1:3">
      <c r="A48" s="41">
        <v>18</v>
      </c>
      <c r="B48" s="41">
        <v>7.7656155660377362</v>
      </c>
      <c r="C48" s="41">
        <v>0.30638443396226478</v>
      </c>
    </row>
    <row r="49" spans="1:3">
      <c r="A49" s="41">
        <v>19</v>
      </c>
      <c r="B49" s="41">
        <v>8.0566752751572324</v>
      </c>
      <c r="C49" s="41">
        <v>-1.4084752751572323</v>
      </c>
    </row>
    <row r="50" spans="1:3">
      <c r="A50" s="41">
        <v>20</v>
      </c>
      <c r="B50" s="41">
        <v>7.540606289308176</v>
      </c>
      <c r="C50" s="41">
        <v>-0.28540628930817658</v>
      </c>
    </row>
    <row r="51" spans="1:3">
      <c r="A51" s="41">
        <v>21</v>
      </c>
      <c r="B51" s="41">
        <v>7.8316659984276722</v>
      </c>
      <c r="C51" s="41">
        <v>0.15833400157232802</v>
      </c>
    </row>
    <row r="52" spans="1:3">
      <c r="A52" s="41">
        <v>22</v>
      </c>
      <c r="B52" s="41">
        <v>7.8316659984276722</v>
      </c>
      <c r="C52" s="41">
        <v>-1.2826659984276727</v>
      </c>
    </row>
    <row r="53" spans="1:3">
      <c r="A53" s="41">
        <v>23</v>
      </c>
      <c r="B53" s="41">
        <v>7.7656155660377362</v>
      </c>
      <c r="C53" s="41">
        <v>-3.8215566037735904E-2</v>
      </c>
    </row>
    <row r="54" spans="1:3">
      <c r="A54" s="41">
        <v>24</v>
      </c>
      <c r="B54" s="41">
        <v>8.0566752751572324</v>
      </c>
      <c r="C54" s="41">
        <v>0.50312472484276682</v>
      </c>
    </row>
    <row r="55" spans="1:3">
      <c r="A55" s="41">
        <v>25</v>
      </c>
      <c r="B55" s="41">
        <v>7.540606289308176</v>
      </c>
      <c r="C55" s="41">
        <v>0.19139371069182332</v>
      </c>
    </row>
    <row r="56" spans="1:3">
      <c r="A56" s="41">
        <v>26</v>
      </c>
      <c r="B56" s="41">
        <v>7.7656155660377362</v>
      </c>
      <c r="C56" s="41">
        <v>-0.51561556603773617</v>
      </c>
    </row>
    <row r="57" spans="1:3">
      <c r="A57" s="41">
        <v>27</v>
      </c>
      <c r="B57" s="41">
        <v>7.540606289308176</v>
      </c>
      <c r="C57" s="41">
        <v>-8.1006289308176882E-2</v>
      </c>
    </row>
    <row r="58" spans="1:3">
      <c r="A58" s="41">
        <v>28</v>
      </c>
      <c r="B58" s="41">
        <v>7.8225558176100627</v>
      </c>
      <c r="C58" s="41">
        <v>-0.64255581761006297</v>
      </c>
    </row>
    <row r="59" spans="1:3">
      <c r="A59" s="41">
        <v>29</v>
      </c>
      <c r="B59" s="41">
        <v>7.540606289308176</v>
      </c>
      <c r="C59" s="41">
        <v>-0.69680628930817612</v>
      </c>
    </row>
    <row r="60" spans="1:3">
      <c r="A60" s="41">
        <v>30</v>
      </c>
      <c r="B60" s="41">
        <v>7.7656155660377362</v>
      </c>
      <c r="C60" s="41">
        <v>-0.89561556603773607</v>
      </c>
    </row>
    <row r="61" spans="1:3">
      <c r="A61" s="41">
        <v>31</v>
      </c>
      <c r="B61" s="41">
        <v>7.7656155660377362</v>
      </c>
      <c r="C61" s="41">
        <v>0.11938443396226361</v>
      </c>
    </row>
    <row r="62" spans="1:3">
      <c r="A62" s="41">
        <v>32</v>
      </c>
      <c r="B62" s="41">
        <v>7.540606289308176</v>
      </c>
      <c r="C62" s="41">
        <v>1.2741937106918257</v>
      </c>
    </row>
    <row r="63" spans="1:3">
      <c r="A63" s="41">
        <v>33</v>
      </c>
      <c r="B63" s="41">
        <v>7.540606289308176</v>
      </c>
      <c r="C63" s="41">
        <v>-1.2686062893081758</v>
      </c>
    </row>
    <row r="64" spans="1:3">
      <c r="A64" s="41">
        <v>34</v>
      </c>
      <c r="B64" s="41">
        <v>7.9652220911949687</v>
      </c>
      <c r="C64" s="41">
        <v>-5.0220911949683256E-3</v>
      </c>
    </row>
    <row r="65" spans="1:3">
      <c r="A65" s="41">
        <v>35</v>
      </c>
      <c r="B65" s="41">
        <v>9.2519999999999989</v>
      </c>
      <c r="C65" s="41">
        <v>0</v>
      </c>
    </row>
    <row r="66" spans="1:3">
      <c r="A66" s="41">
        <v>36</v>
      </c>
      <c r="B66" s="41">
        <v>7.6889997248427662</v>
      </c>
      <c r="C66" s="41">
        <v>-0.22779972484276634</v>
      </c>
    </row>
    <row r="67" spans="1:3">
      <c r="A67" s="41">
        <v>37</v>
      </c>
      <c r="B67" s="41">
        <v>7.6889997248427662</v>
      </c>
      <c r="C67" s="41">
        <v>-1.2321997248427667</v>
      </c>
    </row>
    <row r="68" spans="1:3">
      <c r="A68" s="41">
        <v>38</v>
      </c>
      <c r="B68" s="41">
        <v>7.9140090015723263</v>
      </c>
      <c r="C68" s="41">
        <v>-0.53240900157232574</v>
      </c>
    </row>
    <row r="69" spans="1:3">
      <c r="A69" s="41">
        <v>39</v>
      </c>
      <c r="B69" s="41">
        <v>7.9140090015723263</v>
      </c>
      <c r="C69" s="41">
        <v>0.55799099842767319</v>
      </c>
    </row>
    <row r="70" spans="1:3">
      <c r="A70" s="41">
        <v>40</v>
      </c>
      <c r="B70" s="41">
        <v>7.540606289308176</v>
      </c>
      <c r="C70" s="41">
        <v>-0.29460628930817645</v>
      </c>
    </row>
    <row r="71" spans="1:3">
      <c r="A71" s="41">
        <v>41</v>
      </c>
      <c r="B71" s="41">
        <v>7.8316659984276722</v>
      </c>
      <c r="C71" s="41">
        <v>1.3023340015723281</v>
      </c>
    </row>
    <row r="72" spans="1:3" ht="15.75" thickBot="1">
      <c r="A72" s="42">
        <v>42</v>
      </c>
      <c r="B72" s="42">
        <v>7.9140090015723263</v>
      </c>
      <c r="C72" s="42">
        <v>0.17799099842767419</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I73"/>
  <sheetViews>
    <sheetView topLeftCell="A58" workbookViewId="0">
      <selection activeCell="E76" sqref="E76"/>
    </sheetView>
  </sheetViews>
  <sheetFormatPr defaultRowHeight="15"/>
  <cols>
    <col min="1" max="1" width="18"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7" width="12" bestFit="1" customWidth="1"/>
    <col min="8" max="8" width="12.7109375" bestFit="1" customWidth="1"/>
    <col min="9" max="9" width="12.5703125" bestFit="1" customWidth="1"/>
  </cols>
  <sheetData>
    <row r="1" spans="1:9">
      <c r="A1" t="s">
        <v>510</v>
      </c>
    </row>
    <row r="2" spans="1:9" ht="15.75" thickBot="1"/>
    <row r="3" spans="1:9">
      <c r="A3" s="44" t="s">
        <v>511</v>
      </c>
      <c r="B3" s="44"/>
    </row>
    <row r="4" spans="1:9">
      <c r="A4" s="41" t="s">
        <v>512</v>
      </c>
      <c r="B4" s="41">
        <v>0.83078406843815855</v>
      </c>
    </row>
    <row r="5" spans="1:9">
      <c r="A5" s="41" t="s">
        <v>513</v>
      </c>
      <c r="B5" s="41">
        <v>0.69020216837065884</v>
      </c>
    </row>
    <row r="6" spans="1:9">
      <c r="A6" s="41" t="s">
        <v>514</v>
      </c>
      <c r="B6" s="41">
        <v>0.59700849715285331</v>
      </c>
    </row>
    <row r="7" spans="1:9">
      <c r="A7" s="41" t="s">
        <v>515</v>
      </c>
      <c r="B7" s="41">
        <v>0.63329842580684803</v>
      </c>
    </row>
    <row r="8" spans="1:9" ht="15.75" thickBot="1">
      <c r="A8" s="42" t="s">
        <v>516</v>
      </c>
      <c r="B8" s="42">
        <v>42</v>
      </c>
    </row>
    <row r="10" spans="1:9" ht="15.75" thickBot="1">
      <c r="A10" t="s">
        <v>517</v>
      </c>
    </row>
    <row r="11" spans="1:9">
      <c r="A11" s="43"/>
      <c r="B11" s="43" t="s">
        <v>521</v>
      </c>
      <c r="C11" s="43" t="s">
        <v>479</v>
      </c>
      <c r="D11" s="43" t="s">
        <v>480</v>
      </c>
      <c r="E11" s="43" t="s">
        <v>522</v>
      </c>
      <c r="F11" s="43" t="s">
        <v>523</v>
      </c>
    </row>
    <row r="12" spans="1:9">
      <c r="A12" s="41" t="s">
        <v>518</v>
      </c>
      <c r="B12" s="41">
        <v>8</v>
      </c>
      <c r="C12" s="41">
        <v>30.380413436361223</v>
      </c>
      <c r="D12" s="41">
        <v>3.7975516795451529</v>
      </c>
      <c r="E12" s="41">
        <v>10.821284688967944</v>
      </c>
      <c r="F12" s="41">
        <v>2.5388411330843427E-7</v>
      </c>
    </row>
    <row r="13" spans="1:9">
      <c r="A13" s="41" t="s">
        <v>519</v>
      </c>
      <c r="B13" s="41">
        <v>34</v>
      </c>
      <c r="C13" s="41">
        <v>13.636274468400684</v>
      </c>
      <c r="D13" s="41">
        <v>0.40106689612943186</v>
      </c>
      <c r="E13" s="41"/>
      <c r="F13" s="41"/>
    </row>
    <row r="14" spans="1:9" ht="15.75" thickBot="1">
      <c r="A14" s="42" t="s">
        <v>483</v>
      </c>
      <c r="B14" s="42">
        <v>42</v>
      </c>
      <c r="C14" s="42">
        <v>44.016687904761909</v>
      </c>
      <c r="D14" s="42"/>
      <c r="E14" s="42"/>
      <c r="F14" s="42"/>
    </row>
    <row r="15" spans="1:9" ht="15.75" thickBot="1"/>
    <row r="16" spans="1:9">
      <c r="A16" s="43"/>
      <c r="B16" s="43" t="s">
        <v>524</v>
      </c>
      <c r="C16" s="43" t="s">
        <v>515</v>
      </c>
      <c r="D16" s="43" t="s">
        <v>525</v>
      </c>
      <c r="E16" s="43" t="s">
        <v>526</v>
      </c>
      <c r="F16" s="43" t="s">
        <v>527</v>
      </c>
      <c r="G16" s="43" t="s">
        <v>528</v>
      </c>
      <c r="H16" s="43" t="s">
        <v>529</v>
      </c>
      <c r="I16" s="43" t="s">
        <v>530</v>
      </c>
    </row>
    <row r="17" spans="1:9">
      <c r="A17" s="41" t="s">
        <v>520</v>
      </c>
      <c r="B17" s="41">
        <v>-1.3694988680975506</v>
      </c>
      <c r="C17" s="41">
        <v>1.4846703280663254</v>
      </c>
      <c r="D17" s="41">
        <v>-0.92242623982471772</v>
      </c>
      <c r="E17" s="41">
        <v>0.36280610951994419</v>
      </c>
      <c r="F17" s="41">
        <v>-4.3867119734160438</v>
      </c>
      <c r="G17" s="41">
        <v>1.6477142372209426</v>
      </c>
      <c r="H17" s="41">
        <v>-4.3867119734160438</v>
      </c>
      <c r="I17" s="41">
        <v>1.6477142372209426</v>
      </c>
    </row>
    <row r="18" spans="1:9">
      <c r="A18" s="41" t="s">
        <v>596</v>
      </c>
      <c r="B18" s="41">
        <v>1.0995180800960977</v>
      </c>
      <c r="C18" s="41">
        <v>0.14377141751344469</v>
      </c>
      <c r="D18" s="41">
        <v>7.6476819879255702</v>
      </c>
      <c r="E18" s="41">
        <v>6.8789175828165678E-9</v>
      </c>
      <c r="F18" s="41">
        <v>0.8073394079078009</v>
      </c>
      <c r="G18" s="41">
        <v>1.3916967522843946</v>
      </c>
      <c r="H18" s="41">
        <v>0.8073394079078009</v>
      </c>
      <c r="I18" s="41">
        <v>1.3916967522843946</v>
      </c>
    </row>
    <row r="19" spans="1:9">
      <c r="A19" s="41" t="s">
        <v>597</v>
      </c>
      <c r="B19" s="41">
        <v>0.53636903474574005</v>
      </c>
      <c r="C19" s="41">
        <v>0.72064456144674105</v>
      </c>
      <c r="D19" s="41">
        <v>0.74429068564528422</v>
      </c>
      <c r="E19" s="41">
        <v>0.46181409651717076</v>
      </c>
      <c r="F19" s="41">
        <v>-0.92815691015242596</v>
      </c>
      <c r="G19" s="41">
        <v>2.0008949796439062</v>
      </c>
      <c r="H19" s="41">
        <v>-0.92815691015242596</v>
      </c>
      <c r="I19" s="41">
        <v>2.0008949796439062</v>
      </c>
    </row>
    <row r="20" spans="1:9">
      <c r="A20" s="41" t="s">
        <v>598</v>
      </c>
      <c r="B20" s="41">
        <v>0.41214563053782083</v>
      </c>
      <c r="C20" s="41">
        <v>0.70151622508581779</v>
      </c>
      <c r="D20" s="41">
        <v>0.58750691117287024</v>
      </c>
      <c r="E20" s="41">
        <v>0.56074515902825617</v>
      </c>
      <c r="F20" s="41">
        <v>-1.013506858038034</v>
      </c>
      <c r="G20" s="41">
        <v>1.8377981191136756</v>
      </c>
      <c r="H20" s="41">
        <v>-1.013506858038034</v>
      </c>
      <c r="I20" s="41">
        <v>1.8377981191136756</v>
      </c>
    </row>
    <row r="21" spans="1:9">
      <c r="A21" s="41" t="s">
        <v>599</v>
      </c>
      <c r="B21" s="41">
        <v>0.34802081459403122</v>
      </c>
      <c r="C21" s="41">
        <v>0.70607704598212961</v>
      </c>
      <c r="D21" s="41">
        <v>0.49289353984018258</v>
      </c>
      <c r="E21" s="41">
        <v>0.62525618254015602</v>
      </c>
      <c r="F21" s="41">
        <v>-1.0869003771539851</v>
      </c>
      <c r="G21" s="41">
        <v>1.7829420063420476</v>
      </c>
      <c r="H21" s="41">
        <v>-1.0869003771539851</v>
      </c>
      <c r="I21" s="41">
        <v>1.7829420063420476</v>
      </c>
    </row>
    <row r="22" spans="1:9">
      <c r="A22" s="41" t="s">
        <v>600</v>
      </c>
      <c r="B22" s="41">
        <v>0.73396019559523906</v>
      </c>
      <c r="C22" s="41">
        <v>0.78690507014050692</v>
      </c>
      <c r="D22" s="41">
        <v>0.93271758366506108</v>
      </c>
      <c r="E22" s="41">
        <v>0.3575424717061938</v>
      </c>
      <c r="F22" s="41">
        <v>-0.86522330351988519</v>
      </c>
      <c r="G22" s="41">
        <v>2.3331436947103632</v>
      </c>
      <c r="H22" s="41">
        <v>-0.86522330351988519</v>
      </c>
      <c r="I22" s="41">
        <v>2.3331436947103632</v>
      </c>
    </row>
    <row r="23" spans="1:9">
      <c r="A23" s="41" t="s">
        <v>601</v>
      </c>
      <c r="B23" s="41">
        <v>-0.10509809510519386</v>
      </c>
      <c r="C23" s="41">
        <v>0.21294459041607064</v>
      </c>
      <c r="D23" s="41">
        <v>-0.4935466775645419</v>
      </c>
      <c r="E23" s="41">
        <v>0.62479954949808791</v>
      </c>
      <c r="F23" s="41">
        <v>-0.53785356732295919</v>
      </c>
      <c r="G23" s="41">
        <v>0.32765737711257142</v>
      </c>
      <c r="H23" s="41">
        <v>-0.53785356732295919</v>
      </c>
      <c r="I23" s="41">
        <v>0.32765737711257142</v>
      </c>
    </row>
    <row r="24" spans="1:9">
      <c r="A24" s="41" t="s">
        <v>602</v>
      </c>
      <c r="B24" s="41">
        <v>-0.30351085350352414</v>
      </c>
      <c r="C24" s="41">
        <v>0.41401479241597722</v>
      </c>
      <c r="D24" s="41">
        <v>-0.73309180991430534</v>
      </c>
      <c r="E24" s="41">
        <v>0.46852706331789262</v>
      </c>
      <c r="F24" s="41">
        <v>-1.144890137415095</v>
      </c>
      <c r="G24" s="41">
        <v>0.53786843040804688</v>
      </c>
      <c r="H24" s="41">
        <v>-1.144890137415095</v>
      </c>
      <c r="I24" s="41">
        <v>0.53786843040804688</v>
      </c>
    </row>
    <row r="25" spans="1:9" ht="15.75" thickBot="1">
      <c r="A25" s="42" t="s">
        <v>608</v>
      </c>
      <c r="B25" s="42">
        <v>0</v>
      </c>
      <c r="C25" s="42">
        <v>0</v>
      </c>
      <c r="D25" s="42">
        <v>65535</v>
      </c>
      <c r="E25" s="42" t="e">
        <v>#NUM!</v>
      </c>
      <c r="F25" s="42">
        <v>0</v>
      </c>
      <c r="G25" s="42">
        <v>0</v>
      </c>
      <c r="H25" s="42">
        <v>0</v>
      </c>
      <c r="I25" s="42">
        <v>0</v>
      </c>
    </row>
    <row r="29" spans="1:9">
      <c r="A29" t="s">
        <v>531</v>
      </c>
    </row>
    <row r="30" spans="1:9" ht="15.75" thickBot="1"/>
    <row r="31" spans="1:9">
      <c r="A31" s="43" t="s">
        <v>532</v>
      </c>
      <c r="B31" s="43" t="s">
        <v>603</v>
      </c>
      <c r="C31" s="43" t="s">
        <v>534</v>
      </c>
    </row>
    <row r="32" spans="1:9">
      <c r="A32" s="41">
        <v>1</v>
      </c>
      <c r="B32" s="41">
        <v>7.1790805551513941</v>
      </c>
      <c r="C32" s="41">
        <v>0.10491944484860571</v>
      </c>
      <c r="F32" s="45">
        <v>7.1790805551513941</v>
      </c>
    </row>
    <row r="33" spans="1:6">
      <c r="A33" s="41">
        <v>2</v>
      </c>
      <c r="B33" s="41">
        <v>9.7240265597071023</v>
      </c>
      <c r="C33" s="41">
        <v>0.27597344029289772</v>
      </c>
      <c r="F33" s="45">
        <v>9.7240265597071023</v>
      </c>
    </row>
    <row r="34" spans="1:6">
      <c r="A34" s="41">
        <v>3</v>
      </c>
      <c r="B34" s="41">
        <v>7.4017329663708535</v>
      </c>
      <c r="C34" s="41">
        <v>0.19826703362914611</v>
      </c>
      <c r="F34" s="45">
        <v>7.4017329663708535</v>
      </c>
    </row>
    <row r="35" spans="1:6">
      <c r="A35" s="41">
        <v>4</v>
      </c>
      <c r="B35" s="41">
        <v>7.7376136009972711</v>
      </c>
      <c r="C35" s="41">
        <v>1.2623863990027289</v>
      </c>
      <c r="F35" s="45">
        <v>7.7376136009972711</v>
      </c>
    </row>
    <row r="36" spans="1:6">
      <c r="A36" s="41">
        <v>5</v>
      </c>
      <c r="B36" s="41">
        <v>8.3659162041591131</v>
      </c>
      <c r="C36" s="41">
        <v>-0.42691620415911302</v>
      </c>
      <c r="F36" s="45">
        <v>8.3659162041591131</v>
      </c>
    </row>
    <row r="37" spans="1:6">
      <c r="A37" s="41">
        <v>6</v>
      </c>
      <c r="B37" s="41">
        <v>7.8711330681158707</v>
      </c>
      <c r="C37" s="41">
        <v>0.22886693188412899</v>
      </c>
      <c r="F37" s="45">
        <v>7.8711330681158707</v>
      </c>
    </row>
    <row r="38" spans="1:6">
      <c r="A38" s="41">
        <v>7</v>
      </c>
      <c r="B38" s="41">
        <v>8.0448347859281135</v>
      </c>
      <c r="C38" s="41">
        <v>1.0651652140718859</v>
      </c>
      <c r="F38" s="45">
        <v>8.0448347859281135</v>
      </c>
    </row>
    <row r="39" spans="1:6">
      <c r="A39" s="41">
        <v>8</v>
      </c>
      <c r="B39" s="41">
        <v>7.8937673072138574</v>
      </c>
      <c r="C39" s="41">
        <v>-0.43376730721385748</v>
      </c>
      <c r="F39" s="45">
        <v>7.8937673072138574</v>
      </c>
    </row>
    <row r="40" spans="1:6">
      <c r="A40" s="41">
        <v>9</v>
      </c>
      <c r="B40" s="41">
        <v>8.4629734402928971</v>
      </c>
      <c r="C40" s="41">
        <v>-0.27597344029289772</v>
      </c>
      <c r="F40" s="45">
        <v>8.4629734402928971</v>
      </c>
    </row>
    <row r="41" spans="1:6">
      <c r="A41" s="41">
        <v>10</v>
      </c>
      <c r="B41" s="41">
        <v>9.0398986484150825</v>
      </c>
      <c r="C41" s="41">
        <v>-0.22989864841508201</v>
      </c>
      <c r="F41" s="45">
        <v>9.0398986484150825</v>
      </c>
    </row>
    <row r="42" spans="1:6">
      <c r="A42" s="41">
        <v>11</v>
      </c>
      <c r="B42" s="41">
        <v>9.0839956289178829</v>
      </c>
      <c r="C42" s="41">
        <v>-8.3995628917882925E-2</v>
      </c>
      <c r="F42" s="45">
        <v>9.0839956289178829</v>
      </c>
    </row>
    <row r="43" spans="1:6">
      <c r="A43" s="41">
        <v>12</v>
      </c>
      <c r="B43" s="41">
        <v>6.386783659986139</v>
      </c>
      <c r="C43" s="41">
        <v>-0.18778365998613911</v>
      </c>
      <c r="F43" s="45">
        <v>6.386783659986139</v>
      </c>
    </row>
    <row r="44" spans="1:6">
      <c r="A44" s="41">
        <v>13</v>
      </c>
      <c r="B44" s="41">
        <v>7.4221769241384461</v>
      </c>
      <c r="C44" s="41">
        <v>0.14582307586155352</v>
      </c>
      <c r="F44" s="45">
        <v>7.4221769241384461</v>
      </c>
    </row>
    <row r="45" spans="1:6">
      <c r="A45" s="41">
        <v>14</v>
      </c>
      <c r="B45" s="41">
        <v>7.8846183952748721</v>
      </c>
      <c r="C45" s="41">
        <v>0.2163816047251288</v>
      </c>
      <c r="F45" s="45">
        <v>7.8846183952748721</v>
      </c>
    </row>
    <row r="46" spans="1:6">
      <c r="A46" s="41">
        <v>15</v>
      </c>
      <c r="B46" s="41">
        <v>7.7425835712006439</v>
      </c>
      <c r="C46" s="41">
        <v>0.30741642879935682</v>
      </c>
      <c r="F46" s="45">
        <v>7.7425835712006439</v>
      </c>
    </row>
    <row r="47" spans="1:6">
      <c r="A47" s="41">
        <v>16</v>
      </c>
      <c r="B47" s="41">
        <v>8.1110752563776671</v>
      </c>
      <c r="C47" s="41">
        <v>0.62492474362233352</v>
      </c>
      <c r="F47" s="45">
        <v>8.1110752563776671</v>
      </c>
    </row>
    <row r="48" spans="1:6">
      <c r="A48" s="41">
        <v>17</v>
      </c>
      <c r="B48" s="41">
        <v>7.5423933928449625</v>
      </c>
      <c r="C48" s="41">
        <v>1.1576066071550368</v>
      </c>
      <c r="F48" s="45">
        <v>7.5423933928449625</v>
      </c>
    </row>
    <row r="49" spans="1:6">
      <c r="A49" s="41">
        <v>18</v>
      </c>
      <c r="B49" s="41">
        <v>7.8244035497117883</v>
      </c>
      <c r="C49" s="41">
        <v>0.20559645028821105</v>
      </c>
      <c r="F49" s="45">
        <v>7.8244035497117883</v>
      </c>
    </row>
    <row r="50" spans="1:6">
      <c r="A50" s="41">
        <v>19</v>
      </c>
      <c r="B50" s="41">
        <v>6.4051227000495574</v>
      </c>
      <c r="C50" s="41">
        <v>-0.56412270004955722</v>
      </c>
      <c r="F50" s="45">
        <v>6.4051227000495574</v>
      </c>
    </row>
    <row r="51" spans="1:6">
      <c r="A51" s="41">
        <v>20</v>
      </c>
      <c r="B51" s="41">
        <v>6.9825416983342157</v>
      </c>
      <c r="C51" s="41">
        <v>0.40845830166578434</v>
      </c>
      <c r="F51" s="45">
        <v>6.9825416983342157</v>
      </c>
    </row>
    <row r="52" spans="1:6">
      <c r="A52" s="41">
        <v>21</v>
      </c>
      <c r="B52" s="41">
        <v>7.9808262272832806</v>
      </c>
      <c r="C52" s="41">
        <v>-0.78082622728328044</v>
      </c>
      <c r="F52" s="45">
        <v>7.9808262272832806</v>
      </c>
    </row>
    <row r="53" spans="1:6">
      <c r="A53" s="41">
        <v>22</v>
      </c>
      <c r="B53" s="41">
        <v>6.1778914554457041</v>
      </c>
      <c r="C53" s="41">
        <v>0.37610854455429621</v>
      </c>
      <c r="F53" s="45">
        <v>6.1778914554457041</v>
      </c>
    </row>
    <row r="54" spans="1:6">
      <c r="A54" s="41">
        <v>23</v>
      </c>
      <c r="B54" s="41">
        <v>7.4038378840750294</v>
      </c>
      <c r="C54" s="41">
        <v>0.43316211592497034</v>
      </c>
      <c r="F54" s="45">
        <v>7.4038378840750294</v>
      </c>
    </row>
    <row r="55" spans="1:6">
      <c r="A55" s="41">
        <v>24</v>
      </c>
      <c r="B55" s="41">
        <v>8.3870040394227736</v>
      </c>
      <c r="C55" s="41">
        <v>-0.19800403942277356</v>
      </c>
      <c r="F55" s="45">
        <v>8.3870040394227736</v>
      </c>
    </row>
    <row r="56" spans="1:6">
      <c r="A56" s="41">
        <v>25</v>
      </c>
      <c r="B56" s="41">
        <v>7.6078926063888703</v>
      </c>
      <c r="C56" s="41">
        <v>-0.10789260638887033</v>
      </c>
      <c r="F56" s="45">
        <v>7.6078926063888703</v>
      </c>
    </row>
    <row r="57" spans="1:6">
      <c r="A57" s="41">
        <v>26</v>
      </c>
      <c r="B57" s="41">
        <v>7.0877264360474008</v>
      </c>
      <c r="C57" s="41">
        <v>-0.48772643604740118</v>
      </c>
      <c r="F57" s="45">
        <v>7.0877264360474008</v>
      </c>
    </row>
    <row r="58" spans="1:6">
      <c r="A58" s="41">
        <v>27</v>
      </c>
      <c r="B58" s="41">
        <v>7.3385106767653268</v>
      </c>
      <c r="C58" s="41">
        <v>-0.22051067676532643</v>
      </c>
      <c r="F58" s="45">
        <v>7.3385106767653268</v>
      </c>
    </row>
    <row r="59" spans="1:6">
      <c r="A59" s="41">
        <v>28</v>
      </c>
      <c r="B59" s="41">
        <v>6.8073774418389714</v>
      </c>
      <c r="C59" s="41">
        <v>0.19262255816102858</v>
      </c>
      <c r="F59" s="45">
        <v>6.8073774418389714</v>
      </c>
    </row>
    <row r="60" spans="1:6">
      <c r="A60" s="41">
        <v>29</v>
      </c>
      <c r="B60" s="41">
        <v>6.61255386438188</v>
      </c>
      <c r="C60" s="41">
        <v>6.744613561811974E-2</v>
      </c>
      <c r="F60" s="45">
        <v>6.61255386438188</v>
      </c>
    </row>
    <row r="61" spans="1:6">
      <c r="A61" s="41">
        <v>30</v>
      </c>
      <c r="B61" s="41">
        <v>6.3318077559813331</v>
      </c>
      <c r="C61" s="41">
        <v>1.1181922440186671</v>
      </c>
      <c r="F61" s="45">
        <v>6.3318077559813331</v>
      </c>
    </row>
    <row r="62" spans="1:6">
      <c r="A62" s="41">
        <v>31</v>
      </c>
      <c r="B62" s="41">
        <v>7.6512294520966506</v>
      </c>
      <c r="C62" s="41">
        <v>7.3770547903349026E-2</v>
      </c>
      <c r="F62" s="45">
        <v>7.6512294520966506</v>
      </c>
    </row>
    <row r="63" spans="1:6">
      <c r="A63" s="41">
        <v>32</v>
      </c>
      <c r="B63" s="41">
        <v>8.7733817712907367</v>
      </c>
      <c r="C63" s="41">
        <v>-9.938177129073722E-2</v>
      </c>
      <c r="F63" s="45">
        <v>8.7733817712907367</v>
      </c>
    </row>
    <row r="64" spans="1:6">
      <c r="A64" s="41">
        <v>33</v>
      </c>
      <c r="B64" s="41">
        <v>6.1207944030588992</v>
      </c>
      <c r="C64" s="41">
        <v>-0.51079440305889889</v>
      </c>
      <c r="F64" s="45">
        <v>6.1207944030588992</v>
      </c>
    </row>
    <row r="65" spans="1:6">
      <c r="A65" s="41">
        <v>34</v>
      </c>
      <c r="B65" s="41">
        <v>7.718547301783361</v>
      </c>
      <c r="C65" s="41">
        <v>-0.81754730178336121</v>
      </c>
      <c r="F65" s="45">
        <v>7.718547301783361</v>
      </c>
    </row>
    <row r="66" spans="1:6">
      <c r="A66" s="41">
        <v>35</v>
      </c>
      <c r="B66" s="41">
        <v>8.9000000000000021</v>
      </c>
      <c r="C66" s="41">
        <v>-1.7763568394002505E-15</v>
      </c>
      <c r="F66" s="45">
        <v>8.9000000000000021</v>
      </c>
    </row>
    <row r="67" spans="1:6">
      <c r="A67" s="41">
        <v>36</v>
      </c>
      <c r="B67" s="41">
        <v>7.481975647374929</v>
      </c>
      <c r="C67" s="41">
        <v>-0.42597564737492899</v>
      </c>
      <c r="F67" s="45">
        <v>7.481975647374929</v>
      </c>
    </row>
    <row r="68" spans="1:6">
      <c r="A68" s="41">
        <v>37</v>
      </c>
      <c r="B68" s="41">
        <v>6.3962015432800321</v>
      </c>
      <c r="C68" s="41">
        <v>-0.41220154328003211</v>
      </c>
      <c r="F68" s="45">
        <v>6.3962015432800321</v>
      </c>
    </row>
    <row r="69" spans="1:6">
      <c r="A69" s="41">
        <v>38</v>
      </c>
      <c r="B69" s="41">
        <v>7.5665444210863111</v>
      </c>
      <c r="C69" s="41">
        <v>-1.5985444210863111</v>
      </c>
      <c r="F69" s="45">
        <v>7.5665444210863111</v>
      </c>
    </row>
    <row r="70" spans="1:6">
      <c r="A70" s="41">
        <v>39</v>
      </c>
      <c r="B70" s="41">
        <v>8.23175285954445</v>
      </c>
      <c r="C70" s="41">
        <v>0.76824714045554998</v>
      </c>
      <c r="F70" s="45">
        <v>8.23175285954445</v>
      </c>
    </row>
    <row r="71" spans="1:6">
      <c r="A71" s="41">
        <v>40</v>
      </c>
      <c r="B71" s="41">
        <v>7.1873269407521132</v>
      </c>
      <c r="C71" s="41">
        <v>-0.58732694075211356</v>
      </c>
      <c r="F71" s="45">
        <v>7.1873269407521132</v>
      </c>
    </row>
    <row r="72" spans="1:6">
      <c r="A72" s="41">
        <v>41</v>
      </c>
      <c r="B72" s="41">
        <v>9.080344307379379</v>
      </c>
      <c r="C72" s="41">
        <v>-0.1603443073793791</v>
      </c>
      <c r="F72" s="45">
        <v>9.080344307379379</v>
      </c>
    </row>
    <row r="73" spans="1:6" ht="15.75" thickBot="1">
      <c r="A73" s="42">
        <v>42</v>
      </c>
      <c r="B73" s="42">
        <v>8.1218010515348418</v>
      </c>
      <c r="C73" s="42">
        <v>-0.62180105153484178</v>
      </c>
      <c r="F73" s="67">
        <v>8.1218010515348418</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Y48"/>
  <sheetViews>
    <sheetView topLeftCell="B18" workbookViewId="0">
      <selection activeCell="E3" sqref="E3:E44"/>
    </sheetView>
  </sheetViews>
  <sheetFormatPr defaultRowHeight="15"/>
  <cols>
    <col min="3" max="3" width="28.85546875" customWidth="1"/>
    <col min="4" max="4" width="10" style="64" bestFit="1" customWidth="1"/>
    <col min="5" max="5" width="10" style="64" customWidth="1"/>
    <col min="6" max="6" width="39.140625" style="40" customWidth="1"/>
    <col min="7" max="7" width="30" style="64" customWidth="1"/>
    <col min="8" max="8" width="9.140625" style="64"/>
    <col min="9" max="9" width="8.42578125" bestFit="1" customWidth="1"/>
    <col min="17" max="17" width="18" bestFit="1" customWidth="1"/>
    <col min="18" max="18" width="19.42578125" bestFit="1" customWidth="1"/>
    <col min="19" max="19" width="14.5703125" bestFit="1" customWidth="1"/>
    <col min="22" max="22" width="13.42578125" bestFit="1" customWidth="1"/>
  </cols>
  <sheetData>
    <row r="1" spans="1:25">
      <c r="I1" s="88" t="s">
        <v>498</v>
      </c>
      <c r="J1" s="88"/>
      <c r="K1" s="88"/>
      <c r="L1" s="88"/>
      <c r="M1" s="88" t="s">
        <v>499</v>
      </c>
      <c r="N1" s="88"/>
      <c r="O1" s="88"/>
    </row>
    <row r="2" spans="1:25" ht="60">
      <c r="C2" s="63" t="s">
        <v>505</v>
      </c>
      <c r="D2" s="3" t="s">
        <v>609</v>
      </c>
      <c r="E2" s="3" t="s">
        <v>607</v>
      </c>
      <c r="F2" s="3" t="s">
        <v>506</v>
      </c>
      <c r="G2" s="3" t="s">
        <v>497</v>
      </c>
      <c r="H2" s="3" t="s">
        <v>606</v>
      </c>
      <c r="I2" s="63" t="s">
        <v>500</v>
      </c>
      <c r="J2" s="63" t="s">
        <v>501</v>
      </c>
      <c r="K2" s="63" t="s">
        <v>502</v>
      </c>
      <c r="L2" s="63" t="s">
        <v>503</v>
      </c>
      <c r="M2" s="63" t="s">
        <v>507</v>
      </c>
      <c r="N2" s="63" t="s">
        <v>508</v>
      </c>
      <c r="O2" s="63" t="s">
        <v>509</v>
      </c>
    </row>
    <row r="3" spans="1:25">
      <c r="B3">
        <v>1</v>
      </c>
      <c r="C3" t="s">
        <v>30</v>
      </c>
      <c r="D3" s="11">
        <f>'Actual SGPA'!N3</f>
        <v>7.3768000000000002</v>
      </c>
      <c r="E3" s="11">
        <v>7.2839999999999998</v>
      </c>
      <c r="F3" s="64" t="s">
        <v>43</v>
      </c>
      <c r="G3" s="64" t="s">
        <v>34</v>
      </c>
      <c r="H3" s="64">
        <v>7.4</v>
      </c>
      <c r="I3">
        <f>IF(G3="Less than 2 hours",1,0)</f>
        <v>0</v>
      </c>
      <c r="J3">
        <f>IF(G3="2-5 hours",1,0)</f>
        <v>1</v>
      </c>
      <c r="K3">
        <f>IF(G3="5-8 hours",1,0)</f>
        <v>0</v>
      </c>
      <c r="L3">
        <f>IF(G3="8-11 hours",1,0)</f>
        <v>0</v>
      </c>
      <c r="M3">
        <f>IF(F3="Less than 10 hours",1,0)</f>
        <v>0</v>
      </c>
      <c r="N3">
        <f>IF(F3="Above 10 hours - Upto 30 hours",1,0)</f>
        <v>0</v>
      </c>
      <c r="O3">
        <f>IF(F3="Above 30 hours - Upto 50 hours",1,0)</f>
        <v>0</v>
      </c>
    </row>
    <row r="4" spans="1:25">
      <c r="A4" s="64" t="s">
        <v>495</v>
      </c>
      <c r="B4">
        <v>2</v>
      </c>
      <c r="C4" t="s">
        <v>46</v>
      </c>
      <c r="D4" s="11">
        <f>'Actual SGPA'!N4</f>
        <v>9.613999999999999</v>
      </c>
      <c r="E4" s="11">
        <v>10</v>
      </c>
      <c r="F4" s="64" t="s">
        <v>51</v>
      </c>
      <c r="G4" s="64" t="s">
        <v>48</v>
      </c>
      <c r="H4" s="64">
        <v>9.5174999999999983</v>
      </c>
      <c r="I4">
        <f t="shared" ref="I4:I33" si="0">IF(G4="Less than 2 hours",1,0)</f>
        <v>0</v>
      </c>
      <c r="J4">
        <f t="shared" ref="J4:J33" si="1">IF(G4="2-5 hours",1,0)</f>
        <v>0</v>
      </c>
      <c r="K4">
        <f t="shared" ref="K4:K33" si="2">IF(G4="5-8 hours",1,0)</f>
        <v>0</v>
      </c>
      <c r="L4">
        <f t="shared" ref="L4:L33" si="3">IF(G4="8-11 hours",1,0)</f>
        <v>1</v>
      </c>
      <c r="M4">
        <f t="shared" ref="M4:M33" si="4">IF(F4="Less than 10 hours",1,0)</f>
        <v>1</v>
      </c>
      <c r="N4">
        <f t="shared" ref="N4:N33" si="5">IF(F4="Above 10 hours - Upto 30 hours",1,0)</f>
        <v>0</v>
      </c>
      <c r="O4">
        <f t="shared" ref="O4:O33" si="6">IF(F4="Above 30 hours - Upto 50 hours",1,0)</f>
        <v>0</v>
      </c>
    </row>
    <row r="5" spans="1:25" ht="15.75" thickBot="1">
      <c r="A5" s="64" t="s">
        <v>496</v>
      </c>
      <c r="B5">
        <v>3</v>
      </c>
      <c r="C5" t="s">
        <v>57</v>
      </c>
      <c r="D5" s="11">
        <f>'Actual SGPA'!N5</f>
        <v>7.6019999999999994</v>
      </c>
      <c r="E5" s="11">
        <v>7.6</v>
      </c>
      <c r="F5" s="64" t="s">
        <v>43</v>
      </c>
      <c r="G5" s="64" t="s">
        <v>34</v>
      </c>
      <c r="H5" s="64">
        <v>7.6025</v>
      </c>
      <c r="I5">
        <f t="shared" si="0"/>
        <v>0</v>
      </c>
      <c r="J5">
        <f t="shared" si="1"/>
        <v>1</v>
      </c>
      <c r="K5">
        <f t="shared" si="2"/>
        <v>0</v>
      </c>
      <c r="L5">
        <f t="shared" si="3"/>
        <v>0</v>
      </c>
      <c r="M5">
        <f t="shared" si="4"/>
        <v>0</v>
      </c>
      <c r="N5">
        <f t="shared" si="5"/>
        <v>0</v>
      </c>
      <c r="O5">
        <f t="shared" si="6"/>
        <v>0</v>
      </c>
    </row>
    <row r="6" spans="1:25">
      <c r="B6">
        <v>4</v>
      </c>
      <c r="C6" t="s">
        <v>64</v>
      </c>
      <c r="D6" s="11">
        <f>'Actual SGPA'!N6</f>
        <v>8.0359999999999996</v>
      </c>
      <c r="E6" s="11">
        <v>9</v>
      </c>
      <c r="F6" s="64" t="s">
        <v>43</v>
      </c>
      <c r="G6" s="64" t="s">
        <v>66</v>
      </c>
      <c r="H6" s="64">
        <v>7.7949999999999999</v>
      </c>
      <c r="I6">
        <f t="shared" si="0"/>
        <v>1</v>
      </c>
      <c r="J6">
        <f t="shared" si="1"/>
        <v>0</v>
      </c>
      <c r="K6">
        <f t="shared" si="2"/>
        <v>0</v>
      </c>
      <c r="L6">
        <f t="shared" si="3"/>
        <v>0</v>
      </c>
      <c r="M6">
        <f t="shared" si="4"/>
        <v>0</v>
      </c>
      <c r="N6">
        <f t="shared" si="5"/>
        <v>0</v>
      </c>
      <c r="O6">
        <f t="shared" si="6"/>
        <v>0</v>
      </c>
      <c r="Q6" s="44"/>
      <c r="R6" s="44"/>
    </row>
    <row r="7" spans="1:25">
      <c r="B7">
        <v>5</v>
      </c>
      <c r="C7" t="s">
        <v>71</v>
      </c>
      <c r="D7" s="11">
        <f>'Actual SGPA'!N7</f>
        <v>8.4477999999999991</v>
      </c>
      <c r="E7" s="11">
        <v>7.9390000000000001</v>
      </c>
      <c r="F7" s="64" t="s">
        <v>51</v>
      </c>
      <c r="G7" s="64" t="s">
        <v>34</v>
      </c>
      <c r="H7" s="64">
        <v>8.5749999999999993</v>
      </c>
      <c r="I7">
        <f t="shared" si="0"/>
        <v>0</v>
      </c>
      <c r="J7">
        <f t="shared" si="1"/>
        <v>1</v>
      </c>
      <c r="K7">
        <f t="shared" si="2"/>
        <v>0</v>
      </c>
      <c r="L7">
        <f t="shared" si="3"/>
        <v>0</v>
      </c>
      <c r="M7">
        <f t="shared" si="4"/>
        <v>1</v>
      </c>
      <c r="N7">
        <f t="shared" si="5"/>
        <v>0</v>
      </c>
      <c r="O7">
        <f t="shared" si="6"/>
        <v>0</v>
      </c>
      <c r="Q7" s="41"/>
      <c r="R7" s="41"/>
    </row>
    <row r="8" spans="1:25">
      <c r="B8">
        <v>6</v>
      </c>
      <c r="C8" t="s">
        <v>76</v>
      </c>
      <c r="D8" s="11">
        <f>'Actual SGPA'!N8</f>
        <v>8.120000000000001</v>
      </c>
      <c r="E8" s="11">
        <v>8.1</v>
      </c>
      <c r="F8" s="64" t="s">
        <v>51</v>
      </c>
      <c r="G8" s="64" t="s">
        <v>34</v>
      </c>
      <c r="H8" s="64">
        <v>8.125</v>
      </c>
      <c r="I8">
        <f t="shared" si="0"/>
        <v>0</v>
      </c>
      <c r="J8">
        <f t="shared" si="1"/>
        <v>1</v>
      </c>
      <c r="K8">
        <f t="shared" si="2"/>
        <v>0</v>
      </c>
      <c r="L8">
        <f t="shared" si="3"/>
        <v>0</v>
      </c>
      <c r="M8">
        <f t="shared" si="4"/>
        <v>1</v>
      </c>
      <c r="N8">
        <f t="shared" si="5"/>
        <v>0</v>
      </c>
      <c r="O8">
        <f t="shared" si="6"/>
        <v>0</v>
      </c>
      <c r="Q8" s="41"/>
      <c r="R8" s="41"/>
    </row>
    <row r="9" spans="1:25">
      <c r="B9">
        <v>7</v>
      </c>
      <c r="C9" t="s">
        <v>81</v>
      </c>
      <c r="D9" s="11">
        <f>'Actual SGPA'!N9</f>
        <v>8.3580000000000005</v>
      </c>
      <c r="E9" s="11">
        <v>9.11</v>
      </c>
      <c r="F9" s="64" t="s">
        <v>51</v>
      </c>
      <c r="G9" s="64" t="s">
        <v>66</v>
      </c>
      <c r="H9" s="64">
        <v>8.17</v>
      </c>
      <c r="I9">
        <f t="shared" si="0"/>
        <v>1</v>
      </c>
      <c r="J9">
        <f t="shared" si="1"/>
        <v>0</v>
      </c>
      <c r="K9">
        <f t="shared" si="2"/>
        <v>0</v>
      </c>
      <c r="L9">
        <f t="shared" si="3"/>
        <v>0</v>
      </c>
      <c r="M9">
        <f t="shared" si="4"/>
        <v>1</v>
      </c>
      <c r="N9">
        <f t="shared" si="5"/>
        <v>0</v>
      </c>
      <c r="O9">
        <f t="shared" si="6"/>
        <v>0</v>
      </c>
      <c r="Q9" s="41"/>
      <c r="R9" s="41"/>
    </row>
    <row r="10" spans="1:25">
      <c r="B10">
        <v>8</v>
      </c>
      <c r="C10" t="s">
        <v>85</v>
      </c>
      <c r="D10" s="11">
        <f>'Actual SGPA'!N10</f>
        <v>7.9320000000000004</v>
      </c>
      <c r="E10" s="11">
        <v>7.46</v>
      </c>
      <c r="F10" s="64" t="s">
        <v>43</v>
      </c>
      <c r="G10" s="64" t="s">
        <v>34</v>
      </c>
      <c r="H10" s="64">
        <v>8.0500000000000007</v>
      </c>
      <c r="I10">
        <f t="shared" si="0"/>
        <v>0</v>
      </c>
      <c r="J10">
        <f t="shared" si="1"/>
        <v>1</v>
      </c>
      <c r="K10">
        <f t="shared" si="2"/>
        <v>0</v>
      </c>
      <c r="L10">
        <f t="shared" si="3"/>
        <v>0</v>
      </c>
      <c r="M10">
        <f t="shared" si="4"/>
        <v>0</v>
      </c>
      <c r="N10">
        <f t="shared" si="5"/>
        <v>0</v>
      </c>
      <c r="O10">
        <f t="shared" si="6"/>
        <v>0</v>
      </c>
      <c r="Q10" s="41"/>
      <c r="R10" s="41"/>
    </row>
    <row r="11" spans="1:25" ht="15.75" thickBot="1">
      <c r="B11">
        <v>9</v>
      </c>
      <c r="C11" t="s">
        <v>89</v>
      </c>
      <c r="D11" s="11">
        <f>'Actual SGPA'!N11</f>
        <v>8.2574000000000005</v>
      </c>
      <c r="E11" s="11">
        <v>8.1869999999999994</v>
      </c>
      <c r="F11" s="64" t="s">
        <v>43</v>
      </c>
      <c r="G11" s="64" t="s">
        <v>48</v>
      </c>
      <c r="H11" s="64">
        <v>8.2750000000000004</v>
      </c>
      <c r="I11">
        <f t="shared" si="0"/>
        <v>0</v>
      </c>
      <c r="J11">
        <f t="shared" si="1"/>
        <v>0</v>
      </c>
      <c r="K11">
        <f t="shared" si="2"/>
        <v>0</v>
      </c>
      <c r="L11">
        <f t="shared" si="3"/>
        <v>1</v>
      </c>
      <c r="M11">
        <f t="shared" si="4"/>
        <v>0</v>
      </c>
      <c r="N11">
        <f t="shared" si="5"/>
        <v>0</v>
      </c>
      <c r="O11">
        <f t="shared" si="6"/>
        <v>0</v>
      </c>
      <c r="Q11" s="42"/>
      <c r="R11" s="42"/>
    </row>
    <row r="12" spans="1:25">
      <c r="B12">
        <v>10</v>
      </c>
      <c r="C12" t="s">
        <v>94</v>
      </c>
      <c r="D12" s="11">
        <f>'Actual SGPA'!N12</f>
        <v>9.0220000000000002</v>
      </c>
      <c r="E12" s="11">
        <v>8.81</v>
      </c>
      <c r="F12" s="64" t="s">
        <v>51</v>
      </c>
      <c r="G12" s="64" t="s">
        <v>66</v>
      </c>
      <c r="H12" s="64">
        <v>9.0749999999999993</v>
      </c>
      <c r="I12">
        <f t="shared" si="0"/>
        <v>1</v>
      </c>
      <c r="J12">
        <f t="shared" si="1"/>
        <v>0</v>
      </c>
      <c r="K12">
        <f t="shared" si="2"/>
        <v>0</v>
      </c>
      <c r="L12">
        <f t="shared" si="3"/>
        <v>0</v>
      </c>
      <c r="M12">
        <f t="shared" si="4"/>
        <v>1</v>
      </c>
      <c r="N12">
        <f t="shared" si="5"/>
        <v>0</v>
      </c>
      <c r="O12">
        <f t="shared" si="6"/>
        <v>0</v>
      </c>
    </row>
    <row r="13" spans="1:25">
      <c r="B13">
        <v>11</v>
      </c>
      <c r="C13" t="s">
        <v>416</v>
      </c>
      <c r="D13" s="11">
        <f>'Actual SGPA'!N13</f>
        <v>9.1059999999999999</v>
      </c>
      <c r="E13" s="11">
        <v>9</v>
      </c>
      <c r="F13" s="64" t="s">
        <v>43</v>
      </c>
      <c r="G13" s="64" t="s">
        <v>34</v>
      </c>
      <c r="H13" s="64">
        <v>9.1325000000000003</v>
      </c>
      <c r="I13">
        <f t="shared" si="0"/>
        <v>0</v>
      </c>
      <c r="J13">
        <f t="shared" si="1"/>
        <v>1</v>
      </c>
      <c r="K13">
        <f t="shared" si="2"/>
        <v>0</v>
      </c>
      <c r="L13">
        <f t="shared" si="3"/>
        <v>0</v>
      </c>
      <c r="M13">
        <f t="shared" si="4"/>
        <v>0</v>
      </c>
      <c r="N13">
        <f t="shared" si="5"/>
        <v>0</v>
      </c>
      <c r="O13">
        <f t="shared" si="6"/>
        <v>0</v>
      </c>
    </row>
    <row r="14" spans="1:25">
      <c r="B14">
        <v>12</v>
      </c>
      <c r="C14" t="s">
        <v>119</v>
      </c>
      <c r="D14" s="11">
        <f>'Actual SGPA'!N14</f>
        <v>6.6597999999999997</v>
      </c>
      <c r="E14" s="11">
        <v>6.1989999999999998</v>
      </c>
      <c r="F14" s="64" t="s">
        <v>51</v>
      </c>
      <c r="G14" s="64" t="s">
        <v>34</v>
      </c>
      <c r="H14" s="64">
        <v>6.7750000000000004</v>
      </c>
      <c r="I14">
        <f t="shared" si="0"/>
        <v>0</v>
      </c>
      <c r="J14">
        <f t="shared" si="1"/>
        <v>1</v>
      </c>
      <c r="K14">
        <f t="shared" si="2"/>
        <v>0</v>
      </c>
      <c r="L14">
        <f t="shared" si="3"/>
        <v>0</v>
      </c>
      <c r="M14">
        <f t="shared" si="4"/>
        <v>1</v>
      </c>
      <c r="N14">
        <f t="shared" si="5"/>
        <v>0</v>
      </c>
      <c r="O14">
        <f t="shared" si="6"/>
        <v>0</v>
      </c>
    </row>
    <row r="15" spans="1:25">
      <c r="B15">
        <v>13</v>
      </c>
      <c r="C15" t="s">
        <v>129</v>
      </c>
      <c r="D15" s="11">
        <f>'Actual SGPA'!N15</f>
        <v>7.7336</v>
      </c>
      <c r="E15" s="11">
        <v>7.5679999999999996</v>
      </c>
      <c r="F15" s="64" t="s">
        <v>51</v>
      </c>
      <c r="G15" s="64" t="s">
        <v>117</v>
      </c>
      <c r="H15" s="64">
        <v>7.7749999999999995</v>
      </c>
      <c r="I15">
        <f t="shared" si="0"/>
        <v>0</v>
      </c>
      <c r="J15">
        <f t="shared" si="1"/>
        <v>0</v>
      </c>
      <c r="K15">
        <f t="shared" si="2"/>
        <v>1</v>
      </c>
      <c r="L15">
        <f t="shared" si="3"/>
        <v>0</v>
      </c>
      <c r="M15">
        <f t="shared" si="4"/>
        <v>1</v>
      </c>
      <c r="N15">
        <f t="shared" si="5"/>
        <v>0</v>
      </c>
      <c r="O15">
        <f t="shared" si="6"/>
        <v>0</v>
      </c>
      <c r="Q15" s="41"/>
      <c r="R15" s="41"/>
      <c r="S15" s="41"/>
      <c r="T15" s="41"/>
      <c r="U15" s="41"/>
      <c r="V15" s="41"/>
      <c r="W15" s="41"/>
      <c r="X15" s="41"/>
      <c r="Y15" s="41"/>
    </row>
    <row r="16" spans="1:25">
      <c r="B16">
        <v>14</v>
      </c>
      <c r="C16" t="s">
        <v>135</v>
      </c>
      <c r="D16" s="11">
        <f>'Actual SGPA'!N16</f>
        <v>8.1001999999999992</v>
      </c>
      <c r="E16" s="11">
        <v>8.1010000000000009</v>
      </c>
      <c r="F16" s="64" t="s">
        <v>43</v>
      </c>
      <c r="G16" s="64" t="s">
        <v>117</v>
      </c>
      <c r="H16" s="64">
        <v>8.1</v>
      </c>
      <c r="I16">
        <f t="shared" si="0"/>
        <v>0</v>
      </c>
      <c r="J16">
        <f t="shared" si="1"/>
        <v>0</v>
      </c>
      <c r="K16">
        <f t="shared" si="2"/>
        <v>1</v>
      </c>
      <c r="L16">
        <f t="shared" si="3"/>
        <v>0</v>
      </c>
      <c r="M16">
        <f t="shared" si="4"/>
        <v>0</v>
      </c>
      <c r="N16">
        <f t="shared" si="5"/>
        <v>0</v>
      </c>
      <c r="O16">
        <f t="shared" si="6"/>
        <v>0</v>
      </c>
      <c r="Q16" s="41"/>
      <c r="R16" s="41"/>
      <c r="S16" s="41"/>
      <c r="T16" s="41"/>
      <c r="U16" s="41"/>
      <c r="V16" s="41"/>
      <c r="W16" s="41"/>
      <c r="X16" s="41"/>
      <c r="Y16" s="41"/>
    </row>
    <row r="17" spans="2:25">
      <c r="B17">
        <v>15</v>
      </c>
      <c r="C17" t="s">
        <v>139</v>
      </c>
      <c r="D17" s="11">
        <f>'Actual SGPA'!N17</f>
        <v>7.94</v>
      </c>
      <c r="E17" s="11">
        <v>8.0500000000000007</v>
      </c>
      <c r="F17" s="64" t="s">
        <v>43</v>
      </c>
      <c r="G17" s="64" t="s">
        <v>34</v>
      </c>
      <c r="H17" s="64">
        <v>7.9125000000000005</v>
      </c>
      <c r="I17">
        <f t="shared" si="0"/>
        <v>0</v>
      </c>
      <c r="J17">
        <f t="shared" si="1"/>
        <v>1</v>
      </c>
      <c r="K17">
        <f t="shared" si="2"/>
        <v>0</v>
      </c>
      <c r="L17">
        <f t="shared" si="3"/>
        <v>0</v>
      </c>
      <c r="M17">
        <f t="shared" si="4"/>
        <v>0</v>
      </c>
      <c r="N17">
        <f t="shared" si="5"/>
        <v>0</v>
      </c>
      <c r="O17">
        <f t="shared" si="6"/>
        <v>0</v>
      </c>
      <c r="Q17" s="41"/>
      <c r="R17" s="41"/>
      <c r="S17" s="41"/>
      <c r="T17" s="41"/>
      <c r="U17" s="41"/>
      <c r="V17" s="41"/>
      <c r="W17" s="41"/>
      <c r="X17" s="41"/>
      <c r="Y17" s="41"/>
    </row>
    <row r="18" spans="2:25">
      <c r="B18">
        <v>16</v>
      </c>
      <c r="C18" t="s">
        <v>142</v>
      </c>
      <c r="D18" s="11">
        <f>'Actual SGPA'!N18</f>
        <v>8.6128000000000018</v>
      </c>
      <c r="E18" s="11">
        <v>8.7360000000000007</v>
      </c>
      <c r="F18" s="64" t="s">
        <v>61</v>
      </c>
      <c r="G18" s="64" t="s">
        <v>117</v>
      </c>
      <c r="H18" s="64">
        <v>8.5820000000000007</v>
      </c>
      <c r="I18">
        <f t="shared" si="0"/>
        <v>0</v>
      </c>
      <c r="J18">
        <f t="shared" si="1"/>
        <v>0</v>
      </c>
      <c r="K18">
        <f t="shared" si="2"/>
        <v>1</v>
      </c>
      <c r="L18">
        <f t="shared" si="3"/>
        <v>0</v>
      </c>
      <c r="M18">
        <f t="shared" si="4"/>
        <v>0</v>
      </c>
      <c r="N18">
        <f t="shared" si="5"/>
        <v>1</v>
      </c>
      <c r="O18">
        <f t="shared" si="6"/>
        <v>0</v>
      </c>
      <c r="Q18" s="41"/>
      <c r="R18" s="41"/>
      <c r="S18" s="41"/>
      <c r="T18" s="41"/>
      <c r="U18" s="41"/>
      <c r="V18" s="41"/>
      <c r="W18" s="41"/>
      <c r="X18" s="41"/>
      <c r="Y18" s="41"/>
    </row>
    <row r="19" spans="2:25">
      <c r="B19">
        <v>17</v>
      </c>
      <c r="C19" t="s">
        <v>148</v>
      </c>
      <c r="D19" s="11">
        <f>'Actual SGPA'!N19</f>
        <v>7.971000000000001</v>
      </c>
      <c r="E19" s="11">
        <v>8.6999999999999993</v>
      </c>
      <c r="F19" s="64" t="s">
        <v>43</v>
      </c>
      <c r="G19" s="64" t="s">
        <v>117</v>
      </c>
      <c r="H19" s="64">
        <v>7.7887500000000003</v>
      </c>
      <c r="I19">
        <f t="shared" si="0"/>
        <v>0</v>
      </c>
      <c r="J19">
        <f t="shared" si="1"/>
        <v>0</v>
      </c>
      <c r="K19">
        <f t="shared" si="2"/>
        <v>1</v>
      </c>
      <c r="L19">
        <f t="shared" si="3"/>
        <v>0</v>
      </c>
      <c r="M19">
        <f t="shared" si="4"/>
        <v>0</v>
      </c>
      <c r="N19">
        <f t="shared" si="5"/>
        <v>0</v>
      </c>
      <c r="O19">
        <f t="shared" si="6"/>
        <v>0</v>
      </c>
    </row>
    <row r="20" spans="2:25">
      <c r="B20">
        <v>18</v>
      </c>
      <c r="C20" t="s">
        <v>151</v>
      </c>
      <c r="D20" s="11">
        <f>'Actual SGPA'!N20</f>
        <v>8.072000000000001</v>
      </c>
      <c r="E20" s="11">
        <v>8.0299999999999994</v>
      </c>
      <c r="F20" s="64" t="s">
        <v>51</v>
      </c>
      <c r="G20" s="64" t="s">
        <v>34</v>
      </c>
      <c r="H20" s="64">
        <v>8.0825000000000014</v>
      </c>
      <c r="I20">
        <f t="shared" si="0"/>
        <v>0</v>
      </c>
      <c r="J20">
        <f t="shared" si="1"/>
        <v>1</v>
      </c>
      <c r="K20">
        <f t="shared" si="2"/>
        <v>0</v>
      </c>
      <c r="L20">
        <f t="shared" si="3"/>
        <v>0</v>
      </c>
      <c r="M20">
        <f t="shared" si="4"/>
        <v>1</v>
      </c>
      <c r="N20">
        <f t="shared" si="5"/>
        <v>0</v>
      </c>
      <c r="O20">
        <f t="shared" si="6"/>
        <v>0</v>
      </c>
    </row>
    <row r="21" spans="2:25">
      <c r="B21">
        <v>19</v>
      </c>
      <c r="C21" t="s">
        <v>157</v>
      </c>
      <c r="D21" s="11">
        <f>'Actual SGPA'!N21</f>
        <v>6.6482000000000001</v>
      </c>
      <c r="E21" s="11">
        <v>5.8410000000000002</v>
      </c>
      <c r="F21" s="64" t="s">
        <v>51</v>
      </c>
      <c r="G21" s="64" t="s">
        <v>117</v>
      </c>
      <c r="H21" s="64">
        <v>6.8500000000000005</v>
      </c>
      <c r="I21">
        <f t="shared" si="0"/>
        <v>0</v>
      </c>
      <c r="J21">
        <f t="shared" si="1"/>
        <v>0</v>
      </c>
      <c r="K21">
        <f t="shared" si="2"/>
        <v>1</v>
      </c>
      <c r="L21">
        <f t="shared" si="3"/>
        <v>0</v>
      </c>
      <c r="M21">
        <f t="shared" si="4"/>
        <v>1</v>
      </c>
      <c r="N21">
        <f t="shared" si="5"/>
        <v>0</v>
      </c>
      <c r="O21">
        <f t="shared" si="6"/>
        <v>0</v>
      </c>
    </row>
    <row r="22" spans="2:25">
      <c r="B22">
        <v>20</v>
      </c>
      <c r="C22" t="s">
        <v>159</v>
      </c>
      <c r="D22" s="11">
        <f>'Actual SGPA'!N22</f>
        <v>7.2551999999999994</v>
      </c>
      <c r="E22" s="11">
        <v>7.391</v>
      </c>
      <c r="F22" s="64" t="s">
        <v>43</v>
      </c>
      <c r="G22" s="64" t="s">
        <v>34</v>
      </c>
      <c r="H22" s="64">
        <v>7.2212499999999995</v>
      </c>
      <c r="I22">
        <f t="shared" si="0"/>
        <v>0</v>
      </c>
      <c r="J22">
        <f t="shared" si="1"/>
        <v>1</v>
      </c>
      <c r="K22">
        <f t="shared" si="2"/>
        <v>0</v>
      </c>
      <c r="L22">
        <f t="shared" si="3"/>
        <v>0</v>
      </c>
      <c r="M22">
        <f t="shared" si="4"/>
        <v>0</v>
      </c>
      <c r="N22">
        <f t="shared" si="5"/>
        <v>0</v>
      </c>
      <c r="O22">
        <f t="shared" si="6"/>
        <v>0</v>
      </c>
    </row>
    <row r="23" spans="2:25">
      <c r="B23">
        <v>21</v>
      </c>
      <c r="C23" t="s">
        <v>166</v>
      </c>
      <c r="D23" s="11">
        <f>'Actual SGPA'!N23</f>
        <v>7.99</v>
      </c>
      <c r="E23" s="11">
        <v>7.2</v>
      </c>
      <c r="F23" s="64" t="s">
        <v>43</v>
      </c>
      <c r="G23" s="64" t="s">
        <v>117</v>
      </c>
      <c r="H23" s="64">
        <v>8.1875</v>
      </c>
      <c r="I23">
        <f t="shared" si="0"/>
        <v>0</v>
      </c>
      <c r="J23">
        <f t="shared" si="1"/>
        <v>0</v>
      </c>
      <c r="K23">
        <f t="shared" si="2"/>
        <v>1</v>
      </c>
      <c r="L23">
        <f t="shared" si="3"/>
        <v>0</v>
      </c>
      <c r="M23">
        <f t="shared" si="4"/>
        <v>0</v>
      </c>
      <c r="N23">
        <f t="shared" si="5"/>
        <v>0</v>
      </c>
      <c r="O23">
        <f t="shared" si="6"/>
        <v>0</v>
      </c>
      <c r="Q23" s="41"/>
      <c r="R23" s="41"/>
      <c r="S23" s="41"/>
    </row>
    <row r="24" spans="2:25">
      <c r="B24">
        <v>22</v>
      </c>
      <c r="C24" t="s">
        <v>179</v>
      </c>
      <c r="D24" s="11">
        <f>'Actual SGPA'!N24</f>
        <v>6.5489999999999995</v>
      </c>
      <c r="E24" s="11">
        <v>6.5540000000000003</v>
      </c>
      <c r="F24" s="64" t="s">
        <v>43</v>
      </c>
      <c r="G24" s="64" t="s">
        <v>117</v>
      </c>
      <c r="H24" s="64">
        <v>6.5477499999999997</v>
      </c>
      <c r="I24">
        <f t="shared" si="0"/>
        <v>0</v>
      </c>
      <c r="J24">
        <f t="shared" si="1"/>
        <v>0</v>
      </c>
      <c r="K24">
        <f t="shared" si="2"/>
        <v>1</v>
      </c>
      <c r="L24">
        <f t="shared" si="3"/>
        <v>0</v>
      </c>
      <c r="M24">
        <f t="shared" si="4"/>
        <v>0</v>
      </c>
      <c r="N24">
        <f t="shared" si="5"/>
        <v>0</v>
      </c>
      <c r="O24">
        <f t="shared" si="6"/>
        <v>0</v>
      </c>
      <c r="Q24" s="41"/>
      <c r="R24" s="41"/>
      <c r="S24" s="41"/>
    </row>
    <row r="25" spans="2:25">
      <c r="B25">
        <v>23</v>
      </c>
      <c r="C25" t="s">
        <v>191</v>
      </c>
      <c r="D25" s="11">
        <f>'Actual SGPA'!N25</f>
        <v>7.7274000000000003</v>
      </c>
      <c r="E25" s="11">
        <v>7.8369999999999997</v>
      </c>
      <c r="F25" s="64" t="s">
        <v>51</v>
      </c>
      <c r="G25" s="64" t="s">
        <v>34</v>
      </c>
      <c r="H25" s="64">
        <v>7.7</v>
      </c>
      <c r="I25">
        <f t="shared" si="0"/>
        <v>0</v>
      </c>
      <c r="J25">
        <f t="shared" si="1"/>
        <v>1</v>
      </c>
      <c r="K25">
        <f t="shared" si="2"/>
        <v>0</v>
      </c>
      <c r="L25">
        <f t="shared" si="3"/>
        <v>0</v>
      </c>
      <c r="M25">
        <f t="shared" si="4"/>
        <v>1</v>
      </c>
      <c r="N25">
        <f t="shared" si="5"/>
        <v>0</v>
      </c>
      <c r="O25">
        <f t="shared" si="6"/>
        <v>0</v>
      </c>
      <c r="Q25" s="41"/>
      <c r="R25" s="41"/>
      <c r="S25" s="41"/>
    </row>
    <row r="26" spans="2:25">
      <c r="B26">
        <v>24</v>
      </c>
      <c r="C26" t="s">
        <v>203</v>
      </c>
      <c r="D26" s="11">
        <f>'Actual SGPA'!N26</f>
        <v>8.5597999999999992</v>
      </c>
      <c r="E26" s="11">
        <v>8.1890000000000001</v>
      </c>
      <c r="F26" s="64" t="s">
        <v>51</v>
      </c>
      <c r="G26" s="64" t="s">
        <v>117</v>
      </c>
      <c r="H26" s="64">
        <v>8.6524999999999999</v>
      </c>
      <c r="I26">
        <f t="shared" si="0"/>
        <v>0</v>
      </c>
      <c r="J26">
        <f t="shared" si="1"/>
        <v>0</v>
      </c>
      <c r="K26">
        <f t="shared" si="2"/>
        <v>1</v>
      </c>
      <c r="L26">
        <f t="shared" si="3"/>
        <v>0</v>
      </c>
      <c r="M26">
        <f t="shared" si="4"/>
        <v>1</v>
      </c>
      <c r="N26">
        <f t="shared" si="5"/>
        <v>0</v>
      </c>
      <c r="O26">
        <f t="shared" si="6"/>
        <v>0</v>
      </c>
      <c r="Q26" s="41"/>
      <c r="R26" s="41"/>
      <c r="S26" s="41"/>
    </row>
    <row r="27" spans="2:25">
      <c r="B27">
        <v>25</v>
      </c>
      <c r="C27" t="s">
        <v>205</v>
      </c>
      <c r="D27" s="11">
        <f>'Actual SGPA'!N27</f>
        <v>7.7319999999999993</v>
      </c>
      <c r="E27" s="11">
        <v>7.5</v>
      </c>
      <c r="F27" s="64" t="s">
        <v>43</v>
      </c>
      <c r="G27" s="64" t="s">
        <v>34</v>
      </c>
      <c r="H27" s="64">
        <v>7.7899999999999991</v>
      </c>
      <c r="I27">
        <f t="shared" si="0"/>
        <v>0</v>
      </c>
      <c r="J27">
        <f t="shared" si="1"/>
        <v>1</v>
      </c>
      <c r="K27">
        <f t="shared" si="2"/>
        <v>0</v>
      </c>
      <c r="L27">
        <f t="shared" si="3"/>
        <v>0</v>
      </c>
      <c r="M27">
        <f t="shared" si="4"/>
        <v>0</v>
      </c>
      <c r="N27">
        <f t="shared" si="5"/>
        <v>0</v>
      </c>
      <c r="O27">
        <f t="shared" si="6"/>
        <v>0</v>
      </c>
      <c r="Q27" s="41"/>
      <c r="R27" s="41"/>
      <c r="S27" s="41"/>
    </row>
    <row r="28" spans="2:25">
      <c r="B28">
        <v>26</v>
      </c>
      <c r="C28" t="s">
        <v>207</v>
      </c>
      <c r="D28" s="11">
        <f>'Actual SGPA'!N28</f>
        <v>7.25</v>
      </c>
      <c r="E28" s="11">
        <v>6.6</v>
      </c>
      <c r="F28" s="64" t="s">
        <v>51</v>
      </c>
      <c r="G28" s="64" t="s">
        <v>34</v>
      </c>
      <c r="H28" s="64">
        <v>7.4124999999999996</v>
      </c>
      <c r="I28">
        <f t="shared" si="0"/>
        <v>0</v>
      </c>
      <c r="J28">
        <f t="shared" si="1"/>
        <v>1</v>
      </c>
      <c r="K28">
        <f t="shared" si="2"/>
        <v>0</v>
      </c>
      <c r="L28">
        <f t="shared" si="3"/>
        <v>0</v>
      </c>
      <c r="M28">
        <f t="shared" si="4"/>
        <v>1</v>
      </c>
      <c r="N28">
        <f t="shared" si="5"/>
        <v>0</v>
      </c>
      <c r="O28">
        <f t="shared" si="6"/>
        <v>0</v>
      </c>
      <c r="Q28" s="41"/>
      <c r="R28" s="41"/>
      <c r="S28" s="41"/>
    </row>
    <row r="29" spans="2:25">
      <c r="B29">
        <v>27</v>
      </c>
      <c r="C29" t="s">
        <v>210</v>
      </c>
      <c r="D29" s="11">
        <f>'Actual SGPA'!N29</f>
        <v>7.4595999999999991</v>
      </c>
      <c r="E29" s="11">
        <v>7.1180000000000003</v>
      </c>
      <c r="F29" s="64" t="s">
        <v>43</v>
      </c>
      <c r="G29" s="64" t="s">
        <v>34</v>
      </c>
      <c r="H29" s="64">
        <v>7.544999999999999</v>
      </c>
      <c r="I29">
        <f t="shared" si="0"/>
        <v>0</v>
      </c>
      <c r="J29">
        <f t="shared" si="1"/>
        <v>1</v>
      </c>
      <c r="K29">
        <f t="shared" si="2"/>
        <v>0</v>
      </c>
      <c r="L29">
        <f t="shared" si="3"/>
        <v>0</v>
      </c>
      <c r="M29">
        <f t="shared" si="4"/>
        <v>0</v>
      </c>
      <c r="N29">
        <f t="shared" si="5"/>
        <v>0</v>
      </c>
      <c r="O29">
        <f t="shared" si="6"/>
        <v>0</v>
      </c>
      <c r="Q29" s="41"/>
      <c r="R29" s="41"/>
      <c r="S29" s="41"/>
    </row>
    <row r="30" spans="2:25">
      <c r="B30">
        <v>28</v>
      </c>
      <c r="C30" t="s">
        <v>215</v>
      </c>
      <c r="D30" s="11">
        <f>'Actual SGPA'!N30</f>
        <v>7.18</v>
      </c>
      <c r="E30" s="11">
        <v>7</v>
      </c>
      <c r="F30" s="64" t="s">
        <v>61</v>
      </c>
      <c r="G30" s="64" t="s">
        <v>66</v>
      </c>
      <c r="H30" s="64">
        <v>7.2249999999999996</v>
      </c>
      <c r="I30">
        <f t="shared" si="0"/>
        <v>1</v>
      </c>
      <c r="J30">
        <f t="shared" si="1"/>
        <v>0</v>
      </c>
      <c r="K30">
        <f t="shared" si="2"/>
        <v>0</v>
      </c>
      <c r="L30">
        <f t="shared" si="3"/>
        <v>0</v>
      </c>
      <c r="M30">
        <f t="shared" si="4"/>
        <v>0</v>
      </c>
      <c r="N30">
        <f t="shared" si="5"/>
        <v>1</v>
      </c>
      <c r="O30">
        <f t="shared" si="6"/>
        <v>0</v>
      </c>
      <c r="Q30" s="41"/>
      <c r="R30" s="41"/>
      <c r="S30" s="41"/>
    </row>
    <row r="31" spans="2:25">
      <c r="B31">
        <v>29</v>
      </c>
      <c r="C31" t="s">
        <v>223</v>
      </c>
      <c r="D31" s="11">
        <f>'Actual SGPA'!N31</f>
        <v>6.8437999999999999</v>
      </c>
      <c r="E31" s="11">
        <v>6.68</v>
      </c>
      <c r="F31" s="64" t="s">
        <v>43</v>
      </c>
      <c r="G31" s="64" t="s">
        <v>34</v>
      </c>
      <c r="H31" s="64">
        <v>6.8847500000000004</v>
      </c>
      <c r="I31">
        <f t="shared" si="0"/>
        <v>0</v>
      </c>
      <c r="J31">
        <f t="shared" si="1"/>
        <v>1</v>
      </c>
      <c r="K31">
        <f t="shared" si="2"/>
        <v>0</v>
      </c>
      <c r="L31">
        <f t="shared" si="3"/>
        <v>0</v>
      </c>
      <c r="M31">
        <f t="shared" si="4"/>
        <v>0</v>
      </c>
      <c r="N31">
        <f t="shared" si="5"/>
        <v>0</v>
      </c>
      <c r="O31">
        <f t="shared" si="6"/>
        <v>0</v>
      </c>
      <c r="Q31" s="41"/>
      <c r="R31" s="41"/>
      <c r="S31" s="41"/>
    </row>
    <row r="32" spans="2:25">
      <c r="B32">
        <v>30</v>
      </c>
      <c r="C32" t="s">
        <v>233</v>
      </c>
      <c r="D32" s="11">
        <f>'Actual SGPA'!N32</f>
        <v>6.87</v>
      </c>
      <c r="E32" s="11">
        <v>7.45</v>
      </c>
      <c r="F32" s="64" t="s">
        <v>51</v>
      </c>
      <c r="G32" s="64" t="s">
        <v>34</v>
      </c>
      <c r="H32" s="64">
        <v>6.7249999999999996</v>
      </c>
      <c r="I32">
        <f t="shared" si="0"/>
        <v>0</v>
      </c>
      <c r="J32">
        <f t="shared" si="1"/>
        <v>1</v>
      </c>
      <c r="K32">
        <f t="shared" si="2"/>
        <v>0</v>
      </c>
      <c r="L32">
        <f t="shared" si="3"/>
        <v>0</v>
      </c>
      <c r="M32">
        <f t="shared" si="4"/>
        <v>1</v>
      </c>
      <c r="N32">
        <f t="shared" si="5"/>
        <v>0</v>
      </c>
      <c r="O32">
        <f t="shared" si="6"/>
        <v>0</v>
      </c>
      <c r="Q32" s="41"/>
      <c r="R32" s="41"/>
      <c r="S32" s="41"/>
    </row>
    <row r="33" spans="2:19">
      <c r="B33">
        <v>31</v>
      </c>
      <c r="C33" t="s">
        <v>238</v>
      </c>
      <c r="D33" s="11">
        <f>'Actual SGPA'!N33</f>
        <v>7.8849999999999998</v>
      </c>
      <c r="E33" s="11">
        <v>7.7249999999999996</v>
      </c>
      <c r="F33" s="64" t="s">
        <v>51</v>
      </c>
      <c r="G33" s="64" t="s">
        <v>34</v>
      </c>
      <c r="H33" s="64">
        <v>7.9249999999999998</v>
      </c>
      <c r="I33">
        <f t="shared" si="0"/>
        <v>0</v>
      </c>
      <c r="J33">
        <f t="shared" si="1"/>
        <v>1</v>
      </c>
      <c r="K33">
        <f t="shared" si="2"/>
        <v>0</v>
      </c>
      <c r="L33">
        <f t="shared" si="3"/>
        <v>0</v>
      </c>
      <c r="M33">
        <f t="shared" si="4"/>
        <v>1</v>
      </c>
      <c r="N33">
        <f t="shared" si="5"/>
        <v>0</v>
      </c>
      <c r="O33">
        <f t="shared" si="6"/>
        <v>0</v>
      </c>
      <c r="Q33" s="41"/>
      <c r="R33" s="41"/>
      <c r="S33" s="41"/>
    </row>
    <row r="34" spans="2:19">
      <c r="B34">
        <v>32</v>
      </c>
      <c r="C34" t="s">
        <v>275</v>
      </c>
      <c r="D34" s="11">
        <f>'Actual SGPA'!N34</f>
        <v>8.8148000000000017</v>
      </c>
      <c r="E34" s="11">
        <v>8.6739999999999995</v>
      </c>
      <c r="F34" s="64" t="s">
        <v>43</v>
      </c>
      <c r="G34" s="64" t="s">
        <v>34</v>
      </c>
      <c r="H34" s="64">
        <v>8.8500000000000014</v>
      </c>
      <c r="I34">
        <f t="shared" ref="I34:I44" si="7">IF(G34="Less than 2 hours",1,0)</f>
        <v>0</v>
      </c>
      <c r="J34">
        <f t="shared" ref="J34:J44" si="8">IF(G34="2-5 hours",1,0)</f>
        <v>1</v>
      </c>
      <c r="K34">
        <f t="shared" ref="K34:K44" si="9">IF(G34="5-8 hours",1,0)</f>
        <v>0</v>
      </c>
      <c r="L34">
        <f t="shared" ref="L34:L44" si="10">IF(G34="8-11 hours",1,0)</f>
        <v>0</v>
      </c>
      <c r="M34">
        <f t="shared" ref="M34:M44" si="11">IF(F34="Less than 10 hours",1,0)</f>
        <v>0</v>
      </c>
      <c r="N34">
        <f t="shared" ref="N34:N44" si="12">IF(F34="Above 10 hours - Upto 30 hours",1,0)</f>
        <v>0</v>
      </c>
      <c r="O34">
        <f t="shared" ref="O34:O44" si="13">IF(F34="Above 30 hours - Upto 50 hours",1,0)</f>
        <v>0</v>
      </c>
      <c r="Q34" s="41"/>
      <c r="R34" s="41"/>
      <c r="S34" s="41"/>
    </row>
    <row r="35" spans="2:19">
      <c r="B35">
        <v>33</v>
      </c>
      <c r="C35" t="s">
        <v>277</v>
      </c>
      <c r="D35" s="11">
        <f>'Actual SGPA'!N35</f>
        <v>6.2720000000000002</v>
      </c>
      <c r="E35" s="11">
        <v>5.61</v>
      </c>
      <c r="F35" s="64" t="s">
        <v>43</v>
      </c>
      <c r="G35" s="64" t="s">
        <v>34</v>
      </c>
      <c r="H35" s="64">
        <v>6.4375</v>
      </c>
      <c r="I35">
        <f t="shared" si="7"/>
        <v>0</v>
      </c>
      <c r="J35">
        <f t="shared" si="8"/>
        <v>1</v>
      </c>
      <c r="K35">
        <f t="shared" si="9"/>
        <v>0</v>
      </c>
      <c r="L35">
        <f t="shared" si="10"/>
        <v>0</v>
      </c>
      <c r="M35">
        <f t="shared" si="11"/>
        <v>0</v>
      </c>
      <c r="N35">
        <f t="shared" si="12"/>
        <v>0</v>
      </c>
      <c r="O35">
        <f t="shared" si="13"/>
        <v>0</v>
      </c>
      <c r="Q35" s="41"/>
      <c r="R35" s="41"/>
      <c r="S35" s="41"/>
    </row>
    <row r="36" spans="2:19">
      <c r="B36">
        <v>34</v>
      </c>
      <c r="C36" t="s">
        <v>291</v>
      </c>
      <c r="D36" s="11">
        <f>'Actual SGPA'!N36</f>
        <v>7.9602000000000004</v>
      </c>
      <c r="E36" s="11">
        <v>6.9009999999999998</v>
      </c>
      <c r="F36" s="64" t="s">
        <v>61</v>
      </c>
      <c r="G36" s="64" t="s">
        <v>117</v>
      </c>
      <c r="H36" s="64">
        <v>8.2250000000000014</v>
      </c>
      <c r="I36">
        <f t="shared" si="7"/>
        <v>0</v>
      </c>
      <c r="J36">
        <f t="shared" si="8"/>
        <v>0</v>
      </c>
      <c r="K36">
        <f t="shared" si="9"/>
        <v>1</v>
      </c>
      <c r="L36">
        <f t="shared" si="10"/>
        <v>0</v>
      </c>
      <c r="M36">
        <f t="shared" si="11"/>
        <v>0</v>
      </c>
      <c r="N36">
        <f t="shared" si="12"/>
        <v>1</v>
      </c>
      <c r="O36">
        <f t="shared" si="13"/>
        <v>0</v>
      </c>
      <c r="Q36" s="41"/>
      <c r="R36" s="41"/>
      <c r="S36" s="41"/>
    </row>
    <row r="37" spans="2:19">
      <c r="B37">
        <v>35</v>
      </c>
      <c r="C37" t="s">
        <v>306</v>
      </c>
      <c r="D37" s="11">
        <f>'Actual SGPA'!N37</f>
        <v>9.2519999999999989</v>
      </c>
      <c r="E37" s="11">
        <v>8.9</v>
      </c>
      <c r="F37" s="64" t="s">
        <v>43</v>
      </c>
      <c r="G37" s="64" t="s">
        <v>104</v>
      </c>
      <c r="H37" s="64">
        <v>9.34</v>
      </c>
      <c r="I37">
        <f t="shared" si="7"/>
        <v>0</v>
      </c>
      <c r="J37">
        <f t="shared" si="8"/>
        <v>0</v>
      </c>
      <c r="K37">
        <f t="shared" si="9"/>
        <v>0</v>
      </c>
      <c r="L37">
        <f t="shared" si="10"/>
        <v>0</v>
      </c>
      <c r="M37">
        <f t="shared" si="11"/>
        <v>0</v>
      </c>
      <c r="N37">
        <f t="shared" si="12"/>
        <v>0</v>
      </c>
      <c r="O37">
        <f t="shared" si="13"/>
        <v>0</v>
      </c>
      <c r="Q37" s="41"/>
      <c r="R37" s="41"/>
      <c r="S37" s="41"/>
    </row>
    <row r="38" spans="2:19">
      <c r="B38">
        <v>36</v>
      </c>
      <c r="C38" t="s">
        <v>310</v>
      </c>
      <c r="D38" s="11">
        <f>'Actual SGPA'!N38</f>
        <v>7.4611999999999998</v>
      </c>
      <c r="E38" s="11">
        <v>7.056</v>
      </c>
      <c r="F38" s="64" t="s">
        <v>43</v>
      </c>
      <c r="G38" s="64" t="s">
        <v>66</v>
      </c>
      <c r="H38" s="64">
        <v>7.5625</v>
      </c>
      <c r="I38">
        <f t="shared" si="7"/>
        <v>1</v>
      </c>
      <c r="J38">
        <f t="shared" si="8"/>
        <v>0</v>
      </c>
      <c r="K38">
        <f t="shared" si="9"/>
        <v>0</v>
      </c>
      <c r="L38">
        <f t="shared" si="10"/>
        <v>0</v>
      </c>
      <c r="M38">
        <f t="shared" si="11"/>
        <v>0</v>
      </c>
      <c r="N38">
        <f t="shared" si="12"/>
        <v>0</v>
      </c>
      <c r="O38">
        <f t="shared" si="13"/>
        <v>0</v>
      </c>
      <c r="Q38" s="41"/>
      <c r="R38" s="41"/>
      <c r="S38" s="41"/>
    </row>
    <row r="39" spans="2:19">
      <c r="B39">
        <v>37</v>
      </c>
      <c r="C39" t="s">
        <v>312</v>
      </c>
      <c r="D39" s="11">
        <f>'Actual SGPA'!N39</f>
        <v>6.4567999999999994</v>
      </c>
      <c r="E39" s="11">
        <v>5.984</v>
      </c>
      <c r="F39" s="64" t="s">
        <v>43</v>
      </c>
      <c r="G39" s="64" t="s">
        <v>66</v>
      </c>
      <c r="H39" s="64">
        <v>6.5750000000000002</v>
      </c>
      <c r="I39">
        <f t="shared" si="7"/>
        <v>1</v>
      </c>
      <c r="J39">
        <f t="shared" si="8"/>
        <v>0</v>
      </c>
      <c r="K39">
        <f t="shared" si="9"/>
        <v>0</v>
      </c>
      <c r="L39">
        <f t="shared" si="10"/>
        <v>0</v>
      </c>
      <c r="M39">
        <f t="shared" si="11"/>
        <v>0</v>
      </c>
      <c r="N39">
        <f t="shared" si="12"/>
        <v>0</v>
      </c>
      <c r="O39">
        <f t="shared" si="13"/>
        <v>0</v>
      </c>
      <c r="Q39" s="41"/>
      <c r="R39" s="41"/>
      <c r="S39" s="41"/>
    </row>
    <row r="40" spans="2:19">
      <c r="B40">
        <v>38</v>
      </c>
      <c r="C40" t="s">
        <v>318</v>
      </c>
      <c r="D40" s="11">
        <f>'Actual SGPA'!N40</f>
        <v>7.3816000000000006</v>
      </c>
      <c r="E40" s="11">
        <v>5.968</v>
      </c>
      <c r="F40" s="64" t="s">
        <v>51</v>
      </c>
      <c r="G40" s="64" t="s">
        <v>66</v>
      </c>
      <c r="H40" s="64">
        <v>7.7349999999999994</v>
      </c>
      <c r="I40">
        <f t="shared" si="7"/>
        <v>1</v>
      </c>
      <c r="J40">
        <f t="shared" si="8"/>
        <v>0</v>
      </c>
      <c r="K40">
        <f t="shared" si="9"/>
        <v>0</v>
      </c>
      <c r="L40">
        <f t="shared" si="10"/>
        <v>0</v>
      </c>
      <c r="M40">
        <f t="shared" si="11"/>
        <v>1</v>
      </c>
      <c r="N40">
        <f t="shared" si="12"/>
        <v>0</v>
      </c>
      <c r="O40">
        <f t="shared" si="13"/>
        <v>0</v>
      </c>
      <c r="Q40" s="41"/>
      <c r="R40" s="41"/>
      <c r="S40" s="41"/>
    </row>
    <row r="41" spans="2:19">
      <c r="B41">
        <v>29</v>
      </c>
      <c r="C41" t="s">
        <v>324</v>
      </c>
      <c r="D41" s="11">
        <f>'Actual SGPA'!N41</f>
        <v>8.4719999999999995</v>
      </c>
      <c r="E41" s="11">
        <v>9</v>
      </c>
      <c r="F41" s="64" t="s">
        <v>51</v>
      </c>
      <c r="G41" s="64" t="s">
        <v>66</v>
      </c>
      <c r="H41" s="64">
        <v>8.34</v>
      </c>
      <c r="I41">
        <f t="shared" si="7"/>
        <v>1</v>
      </c>
      <c r="J41">
        <f t="shared" si="8"/>
        <v>0</v>
      </c>
      <c r="K41">
        <f t="shared" si="9"/>
        <v>0</v>
      </c>
      <c r="L41">
        <f t="shared" si="10"/>
        <v>0</v>
      </c>
      <c r="M41">
        <f t="shared" si="11"/>
        <v>1</v>
      </c>
      <c r="N41">
        <f t="shared" si="12"/>
        <v>0</v>
      </c>
      <c r="O41">
        <f t="shared" si="13"/>
        <v>0</v>
      </c>
      <c r="Q41" s="41"/>
      <c r="R41" s="41"/>
      <c r="S41" s="41"/>
    </row>
    <row r="42" spans="2:19">
      <c r="B42">
        <v>40</v>
      </c>
      <c r="C42" t="s">
        <v>327</v>
      </c>
      <c r="D42" s="11">
        <f>'Actual SGPA'!N42</f>
        <v>7.2459999999999996</v>
      </c>
      <c r="E42" s="11">
        <v>6.6</v>
      </c>
      <c r="F42" s="64" t="s">
        <v>43</v>
      </c>
      <c r="G42" s="64" t="s">
        <v>34</v>
      </c>
      <c r="H42" s="64">
        <v>7.4074999999999989</v>
      </c>
      <c r="I42">
        <f t="shared" si="7"/>
        <v>0</v>
      </c>
      <c r="J42">
        <f t="shared" si="8"/>
        <v>1</v>
      </c>
      <c r="K42">
        <f t="shared" si="9"/>
        <v>0</v>
      </c>
      <c r="L42">
        <f t="shared" si="10"/>
        <v>0</v>
      </c>
      <c r="M42">
        <f t="shared" si="11"/>
        <v>0</v>
      </c>
      <c r="N42">
        <f t="shared" si="12"/>
        <v>0</v>
      </c>
      <c r="O42">
        <f t="shared" si="13"/>
        <v>0</v>
      </c>
      <c r="Q42" s="41"/>
      <c r="R42" s="41"/>
      <c r="S42" s="41"/>
    </row>
    <row r="43" spans="2:19">
      <c r="B43">
        <v>41</v>
      </c>
      <c r="C43" t="s">
        <v>369</v>
      </c>
      <c r="D43" s="11">
        <f>'Actual SGPA'!N43</f>
        <v>9.1340000000000003</v>
      </c>
      <c r="E43" s="11">
        <v>8.92</v>
      </c>
      <c r="F43" s="64" t="s">
        <v>43</v>
      </c>
      <c r="G43" s="64" t="s">
        <v>117</v>
      </c>
      <c r="H43" s="64">
        <v>9.1875</v>
      </c>
      <c r="I43">
        <f t="shared" si="7"/>
        <v>0</v>
      </c>
      <c r="J43">
        <f t="shared" si="8"/>
        <v>0</v>
      </c>
      <c r="K43">
        <f t="shared" si="9"/>
        <v>1</v>
      </c>
      <c r="L43">
        <f t="shared" si="10"/>
        <v>0</v>
      </c>
      <c r="M43">
        <f t="shared" si="11"/>
        <v>0</v>
      </c>
      <c r="N43">
        <f t="shared" si="12"/>
        <v>0</v>
      </c>
      <c r="O43">
        <f t="shared" si="13"/>
        <v>0</v>
      </c>
      <c r="Q43" s="41"/>
      <c r="R43" s="41"/>
      <c r="S43" s="41"/>
    </row>
    <row r="44" spans="2:19">
      <c r="B44">
        <v>42</v>
      </c>
      <c r="C44" t="s">
        <v>375</v>
      </c>
      <c r="D44" s="11">
        <f>'Actual SGPA'!N44</f>
        <v>8.0920000000000005</v>
      </c>
      <c r="E44" s="11">
        <v>7.5</v>
      </c>
      <c r="F44" s="64" t="s">
        <v>51</v>
      </c>
      <c r="G44" s="64" t="s">
        <v>66</v>
      </c>
      <c r="H44" s="64">
        <v>8.24</v>
      </c>
      <c r="I44">
        <f t="shared" si="7"/>
        <v>1</v>
      </c>
      <c r="J44">
        <f t="shared" si="8"/>
        <v>0</v>
      </c>
      <c r="K44">
        <f t="shared" si="9"/>
        <v>0</v>
      </c>
      <c r="L44">
        <f t="shared" si="10"/>
        <v>0</v>
      </c>
      <c r="M44">
        <f t="shared" si="11"/>
        <v>1</v>
      </c>
      <c r="N44">
        <f t="shared" si="12"/>
        <v>0</v>
      </c>
      <c r="O44">
        <f t="shared" si="13"/>
        <v>0</v>
      </c>
      <c r="Q44" s="41"/>
      <c r="R44" s="41"/>
      <c r="S44" s="41"/>
    </row>
    <row r="45" spans="2:19">
      <c r="Q45" s="41"/>
      <c r="R45" s="41"/>
      <c r="S45" s="41"/>
    </row>
    <row r="46" spans="2:19">
      <c r="Q46" s="41"/>
      <c r="R46" s="41"/>
      <c r="S46" s="41"/>
    </row>
    <row r="47" spans="2:19">
      <c r="Q47" s="41"/>
      <c r="R47" s="41"/>
      <c r="S47" s="41"/>
    </row>
    <row r="48" spans="2:19">
      <c r="Q48" s="41"/>
      <c r="R48" s="41"/>
      <c r="S48" s="41"/>
    </row>
  </sheetData>
  <mergeCells count="2">
    <mergeCell ref="I1:L1"/>
    <mergeCell ref="M1:O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O53"/>
  <sheetViews>
    <sheetView topLeftCell="D1" workbookViewId="0">
      <selection activeCell="M1" sqref="M1"/>
    </sheetView>
  </sheetViews>
  <sheetFormatPr defaultRowHeight="15"/>
  <cols>
    <col min="4" max="4" width="21.5703125" style="64" bestFit="1" customWidth="1"/>
    <col min="5" max="5" width="19.28515625" style="64" bestFit="1" customWidth="1"/>
    <col min="6" max="6" width="16.42578125" style="64" bestFit="1" customWidth="1"/>
    <col min="8" max="8" width="28.140625" bestFit="1" customWidth="1"/>
    <col min="12" max="12" width="23" bestFit="1" customWidth="1"/>
    <col min="13" max="13" width="10.42578125" bestFit="1" customWidth="1"/>
    <col min="14" max="14" width="10.5703125" bestFit="1" customWidth="1"/>
    <col min="15" max="15" width="10.7109375" bestFit="1" customWidth="1"/>
  </cols>
  <sheetData>
    <row r="1" spans="1:11">
      <c r="D1" s="63" t="s">
        <v>505</v>
      </c>
      <c r="E1" s="63" t="s">
        <v>533</v>
      </c>
      <c r="F1" s="63" t="s">
        <v>586</v>
      </c>
      <c r="H1" s="64" t="s">
        <v>571</v>
      </c>
      <c r="I1" s="64" t="s">
        <v>572</v>
      </c>
      <c r="J1" s="64" t="s">
        <v>573</v>
      </c>
      <c r="K1" s="64" t="s">
        <v>574</v>
      </c>
    </row>
    <row r="2" spans="1:11">
      <c r="A2" s="72"/>
      <c r="B2" s="72"/>
      <c r="D2" s="64" t="s">
        <v>30</v>
      </c>
      <c r="E2" s="75">
        <v>7.540606289308176</v>
      </c>
      <c r="F2" s="11">
        <f>'Dummy-II'!D3</f>
        <v>7.3768000000000002</v>
      </c>
      <c r="G2" s="72"/>
      <c r="H2">
        <f>IF(AND(E2&gt;=7,F2&gt;=7),1,0)</f>
        <v>1</v>
      </c>
      <c r="I2">
        <f>IF(AND(E2&lt;7,F2&lt;7),1,0)</f>
        <v>0</v>
      </c>
      <c r="J2">
        <f>IF(AND(E2&lt;7,F2&gt;=7),1,0)</f>
        <v>0</v>
      </c>
      <c r="K2">
        <f>IF(AND(E2&gt;=7,F2&lt;7),1,0)</f>
        <v>0</v>
      </c>
    </row>
    <row r="3" spans="1:11">
      <c r="A3" s="73"/>
      <c r="B3" s="73"/>
      <c r="D3" s="64" t="s">
        <v>46</v>
      </c>
      <c r="E3" s="75">
        <v>9.0482046383647781</v>
      </c>
      <c r="F3" s="11">
        <f>'Dummy-II'!D4</f>
        <v>9.613999999999999</v>
      </c>
      <c r="G3" s="72"/>
      <c r="H3">
        <f t="shared" ref="H3:H43" si="0">IF(AND(E3&gt;=7,F3&gt;=7),1,0)</f>
        <v>1</v>
      </c>
      <c r="I3">
        <f t="shared" ref="I3:I43" si="1">IF(AND(E3&lt;7,F3&lt;7),1,0)</f>
        <v>0</v>
      </c>
      <c r="J3">
        <f t="shared" ref="J3:J43" si="2">IF(AND(E3&lt;7,F3&gt;=7),1,0)</f>
        <v>0</v>
      </c>
      <c r="K3">
        <f t="shared" ref="K3:K43" si="3">IF(AND(E3&gt;=7,F3&lt;7),1,0)</f>
        <v>0</v>
      </c>
    </row>
    <row r="4" spans="1:11">
      <c r="A4" s="41"/>
      <c r="B4" s="41"/>
      <c r="D4" s="64" t="s">
        <v>57</v>
      </c>
      <c r="E4" s="75">
        <v>7.540606289308176</v>
      </c>
      <c r="F4" s="11">
        <f>'Dummy-II'!D5</f>
        <v>7.6019999999999994</v>
      </c>
      <c r="G4" s="72"/>
      <c r="H4">
        <f t="shared" si="0"/>
        <v>1</v>
      </c>
      <c r="I4">
        <f t="shared" si="1"/>
        <v>0</v>
      </c>
      <c r="J4">
        <f t="shared" si="2"/>
        <v>0</v>
      </c>
      <c r="K4">
        <f t="shared" si="3"/>
        <v>0</v>
      </c>
    </row>
    <row r="5" spans="1:11">
      <c r="A5" s="41"/>
      <c r="B5" s="41"/>
      <c r="D5" s="64" t="s">
        <v>64</v>
      </c>
      <c r="E5" s="75">
        <v>7.6889997248427662</v>
      </c>
      <c r="F5" s="11">
        <f>'Dummy-II'!D6</f>
        <v>8.0359999999999996</v>
      </c>
      <c r="G5" s="72"/>
      <c r="H5">
        <f t="shared" si="0"/>
        <v>1</v>
      </c>
      <c r="I5">
        <f t="shared" si="1"/>
        <v>0</v>
      </c>
      <c r="J5">
        <f t="shared" si="2"/>
        <v>0</v>
      </c>
      <c r="K5">
        <f t="shared" si="3"/>
        <v>0</v>
      </c>
    </row>
    <row r="6" spans="1:11">
      <c r="A6" s="41"/>
      <c r="B6" s="41"/>
      <c r="D6" s="64" t="s">
        <v>71</v>
      </c>
      <c r="E6" s="75">
        <v>7.7656155660377362</v>
      </c>
      <c r="F6" s="11">
        <f>'Dummy-II'!D7</f>
        <v>8.4477999999999991</v>
      </c>
      <c r="G6" s="72"/>
      <c r="H6">
        <f t="shared" si="0"/>
        <v>1</v>
      </c>
      <c r="I6">
        <f t="shared" si="1"/>
        <v>0</v>
      </c>
      <c r="J6">
        <f t="shared" si="2"/>
        <v>0</v>
      </c>
      <c r="K6">
        <f t="shared" si="3"/>
        <v>0</v>
      </c>
    </row>
    <row r="7" spans="1:11">
      <c r="A7" s="41"/>
      <c r="B7" s="41"/>
      <c r="D7" s="64" t="s">
        <v>76</v>
      </c>
      <c r="E7" s="75">
        <v>7.7656155660377362</v>
      </c>
      <c r="F7" s="11">
        <f>'Dummy-II'!D8</f>
        <v>8.120000000000001</v>
      </c>
      <c r="G7" s="72"/>
      <c r="H7">
        <f t="shared" si="0"/>
        <v>1</v>
      </c>
      <c r="I7">
        <f t="shared" si="1"/>
        <v>0</v>
      </c>
      <c r="J7">
        <f t="shared" si="2"/>
        <v>0</v>
      </c>
      <c r="K7">
        <f t="shared" si="3"/>
        <v>0</v>
      </c>
    </row>
    <row r="8" spans="1:11">
      <c r="A8" s="41"/>
      <c r="B8" s="41"/>
      <c r="D8" s="64" t="s">
        <v>81</v>
      </c>
      <c r="E8" s="75">
        <v>7.9140090015723263</v>
      </c>
      <c r="F8" s="11">
        <f>'Dummy-II'!D9</f>
        <v>8.3580000000000005</v>
      </c>
      <c r="G8" s="72"/>
      <c r="H8">
        <f t="shared" si="0"/>
        <v>1</v>
      </c>
      <c r="I8">
        <f t="shared" si="1"/>
        <v>0</v>
      </c>
      <c r="J8">
        <f t="shared" si="2"/>
        <v>0</v>
      </c>
      <c r="K8">
        <f t="shared" si="3"/>
        <v>0</v>
      </c>
    </row>
    <row r="9" spans="1:11">
      <c r="A9" s="72"/>
      <c r="B9" s="72"/>
      <c r="D9" s="64" t="s">
        <v>85</v>
      </c>
      <c r="E9" s="75">
        <v>7.540606289308176</v>
      </c>
      <c r="F9" s="11">
        <f>'Dummy-II'!D10</f>
        <v>7.9320000000000004</v>
      </c>
      <c r="G9" s="72"/>
      <c r="H9">
        <f t="shared" si="0"/>
        <v>1</v>
      </c>
      <c r="I9">
        <f t="shared" si="1"/>
        <v>0</v>
      </c>
      <c r="J9">
        <f t="shared" si="2"/>
        <v>0</v>
      </c>
      <c r="K9">
        <f t="shared" si="3"/>
        <v>0</v>
      </c>
    </row>
    <row r="10" spans="1:11">
      <c r="A10" s="72"/>
      <c r="B10" s="72"/>
      <c r="D10" s="64" t="s">
        <v>89</v>
      </c>
      <c r="E10" s="75">
        <v>8.8231953616352179</v>
      </c>
      <c r="F10" s="11">
        <f>'Dummy-II'!D11</f>
        <v>8.2574000000000005</v>
      </c>
      <c r="G10" s="72"/>
      <c r="H10">
        <f t="shared" si="0"/>
        <v>1</v>
      </c>
      <c r="I10">
        <f t="shared" si="1"/>
        <v>0</v>
      </c>
      <c r="J10">
        <f t="shared" si="2"/>
        <v>0</v>
      </c>
      <c r="K10">
        <f t="shared" si="3"/>
        <v>0</v>
      </c>
    </row>
    <row r="11" spans="1:11">
      <c r="A11" s="74"/>
      <c r="B11" s="74"/>
      <c r="D11" s="64" t="s">
        <v>94</v>
      </c>
      <c r="E11" s="75">
        <v>7.9140090015723263</v>
      </c>
      <c r="F11" s="11">
        <f>'Dummy-II'!D12</f>
        <v>9.0220000000000002</v>
      </c>
      <c r="G11" s="72"/>
      <c r="H11">
        <f t="shared" si="0"/>
        <v>1</v>
      </c>
      <c r="I11">
        <f t="shared" si="1"/>
        <v>0</v>
      </c>
      <c r="J11">
        <f t="shared" si="2"/>
        <v>0</v>
      </c>
      <c r="K11">
        <f t="shared" si="3"/>
        <v>0</v>
      </c>
    </row>
    <row r="12" spans="1:11">
      <c r="A12" s="41"/>
      <c r="B12" s="41"/>
      <c r="D12" s="64" t="s">
        <v>416</v>
      </c>
      <c r="E12" s="75">
        <v>7.540606289308176</v>
      </c>
      <c r="F12" s="11">
        <f>'Dummy-II'!D13</f>
        <v>9.1059999999999999</v>
      </c>
      <c r="G12" s="72"/>
      <c r="H12">
        <f t="shared" si="0"/>
        <v>1</v>
      </c>
      <c r="I12">
        <f t="shared" si="1"/>
        <v>0</v>
      </c>
      <c r="J12">
        <f t="shared" si="2"/>
        <v>0</v>
      </c>
      <c r="K12">
        <f t="shared" si="3"/>
        <v>0</v>
      </c>
    </row>
    <row r="13" spans="1:11">
      <c r="A13" s="41"/>
      <c r="B13" s="41"/>
      <c r="D13" s="64" t="s">
        <v>119</v>
      </c>
      <c r="E13" s="75">
        <v>7.7656155660377362</v>
      </c>
      <c r="F13" s="11">
        <f>'Dummy-II'!D14</f>
        <v>6.6597999999999997</v>
      </c>
      <c r="G13" s="72"/>
      <c r="H13">
        <f t="shared" si="0"/>
        <v>0</v>
      </c>
      <c r="I13">
        <f t="shared" si="1"/>
        <v>0</v>
      </c>
      <c r="J13">
        <f t="shared" si="2"/>
        <v>0</v>
      </c>
      <c r="K13">
        <f t="shared" si="3"/>
        <v>1</v>
      </c>
    </row>
    <row r="14" spans="1:11">
      <c r="A14" s="41"/>
      <c r="B14" s="41"/>
      <c r="D14" s="64" t="s">
        <v>129</v>
      </c>
      <c r="E14" s="75">
        <v>8.0566752751572324</v>
      </c>
      <c r="F14" s="11">
        <f>'Dummy-II'!D15</f>
        <v>7.7336</v>
      </c>
      <c r="G14" s="72"/>
      <c r="H14">
        <f t="shared" si="0"/>
        <v>1</v>
      </c>
      <c r="I14">
        <f t="shared" si="1"/>
        <v>0</v>
      </c>
      <c r="J14">
        <f t="shared" si="2"/>
        <v>0</v>
      </c>
      <c r="K14">
        <f t="shared" si="3"/>
        <v>0</v>
      </c>
    </row>
    <row r="15" spans="1:11">
      <c r="A15" s="72"/>
      <c r="B15" s="72"/>
      <c r="D15" s="64" t="s">
        <v>135</v>
      </c>
      <c r="E15" s="75">
        <v>7.8316659984276722</v>
      </c>
      <c r="F15" s="11">
        <f>'Dummy-II'!D16</f>
        <v>8.1001999999999992</v>
      </c>
      <c r="G15" s="72"/>
      <c r="H15">
        <f t="shared" si="0"/>
        <v>1</v>
      </c>
      <c r="I15">
        <f t="shared" si="1"/>
        <v>0</v>
      </c>
      <c r="J15">
        <f t="shared" si="2"/>
        <v>0</v>
      </c>
      <c r="K15">
        <f t="shared" si="3"/>
        <v>0</v>
      </c>
    </row>
    <row r="16" spans="1:11">
      <c r="A16" s="72"/>
      <c r="B16" s="72"/>
      <c r="D16" s="64" t="s">
        <v>139</v>
      </c>
      <c r="E16" s="75">
        <v>7.540606289308176</v>
      </c>
      <c r="F16" s="11">
        <f>'Dummy-II'!D17</f>
        <v>7.94</v>
      </c>
      <c r="G16" s="72"/>
      <c r="H16">
        <f t="shared" si="0"/>
        <v>1</v>
      </c>
      <c r="I16">
        <f t="shared" si="1"/>
        <v>0</v>
      </c>
      <c r="J16">
        <f t="shared" si="2"/>
        <v>0</v>
      </c>
      <c r="K16">
        <f t="shared" si="3"/>
        <v>0</v>
      </c>
    </row>
    <row r="17" spans="4:11">
      <c r="D17" s="64" t="s">
        <v>142</v>
      </c>
      <c r="E17" s="75">
        <v>7.9652220911949687</v>
      </c>
      <c r="F17" s="11">
        <f>'Dummy-II'!D18</f>
        <v>8.6128000000000018</v>
      </c>
      <c r="H17">
        <f t="shared" si="0"/>
        <v>1</v>
      </c>
      <c r="I17">
        <f t="shared" si="1"/>
        <v>0</v>
      </c>
      <c r="J17">
        <f t="shared" si="2"/>
        <v>0</v>
      </c>
      <c r="K17">
        <f t="shared" si="3"/>
        <v>0</v>
      </c>
    </row>
    <row r="18" spans="4:11">
      <c r="D18" s="64" t="s">
        <v>148</v>
      </c>
      <c r="E18" s="75">
        <v>7.8316659984276722</v>
      </c>
      <c r="F18" s="11">
        <f>'Dummy-II'!D19</f>
        <v>7.971000000000001</v>
      </c>
      <c r="H18">
        <f t="shared" si="0"/>
        <v>1</v>
      </c>
      <c r="I18">
        <f t="shared" si="1"/>
        <v>0</v>
      </c>
      <c r="J18">
        <f t="shared" si="2"/>
        <v>0</v>
      </c>
      <c r="K18">
        <f t="shared" si="3"/>
        <v>0</v>
      </c>
    </row>
    <row r="19" spans="4:11">
      <c r="D19" s="64" t="s">
        <v>151</v>
      </c>
      <c r="E19" s="75">
        <v>7.7656155660377362</v>
      </c>
      <c r="F19" s="11">
        <f>'Dummy-II'!D20</f>
        <v>8.072000000000001</v>
      </c>
      <c r="H19">
        <f t="shared" si="0"/>
        <v>1</v>
      </c>
      <c r="I19">
        <f t="shared" si="1"/>
        <v>0</v>
      </c>
      <c r="J19">
        <f t="shared" si="2"/>
        <v>0</v>
      </c>
      <c r="K19">
        <f t="shared" si="3"/>
        <v>0</v>
      </c>
    </row>
    <row r="20" spans="4:11">
      <c r="D20" s="64" t="s">
        <v>157</v>
      </c>
      <c r="E20" s="75">
        <v>8.0566752751572324</v>
      </c>
      <c r="F20" s="11">
        <f>'Dummy-II'!D21</f>
        <v>6.6482000000000001</v>
      </c>
      <c r="H20">
        <f t="shared" si="0"/>
        <v>0</v>
      </c>
      <c r="I20">
        <f t="shared" si="1"/>
        <v>0</v>
      </c>
      <c r="J20">
        <f t="shared" si="2"/>
        <v>0</v>
      </c>
      <c r="K20">
        <f t="shared" si="3"/>
        <v>1</v>
      </c>
    </row>
    <row r="21" spans="4:11">
      <c r="D21" s="64" t="s">
        <v>159</v>
      </c>
      <c r="E21" s="75">
        <v>7.540606289308176</v>
      </c>
      <c r="F21" s="11">
        <f>'Dummy-II'!D22</f>
        <v>7.2551999999999994</v>
      </c>
      <c r="H21">
        <f t="shared" si="0"/>
        <v>1</v>
      </c>
      <c r="I21">
        <f t="shared" si="1"/>
        <v>0</v>
      </c>
      <c r="J21">
        <f t="shared" si="2"/>
        <v>0</v>
      </c>
      <c r="K21">
        <f t="shared" si="3"/>
        <v>0</v>
      </c>
    </row>
    <row r="22" spans="4:11">
      <c r="D22" s="64" t="s">
        <v>166</v>
      </c>
      <c r="E22" s="75">
        <v>7.8316659984276722</v>
      </c>
      <c r="F22" s="11">
        <f>'Dummy-II'!D23</f>
        <v>7.99</v>
      </c>
      <c r="H22">
        <f t="shared" si="0"/>
        <v>1</v>
      </c>
      <c r="I22">
        <f t="shared" si="1"/>
        <v>0</v>
      </c>
      <c r="J22">
        <f t="shared" si="2"/>
        <v>0</v>
      </c>
      <c r="K22">
        <f t="shared" si="3"/>
        <v>0</v>
      </c>
    </row>
    <row r="23" spans="4:11">
      <c r="D23" s="64" t="s">
        <v>179</v>
      </c>
      <c r="E23" s="75">
        <v>7.8316659984276722</v>
      </c>
      <c r="F23" s="11">
        <f>'Dummy-II'!D24</f>
        <v>6.5489999999999995</v>
      </c>
      <c r="H23">
        <f t="shared" si="0"/>
        <v>0</v>
      </c>
      <c r="I23">
        <f t="shared" si="1"/>
        <v>0</v>
      </c>
      <c r="J23">
        <f t="shared" si="2"/>
        <v>0</v>
      </c>
      <c r="K23">
        <f t="shared" si="3"/>
        <v>1</v>
      </c>
    </row>
    <row r="24" spans="4:11">
      <c r="D24" s="64" t="s">
        <v>191</v>
      </c>
      <c r="E24" s="75">
        <v>7.7656155660377362</v>
      </c>
      <c r="F24" s="11">
        <f>'Dummy-II'!D25</f>
        <v>7.7274000000000003</v>
      </c>
      <c r="H24">
        <f t="shared" si="0"/>
        <v>1</v>
      </c>
      <c r="I24">
        <f t="shared" si="1"/>
        <v>0</v>
      </c>
      <c r="J24">
        <f t="shared" si="2"/>
        <v>0</v>
      </c>
      <c r="K24">
        <f t="shared" si="3"/>
        <v>0</v>
      </c>
    </row>
    <row r="25" spans="4:11">
      <c r="D25" s="64" t="s">
        <v>203</v>
      </c>
      <c r="E25" s="75">
        <v>8.0566752751572324</v>
      </c>
      <c r="F25" s="11">
        <f>'Dummy-II'!D26</f>
        <v>8.5597999999999992</v>
      </c>
      <c r="H25">
        <f t="shared" si="0"/>
        <v>1</v>
      </c>
      <c r="I25">
        <f t="shared" si="1"/>
        <v>0</v>
      </c>
      <c r="J25">
        <f t="shared" si="2"/>
        <v>0</v>
      </c>
      <c r="K25">
        <f t="shared" si="3"/>
        <v>0</v>
      </c>
    </row>
    <row r="26" spans="4:11">
      <c r="D26" s="64" t="s">
        <v>205</v>
      </c>
      <c r="E26" s="75">
        <v>7.540606289308176</v>
      </c>
      <c r="F26" s="11">
        <f>'Dummy-II'!D27</f>
        <v>7.7319999999999993</v>
      </c>
      <c r="H26">
        <f t="shared" si="0"/>
        <v>1</v>
      </c>
      <c r="I26">
        <f t="shared" si="1"/>
        <v>0</v>
      </c>
      <c r="J26">
        <f t="shared" si="2"/>
        <v>0</v>
      </c>
      <c r="K26">
        <f t="shared" si="3"/>
        <v>0</v>
      </c>
    </row>
    <row r="27" spans="4:11">
      <c r="D27" s="64" t="s">
        <v>207</v>
      </c>
      <c r="E27" s="75">
        <v>7.7656155660377362</v>
      </c>
      <c r="F27" s="11">
        <f>'Dummy-II'!D28</f>
        <v>7.25</v>
      </c>
      <c r="H27">
        <f t="shared" si="0"/>
        <v>1</v>
      </c>
      <c r="I27">
        <f t="shared" si="1"/>
        <v>0</v>
      </c>
      <c r="J27">
        <f t="shared" si="2"/>
        <v>0</v>
      </c>
      <c r="K27">
        <f t="shared" si="3"/>
        <v>0</v>
      </c>
    </row>
    <row r="28" spans="4:11">
      <c r="D28" s="64" t="s">
        <v>210</v>
      </c>
      <c r="E28" s="75">
        <v>7.540606289308176</v>
      </c>
      <c r="F28" s="11">
        <f>'Dummy-II'!D29</f>
        <v>7.4595999999999991</v>
      </c>
      <c r="H28">
        <f t="shared" si="0"/>
        <v>1</v>
      </c>
      <c r="I28">
        <f t="shared" si="1"/>
        <v>0</v>
      </c>
      <c r="J28">
        <f t="shared" si="2"/>
        <v>0</v>
      </c>
      <c r="K28">
        <f t="shared" si="3"/>
        <v>0</v>
      </c>
    </row>
    <row r="29" spans="4:11">
      <c r="D29" s="64" t="s">
        <v>215</v>
      </c>
      <c r="E29" s="75">
        <v>7.8225558176100627</v>
      </c>
      <c r="F29" s="11">
        <f>'Dummy-II'!D30</f>
        <v>7.18</v>
      </c>
      <c r="H29">
        <f t="shared" si="0"/>
        <v>1</v>
      </c>
      <c r="I29">
        <f t="shared" si="1"/>
        <v>0</v>
      </c>
      <c r="J29">
        <f t="shared" si="2"/>
        <v>0</v>
      </c>
      <c r="K29">
        <f t="shared" si="3"/>
        <v>0</v>
      </c>
    </row>
    <row r="30" spans="4:11">
      <c r="D30" s="64" t="s">
        <v>223</v>
      </c>
      <c r="E30" s="75">
        <v>7.540606289308176</v>
      </c>
      <c r="F30" s="11">
        <f>'Dummy-II'!D31</f>
        <v>6.8437999999999999</v>
      </c>
      <c r="H30">
        <f t="shared" si="0"/>
        <v>0</v>
      </c>
      <c r="I30">
        <f t="shared" si="1"/>
        <v>0</v>
      </c>
      <c r="J30">
        <f t="shared" si="2"/>
        <v>0</v>
      </c>
      <c r="K30">
        <f t="shared" si="3"/>
        <v>1</v>
      </c>
    </row>
    <row r="31" spans="4:11">
      <c r="D31" s="64" t="s">
        <v>233</v>
      </c>
      <c r="E31" s="75">
        <v>7.7656155660377362</v>
      </c>
      <c r="F31" s="11">
        <f>'Dummy-II'!D32</f>
        <v>6.87</v>
      </c>
      <c r="H31">
        <f t="shared" si="0"/>
        <v>0</v>
      </c>
      <c r="I31">
        <f t="shared" si="1"/>
        <v>0</v>
      </c>
      <c r="J31">
        <f t="shared" si="2"/>
        <v>0</v>
      </c>
      <c r="K31">
        <f t="shared" si="3"/>
        <v>1</v>
      </c>
    </row>
    <row r="32" spans="4:11">
      <c r="D32" s="64" t="s">
        <v>238</v>
      </c>
      <c r="E32" s="75">
        <v>7.7656155660377362</v>
      </c>
      <c r="F32" s="11">
        <f>'Dummy-II'!D33</f>
        <v>7.8849999999999998</v>
      </c>
      <c r="H32">
        <f t="shared" si="0"/>
        <v>1</v>
      </c>
      <c r="I32">
        <f t="shared" si="1"/>
        <v>0</v>
      </c>
      <c r="J32">
        <f t="shared" si="2"/>
        <v>0</v>
      </c>
      <c r="K32">
        <f t="shared" si="3"/>
        <v>0</v>
      </c>
    </row>
    <row r="33" spans="4:11">
      <c r="D33" s="64" t="s">
        <v>275</v>
      </c>
      <c r="E33" s="75">
        <v>7.540606289308176</v>
      </c>
      <c r="F33" s="11">
        <f>'Dummy-II'!D34</f>
        <v>8.8148000000000017</v>
      </c>
      <c r="H33">
        <f t="shared" si="0"/>
        <v>1</v>
      </c>
      <c r="I33">
        <f t="shared" si="1"/>
        <v>0</v>
      </c>
      <c r="J33">
        <f t="shared" si="2"/>
        <v>0</v>
      </c>
      <c r="K33">
        <f t="shared" si="3"/>
        <v>0</v>
      </c>
    </row>
    <row r="34" spans="4:11">
      <c r="D34" s="64" t="s">
        <v>277</v>
      </c>
      <c r="E34" s="75">
        <v>7.540606289308176</v>
      </c>
      <c r="F34" s="11">
        <f>'Dummy-II'!D35</f>
        <v>6.2720000000000002</v>
      </c>
      <c r="H34">
        <f t="shared" si="0"/>
        <v>0</v>
      </c>
      <c r="I34">
        <f t="shared" si="1"/>
        <v>0</v>
      </c>
      <c r="J34">
        <f t="shared" si="2"/>
        <v>0</v>
      </c>
      <c r="K34">
        <f t="shared" si="3"/>
        <v>1</v>
      </c>
    </row>
    <row r="35" spans="4:11">
      <c r="D35" s="64" t="s">
        <v>291</v>
      </c>
      <c r="E35" s="75">
        <v>7.9652220911949687</v>
      </c>
      <c r="F35" s="11">
        <f>'Dummy-II'!D36</f>
        <v>7.9602000000000004</v>
      </c>
      <c r="H35">
        <f t="shared" si="0"/>
        <v>1</v>
      </c>
      <c r="I35">
        <f t="shared" si="1"/>
        <v>0</v>
      </c>
      <c r="J35">
        <f t="shared" si="2"/>
        <v>0</v>
      </c>
      <c r="K35">
        <f t="shared" si="3"/>
        <v>0</v>
      </c>
    </row>
    <row r="36" spans="4:11">
      <c r="D36" s="64" t="s">
        <v>306</v>
      </c>
      <c r="E36" s="75">
        <v>9.2519999999999989</v>
      </c>
      <c r="F36" s="11">
        <f>'Dummy-II'!D37</f>
        <v>9.2519999999999989</v>
      </c>
      <c r="H36">
        <f t="shared" si="0"/>
        <v>1</v>
      </c>
      <c r="I36">
        <f t="shared" si="1"/>
        <v>0</v>
      </c>
      <c r="J36">
        <f t="shared" si="2"/>
        <v>0</v>
      </c>
      <c r="K36">
        <f t="shared" si="3"/>
        <v>0</v>
      </c>
    </row>
    <row r="37" spans="4:11">
      <c r="D37" s="64" t="s">
        <v>310</v>
      </c>
      <c r="E37" s="75">
        <v>7.6889997248427662</v>
      </c>
      <c r="F37" s="11">
        <f>'Dummy-II'!D38</f>
        <v>7.4611999999999998</v>
      </c>
      <c r="H37">
        <f t="shared" si="0"/>
        <v>1</v>
      </c>
      <c r="I37">
        <f t="shared" si="1"/>
        <v>0</v>
      </c>
      <c r="J37">
        <f t="shared" si="2"/>
        <v>0</v>
      </c>
      <c r="K37">
        <f t="shared" si="3"/>
        <v>0</v>
      </c>
    </row>
    <row r="38" spans="4:11">
      <c r="D38" s="64" t="s">
        <v>312</v>
      </c>
      <c r="E38" s="75">
        <v>7.6889997248427662</v>
      </c>
      <c r="F38" s="11">
        <f>'Dummy-II'!D39</f>
        <v>6.4567999999999994</v>
      </c>
      <c r="H38">
        <f t="shared" si="0"/>
        <v>0</v>
      </c>
      <c r="I38">
        <f t="shared" si="1"/>
        <v>0</v>
      </c>
      <c r="J38">
        <f t="shared" si="2"/>
        <v>0</v>
      </c>
      <c r="K38">
        <f t="shared" si="3"/>
        <v>1</v>
      </c>
    </row>
    <row r="39" spans="4:11">
      <c r="D39" s="64" t="s">
        <v>318</v>
      </c>
      <c r="E39" s="75">
        <v>7.9140090015723263</v>
      </c>
      <c r="F39" s="11">
        <f>'Dummy-II'!D40</f>
        <v>7.3816000000000006</v>
      </c>
      <c r="H39">
        <f t="shared" si="0"/>
        <v>1</v>
      </c>
      <c r="I39">
        <f t="shared" si="1"/>
        <v>0</v>
      </c>
      <c r="J39">
        <f t="shared" si="2"/>
        <v>0</v>
      </c>
      <c r="K39">
        <f t="shared" si="3"/>
        <v>0</v>
      </c>
    </row>
    <row r="40" spans="4:11">
      <c r="D40" s="64" t="s">
        <v>324</v>
      </c>
      <c r="E40" s="75">
        <v>7.9140090015723263</v>
      </c>
      <c r="F40" s="11">
        <f>'Dummy-II'!D41</f>
        <v>8.4719999999999995</v>
      </c>
      <c r="H40">
        <f t="shared" si="0"/>
        <v>1</v>
      </c>
      <c r="I40">
        <f t="shared" si="1"/>
        <v>0</v>
      </c>
      <c r="J40">
        <f t="shared" si="2"/>
        <v>0</v>
      </c>
      <c r="K40">
        <f t="shared" si="3"/>
        <v>0</v>
      </c>
    </row>
    <row r="41" spans="4:11">
      <c r="D41" s="64" t="s">
        <v>327</v>
      </c>
      <c r="E41" s="75">
        <v>7.540606289308176</v>
      </c>
      <c r="F41" s="11">
        <f>'Dummy-II'!D42</f>
        <v>7.2459999999999996</v>
      </c>
      <c r="H41">
        <f t="shared" si="0"/>
        <v>1</v>
      </c>
      <c r="I41">
        <f t="shared" si="1"/>
        <v>0</v>
      </c>
      <c r="J41">
        <f t="shared" si="2"/>
        <v>0</v>
      </c>
      <c r="K41">
        <f t="shared" si="3"/>
        <v>0</v>
      </c>
    </row>
    <row r="42" spans="4:11">
      <c r="D42" s="64" t="s">
        <v>369</v>
      </c>
      <c r="E42" s="75">
        <v>7.8316659984276722</v>
      </c>
      <c r="F42" s="11">
        <f>'Dummy-II'!D43</f>
        <v>9.1340000000000003</v>
      </c>
      <c r="H42">
        <f t="shared" si="0"/>
        <v>1</v>
      </c>
      <c r="I42">
        <f t="shared" si="1"/>
        <v>0</v>
      </c>
      <c r="J42">
        <f t="shared" si="2"/>
        <v>0</v>
      </c>
      <c r="K42">
        <f t="shared" si="3"/>
        <v>0</v>
      </c>
    </row>
    <row r="43" spans="4:11">
      <c r="D43" s="64" t="s">
        <v>375</v>
      </c>
      <c r="E43" s="75">
        <v>7.9140090015723263</v>
      </c>
      <c r="F43" s="76">
        <f>'Dummy-II'!D44</f>
        <v>8.0920000000000005</v>
      </c>
      <c r="H43">
        <f t="shared" si="0"/>
        <v>1</v>
      </c>
      <c r="I43">
        <f t="shared" si="1"/>
        <v>0</v>
      </c>
      <c r="J43">
        <f t="shared" si="2"/>
        <v>0</v>
      </c>
      <c r="K43">
        <f t="shared" si="3"/>
        <v>0</v>
      </c>
    </row>
    <row r="44" spans="4:11">
      <c r="H44">
        <f t="shared" ref="H44:K44" si="4">SUM(H2:H43)</f>
        <v>35</v>
      </c>
      <c r="I44">
        <f t="shared" si="4"/>
        <v>0</v>
      </c>
      <c r="J44">
        <f t="shared" si="4"/>
        <v>0</v>
      </c>
      <c r="K44">
        <f t="shared" si="4"/>
        <v>7</v>
      </c>
    </row>
    <row r="47" spans="4:11">
      <c r="H47" s="66" t="s">
        <v>585</v>
      </c>
      <c r="I47" s="66" t="b">
        <v>0</v>
      </c>
      <c r="J47" s="66" t="b">
        <v>1</v>
      </c>
    </row>
    <row r="48" spans="4:11">
      <c r="H48" s="66" t="s">
        <v>588</v>
      </c>
      <c r="I48" s="65">
        <v>7</v>
      </c>
      <c r="J48" s="65">
        <v>0</v>
      </c>
    </row>
    <row r="49" spans="8:15">
      <c r="H49" s="66" t="s">
        <v>589</v>
      </c>
      <c r="I49" s="65">
        <v>0</v>
      </c>
      <c r="J49" s="65">
        <v>35</v>
      </c>
    </row>
    <row r="51" spans="8:15">
      <c r="L51" s="64" t="s">
        <v>575</v>
      </c>
      <c r="M51" s="64" t="s">
        <v>583</v>
      </c>
      <c r="N51" s="64" t="s">
        <v>578</v>
      </c>
      <c r="O51" s="64" t="s">
        <v>576</v>
      </c>
    </row>
    <row r="52" spans="8:15">
      <c r="L52" s="71" t="s">
        <v>579</v>
      </c>
      <c r="M52" s="71" t="s">
        <v>580</v>
      </c>
      <c r="N52" s="71" t="s">
        <v>581</v>
      </c>
      <c r="O52" s="71" t="s">
        <v>582</v>
      </c>
    </row>
    <row r="53" spans="8:15">
      <c r="L53" s="64">
        <f>(J49+J48)/(J49+J48+I49+I48)</f>
        <v>0.83333333333333337</v>
      </c>
      <c r="M53" s="64">
        <f>J49/(J49+I48)</f>
        <v>0.83333333333333337</v>
      </c>
      <c r="N53" s="64" t="s">
        <v>584</v>
      </c>
      <c r="O53" s="64">
        <f>J49/(J49+I49)</f>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C1:O53"/>
  <sheetViews>
    <sheetView workbookViewId="0">
      <selection activeCell="H23" sqref="H23"/>
    </sheetView>
  </sheetViews>
  <sheetFormatPr defaultRowHeight="15"/>
  <cols>
    <col min="3" max="3" width="9.85546875" bestFit="1" customWidth="1"/>
    <col min="4" max="4" width="11" style="61" bestFit="1" customWidth="1"/>
    <col min="5" max="5" width="8" style="61" bestFit="1" customWidth="1"/>
    <col min="8" max="8" width="16.140625" customWidth="1"/>
    <col min="12" max="12" width="23" bestFit="1" customWidth="1"/>
    <col min="13" max="13" width="12" bestFit="1" customWidth="1"/>
    <col min="14" max="14" width="10.5703125" bestFit="1" customWidth="1"/>
    <col min="15" max="15" width="10.7109375" bestFit="1" customWidth="1"/>
  </cols>
  <sheetData>
    <row r="1" spans="3:11" ht="31.5" customHeight="1">
      <c r="C1" s="62" t="s">
        <v>612</v>
      </c>
      <c r="D1" s="62" t="s">
        <v>611</v>
      </c>
      <c r="E1" s="62" t="s">
        <v>610</v>
      </c>
      <c r="H1" t="s">
        <v>571</v>
      </c>
      <c r="I1" t="s">
        <v>572</v>
      </c>
      <c r="J1" t="s">
        <v>573</v>
      </c>
      <c r="K1" t="s">
        <v>574</v>
      </c>
    </row>
    <row r="2" spans="3:11">
      <c r="C2" s="61">
        <v>1</v>
      </c>
      <c r="D2" s="68">
        <v>7.1790805551513941</v>
      </c>
      <c r="E2" s="49">
        <v>7.2839999999999998</v>
      </c>
      <c r="H2">
        <f>IF(AND(D2&gt;=7,E2&gt;=7),1,0)</f>
        <v>1</v>
      </c>
      <c r="I2">
        <f>IF(AND(D2&lt;7,E2&lt;7),1,0)</f>
        <v>0</v>
      </c>
      <c r="J2">
        <f>IF(AND(D2&lt;7,E2&gt;=7),1,0)</f>
        <v>0</v>
      </c>
      <c r="K2">
        <f>IF(AND(D2&gt;=7,E2&lt;7),1,0)</f>
        <v>0</v>
      </c>
    </row>
    <row r="3" spans="3:11">
      <c r="C3" s="61">
        <v>2</v>
      </c>
      <c r="D3" s="68">
        <v>9.7240265597071023</v>
      </c>
      <c r="E3" s="49">
        <v>10</v>
      </c>
      <c r="H3">
        <f t="shared" ref="H3:H43" si="0">IF(AND(D3&gt;=7,E3&gt;=7),1,0)</f>
        <v>1</v>
      </c>
      <c r="I3">
        <f t="shared" ref="I3:I43" si="1">IF(AND(D3&lt;7,E3&lt;7),1,0)</f>
        <v>0</v>
      </c>
      <c r="J3">
        <f t="shared" ref="J3:J43" si="2">IF(AND(D3&lt;7,E3&gt;=7),1,0)</f>
        <v>0</v>
      </c>
      <c r="K3">
        <f t="shared" ref="K3:K43" si="3">IF(AND(D3&gt;=7,E3&lt;7),1,0)</f>
        <v>0</v>
      </c>
    </row>
    <row r="4" spans="3:11">
      <c r="C4" s="61">
        <v>3</v>
      </c>
      <c r="D4" s="68">
        <v>7.4017329663708535</v>
      </c>
      <c r="E4" s="49">
        <v>7.6</v>
      </c>
      <c r="H4">
        <f t="shared" si="0"/>
        <v>1</v>
      </c>
      <c r="I4">
        <f t="shared" si="1"/>
        <v>0</v>
      </c>
      <c r="J4">
        <f t="shared" si="2"/>
        <v>0</v>
      </c>
      <c r="K4">
        <f t="shared" si="3"/>
        <v>0</v>
      </c>
    </row>
    <row r="5" spans="3:11">
      <c r="C5" s="61">
        <v>4</v>
      </c>
      <c r="D5" s="68">
        <v>7.7376136009972711</v>
      </c>
      <c r="E5" s="49">
        <v>9</v>
      </c>
      <c r="H5">
        <f t="shared" si="0"/>
        <v>1</v>
      </c>
      <c r="I5">
        <f t="shared" si="1"/>
        <v>0</v>
      </c>
      <c r="J5">
        <f t="shared" si="2"/>
        <v>0</v>
      </c>
      <c r="K5">
        <f t="shared" si="3"/>
        <v>0</v>
      </c>
    </row>
    <row r="6" spans="3:11">
      <c r="C6" s="61">
        <v>5</v>
      </c>
      <c r="D6" s="68">
        <v>8.3659162041591131</v>
      </c>
      <c r="E6" s="49">
        <v>7.9390000000000001</v>
      </c>
      <c r="H6">
        <f t="shared" si="0"/>
        <v>1</v>
      </c>
      <c r="I6">
        <f t="shared" si="1"/>
        <v>0</v>
      </c>
      <c r="J6">
        <f t="shared" si="2"/>
        <v>0</v>
      </c>
      <c r="K6">
        <f t="shared" si="3"/>
        <v>0</v>
      </c>
    </row>
    <row r="7" spans="3:11">
      <c r="C7" s="61">
        <v>6</v>
      </c>
      <c r="D7" s="68">
        <v>7.8711330681158707</v>
      </c>
      <c r="E7" s="49">
        <v>8.1</v>
      </c>
      <c r="H7">
        <f t="shared" si="0"/>
        <v>1</v>
      </c>
      <c r="I7">
        <f t="shared" si="1"/>
        <v>0</v>
      </c>
      <c r="J7">
        <f t="shared" si="2"/>
        <v>0</v>
      </c>
      <c r="K7">
        <f t="shared" si="3"/>
        <v>0</v>
      </c>
    </row>
    <row r="8" spans="3:11">
      <c r="C8" s="61">
        <v>7</v>
      </c>
      <c r="D8" s="68">
        <v>8.0448347859281135</v>
      </c>
      <c r="E8" s="49">
        <v>9.11</v>
      </c>
      <c r="H8">
        <f t="shared" si="0"/>
        <v>1</v>
      </c>
      <c r="I8">
        <f t="shared" si="1"/>
        <v>0</v>
      </c>
      <c r="J8">
        <f t="shared" si="2"/>
        <v>0</v>
      </c>
      <c r="K8">
        <f t="shared" si="3"/>
        <v>0</v>
      </c>
    </row>
    <row r="9" spans="3:11">
      <c r="C9" s="61">
        <v>8</v>
      </c>
      <c r="D9" s="68">
        <v>7.8937673072138574</v>
      </c>
      <c r="E9" s="49">
        <v>7.46</v>
      </c>
      <c r="H9">
        <f t="shared" si="0"/>
        <v>1</v>
      </c>
      <c r="I9">
        <f t="shared" si="1"/>
        <v>0</v>
      </c>
      <c r="J9">
        <f t="shared" si="2"/>
        <v>0</v>
      </c>
      <c r="K9">
        <f t="shared" si="3"/>
        <v>0</v>
      </c>
    </row>
    <row r="10" spans="3:11">
      <c r="C10" s="61">
        <v>9</v>
      </c>
      <c r="D10" s="68">
        <v>8.4629734402928971</v>
      </c>
      <c r="E10" s="49">
        <v>8.1869999999999994</v>
      </c>
      <c r="H10">
        <f t="shared" si="0"/>
        <v>1</v>
      </c>
      <c r="I10">
        <f t="shared" si="1"/>
        <v>0</v>
      </c>
      <c r="J10">
        <f t="shared" si="2"/>
        <v>0</v>
      </c>
      <c r="K10">
        <f t="shared" si="3"/>
        <v>0</v>
      </c>
    </row>
    <row r="11" spans="3:11">
      <c r="C11" s="61">
        <v>10</v>
      </c>
      <c r="D11" s="68">
        <v>9.0398986484150825</v>
      </c>
      <c r="E11" s="49">
        <v>8.81</v>
      </c>
      <c r="H11">
        <f t="shared" si="0"/>
        <v>1</v>
      </c>
      <c r="I11">
        <f t="shared" si="1"/>
        <v>0</v>
      </c>
      <c r="J11">
        <f t="shared" si="2"/>
        <v>0</v>
      </c>
      <c r="K11">
        <f t="shared" si="3"/>
        <v>0</v>
      </c>
    </row>
    <row r="12" spans="3:11">
      <c r="C12" s="61">
        <v>11</v>
      </c>
      <c r="D12" s="68">
        <v>9.0839956289178829</v>
      </c>
      <c r="E12" s="49">
        <v>9</v>
      </c>
      <c r="H12">
        <f t="shared" si="0"/>
        <v>1</v>
      </c>
      <c r="I12">
        <f t="shared" si="1"/>
        <v>0</v>
      </c>
      <c r="J12">
        <f t="shared" si="2"/>
        <v>0</v>
      </c>
      <c r="K12">
        <f t="shared" si="3"/>
        <v>0</v>
      </c>
    </row>
    <row r="13" spans="3:11">
      <c r="C13" s="61">
        <v>12</v>
      </c>
      <c r="D13" s="68">
        <v>6.386783659986139</v>
      </c>
      <c r="E13" s="49">
        <v>6.1989999999999998</v>
      </c>
      <c r="H13">
        <f t="shared" si="0"/>
        <v>0</v>
      </c>
      <c r="I13">
        <f t="shared" si="1"/>
        <v>1</v>
      </c>
      <c r="J13">
        <f t="shared" si="2"/>
        <v>0</v>
      </c>
      <c r="K13">
        <f t="shared" si="3"/>
        <v>0</v>
      </c>
    </row>
    <row r="14" spans="3:11">
      <c r="C14" s="61">
        <v>13</v>
      </c>
      <c r="D14" s="68">
        <v>7.4221769241384461</v>
      </c>
      <c r="E14" s="49">
        <v>7.5679999999999996</v>
      </c>
      <c r="H14">
        <f t="shared" si="0"/>
        <v>1</v>
      </c>
      <c r="I14">
        <f t="shared" si="1"/>
        <v>0</v>
      </c>
      <c r="J14">
        <f t="shared" si="2"/>
        <v>0</v>
      </c>
      <c r="K14">
        <f t="shared" si="3"/>
        <v>0</v>
      </c>
    </row>
    <row r="15" spans="3:11">
      <c r="C15" s="61">
        <v>14</v>
      </c>
      <c r="D15" s="68">
        <v>7.8846183952748721</v>
      </c>
      <c r="E15" s="49">
        <v>8.1010000000000009</v>
      </c>
      <c r="H15">
        <f t="shared" si="0"/>
        <v>1</v>
      </c>
      <c r="I15">
        <f t="shared" si="1"/>
        <v>0</v>
      </c>
      <c r="J15">
        <f t="shared" si="2"/>
        <v>0</v>
      </c>
      <c r="K15">
        <f t="shared" si="3"/>
        <v>0</v>
      </c>
    </row>
    <row r="16" spans="3:11">
      <c r="C16" s="61">
        <v>15</v>
      </c>
      <c r="D16" s="68">
        <v>7.7425835712006439</v>
      </c>
      <c r="E16" s="49">
        <v>8.0500000000000007</v>
      </c>
      <c r="H16">
        <f t="shared" si="0"/>
        <v>1</v>
      </c>
      <c r="I16">
        <f t="shared" si="1"/>
        <v>0</v>
      </c>
      <c r="J16">
        <f t="shared" si="2"/>
        <v>0</v>
      </c>
      <c r="K16">
        <f t="shared" si="3"/>
        <v>0</v>
      </c>
    </row>
    <row r="17" spans="3:11">
      <c r="C17" s="61">
        <v>16</v>
      </c>
      <c r="D17" s="68">
        <v>8.1110752563776671</v>
      </c>
      <c r="E17" s="49">
        <v>8.7360000000000007</v>
      </c>
      <c r="H17">
        <f t="shared" si="0"/>
        <v>1</v>
      </c>
      <c r="I17">
        <f t="shared" si="1"/>
        <v>0</v>
      </c>
      <c r="J17">
        <f t="shared" si="2"/>
        <v>0</v>
      </c>
      <c r="K17">
        <f t="shared" si="3"/>
        <v>0</v>
      </c>
    </row>
    <row r="18" spans="3:11">
      <c r="C18" s="61">
        <v>17</v>
      </c>
      <c r="D18" s="68">
        <v>7.5423933928449625</v>
      </c>
      <c r="E18" s="49">
        <v>8.6999999999999993</v>
      </c>
      <c r="H18">
        <f t="shared" si="0"/>
        <v>1</v>
      </c>
      <c r="I18">
        <f t="shared" si="1"/>
        <v>0</v>
      </c>
      <c r="J18">
        <f t="shared" si="2"/>
        <v>0</v>
      </c>
      <c r="K18">
        <f t="shared" si="3"/>
        <v>0</v>
      </c>
    </row>
    <row r="19" spans="3:11">
      <c r="C19" s="61">
        <v>18</v>
      </c>
      <c r="D19" s="68">
        <v>7.8244035497117883</v>
      </c>
      <c r="E19" s="49">
        <v>8.0299999999999994</v>
      </c>
      <c r="H19">
        <f t="shared" si="0"/>
        <v>1</v>
      </c>
      <c r="I19">
        <f t="shared" si="1"/>
        <v>0</v>
      </c>
      <c r="J19">
        <f t="shared" si="2"/>
        <v>0</v>
      </c>
      <c r="K19">
        <f t="shared" si="3"/>
        <v>0</v>
      </c>
    </row>
    <row r="20" spans="3:11">
      <c r="C20" s="61">
        <v>19</v>
      </c>
      <c r="D20" s="68">
        <v>6.4051227000495574</v>
      </c>
      <c r="E20" s="49">
        <v>5.8410000000000002</v>
      </c>
      <c r="H20">
        <f t="shared" si="0"/>
        <v>0</v>
      </c>
      <c r="I20">
        <f t="shared" si="1"/>
        <v>1</v>
      </c>
      <c r="J20">
        <f t="shared" si="2"/>
        <v>0</v>
      </c>
      <c r="K20">
        <f t="shared" si="3"/>
        <v>0</v>
      </c>
    </row>
    <row r="21" spans="3:11">
      <c r="C21" s="61">
        <v>20</v>
      </c>
      <c r="D21" s="68">
        <v>6.9825416983342157</v>
      </c>
      <c r="E21" s="49">
        <v>7.391</v>
      </c>
      <c r="H21">
        <f t="shared" si="0"/>
        <v>0</v>
      </c>
      <c r="I21">
        <f t="shared" si="1"/>
        <v>0</v>
      </c>
      <c r="J21">
        <f t="shared" si="2"/>
        <v>1</v>
      </c>
      <c r="K21">
        <f t="shared" si="3"/>
        <v>0</v>
      </c>
    </row>
    <row r="22" spans="3:11">
      <c r="C22" s="61">
        <v>21</v>
      </c>
      <c r="D22" s="68">
        <v>7.9808262272832806</v>
      </c>
      <c r="E22" s="49">
        <v>7.2</v>
      </c>
      <c r="H22">
        <f t="shared" si="0"/>
        <v>1</v>
      </c>
      <c r="I22">
        <f t="shared" si="1"/>
        <v>0</v>
      </c>
      <c r="J22">
        <f t="shared" si="2"/>
        <v>0</v>
      </c>
      <c r="K22">
        <f t="shared" si="3"/>
        <v>0</v>
      </c>
    </row>
    <row r="23" spans="3:11">
      <c r="C23" s="61">
        <v>22</v>
      </c>
      <c r="D23" s="68">
        <v>6.1778914554457041</v>
      </c>
      <c r="E23" s="49">
        <v>6.5540000000000003</v>
      </c>
      <c r="H23">
        <f t="shared" si="0"/>
        <v>0</v>
      </c>
      <c r="I23">
        <f t="shared" si="1"/>
        <v>1</v>
      </c>
      <c r="J23">
        <f t="shared" si="2"/>
        <v>0</v>
      </c>
      <c r="K23">
        <f t="shared" si="3"/>
        <v>0</v>
      </c>
    </row>
    <row r="24" spans="3:11">
      <c r="C24" s="61">
        <v>23</v>
      </c>
      <c r="D24" s="68">
        <v>7.4038378840750294</v>
      </c>
      <c r="E24" s="49">
        <v>7.8369999999999997</v>
      </c>
      <c r="H24">
        <f t="shared" si="0"/>
        <v>1</v>
      </c>
      <c r="I24">
        <f t="shared" si="1"/>
        <v>0</v>
      </c>
      <c r="J24">
        <f t="shared" si="2"/>
        <v>0</v>
      </c>
      <c r="K24">
        <f t="shared" si="3"/>
        <v>0</v>
      </c>
    </row>
    <row r="25" spans="3:11">
      <c r="C25" s="61">
        <v>24</v>
      </c>
      <c r="D25" s="68">
        <v>8.3870040394227736</v>
      </c>
      <c r="E25" s="49">
        <v>8.1890000000000001</v>
      </c>
      <c r="H25">
        <f t="shared" si="0"/>
        <v>1</v>
      </c>
      <c r="I25">
        <f t="shared" si="1"/>
        <v>0</v>
      </c>
      <c r="J25">
        <f t="shared" si="2"/>
        <v>0</v>
      </c>
      <c r="K25">
        <f t="shared" si="3"/>
        <v>0</v>
      </c>
    </row>
    <row r="26" spans="3:11">
      <c r="C26" s="61">
        <v>25</v>
      </c>
      <c r="D26" s="68">
        <v>7.6078926063888703</v>
      </c>
      <c r="E26" s="49">
        <v>7.5</v>
      </c>
      <c r="H26">
        <f t="shared" si="0"/>
        <v>1</v>
      </c>
      <c r="I26">
        <f t="shared" si="1"/>
        <v>0</v>
      </c>
      <c r="J26">
        <f t="shared" si="2"/>
        <v>0</v>
      </c>
      <c r="K26">
        <f t="shared" si="3"/>
        <v>0</v>
      </c>
    </row>
    <row r="27" spans="3:11">
      <c r="C27" s="61">
        <v>26</v>
      </c>
      <c r="D27" s="68">
        <v>7.0877264360474008</v>
      </c>
      <c r="E27" s="49">
        <v>6.6</v>
      </c>
      <c r="H27">
        <f t="shared" si="0"/>
        <v>0</v>
      </c>
      <c r="I27">
        <f t="shared" si="1"/>
        <v>0</v>
      </c>
      <c r="J27">
        <f t="shared" si="2"/>
        <v>0</v>
      </c>
      <c r="K27">
        <f t="shared" si="3"/>
        <v>1</v>
      </c>
    </row>
    <row r="28" spans="3:11">
      <c r="C28" s="61">
        <v>27</v>
      </c>
      <c r="D28" s="68">
        <v>7.3385106767653268</v>
      </c>
      <c r="E28" s="49">
        <v>7.1180000000000003</v>
      </c>
      <c r="H28">
        <f t="shared" si="0"/>
        <v>1</v>
      </c>
      <c r="I28">
        <f t="shared" si="1"/>
        <v>0</v>
      </c>
      <c r="J28">
        <f t="shared" si="2"/>
        <v>0</v>
      </c>
      <c r="K28">
        <f t="shared" si="3"/>
        <v>0</v>
      </c>
    </row>
    <row r="29" spans="3:11">
      <c r="C29" s="61">
        <v>28</v>
      </c>
      <c r="D29" s="68">
        <v>6.8073774418389714</v>
      </c>
      <c r="E29" s="49">
        <v>7</v>
      </c>
      <c r="H29">
        <f t="shared" si="0"/>
        <v>0</v>
      </c>
      <c r="I29">
        <f t="shared" si="1"/>
        <v>0</v>
      </c>
      <c r="J29">
        <f t="shared" si="2"/>
        <v>1</v>
      </c>
      <c r="K29">
        <f t="shared" si="3"/>
        <v>0</v>
      </c>
    </row>
    <row r="30" spans="3:11">
      <c r="C30" s="61">
        <v>29</v>
      </c>
      <c r="D30" s="68">
        <v>6.61255386438188</v>
      </c>
      <c r="E30" s="49">
        <v>6.68</v>
      </c>
      <c r="H30">
        <f t="shared" si="0"/>
        <v>0</v>
      </c>
      <c r="I30">
        <f t="shared" si="1"/>
        <v>1</v>
      </c>
      <c r="J30">
        <f t="shared" si="2"/>
        <v>0</v>
      </c>
      <c r="K30">
        <f t="shared" si="3"/>
        <v>0</v>
      </c>
    </row>
    <row r="31" spans="3:11">
      <c r="C31" s="61">
        <v>30</v>
      </c>
      <c r="D31" s="68">
        <v>6.3318077559813331</v>
      </c>
      <c r="E31" s="49">
        <v>7.45</v>
      </c>
      <c r="H31">
        <f t="shared" si="0"/>
        <v>0</v>
      </c>
      <c r="I31">
        <f t="shared" si="1"/>
        <v>0</v>
      </c>
      <c r="J31">
        <f t="shared" si="2"/>
        <v>1</v>
      </c>
      <c r="K31">
        <f t="shared" si="3"/>
        <v>0</v>
      </c>
    </row>
    <row r="32" spans="3:11">
      <c r="C32" s="61">
        <v>31</v>
      </c>
      <c r="D32" s="68">
        <v>7.6512294520966506</v>
      </c>
      <c r="E32" s="49">
        <v>7.7249999999999996</v>
      </c>
      <c r="H32">
        <f t="shared" si="0"/>
        <v>1</v>
      </c>
      <c r="I32">
        <f t="shared" si="1"/>
        <v>0</v>
      </c>
      <c r="J32">
        <f t="shared" si="2"/>
        <v>0</v>
      </c>
      <c r="K32">
        <f t="shared" si="3"/>
        <v>0</v>
      </c>
    </row>
    <row r="33" spans="3:11">
      <c r="C33" s="61">
        <v>32</v>
      </c>
      <c r="D33" s="68">
        <v>8.7733817712907367</v>
      </c>
      <c r="E33" s="49">
        <v>8.6739999999999995</v>
      </c>
      <c r="H33">
        <f t="shared" si="0"/>
        <v>1</v>
      </c>
      <c r="I33">
        <f t="shared" si="1"/>
        <v>0</v>
      </c>
      <c r="J33">
        <f t="shared" si="2"/>
        <v>0</v>
      </c>
      <c r="K33">
        <f t="shared" si="3"/>
        <v>0</v>
      </c>
    </row>
    <row r="34" spans="3:11">
      <c r="C34" s="61">
        <v>33</v>
      </c>
      <c r="D34" s="68">
        <v>6.1207944030588992</v>
      </c>
      <c r="E34" s="49">
        <v>5.61</v>
      </c>
      <c r="H34">
        <f t="shared" si="0"/>
        <v>0</v>
      </c>
      <c r="I34">
        <f t="shared" si="1"/>
        <v>1</v>
      </c>
      <c r="J34">
        <f t="shared" si="2"/>
        <v>0</v>
      </c>
      <c r="K34">
        <f t="shared" si="3"/>
        <v>0</v>
      </c>
    </row>
    <row r="35" spans="3:11">
      <c r="C35" s="61">
        <v>34</v>
      </c>
      <c r="D35" s="68">
        <v>7.718547301783361</v>
      </c>
      <c r="E35" s="49">
        <v>6.9009999999999998</v>
      </c>
      <c r="H35">
        <f t="shared" si="0"/>
        <v>0</v>
      </c>
      <c r="I35">
        <f t="shared" si="1"/>
        <v>0</v>
      </c>
      <c r="J35">
        <f t="shared" si="2"/>
        <v>0</v>
      </c>
      <c r="K35">
        <f t="shared" si="3"/>
        <v>1</v>
      </c>
    </row>
    <row r="36" spans="3:11">
      <c r="C36" s="61">
        <v>35</v>
      </c>
      <c r="D36" s="68">
        <v>8.9000000000000021</v>
      </c>
      <c r="E36" s="49">
        <v>8.9</v>
      </c>
      <c r="H36">
        <f t="shared" si="0"/>
        <v>1</v>
      </c>
      <c r="I36">
        <f t="shared" si="1"/>
        <v>0</v>
      </c>
      <c r="J36">
        <f t="shared" si="2"/>
        <v>0</v>
      </c>
      <c r="K36">
        <f t="shared" si="3"/>
        <v>0</v>
      </c>
    </row>
    <row r="37" spans="3:11">
      <c r="C37" s="61">
        <v>36</v>
      </c>
      <c r="D37" s="68">
        <v>7.481975647374929</v>
      </c>
      <c r="E37" s="49">
        <v>7.056</v>
      </c>
      <c r="H37">
        <f t="shared" si="0"/>
        <v>1</v>
      </c>
      <c r="I37">
        <f t="shared" si="1"/>
        <v>0</v>
      </c>
      <c r="J37">
        <f t="shared" si="2"/>
        <v>0</v>
      </c>
      <c r="K37">
        <f t="shared" si="3"/>
        <v>0</v>
      </c>
    </row>
    <row r="38" spans="3:11">
      <c r="C38" s="61">
        <v>37</v>
      </c>
      <c r="D38" s="68">
        <v>6.3962015432800321</v>
      </c>
      <c r="E38" s="49">
        <v>5.984</v>
      </c>
      <c r="H38">
        <f t="shared" si="0"/>
        <v>0</v>
      </c>
      <c r="I38">
        <f t="shared" si="1"/>
        <v>1</v>
      </c>
      <c r="J38">
        <f t="shared" si="2"/>
        <v>0</v>
      </c>
      <c r="K38">
        <f t="shared" si="3"/>
        <v>0</v>
      </c>
    </row>
    <row r="39" spans="3:11">
      <c r="C39" s="61">
        <v>38</v>
      </c>
      <c r="D39" s="68">
        <v>7.5665444210863111</v>
      </c>
      <c r="E39" s="49">
        <v>5.968</v>
      </c>
      <c r="H39">
        <f t="shared" si="0"/>
        <v>0</v>
      </c>
      <c r="I39">
        <f t="shared" si="1"/>
        <v>0</v>
      </c>
      <c r="J39">
        <f t="shared" si="2"/>
        <v>0</v>
      </c>
      <c r="K39">
        <f t="shared" si="3"/>
        <v>1</v>
      </c>
    </row>
    <row r="40" spans="3:11">
      <c r="C40" s="61">
        <v>39</v>
      </c>
      <c r="D40" s="68">
        <v>8.23175285954445</v>
      </c>
      <c r="E40" s="49">
        <v>9</v>
      </c>
      <c r="H40">
        <f t="shared" si="0"/>
        <v>1</v>
      </c>
      <c r="I40">
        <f t="shared" si="1"/>
        <v>0</v>
      </c>
      <c r="J40">
        <f t="shared" si="2"/>
        <v>0</v>
      </c>
      <c r="K40">
        <f t="shared" si="3"/>
        <v>0</v>
      </c>
    </row>
    <row r="41" spans="3:11">
      <c r="C41" s="61">
        <v>40</v>
      </c>
      <c r="D41" s="68">
        <v>7.1873269407521132</v>
      </c>
      <c r="E41" s="49">
        <v>6.6</v>
      </c>
      <c r="H41">
        <f t="shared" si="0"/>
        <v>0</v>
      </c>
      <c r="I41">
        <f t="shared" si="1"/>
        <v>0</v>
      </c>
      <c r="J41">
        <f t="shared" si="2"/>
        <v>0</v>
      </c>
      <c r="K41">
        <f t="shared" si="3"/>
        <v>1</v>
      </c>
    </row>
    <row r="42" spans="3:11">
      <c r="C42" s="61">
        <v>41</v>
      </c>
      <c r="D42" s="68">
        <v>9.080344307379379</v>
      </c>
      <c r="E42" s="49">
        <v>8.92</v>
      </c>
      <c r="H42">
        <f t="shared" si="0"/>
        <v>1</v>
      </c>
      <c r="I42">
        <f t="shared" si="1"/>
        <v>0</v>
      </c>
      <c r="J42">
        <f t="shared" si="2"/>
        <v>0</v>
      </c>
      <c r="K42">
        <f t="shared" si="3"/>
        <v>0</v>
      </c>
    </row>
    <row r="43" spans="3:11">
      <c r="C43" s="61">
        <v>42</v>
      </c>
      <c r="D43" s="68">
        <v>8.1218010515348418</v>
      </c>
      <c r="E43" s="49">
        <v>7.5</v>
      </c>
      <c r="H43">
        <f t="shared" si="0"/>
        <v>1</v>
      </c>
      <c r="I43">
        <f t="shared" si="1"/>
        <v>0</v>
      </c>
      <c r="J43">
        <f t="shared" si="2"/>
        <v>0</v>
      </c>
      <c r="K43">
        <f t="shared" si="3"/>
        <v>0</v>
      </c>
    </row>
    <row r="44" spans="3:11">
      <c r="H44">
        <f t="shared" ref="H44:K44" si="4">SUM(H2:H43)</f>
        <v>29</v>
      </c>
      <c r="I44">
        <f t="shared" si="4"/>
        <v>6</v>
      </c>
      <c r="J44">
        <f t="shared" si="4"/>
        <v>3</v>
      </c>
      <c r="K44">
        <f t="shared" si="4"/>
        <v>4</v>
      </c>
    </row>
    <row r="47" spans="3:11" ht="30.75" customHeight="1">
      <c r="H47" s="77" t="s">
        <v>585</v>
      </c>
      <c r="I47" s="66" t="b">
        <v>0</v>
      </c>
      <c r="J47" s="66" t="b">
        <v>1</v>
      </c>
    </row>
    <row r="48" spans="3:11">
      <c r="H48" s="66" t="s">
        <v>588</v>
      </c>
      <c r="I48" s="65">
        <v>4</v>
      </c>
      <c r="J48" s="65">
        <v>6</v>
      </c>
    </row>
    <row r="49" spans="8:15">
      <c r="H49" s="66" t="s">
        <v>589</v>
      </c>
      <c r="I49" s="65">
        <v>3</v>
      </c>
      <c r="J49" s="65">
        <v>29</v>
      </c>
    </row>
    <row r="51" spans="8:15">
      <c r="L51" s="64" t="s">
        <v>575</v>
      </c>
      <c r="M51" s="64" t="s">
        <v>583</v>
      </c>
      <c r="N51" s="64" t="s">
        <v>578</v>
      </c>
      <c r="O51" s="64" t="s">
        <v>576</v>
      </c>
    </row>
    <row r="52" spans="8:15">
      <c r="L52" s="71" t="s">
        <v>579</v>
      </c>
      <c r="M52" s="71" t="s">
        <v>580</v>
      </c>
      <c r="N52" s="71" t="s">
        <v>581</v>
      </c>
      <c r="O52" s="71" t="s">
        <v>582</v>
      </c>
    </row>
    <row r="53" spans="8:15">
      <c r="L53" s="64">
        <f>(J49+J48)/(J49+J48+I49+I48)</f>
        <v>0.83333333333333337</v>
      </c>
      <c r="M53" s="64">
        <f>J49/(J49+I48)</f>
        <v>0.87878787878787878</v>
      </c>
      <c r="N53" s="64">
        <f>J48/(J48+I49)</f>
        <v>0.66666666666666663</v>
      </c>
      <c r="O53" s="64">
        <f>J49/(J49+I49)</f>
        <v>0.90625</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2:C122"/>
  <sheetViews>
    <sheetView topLeftCell="A4" workbookViewId="0">
      <selection activeCell="D23" sqref="D23"/>
    </sheetView>
  </sheetViews>
  <sheetFormatPr defaultRowHeight="15"/>
  <cols>
    <col min="1" max="1" width="9.85546875" style="79" bestFit="1" customWidth="1"/>
    <col min="2" max="2" width="19.5703125" style="79" bestFit="1" customWidth="1"/>
    <col min="3" max="3" width="16.42578125" style="79" bestFit="1" customWidth="1"/>
    <col min="4" max="16384" width="9.140625" style="79"/>
  </cols>
  <sheetData>
    <row r="2" spans="1:3">
      <c r="A2" s="82" t="s">
        <v>612</v>
      </c>
      <c r="B2" s="78" t="s">
        <v>533</v>
      </c>
      <c r="C2" s="78" t="s">
        <v>586</v>
      </c>
    </row>
    <row r="3" spans="1:3">
      <c r="A3" s="81">
        <v>1</v>
      </c>
      <c r="B3" s="80">
        <v>7.4849445579765872</v>
      </c>
      <c r="C3" s="80">
        <v>7.4</v>
      </c>
    </row>
    <row r="4" spans="1:3">
      <c r="A4" s="81">
        <v>2</v>
      </c>
      <c r="B4" s="80">
        <v>8.474836149968505</v>
      </c>
      <c r="C4" s="80">
        <v>9.5174999999999983</v>
      </c>
    </row>
    <row r="5" spans="1:3">
      <c r="A5" s="81">
        <v>3</v>
      </c>
      <c r="B5" s="80">
        <v>7.4849445579765872</v>
      </c>
      <c r="C5" s="80">
        <v>7.6025</v>
      </c>
    </row>
    <row r="6" spans="1:3">
      <c r="A6" s="81">
        <v>4</v>
      </c>
      <c r="B6" s="80">
        <v>7.4412392390341271</v>
      </c>
      <c r="C6" s="80">
        <v>7.7949999999999999</v>
      </c>
    </row>
    <row r="7" spans="1:3">
      <c r="A7" s="81">
        <v>5</v>
      </c>
      <c r="B7" s="80">
        <v>7.9278491529989887</v>
      </c>
      <c r="C7" s="80">
        <v>8.5749999999999993</v>
      </c>
    </row>
    <row r="8" spans="1:3">
      <c r="A8" s="81">
        <v>6</v>
      </c>
      <c r="B8" s="80">
        <v>7.9278491529989887</v>
      </c>
      <c r="C8" s="80">
        <v>8.125</v>
      </c>
    </row>
    <row r="9" spans="1:3">
      <c r="A9" s="81">
        <v>7</v>
      </c>
      <c r="B9" s="80">
        <v>7.8841438340565286</v>
      </c>
      <c r="C9" s="80">
        <v>8.17</v>
      </c>
    </row>
    <row r="10" spans="1:3">
      <c r="A10" s="81">
        <v>8</v>
      </c>
      <c r="B10" s="80">
        <v>7.4849445579765872</v>
      </c>
      <c r="C10" s="80">
        <v>8.0500000000000007</v>
      </c>
    </row>
    <row r="11" spans="1:3">
      <c r="A11" s="81">
        <v>9</v>
      </c>
      <c r="B11" s="80">
        <v>8.0319315549461034</v>
      </c>
      <c r="C11" s="80">
        <v>8.2750000000000004</v>
      </c>
    </row>
    <row r="12" spans="1:3">
      <c r="A12" s="81">
        <v>10</v>
      </c>
      <c r="B12" s="80">
        <v>7.8841438340565286</v>
      </c>
      <c r="C12" s="80">
        <v>9.0749999999999993</v>
      </c>
    </row>
    <row r="13" spans="1:3">
      <c r="A13" s="81">
        <v>11</v>
      </c>
      <c r="B13" s="80">
        <v>7.4849445579765872</v>
      </c>
      <c r="C13" s="80">
        <v>9.1325000000000003</v>
      </c>
    </row>
    <row r="14" spans="1:3">
      <c r="A14" s="81">
        <v>12</v>
      </c>
      <c r="B14" s="80">
        <v>8.7789522975112053</v>
      </c>
      <c r="C14" s="80">
        <v>7.7750000000000004</v>
      </c>
    </row>
    <row r="15" spans="1:3">
      <c r="A15" s="81">
        <v>13</v>
      </c>
      <c r="B15" s="80">
        <v>7.6736633731001316</v>
      </c>
      <c r="C15" s="80">
        <v>8.4499999999999993</v>
      </c>
    </row>
    <row r="16" spans="1:3">
      <c r="A16" s="81">
        <v>14</v>
      </c>
      <c r="B16" s="80">
        <v>7.4412392390341271</v>
      </c>
      <c r="C16" s="80">
        <v>5.97</v>
      </c>
    </row>
    <row r="17" spans="1:3">
      <c r="A17" s="81">
        <v>15</v>
      </c>
      <c r="B17" s="80">
        <v>8.2940474392612984</v>
      </c>
      <c r="C17" s="80">
        <v>7.0540000000000003</v>
      </c>
    </row>
    <row r="18" spans="1:3">
      <c r="A18" s="81">
        <v>16</v>
      </c>
      <c r="B18" s="80">
        <v>7.9278491529989887</v>
      </c>
      <c r="C18" s="80">
        <v>6.7750000000000004</v>
      </c>
    </row>
    <row r="19" spans="1:3">
      <c r="A19" s="81">
        <v>17</v>
      </c>
      <c r="B19" s="80">
        <v>7.8841438340565286</v>
      </c>
      <c r="C19" s="80">
        <v>8</v>
      </c>
    </row>
    <row r="20" spans="1:3">
      <c r="A20" s="81">
        <v>18</v>
      </c>
      <c r="B20" s="80">
        <v>7.4412392390341271</v>
      </c>
      <c r="C20" s="80">
        <v>7.3682500000000006</v>
      </c>
    </row>
    <row r="21" spans="1:3">
      <c r="A21" s="81">
        <v>19</v>
      </c>
      <c r="B21" s="80">
        <v>8.2940474392612984</v>
      </c>
      <c r="C21" s="80">
        <v>7.7749999999999995</v>
      </c>
    </row>
    <row r="22" spans="1:3">
      <c r="A22" s="81">
        <v>20</v>
      </c>
      <c r="B22" s="80">
        <v>7.4849445579765872</v>
      </c>
      <c r="C22" s="80">
        <v>7.2465000000000002</v>
      </c>
    </row>
    <row r="23" spans="1:3">
      <c r="A23" s="81">
        <v>21</v>
      </c>
      <c r="B23" s="80">
        <v>7.851142844238896</v>
      </c>
      <c r="C23" s="80">
        <v>8.1</v>
      </c>
    </row>
    <row r="24" spans="1:3">
      <c r="A24" s="81">
        <v>22</v>
      </c>
      <c r="B24" s="80">
        <v>7.4849445579765872</v>
      </c>
      <c r="C24" s="80">
        <v>7.5307499999999994</v>
      </c>
    </row>
    <row r="25" spans="1:3">
      <c r="A25" s="81">
        <v>23</v>
      </c>
      <c r="B25" s="80">
        <v>7.4849445579765872</v>
      </c>
      <c r="C25" s="80">
        <v>7.9125000000000005</v>
      </c>
    </row>
    <row r="26" spans="1:3">
      <c r="A26" s="81">
        <v>24</v>
      </c>
      <c r="B26" s="80">
        <v>8.0398616593624403</v>
      </c>
      <c r="C26" s="80">
        <v>8.5820000000000007</v>
      </c>
    </row>
    <row r="27" spans="1:3">
      <c r="A27" s="81">
        <v>25</v>
      </c>
      <c r="B27" s="80">
        <v>7.9278491529989887</v>
      </c>
      <c r="C27" s="80">
        <v>9.2999999999999989</v>
      </c>
    </row>
    <row r="28" spans="1:3">
      <c r="A28" s="81">
        <v>26</v>
      </c>
      <c r="B28" s="80">
        <v>7.851142844238896</v>
      </c>
      <c r="C28" s="80">
        <v>7.7887500000000003</v>
      </c>
    </row>
    <row r="29" spans="1:3">
      <c r="A29" s="81">
        <v>27</v>
      </c>
      <c r="B29" s="80">
        <v>7.9278491529989887</v>
      </c>
      <c r="C29" s="80">
        <v>8.0825000000000014</v>
      </c>
    </row>
    <row r="30" spans="1:3">
      <c r="A30" s="81">
        <v>28</v>
      </c>
      <c r="B30" s="80">
        <v>7.9278491529989887</v>
      </c>
      <c r="C30" s="80">
        <v>7.2</v>
      </c>
    </row>
    <row r="31" spans="1:3">
      <c r="A31" s="81">
        <v>29</v>
      </c>
      <c r="B31" s="80">
        <v>8.2940474392612984</v>
      </c>
      <c r="C31" s="80">
        <v>6.8500000000000005</v>
      </c>
    </row>
    <row r="32" spans="1:3">
      <c r="A32" s="81">
        <v>30</v>
      </c>
      <c r="B32" s="80">
        <v>7.4849445579765872</v>
      </c>
      <c r="C32" s="80">
        <v>7.2212499999999995</v>
      </c>
    </row>
    <row r="33" spans="1:3">
      <c r="A33" s="81">
        <v>31</v>
      </c>
      <c r="B33" s="80">
        <v>7.4412392390341271</v>
      </c>
      <c r="C33" s="80">
        <v>9.125</v>
      </c>
    </row>
    <row r="34" spans="1:3">
      <c r="A34" s="81">
        <v>32</v>
      </c>
      <c r="B34" s="80">
        <v>7.851142844238896</v>
      </c>
      <c r="C34" s="80">
        <v>8.1875</v>
      </c>
    </row>
    <row r="35" spans="1:3">
      <c r="A35" s="81">
        <v>33</v>
      </c>
      <c r="B35" s="80">
        <v>7.851142844238896</v>
      </c>
      <c r="C35" s="80">
        <v>8.125</v>
      </c>
    </row>
    <row r="36" spans="1:3">
      <c r="A36" s="81">
        <v>34</v>
      </c>
      <c r="B36" s="80">
        <v>7.4849445579765872</v>
      </c>
      <c r="C36" s="80">
        <v>6.2750000000000004</v>
      </c>
    </row>
    <row r="37" spans="1:3">
      <c r="A37" s="81">
        <v>35</v>
      </c>
      <c r="B37" s="80">
        <v>7.851142844238896</v>
      </c>
      <c r="C37" s="80">
        <v>7.125</v>
      </c>
    </row>
    <row r="38" spans="1:3">
      <c r="A38" s="81">
        <v>36</v>
      </c>
      <c r="B38" s="80">
        <v>7.851142844238896</v>
      </c>
      <c r="C38" s="80">
        <v>6.5477499999999997</v>
      </c>
    </row>
    <row r="39" spans="1:3">
      <c r="A39" s="81">
        <v>37</v>
      </c>
      <c r="B39" s="80">
        <v>8.2206503700696469</v>
      </c>
      <c r="C39" s="80">
        <v>7.7750000000000004</v>
      </c>
    </row>
    <row r="40" spans="1:3">
      <c r="A40" s="81">
        <v>38</v>
      </c>
      <c r="B40" s="80">
        <v>8.2940474392612984</v>
      </c>
      <c r="C40" s="80">
        <v>8.0250000000000004</v>
      </c>
    </row>
    <row r="41" spans="1:3">
      <c r="A41" s="81">
        <v>39</v>
      </c>
      <c r="B41" s="80">
        <v>7.4849445579765872</v>
      </c>
      <c r="C41" s="80">
        <v>7.2750000000000004</v>
      </c>
    </row>
    <row r="42" spans="1:3">
      <c r="A42" s="81">
        <v>40</v>
      </c>
      <c r="B42" s="80">
        <v>7.9278491529989887</v>
      </c>
      <c r="C42" s="80">
        <v>7.7</v>
      </c>
    </row>
    <row r="43" spans="1:3">
      <c r="A43" s="81">
        <v>41</v>
      </c>
      <c r="B43" s="80">
        <v>7.4849445579765872</v>
      </c>
      <c r="C43" s="80">
        <v>5.8405000000000005</v>
      </c>
    </row>
    <row r="44" spans="1:3">
      <c r="A44" s="81">
        <v>42</v>
      </c>
      <c r="B44" s="80">
        <v>7.4412392390341271</v>
      </c>
      <c r="C44" s="80">
        <v>9.8125</v>
      </c>
    </row>
    <row r="45" spans="1:3">
      <c r="A45" s="81">
        <v>43</v>
      </c>
      <c r="B45" s="80">
        <v>7.6736633731001316</v>
      </c>
      <c r="C45" s="80">
        <v>6.5749999999999993</v>
      </c>
    </row>
    <row r="46" spans="1:3">
      <c r="A46" s="81">
        <v>44</v>
      </c>
      <c r="B46" s="80">
        <v>8.2940474392612984</v>
      </c>
      <c r="C46" s="80">
        <v>8.85</v>
      </c>
    </row>
    <row r="47" spans="1:3">
      <c r="A47" s="81">
        <v>45</v>
      </c>
      <c r="B47" s="80">
        <v>8.2940474392612984</v>
      </c>
      <c r="C47" s="80">
        <v>8.6524999999999999</v>
      </c>
    </row>
    <row r="48" spans="1:3">
      <c r="A48" s="81">
        <v>46</v>
      </c>
      <c r="B48" s="80">
        <v>7.4849445579765872</v>
      </c>
      <c r="C48" s="80">
        <v>7.7899999999999991</v>
      </c>
    </row>
    <row r="49" spans="1:3">
      <c r="A49" s="81">
        <v>47</v>
      </c>
      <c r="B49" s="80">
        <v>7.9278491529989887</v>
      </c>
      <c r="C49" s="80">
        <v>7.4124999999999996</v>
      </c>
    </row>
    <row r="50" spans="1:3">
      <c r="A50" s="81">
        <v>48</v>
      </c>
      <c r="B50" s="80">
        <v>7.4849445579765872</v>
      </c>
      <c r="C50" s="80">
        <v>7.544999999999999</v>
      </c>
    </row>
    <row r="51" spans="1:3">
      <c r="A51" s="81">
        <v>49</v>
      </c>
      <c r="B51" s="80">
        <v>8.0398616593624403</v>
      </c>
      <c r="C51" s="80">
        <v>9.5650000000000013</v>
      </c>
    </row>
    <row r="52" spans="1:3">
      <c r="A52" s="81">
        <v>50</v>
      </c>
      <c r="B52" s="80">
        <v>7.6299580541576715</v>
      </c>
      <c r="C52" s="80">
        <v>7.2249999999999996</v>
      </c>
    </row>
    <row r="53" spans="1:3">
      <c r="A53" s="81">
        <v>51</v>
      </c>
      <c r="B53" s="80">
        <v>7.4412392390341271</v>
      </c>
      <c r="C53" s="80">
        <v>6.4675000000000002</v>
      </c>
    </row>
    <row r="54" spans="1:3">
      <c r="A54" s="81">
        <v>52</v>
      </c>
      <c r="B54" s="80">
        <v>7.9278491529989887</v>
      </c>
      <c r="C54" s="80">
        <v>7.0249999999999995</v>
      </c>
    </row>
    <row r="55" spans="1:3">
      <c r="A55" s="81">
        <v>53</v>
      </c>
      <c r="B55" s="80">
        <v>7.4849445579765872</v>
      </c>
      <c r="C55" s="80">
        <v>6.8847500000000004</v>
      </c>
    </row>
    <row r="56" spans="1:3">
      <c r="A56" s="81">
        <v>54</v>
      </c>
      <c r="B56" s="80">
        <v>7.9278491529989887</v>
      </c>
      <c r="C56" s="80">
        <v>7.2</v>
      </c>
    </row>
    <row r="57" spans="1:3">
      <c r="A57" s="81">
        <v>55</v>
      </c>
      <c r="B57" s="80">
        <v>8.0319315549461034</v>
      </c>
      <c r="C57" s="80">
        <v>7.625</v>
      </c>
    </row>
    <row r="58" spans="1:3">
      <c r="A58" s="81">
        <v>56</v>
      </c>
      <c r="B58" s="80">
        <v>7.9278491529989887</v>
      </c>
      <c r="C58" s="80">
        <v>7.2250000000000005</v>
      </c>
    </row>
    <row r="59" spans="1:3">
      <c r="A59" s="81">
        <v>57</v>
      </c>
      <c r="B59" s="80">
        <v>7.9278491529989887</v>
      </c>
      <c r="C59" s="80">
        <v>6.7249999999999996</v>
      </c>
    </row>
    <row r="60" spans="1:3">
      <c r="A60" s="81">
        <v>58</v>
      </c>
      <c r="B60" s="80">
        <v>7.4849445579765872</v>
      </c>
      <c r="C60" s="80">
        <v>7.3874999999999993</v>
      </c>
    </row>
    <row r="61" spans="1:3">
      <c r="A61" s="81">
        <v>59</v>
      </c>
      <c r="B61" s="80">
        <v>7.9278491529989887</v>
      </c>
      <c r="C61" s="80">
        <v>7.9249999999999998</v>
      </c>
    </row>
    <row r="62" spans="1:3">
      <c r="A62" s="81">
        <v>60</v>
      </c>
      <c r="B62" s="80">
        <v>7.4849445579765872</v>
      </c>
      <c r="C62" s="80">
        <v>8.5</v>
      </c>
    </row>
    <row r="63" spans="1:3">
      <c r="A63" s="81">
        <v>61</v>
      </c>
      <c r="B63" s="80">
        <v>7.4849445579765872</v>
      </c>
      <c r="C63" s="80">
        <v>7.2750000000000004</v>
      </c>
    </row>
    <row r="64" spans="1:3">
      <c r="A64" s="81">
        <v>62</v>
      </c>
      <c r="B64" s="80">
        <v>7.6736633731001316</v>
      </c>
      <c r="C64" s="80">
        <v>7.8872499999999999</v>
      </c>
    </row>
    <row r="65" spans="1:3">
      <c r="A65" s="81">
        <v>63</v>
      </c>
      <c r="B65" s="80">
        <v>7.9278491529989887</v>
      </c>
      <c r="C65" s="80">
        <v>9.8825000000000003</v>
      </c>
    </row>
    <row r="66" spans="1:3">
      <c r="A66" s="81">
        <v>64</v>
      </c>
      <c r="B66" s="80">
        <v>7.9278491529989887</v>
      </c>
      <c r="C66" s="80">
        <v>8.0749999999999993</v>
      </c>
    </row>
    <row r="67" spans="1:3">
      <c r="A67" s="81">
        <v>65</v>
      </c>
      <c r="B67" s="80">
        <v>7.4849445579765872</v>
      </c>
      <c r="C67" s="80">
        <v>8.0399999999999991</v>
      </c>
    </row>
    <row r="68" spans="1:3">
      <c r="A68" s="81">
        <v>66</v>
      </c>
      <c r="B68" s="80">
        <v>7.8841438340565286</v>
      </c>
      <c r="C68" s="80">
        <v>8.9975000000000005</v>
      </c>
    </row>
    <row r="69" spans="1:3">
      <c r="A69" s="81">
        <v>67</v>
      </c>
      <c r="B69" s="80">
        <v>8.2940474392612984</v>
      </c>
      <c r="C69" s="80">
        <v>8.5249999999999986</v>
      </c>
    </row>
    <row r="70" spans="1:3">
      <c r="A70" s="81">
        <v>68</v>
      </c>
      <c r="B70" s="80">
        <v>7.9278491529989887</v>
      </c>
      <c r="C70" s="80">
        <v>8.7124999999999986</v>
      </c>
    </row>
    <row r="71" spans="1:3">
      <c r="A71" s="81">
        <v>69</v>
      </c>
      <c r="B71" s="80">
        <v>7.4849445579765872</v>
      </c>
      <c r="C71" s="80">
        <v>8.0975000000000001</v>
      </c>
    </row>
    <row r="72" spans="1:3">
      <c r="A72" s="81">
        <v>70</v>
      </c>
      <c r="B72" s="80">
        <v>7.4412392390341271</v>
      </c>
      <c r="C72" s="80">
        <v>7.7694999999999999</v>
      </c>
    </row>
    <row r="73" spans="1:3">
      <c r="A73" s="81">
        <v>71</v>
      </c>
      <c r="B73" s="80">
        <v>7.4849445579765872</v>
      </c>
      <c r="C73" s="80">
        <v>8.8500000000000014</v>
      </c>
    </row>
    <row r="74" spans="1:3">
      <c r="A74" s="81">
        <v>72</v>
      </c>
      <c r="B74" s="80">
        <v>7.4849445579765872</v>
      </c>
      <c r="C74" s="80">
        <v>6.4375</v>
      </c>
    </row>
    <row r="75" spans="1:3">
      <c r="A75" s="81">
        <v>73</v>
      </c>
      <c r="B75" s="80">
        <v>7.8841438340565286</v>
      </c>
      <c r="C75" s="80">
        <v>5.5749999999999993</v>
      </c>
    </row>
    <row r="76" spans="1:3">
      <c r="A76" s="81">
        <v>74</v>
      </c>
      <c r="B76" s="80">
        <v>7.9278491529989887</v>
      </c>
      <c r="C76" s="80">
        <v>9.120000000000001</v>
      </c>
    </row>
    <row r="77" spans="1:3">
      <c r="A77" s="81">
        <v>75</v>
      </c>
      <c r="B77" s="80">
        <v>7.4849445579765872</v>
      </c>
      <c r="C77" s="80">
        <v>6.8249999999999993</v>
      </c>
    </row>
    <row r="78" spans="1:3">
      <c r="A78" s="81">
        <v>76</v>
      </c>
      <c r="B78" s="80">
        <v>8.0398616593624403</v>
      </c>
      <c r="C78" s="80">
        <v>8.2250000000000014</v>
      </c>
    </row>
    <row r="79" spans="1:3">
      <c r="A79" s="81">
        <v>77</v>
      </c>
      <c r="B79" s="80">
        <v>7.851142844238896</v>
      </c>
      <c r="C79" s="80">
        <v>8.0749999999999993</v>
      </c>
    </row>
    <row r="80" spans="1:3">
      <c r="A80" s="81">
        <v>78</v>
      </c>
      <c r="B80" s="80">
        <v>7.851142844238896</v>
      </c>
      <c r="C80" s="80">
        <v>8.9274999999999984</v>
      </c>
    </row>
    <row r="81" spans="1:3">
      <c r="A81" s="81">
        <v>79</v>
      </c>
      <c r="B81" s="80">
        <v>7.851142844238896</v>
      </c>
      <c r="C81" s="80">
        <v>7.1250000000000009</v>
      </c>
    </row>
    <row r="82" spans="1:3">
      <c r="A82" s="81">
        <v>80</v>
      </c>
      <c r="B82" s="80">
        <v>7.9278491529989887</v>
      </c>
      <c r="C82" s="80">
        <v>7.0475000000000003</v>
      </c>
    </row>
    <row r="83" spans="1:3">
      <c r="A83" s="81">
        <v>81</v>
      </c>
      <c r="B83" s="80">
        <v>8.3360477024888038</v>
      </c>
      <c r="C83" s="80">
        <v>9.34</v>
      </c>
    </row>
    <row r="84" spans="1:3">
      <c r="A84" s="81">
        <v>82</v>
      </c>
      <c r="B84" s="80">
        <v>7.4412392390341271</v>
      </c>
      <c r="C84" s="80">
        <v>7.5625</v>
      </c>
    </row>
    <row r="85" spans="1:3">
      <c r="A85" s="81">
        <v>83</v>
      </c>
      <c r="B85" s="80">
        <v>7.4412392390341271</v>
      </c>
      <c r="C85" s="80">
        <v>6.5750000000000002</v>
      </c>
    </row>
    <row r="86" spans="1:3">
      <c r="A86" s="81">
        <v>84</v>
      </c>
      <c r="B86" s="80">
        <v>7.851142844238896</v>
      </c>
      <c r="C86" s="80">
        <v>7.3249999999999993</v>
      </c>
    </row>
    <row r="87" spans="1:3">
      <c r="A87" s="81">
        <v>85</v>
      </c>
      <c r="B87" s="80">
        <v>7.8841438340565286</v>
      </c>
      <c r="C87" s="80">
        <v>7.7349999999999994</v>
      </c>
    </row>
    <row r="88" spans="1:3">
      <c r="A88" s="81">
        <v>86</v>
      </c>
      <c r="B88" s="80">
        <v>7.851142844238896</v>
      </c>
      <c r="C88" s="80">
        <v>8.3049999999999997</v>
      </c>
    </row>
    <row r="89" spans="1:3">
      <c r="A89" s="81">
        <v>87</v>
      </c>
      <c r="B89" s="80">
        <v>7.8841438340565286</v>
      </c>
      <c r="C89" s="80">
        <v>8.34</v>
      </c>
    </row>
    <row r="90" spans="1:3">
      <c r="A90" s="81">
        <v>88</v>
      </c>
      <c r="B90" s="80">
        <v>7.4849445579765872</v>
      </c>
      <c r="C90" s="80">
        <v>7.4074999999999989</v>
      </c>
    </row>
    <row r="91" spans="1:3">
      <c r="A91" s="81">
        <v>89</v>
      </c>
      <c r="B91" s="80">
        <v>8.2206503700696469</v>
      </c>
      <c r="C91" s="80">
        <v>7.7874999999999996</v>
      </c>
    </row>
    <row r="92" spans="1:3">
      <c r="A92" s="81">
        <v>90</v>
      </c>
      <c r="B92" s="80">
        <v>7.9278491529989887</v>
      </c>
      <c r="C92" s="80">
        <v>7.6850000000000005</v>
      </c>
    </row>
    <row r="93" spans="1:3">
      <c r="A93" s="81">
        <v>91</v>
      </c>
      <c r="B93" s="80">
        <v>7.6299580541576715</v>
      </c>
      <c r="C93" s="80">
        <v>6.65</v>
      </c>
    </row>
    <row r="94" spans="1:3">
      <c r="A94" s="81">
        <v>92</v>
      </c>
      <c r="B94" s="80">
        <v>7.4849445579765872</v>
      </c>
      <c r="C94" s="80">
        <v>6.8549999999999995</v>
      </c>
    </row>
    <row r="95" spans="1:3">
      <c r="A95" s="81">
        <v>93</v>
      </c>
      <c r="B95" s="80">
        <v>7.4849445579765872</v>
      </c>
      <c r="C95" s="80">
        <v>7.669999999999999</v>
      </c>
    </row>
    <row r="96" spans="1:3">
      <c r="A96" s="81">
        <v>94</v>
      </c>
      <c r="B96" s="80">
        <v>9.3943526594712328</v>
      </c>
      <c r="C96" s="80">
        <v>9.4499999999999993</v>
      </c>
    </row>
    <row r="97" spans="1:3">
      <c r="A97" s="81">
        <v>95</v>
      </c>
      <c r="B97" s="80">
        <v>7.4412392390341271</v>
      </c>
      <c r="C97" s="80">
        <v>9.1475000000000009</v>
      </c>
    </row>
    <row r="98" spans="1:3">
      <c r="A98" s="81">
        <v>96</v>
      </c>
      <c r="B98" s="80">
        <v>7.851142844238896</v>
      </c>
      <c r="C98" s="80">
        <v>7.1344999999999992</v>
      </c>
    </row>
    <row r="99" spans="1:3">
      <c r="A99" s="81">
        <v>97</v>
      </c>
      <c r="B99" s="80">
        <v>7.4849445579765872</v>
      </c>
      <c r="C99" s="80">
        <v>6.8000000000000007</v>
      </c>
    </row>
    <row r="100" spans="1:3">
      <c r="A100" s="81">
        <v>98</v>
      </c>
      <c r="B100" s="80">
        <v>7.851142844238896</v>
      </c>
      <c r="C100" s="80">
        <v>8.0950000000000006</v>
      </c>
    </row>
    <row r="101" spans="1:3">
      <c r="A101" s="81">
        <v>99</v>
      </c>
      <c r="B101" s="80">
        <v>7.9278491529989887</v>
      </c>
      <c r="C101" s="80">
        <v>9.375</v>
      </c>
    </row>
    <row r="102" spans="1:3">
      <c r="A102" s="81">
        <v>100</v>
      </c>
      <c r="B102" s="80">
        <v>7.9278491529989887</v>
      </c>
      <c r="C102" s="80">
        <v>9.5</v>
      </c>
    </row>
    <row r="103" spans="1:3">
      <c r="A103" s="81">
        <v>101</v>
      </c>
      <c r="B103" s="80">
        <v>7.851142844238896</v>
      </c>
      <c r="C103" s="80">
        <v>7.4750000000000005</v>
      </c>
    </row>
    <row r="104" spans="1:3">
      <c r="A104" s="81">
        <v>102</v>
      </c>
      <c r="B104" s="80">
        <v>7.851142844238896</v>
      </c>
      <c r="C104" s="80">
        <v>9.1875</v>
      </c>
    </row>
    <row r="105" spans="1:3">
      <c r="A105" s="81">
        <v>103</v>
      </c>
      <c r="B105" s="80">
        <v>7.4849445579765872</v>
      </c>
      <c r="C105" s="80">
        <v>8.7575000000000003</v>
      </c>
    </row>
    <row r="106" spans="1:3">
      <c r="A106" s="81">
        <v>104</v>
      </c>
      <c r="B106" s="80">
        <v>7.8841438340565286</v>
      </c>
      <c r="C106" s="80">
        <v>8.24</v>
      </c>
    </row>
    <row r="107" spans="1:3">
      <c r="A107" s="81">
        <v>105</v>
      </c>
      <c r="B107" s="80">
        <v>9.3506473405287736</v>
      </c>
      <c r="C107" s="80">
        <v>9.2950000000000017</v>
      </c>
    </row>
    <row r="108" spans="1:3">
      <c r="A108" s="81">
        <v>106</v>
      </c>
      <c r="B108" s="80">
        <v>7.6299580541576715</v>
      </c>
      <c r="C108" s="80">
        <v>7.75</v>
      </c>
    </row>
    <row r="109" spans="1:3">
      <c r="A109" s="81">
        <v>107</v>
      </c>
      <c r="B109" s="80">
        <v>7.851142844238896</v>
      </c>
      <c r="C109" s="80">
        <v>8.3535000000000004</v>
      </c>
    </row>
    <row r="110" spans="1:3">
      <c r="A110" s="81">
        <v>108</v>
      </c>
      <c r="B110" s="80">
        <v>8.2940474392612984</v>
      </c>
      <c r="C110" s="80">
        <v>8.10975</v>
      </c>
    </row>
    <row r="111" spans="1:3">
      <c r="A111" s="81">
        <v>109</v>
      </c>
      <c r="B111" s="80">
        <v>7.4412392390341271</v>
      </c>
      <c r="C111" s="80">
        <v>7.05</v>
      </c>
    </row>
    <row r="112" spans="1:3">
      <c r="A112" s="81">
        <v>110</v>
      </c>
      <c r="B112" s="80">
        <v>7.4849445579765872</v>
      </c>
      <c r="C112" s="80">
        <v>7.4057500000000003</v>
      </c>
    </row>
    <row r="113" spans="1:3">
      <c r="A113" s="81">
        <v>111</v>
      </c>
      <c r="B113" s="80">
        <v>7.4849445579765872</v>
      </c>
      <c r="C113" s="80">
        <v>7.3612500000000001</v>
      </c>
    </row>
    <row r="114" spans="1:3">
      <c r="A114" s="81">
        <v>112</v>
      </c>
      <c r="B114" s="80">
        <v>7.4412392390341271</v>
      </c>
      <c r="C114" s="80">
        <v>6.8</v>
      </c>
    </row>
    <row r="115" spans="1:3">
      <c r="A115" s="81">
        <v>113</v>
      </c>
      <c r="B115" s="80">
        <v>7.4412392390341271</v>
      </c>
      <c r="C115" s="80">
        <v>7.4750000000000005</v>
      </c>
    </row>
    <row r="116" spans="1:3">
      <c r="A116" s="81">
        <v>114</v>
      </c>
      <c r="B116" s="80">
        <v>7.4412392390341271</v>
      </c>
      <c r="C116" s="80">
        <v>7.1282499999999995</v>
      </c>
    </row>
    <row r="117" spans="1:3">
      <c r="A117" s="81">
        <v>115</v>
      </c>
      <c r="B117" s="80">
        <v>7.9278491529989887</v>
      </c>
      <c r="C117" s="80">
        <v>7.1582499999999998</v>
      </c>
    </row>
    <row r="118" spans="1:3">
      <c r="A118" s="81">
        <v>116</v>
      </c>
      <c r="B118" s="80">
        <v>7.4849445579765872</v>
      </c>
      <c r="C118" s="80">
        <v>6.8250000000000002</v>
      </c>
    </row>
    <row r="119" spans="1:3">
      <c r="A119" s="81">
        <v>117</v>
      </c>
      <c r="B119" s="80">
        <v>7.4849445579765872</v>
      </c>
      <c r="C119" s="80">
        <v>7.4325000000000001</v>
      </c>
    </row>
    <row r="120" spans="1:3">
      <c r="A120" s="81">
        <v>118</v>
      </c>
      <c r="B120" s="80">
        <v>7.4412392390341271</v>
      </c>
      <c r="C120" s="80">
        <v>6.2249999999999996</v>
      </c>
    </row>
    <row r="121" spans="1:3">
      <c r="A121" s="81">
        <v>119</v>
      </c>
      <c r="B121" s="80">
        <v>7.4849445579765872</v>
      </c>
      <c r="C121" s="80">
        <v>6.5250000000000004</v>
      </c>
    </row>
    <row r="122" spans="1:3">
      <c r="A122" s="81">
        <v>120</v>
      </c>
      <c r="B122" s="80">
        <v>7.4412392390341271</v>
      </c>
      <c r="C122" s="80">
        <v>7.05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21</vt:i4>
      </vt:variant>
    </vt:vector>
  </HeadingPairs>
  <TitlesOfParts>
    <vt:vector size="21" baseType="lpstr">
      <vt:lpstr>Whole Data</vt:lpstr>
      <vt:lpstr>Average SGPA</vt:lpstr>
      <vt:lpstr>Categories</vt:lpstr>
      <vt:lpstr>Crosstables</vt:lpstr>
      <vt:lpstr>Whole Data(Spare)</vt:lpstr>
      <vt:lpstr>ANOVA (R)</vt:lpstr>
      <vt:lpstr>ANOVA (Excel)</vt:lpstr>
      <vt:lpstr>ANOVA Calculations</vt:lpstr>
      <vt:lpstr>ANOVA</vt:lpstr>
      <vt:lpstr>Dummy</vt:lpstr>
      <vt:lpstr>Regression</vt:lpstr>
      <vt:lpstr>Actual SGPA</vt:lpstr>
      <vt:lpstr>Predicted AVG upto 4th</vt:lpstr>
      <vt:lpstr>Wrong(Pred svg upto 4 vs act 5)</vt:lpstr>
      <vt:lpstr>Pred vs act 4 avg SGPA</vt:lpstr>
      <vt:lpstr>Regression-II</vt:lpstr>
      <vt:lpstr>Regression-III</vt:lpstr>
      <vt:lpstr>Dummy-II</vt:lpstr>
      <vt:lpstr>Pred vs Act upto 5th</vt:lpstr>
      <vt:lpstr>Predicting 5th SGPA</vt:lpstr>
      <vt:lpstr>Plot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Partha Pal</dc:creator>
  <cp:lastModifiedBy>Prof. Partha Pal</cp:lastModifiedBy>
  <dcterms:created xsi:type="dcterms:W3CDTF">2024-06-22T15:05:12Z</dcterms:created>
  <dcterms:modified xsi:type="dcterms:W3CDTF">2024-07-28T16:54:50Z</dcterms:modified>
</cp:coreProperties>
</file>