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Usuario\Desktop\a\"/>
    </mc:Choice>
  </mc:AlternateContent>
  <xr:revisionPtr revIDLastSave="0" documentId="13_ncr:1_{BC3D244F-5E94-4F5B-A317-D070D42798A3}" xr6:coauthVersionLast="47" xr6:coauthVersionMax="47" xr10:uidLastSave="{00000000-0000-0000-0000-000000000000}"/>
  <bookViews>
    <workbookView xWindow="-108" yWindow="-108" windowWidth="23256" windowHeight="12456" xr2:uid="{46DBFAB5-3A8E-4887-A0B8-2E0780C9724D}"/>
  </bookViews>
  <sheets>
    <sheet name="Ejercicio1" sheetId="1" r:id="rId1"/>
    <sheet name="Ejercicio2" sheetId="2" r:id="rId2"/>
    <sheet name="Ejercicio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S16" i="3"/>
  <c r="S14" i="3"/>
  <c r="N8" i="3"/>
  <c r="S21" i="2"/>
  <c r="S20" i="2"/>
  <c r="S19" i="2"/>
  <c r="S18" i="2"/>
  <c r="S13" i="3"/>
  <c r="S17" i="2"/>
  <c r="S12" i="3"/>
  <c r="S15" i="2"/>
  <c r="S11" i="3"/>
  <c r="S13" i="2"/>
  <c r="S10" i="3"/>
  <c r="S12" i="2"/>
  <c r="S11" i="2"/>
  <c r="S9" i="3"/>
  <c r="S10" i="2"/>
  <c r="S9" i="2"/>
  <c r="S8" i="3"/>
  <c r="S5" i="3"/>
  <c r="S8" i="2"/>
  <c r="S15" i="1"/>
  <c r="S7" i="2"/>
  <c r="S14" i="1"/>
  <c r="S6" i="3"/>
  <c r="S13" i="1"/>
  <c r="S6" i="2"/>
  <c r="S11" i="1"/>
  <c r="S5" i="2"/>
  <c r="S10" i="1"/>
  <c r="S4" i="2"/>
  <c r="S7" i="1"/>
  <c r="S12" i="1"/>
  <c r="S9" i="1"/>
  <c r="S8" i="1"/>
  <c r="S5" i="1"/>
  <c r="S6" i="1"/>
  <c r="G12" i="1"/>
  <c r="N21" i="2"/>
  <c r="S3" i="2" s="1"/>
  <c r="N20" i="2"/>
  <c r="N15" i="3"/>
  <c r="N19" i="2"/>
  <c r="N18" i="2"/>
  <c r="N14" i="3"/>
  <c r="N12" i="3"/>
  <c r="N11" i="3"/>
  <c r="N10" i="3"/>
  <c r="N9" i="3"/>
  <c r="N7" i="3"/>
  <c r="N17" i="2"/>
  <c r="N16" i="2"/>
  <c r="N15" i="2"/>
  <c r="N6" i="3"/>
  <c r="N14" i="2"/>
  <c r="N13" i="2"/>
  <c r="N5" i="3"/>
  <c r="N4" i="3"/>
  <c r="N11" i="2"/>
  <c r="N9" i="2"/>
  <c r="N8" i="2"/>
  <c r="N13" i="1"/>
  <c r="S4" i="1" s="1"/>
  <c r="N12" i="1"/>
  <c r="N15" i="1"/>
  <c r="N14" i="1"/>
  <c r="N11" i="1"/>
  <c r="N10" i="1"/>
  <c r="N9" i="1"/>
  <c r="N7" i="1"/>
  <c r="N8" i="1"/>
  <c r="N12" i="2"/>
  <c r="H12" i="3"/>
  <c r="I12" i="3" s="1"/>
  <c r="H13" i="3"/>
  <c r="I13" i="3" s="1"/>
  <c r="H14" i="3"/>
  <c r="I14" i="3" s="1"/>
  <c r="H15" i="3"/>
  <c r="I15" i="3" s="1"/>
  <c r="H4" i="3"/>
  <c r="H5" i="3"/>
  <c r="H6" i="3"/>
  <c r="H7" i="3"/>
  <c r="H8" i="3"/>
  <c r="H9" i="3"/>
  <c r="H10" i="3"/>
  <c r="H11" i="3"/>
  <c r="G12" i="3"/>
  <c r="G13" i="3"/>
  <c r="G14" i="3"/>
  <c r="G15" i="3"/>
  <c r="G4" i="3"/>
  <c r="G5" i="3"/>
  <c r="G6" i="3"/>
  <c r="G7" i="3"/>
  <c r="G8" i="3"/>
  <c r="G9" i="3"/>
  <c r="G10" i="3"/>
  <c r="G11" i="3"/>
  <c r="N5" i="1"/>
  <c r="N10" i="2"/>
  <c r="N6" i="1"/>
  <c r="N7" i="2"/>
  <c r="N6" i="2"/>
  <c r="N5" i="2"/>
  <c r="N4" i="2"/>
  <c r="G13" i="1"/>
  <c r="G11" i="1"/>
  <c r="H13" i="1"/>
  <c r="I13" i="1" s="1"/>
  <c r="G3" i="2"/>
  <c r="G17" i="2"/>
  <c r="H17" i="2"/>
  <c r="I17" i="2" s="1"/>
  <c r="G16" i="2"/>
  <c r="H16" i="2"/>
  <c r="I16" i="2" s="1"/>
  <c r="G15" i="2"/>
  <c r="H15" i="2"/>
  <c r="I15" i="2" s="1"/>
  <c r="G14" i="2"/>
  <c r="H14" i="2"/>
  <c r="I14" i="2" s="1"/>
  <c r="G13" i="2"/>
  <c r="H13" i="2"/>
  <c r="I13" i="2" s="1"/>
  <c r="G12" i="2"/>
  <c r="H12" i="2"/>
  <c r="I12" i="2" s="1"/>
  <c r="I11" i="3"/>
  <c r="I10" i="3"/>
  <c r="I9" i="3"/>
  <c r="I8" i="3"/>
  <c r="I7" i="3"/>
  <c r="I6" i="3"/>
  <c r="I5" i="3"/>
  <c r="I4" i="3"/>
  <c r="H3" i="3"/>
  <c r="G3" i="3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H12" i="1"/>
  <c r="I12" i="1" s="1"/>
  <c r="H11" i="1"/>
  <c r="I11" i="1" s="1"/>
  <c r="H10" i="1"/>
  <c r="I10" i="1" s="1"/>
  <c r="G10" i="1"/>
  <c r="H9" i="1"/>
  <c r="I9" i="1" s="1"/>
  <c r="G9" i="1"/>
  <c r="H8" i="1"/>
  <c r="I8" i="1" s="1"/>
  <c r="G8" i="1"/>
  <c r="H7" i="1"/>
  <c r="I7" i="1" s="1"/>
  <c r="G7" i="1"/>
  <c r="H6" i="1"/>
  <c r="I6" i="1" s="1"/>
  <c r="G6" i="1"/>
  <c r="H5" i="1"/>
  <c r="I5" i="1" s="1"/>
  <c r="G5" i="1"/>
  <c r="H4" i="1"/>
  <c r="I4" i="1" s="1"/>
  <c r="G4" i="1"/>
  <c r="V7" i="3" l="1"/>
  <c r="V4" i="3" s="1"/>
  <c r="Q21" i="3"/>
  <c r="Q27" i="3"/>
  <c r="Q22" i="3"/>
  <c r="Q25" i="3"/>
  <c r="Q31" i="3"/>
  <c r="Q32" i="3"/>
  <c r="Q29" i="3"/>
  <c r="Q30" i="3"/>
  <c r="Q28" i="3"/>
  <c r="Q26" i="3"/>
  <c r="Q24" i="3"/>
  <c r="Q23" i="3"/>
  <c r="Q20" i="3"/>
  <c r="Q28" i="1"/>
  <c r="Q25" i="1"/>
  <c r="Q23" i="1"/>
  <c r="Q22" i="1"/>
  <c r="Q27" i="1"/>
  <c r="Q21" i="1"/>
  <c r="Q26" i="1"/>
  <c r="Q24" i="1"/>
  <c r="Q20" i="1"/>
  <c r="Q19" i="1"/>
  <c r="I3" i="3"/>
</calcChain>
</file>

<file path=xl/sharedStrings.xml><?xml version="1.0" encoding="utf-8"?>
<sst xmlns="http://schemas.openxmlformats.org/spreadsheetml/2006/main" count="290" uniqueCount="179">
  <si>
    <t xml:space="preserve">  </t>
  </si>
  <si>
    <t>TABLA GENEREAL</t>
  </si>
  <si>
    <t>TABLA CALCULO TIEMPO MÁS CORTO</t>
  </si>
  <si>
    <t>TABLA CALCULO TIEMPO MÁS LEJANO</t>
  </si>
  <si>
    <t>INTEGRANTES:</t>
  </si>
  <si>
    <t xml:space="preserve">Actividad </t>
  </si>
  <si>
    <t>Predecesor</t>
  </si>
  <si>
    <t>a</t>
  </si>
  <si>
    <t>m</t>
  </si>
  <si>
    <t>b</t>
  </si>
  <si>
    <t>TE</t>
  </si>
  <si>
    <t>D. Estandar</t>
  </si>
  <si>
    <t>Varianza</t>
  </si>
  <si>
    <t>Nodos</t>
  </si>
  <si>
    <t>TC+TE</t>
  </si>
  <si>
    <t>TC</t>
  </si>
  <si>
    <t>Tl-Te</t>
  </si>
  <si>
    <t>TL</t>
  </si>
  <si>
    <t>David Ayme</t>
  </si>
  <si>
    <t xml:space="preserve">A </t>
  </si>
  <si>
    <t xml:space="preserve"> - </t>
  </si>
  <si>
    <t>-</t>
  </si>
  <si>
    <t>Henry Cortez</t>
  </si>
  <si>
    <t>B</t>
  </si>
  <si>
    <t>A</t>
  </si>
  <si>
    <t>0+3,00</t>
  </si>
  <si>
    <t>14-2,00</t>
  </si>
  <si>
    <t>Edder Naranjo</t>
  </si>
  <si>
    <t>C</t>
  </si>
  <si>
    <t>3,00+2,00</t>
  </si>
  <si>
    <t>14-0</t>
  </si>
  <si>
    <t>Matias Tite</t>
  </si>
  <si>
    <t>D</t>
  </si>
  <si>
    <t>3,00+6,00</t>
  </si>
  <si>
    <t>12-1,5</t>
  </si>
  <si>
    <t xml:space="preserve">GRUPO 3 </t>
  </si>
  <si>
    <t>E</t>
  </si>
  <si>
    <t>5,00+3,00</t>
  </si>
  <si>
    <t>14-5,00</t>
  </si>
  <si>
    <t>F</t>
  </si>
  <si>
    <t>9,00+1,00</t>
  </si>
  <si>
    <t>G</t>
  </si>
  <si>
    <t>9,00+2,00</t>
  </si>
  <si>
    <t>10,5-1,00</t>
  </si>
  <si>
    <t>H</t>
  </si>
  <si>
    <t>10+1,5</t>
  </si>
  <si>
    <t>10,5-3,00</t>
  </si>
  <si>
    <t>I</t>
  </si>
  <si>
    <t>F,H</t>
  </si>
  <si>
    <t>3,00+3,00</t>
  </si>
  <si>
    <t>14,00-3</t>
  </si>
  <si>
    <t>J</t>
  </si>
  <si>
    <t>9,00+5</t>
  </si>
  <si>
    <t>9-6,00</t>
  </si>
  <si>
    <t>11,00+0</t>
  </si>
  <si>
    <t>7,5-2,00</t>
  </si>
  <si>
    <t>11,5+2</t>
  </si>
  <si>
    <t>3,00-3,00</t>
  </si>
  <si>
    <t>Tiempo total del proyecto</t>
  </si>
  <si>
    <t>Holguras de las actividades(i,j)</t>
  </si>
  <si>
    <t>Actividades(i,j)</t>
  </si>
  <si>
    <t>H(i,j)</t>
  </si>
  <si>
    <t>Ruta Crítica</t>
  </si>
  <si>
    <t>A(1,2)</t>
  </si>
  <si>
    <t>A -&gt; C -&gt; G</t>
  </si>
  <si>
    <t>B(2,3)</t>
  </si>
  <si>
    <t>C(2,4)</t>
  </si>
  <si>
    <t>D(4,6)</t>
  </si>
  <si>
    <t>E(2,8)</t>
  </si>
  <si>
    <t>F(3,5)</t>
  </si>
  <si>
    <t>G(4,8)</t>
  </si>
  <si>
    <t>H(4,5)</t>
  </si>
  <si>
    <t>I(5,7)</t>
  </si>
  <si>
    <t>J(7,8)</t>
  </si>
  <si>
    <t>Tabla General</t>
  </si>
  <si>
    <t>Tabla Tiempo más Corto</t>
  </si>
  <si>
    <t>Tiempo más Lejano</t>
  </si>
  <si>
    <t>D. Estándar</t>
  </si>
  <si>
    <t>31-0</t>
  </si>
  <si>
    <t>0+2.17</t>
  </si>
  <si>
    <t>31-2,17</t>
  </si>
  <si>
    <t>2.17+2.83</t>
  </si>
  <si>
    <t>28,83-3</t>
  </si>
  <si>
    <t>2.17+4</t>
  </si>
  <si>
    <t>28,83-5,33</t>
  </si>
  <si>
    <t>2.17+2</t>
  </si>
  <si>
    <t>25,83-0</t>
  </si>
  <si>
    <t>C,D,E</t>
  </si>
  <si>
    <t>5+0</t>
  </si>
  <si>
    <t>25,83-2,17</t>
  </si>
  <si>
    <t>6,17+0</t>
  </si>
  <si>
    <t>23,5-2,33</t>
  </si>
  <si>
    <t>6,17+3,17</t>
  </si>
  <si>
    <t>21,17-7,83</t>
  </si>
  <si>
    <t>6,17+5,17</t>
  </si>
  <si>
    <t>13,34-2</t>
  </si>
  <si>
    <t>I,G</t>
  </si>
  <si>
    <t>5+4</t>
  </si>
  <si>
    <t>11,34-5,17</t>
  </si>
  <si>
    <t>K</t>
  </si>
  <si>
    <t>11,34+2</t>
  </si>
  <si>
    <t>11,34-3,17</t>
  </si>
  <si>
    <t>L</t>
  </si>
  <si>
    <t>13,34+7,83</t>
  </si>
  <si>
    <t>6,17-0</t>
  </si>
  <si>
    <t>M</t>
  </si>
  <si>
    <t>K,L</t>
  </si>
  <si>
    <t>21,17+2,33</t>
  </si>
  <si>
    <t>13,34-4</t>
  </si>
  <si>
    <t>N</t>
  </si>
  <si>
    <t>21,17+2,17</t>
  </si>
  <si>
    <t>O</t>
  </si>
  <si>
    <t>M,N</t>
  </si>
  <si>
    <t>23,5+0</t>
  </si>
  <si>
    <t>6,17-2</t>
  </si>
  <si>
    <t>23,5+5,33</t>
  </si>
  <si>
    <t>6,17-4</t>
  </si>
  <si>
    <t>23,5+3</t>
  </si>
  <si>
    <t>6,17-2,83</t>
  </si>
  <si>
    <t>0+2</t>
  </si>
  <si>
    <t>31-2</t>
  </si>
  <si>
    <t>28,83+2,17</t>
  </si>
  <si>
    <t>2,17-2,17</t>
  </si>
  <si>
    <t xml:space="preserve">Tabla General </t>
  </si>
  <si>
    <t>Tabla Tiempo Más Corto</t>
  </si>
  <si>
    <t>Tabla Tiempo Más Lejano</t>
  </si>
  <si>
    <t>Tiempo de terminación del proyecto</t>
  </si>
  <si>
    <t>20-2</t>
  </si>
  <si>
    <t xml:space="preserve">z </t>
  </si>
  <si>
    <t>B,H</t>
  </si>
  <si>
    <t>0+6</t>
  </si>
  <si>
    <t>18 - 5</t>
  </si>
  <si>
    <t>U calculado</t>
  </si>
  <si>
    <t>6+2</t>
  </si>
  <si>
    <t>20-5</t>
  </si>
  <si>
    <t>x Duración solicitada</t>
  </si>
  <si>
    <t>6+3</t>
  </si>
  <si>
    <t>18-1</t>
  </si>
  <si>
    <t>Desviación</t>
  </si>
  <si>
    <t>2+4</t>
  </si>
  <si>
    <t>13-4</t>
  </si>
  <si>
    <t>8+2</t>
  </si>
  <si>
    <t>15-3</t>
  </si>
  <si>
    <t>Probabilidad</t>
  </si>
  <si>
    <t>8+3</t>
  </si>
  <si>
    <t>17-2</t>
  </si>
  <si>
    <t>13-3</t>
  </si>
  <si>
    <t>La probabilidad de que el proyecto termine en 25 días es del 95,15%</t>
  </si>
  <si>
    <t>9+4</t>
  </si>
  <si>
    <t>9-3</t>
  </si>
  <si>
    <t>10+1</t>
  </si>
  <si>
    <t>12-2</t>
  </si>
  <si>
    <t>J,K</t>
  </si>
  <si>
    <t>13+5</t>
  </si>
  <si>
    <t>17-4</t>
  </si>
  <si>
    <t>C,L</t>
  </si>
  <si>
    <t>11+5</t>
  </si>
  <si>
    <t>6-6</t>
  </si>
  <si>
    <t>18+2</t>
  </si>
  <si>
    <t>13-2</t>
  </si>
  <si>
    <t>Holguras de las actividades</t>
  </si>
  <si>
    <t>D -&gt; I -&gt; J -&gt; L -&gt; M</t>
  </si>
  <si>
    <t>B(2,6)</t>
  </si>
  <si>
    <t>C(6,9)</t>
  </si>
  <si>
    <t>D(1,3)</t>
  </si>
  <si>
    <t>E(2,3)</t>
  </si>
  <si>
    <t>F(7,10)</t>
  </si>
  <si>
    <t>G(3,4)</t>
  </si>
  <si>
    <t>H(4,6)</t>
  </si>
  <si>
    <t>I(3,5)</t>
  </si>
  <si>
    <t>J(5,8)</t>
  </si>
  <si>
    <t>K(3,8)</t>
  </si>
  <si>
    <t>L(8,9)</t>
  </si>
  <si>
    <t>M(9,10)</t>
  </si>
  <si>
    <t>(A+4M+B)/6</t>
  </si>
  <si>
    <t>DESV</t>
  </si>
  <si>
    <t>(B-A)/6</t>
  </si>
  <si>
    <t>VARIANNZA</t>
  </si>
  <si>
    <t>CUADRADO DESV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</si>
</sst>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rgb="FF242424"/>
      <name val="Aptos Narrow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1" xfId="0" applyBorder="1"/>
    <xf numFmtId="10" fontId="0" fillId="0" borderId="0" xfId="1" applyNumberFormat="1" applyFont="1"/>
    <xf numFmtId="2" fontId="0" fillId="0" borderId="1" xfId="0" applyNumberFormat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2" fillId="5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5" xfId="0" applyNumberFormat="1" applyBorder="1"/>
    <xf numFmtId="0" fontId="0" fillId="0" borderId="12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5" xfId="0" applyFont="1" applyBorder="1"/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2" fontId="0" fillId="0" borderId="5" xfId="0" applyNumberFormat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" fontId="0" fillId="0" borderId="5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2" fontId="0" fillId="0" borderId="11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/>
    <xf numFmtId="2" fontId="0" fillId="0" borderId="13" xfId="0" applyNumberFormat="1" applyBorder="1"/>
    <xf numFmtId="10" fontId="0" fillId="0" borderId="0" xfId="1" applyNumberFormat="1" applyFont="1" applyBorder="1"/>
    <xf numFmtId="0" fontId="0" fillId="4" borderId="5" xfId="0" applyFill="1" applyBorder="1"/>
    <xf numFmtId="0" fontId="0" fillId="3" borderId="5" xfId="0" applyFill="1" applyBorder="1" applyAlignment="1">
      <alignment horizontal="center"/>
    </xf>
    <xf numFmtId="0" fontId="0" fillId="3" borderId="5" xfId="0" applyFill="1" applyBorder="1" applyAlignment="1">
      <alignment horizontal="center" wrapText="1"/>
    </xf>
    <xf numFmtId="49" fontId="0" fillId="3" borderId="5" xfId="0" applyNumberForma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2" fontId="0" fillId="7" borderId="5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wrapText="1"/>
    </xf>
    <xf numFmtId="0" fontId="2" fillId="5" borderId="2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2" fillId="9" borderId="18" xfId="0" applyFont="1" applyFill="1" applyBorder="1"/>
    <xf numFmtId="0" fontId="2" fillId="9" borderId="19" xfId="0" applyFont="1" applyFill="1" applyBorder="1"/>
    <xf numFmtId="0" fontId="2" fillId="9" borderId="20" xfId="0" applyFont="1" applyFill="1" applyBorder="1"/>
    <xf numFmtId="0" fontId="2" fillId="5" borderId="7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2" fillId="9" borderId="21" xfId="0" applyFont="1" applyFill="1" applyBorder="1"/>
    <xf numFmtId="2" fontId="0" fillId="7" borderId="5" xfId="0" applyNumberFormat="1" applyFill="1" applyBorder="1" applyAlignment="1">
      <alignment horizontal="center"/>
    </xf>
    <xf numFmtId="10" fontId="0" fillId="4" borderId="0" xfId="0" applyNumberFormat="1" applyFill="1"/>
    <xf numFmtId="164" fontId="0" fillId="0" borderId="5" xfId="0" applyNumberFormat="1" applyBorder="1"/>
    <xf numFmtId="0" fontId="5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0" xfId="0" applyFont="1" applyFill="1"/>
    <xf numFmtId="0" fontId="2" fillId="4" borderId="5" xfId="0" applyFont="1" applyFill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wrapText="1"/>
    </xf>
    <xf numFmtId="2" fontId="0" fillId="0" borderId="11" xfId="0" applyNumberFormat="1" applyBorder="1"/>
    <xf numFmtId="0" fontId="5" fillId="2" borderId="8" xfId="0" applyFont="1" applyFill="1" applyBorder="1" applyAlignment="1">
      <alignment horizontal="center"/>
    </xf>
    <xf numFmtId="0" fontId="2" fillId="5" borderId="1" xfId="0" applyFont="1" applyFill="1" applyBorder="1"/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5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876822</xdr:colOff>
      <xdr:row>14</xdr:row>
      <xdr:rowOff>31315</xdr:rowOff>
    </xdr:from>
    <xdr:to>
      <xdr:col>8</xdr:col>
      <xdr:colOff>757434</xdr:colOff>
      <xdr:row>25</xdr:row>
      <xdr:rowOff>88465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BB635C92-F3B3-DDAF-0906-0E4B9F265621}"/>
            </a:ext>
            <a:ext uri="{147F2762-F138-4A5C-976F-8EAC2B608ADB}">
              <a16:predDERef xmlns:a16="http://schemas.microsoft.com/office/drawing/2014/main" pred="{544E907F-D165-4F1A-B7EB-1CD19B6CC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822" y="2661781"/>
          <a:ext cx="6310639" cy="2123944"/>
        </a:xfrm>
        <a:prstGeom prst="rect">
          <a:avLst/>
        </a:prstGeom>
      </xdr:spPr>
    </xdr:pic>
    <xdr:clientData/>
  </xdr:twoCellAnchor>
  <xdr:twoCellAnchor editAs="oneCell">
    <xdr:from>
      <xdr:col>0</xdr:col>
      <xdr:colOff>939452</xdr:colOff>
      <xdr:row>25</xdr:row>
      <xdr:rowOff>83507</xdr:rowOff>
    </xdr:from>
    <xdr:to>
      <xdr:col>9</xdr:col>
      <xdr:colOff>113387</xdr:colOff>
      <xdr:row>31</xdr:row>
      <xdr:rowOff>391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D781F825-719F-6B22-6268-BAAAA91F49F6}"/>
            </a:ext>
            <a:ext uri="{147F2762-F138-4A5C-976F-8EAC2B608ADB}">
              <a16:predDERef xmlns:a16="http://schemas.microsoft.com/office/drawing/2014/main" pred="{BB635C92-F3B3-DDAF-0906-0E4B9F265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9452" y="4780767"/>
          <a:ext cx="6386839" cy="104422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34</xdr:row>
      <xdr:rowOff>0</xdr:rowOff>
    </xdr:from>
    <xdr:to>
      <xdr:col>17</xdr:col>
      <xdr:colOff>664770</xdr:colOff>
      <xdr:row>49</xdr:row>
      <xdr:rowOff>38787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5EACAD-A7BE-50FD-376A-96D4E7BF5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95781" y="6388274"/>
          <a:ext cx="6447619" cy="2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746161</xdr:colOff>
      <xdr:row>21</xdr:row>
      <xdr:rowOff>20953</xdr:rowOff>
    </xdr:from>
    <xdr:to>
      <xdr:col>3</xdr:col>
      <xdr:colOff>138412</xdr:colOff>
      <xdr:row>22</xdr:row>
      <xdr:rowOff>102633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1442452-3D65-B5CE-A9C3-2761C30DF483}"/>
            </a:ext>
          </a:extLst>
        </xdr:cNvPr>
        <xdr:cNvSpPr txBox="1"/>
      </xdr:nvSpPr>
      <xdr:spPr>
        <a:xfrm rot="19812755">
          <a:off x="2331121" y="386143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s-EC" sz="1100"/>
        </a:p>
      </xdr:txBody>
    </xdr:sp>
    <xdr:clientData/>
  </xdr:twoCellAnchor>
  <xdr:twoCellAnchor>
    <xdr:from>
      <xdr:col>7</xdr:col>
      <xdr:colOff>532308</xdr:colOff>
      <xdr:row>20</xdr:row>
      <xdr:rowOff>116421</xdr:rowOff>
    </xdr:from>
    <xdr:to>
      <xdr:col>7</xdr:col>
      <xdr:colOff>717039</xdr:colOff>
      <xdr:row>22</xdr:row>
      <xdr:rowOff>15221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E561CEAC-F146-6205-1D40-E03921EE2D6E}"/>
            </a:ext>
          </a:extLst>
        </xdr:cNvPr>
        <xdr:cNvSpPr txBox="1"/>
      </xdr:nvSpPr>
      <xdr:spPr>
        <a:xfrm rot="553675">
          <a:off x="6079668" y="37740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s-EC" sz="1100"/>
        </a:p>
      </xdr:txBody>
    </xdr:sp>
    <xdr:clientData/>
  </xdr:twoCellAnchor>
  <xdr:twoCellAnchor editAs="oneCell">
    <xdr:from>
      <xdr:col>0</xdr:col>
      <xdr:colOff>81915</xdr:colOff>
      <xdr:row>22</xdr:row>
      <xdr:rowOff>143763</xdr:rowOff>
    </xdr:from>
    <xdr:to>
      <xdr:col>11</xdr:col>
      <xdr:colOff>51996</xdr:colOff>
      <xdr:row>38</xdr:row>
      <xdr:rowOff>125299</xdr:rowOff>
    </xdr:to>
    <xdr:pic>
      <xdr:nvPicPr>
        <xdr:cNvPr id="46" name="Imagen 1">
          <a:extLst>
            <a:ext uri="{FF2B5EF4-FFF2-40B4-BE49-F238E27FC236}">
              <a16:creationId xmlns:a16="http://schemas.microsoft.com/office/drawing/2014/main" id="{C2C4E66E-F374-9B30-4280-A59FA37103E2}"/>
            </a:ext>
            <a:ext uri="{147F2762-F138-4A5C-976F-8EAC2B608ADB}">
              <a16:predDERef xmlns:a16="http://schemas.microsoft.com/office/drawing/2014/main" pred="{E561CEAC-F146-6205-1D40-E03921EE2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" y="4382388"/>
          <a:ext cx="8847381" cy="28771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18</xdr:row>
      <xdr:rowOff>38100</xdr:rowOff>
    </xdr:from>
    <xdr:to>
      <xdr:col>10</xdr:col>
      <xdr:colOff>542925</xdr:colOff>
      <xdr:row>34</xdr:row>
      <xdr:rowOff>180975</xdr:rowOff>
    </xdr:to>
    <xdr:pic>
      <xdr:nvPicPr>
        <xdr:cNvPr id="8" name="Imagen 2">
          <a:extLst>
            <a:ext uri="{FF2B5EF4-FFF2-40B4-BE49-F238E27FC236}">
              <a16:creationId xmlns:a16="http://schemas.microsoft.com/office/drawing/2014/main" id="{6000F99F-D323-A16C-9D47-674998A64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38525"/>
          <a:ext cx="8515350" cy="31908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10</xdr:col>
      <xdr:colOff>600075</xdr:colOff>
      <xdr:row>41</xdr:row>
      <xdr:rowOff>28575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5A69DF66-842F-ECFC-3993-F3EF0D6DBF91}"/>
            </a:ext>
            <a:ext uri="{147F2762-F138-4A5C-976F-8EAC2B608ADB}">
              <a16:predDERef xmlns:a16="http://schemas.microsoft.com/office/drawing/2014/main" pred="{6000F99F-D323-A16C-9D47-674998A64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6325" y="6829425"/>
          <a:ext cx="7943850" cy="981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A7229-D219-4887-8AFD-6211021BFB1F}">
  <dimension ref="A1:W38"/>
  <sheetViews>
    <sheetView tabSelected="1" topLeftCell="B1" zoomScale="98" zoomScaleNormal="100" workbookViewId="0">
      <selection activeCell="L5" sqref="L5"/>
    </sheetView>
  </sheetViews>
  <sheetFormatPr defaultColWidth="11.44140625" defaultRowHeight="14.4" x14ac:dyDescent="0.3"/>
  <cols>
    <col min="1" max="1" width="13.88671875" customWidth="1"/>
    <col min="16" max="16" width="15" customWidth="1"/>
    <col min="17" max="17" width="12.109375" customWidth="1"/>
    <col min="18" max="18" width="14.33203125" customWidth="1"/>
    <col min="19" max="19" width="16.44140625" customWidth="1"/>
    <col min="21" max="21" width="18" customWidth="1"/>
    <col min="22" max="22" width="14.44140625" customWidth="1"/>
  </cols>
  <sheetData>
    <row r="1" spans="1:23" x14ac:dyDescent="0.3">
      <c r="B1" t="s">
        <v>0</v>
      </c>
    </row>
    <row r="2" spans="1:23" x14ac:dyDescent="0.3">
      <c r="B2" s="94" t="s">
        <v>1</v>
      </c>
      <c r="C2" s="95"/>
      <c r="D2" s="95"/>
      <c r="E2" s="95"/>
      <c r="F2" s="95"/>
      <c r="G2" s="95"/>
      <c r="H2" s="95"/>
      <c r="I2" s="95"/>
      <c r="K2" s="97" t="s">
        <v>2</v>
      </c>
      <c r="L2" s="97"/>
      <c r="M2" s="97"/>
      <c r="N2" s="97"/>
      <c r="P2" s="98" t="s">
        <v>3</v>
      </c>
      <c r="Q2" s="98"/>
      <c r="R2" s="98"/>
      <c r="S2" s="98"/>
    </row>
    <row r="3" spans="1:23" ht="14.4" customHeight="1" x14ac:dyDescent="0.3">
      <c r="A3" s="73" t="s">
        <v>4</v>
      </c>
      <c r="B3" s="77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13" t="s">
        <v>10</v>
      </c>
      <c r="H3" s="13" t="s">
        <v>11</v>
      </c>
      <c r="I3" s="13" t="s">
        <v>12</v>
      </c>
      <c r="K3" s="11" t="s">
        <v>13</v>
      </c>
      <c r="L3" s="20" t="s">
        <v>6</v>
      </c>
      <c r="M3" s="20" t="s">
        <v>14</v>
      </c>
      <c r="N3" s="20" t="s">
        <v>15</v>
      </c>
      <c r="P3" s="39" t="s">
        <v>13</v>
      </c>
      <c r="Q3" s="39" t="s">
        <v>6</v>
      </c>
      <c r="R3" s="39" t="s">
        <v>16</v>
      </c>
      <c r="S3" s="39" t="s">
        <v>17</v>
      </c>
    </row>
    <row r="4" spans="1:23" ht="14.4" customHeight="1" x14ac:dyDescent="0.3">
      <c r="A4" s="74" t="s">
        <v>18</v>
      </c>
      <c r="B4" s="46" t="s">
        <v>19</v>
      </c>
      <c r="C4" s="14" t="s">
        <v>20</v>
      </c>
      <c r="D4" s="14">
        <v>2</v>
      </c>
      <c r="E4" s="14">
        <v>3</v>
      </c>
      <c r="F4" s="14">
        <v>4</v>
      </c>
      <c r="G4" s="66">
        <f>(D4+4*E4+F4)/6</f>
        <v>3</v>
      </c>
      <c r="H4" s="15">
        <f>(F4-D4)/6</f>
        <v>0.33333333333333331</v>
      </c>
      <c r="I4" s="15">
        <f>POWER(H4,2)</f>
        <v>0.1111111111111111</v>
      </c>
      <c r="K4" s="9">
        <v>1</v>
      </c>
      <c r="L4" s="17" t="s">
        <v>21</v>
      </c>
      <c r="M4" s="17">
        <v>0</v>
      </c>
      <c r="N4" s="17">
        <v>0</v>
      </c>
      <c r="P4" s="21">
        <v>8</v>
      </c>
      <c r="Q4" s="34" t="s">
        <v>21</v>
      </c>
      <c r="R4" s="25">
        <v>14</v>
      </c>
      <c r="S4" s="25">
        <f>N13</f>
        <v>14</v>
      </c>
      <c r="U4" s="27"/>
      <c r="V4" s="27"/>
      <c r="W4" s="27"/>
    </row>
    <row r="5" spans="1:23" ht="14.4" customHeight="1" x14ac:dyDescent="0.3">
      <c r="A5" s="74" t="s">
        <v>22</v>
      </c>
      <c r="B5" s="46" t="s">
        <v>23</v>
      </c>
      <c r="C5" s="14" t="s">
        <v>24</v>
      </c>
      <c r="D5" s="14">
        <v>1</v>
      </c>
      <c r="E5" s="14">
        <v>2</v>
      </c>
      <c r="F5" s="14">
        <v>3</v>
      </c>
      <c r="G5" s="66">
        <f t="shared" ref="G5:G10" si="0">(D5+4*E5+F5)/6</f>
        <v>2</v>
      </c>
      <c r="H5" s="15">
        <f t="shared" ref="H5:H11" si="1">(F5-D5)/6</f>
        <v>0.33333333333333331</v>
      </c>
      <c r="I5" s="15">
        <f t="shared" ref="I5:I13" si="2">POWER(H5,2)</f>
        <v>0.1111111111111111</v>
      </c>
      <c r="K5" s="9">
        <v>2</v>
      </c>
      <c r="L5" s="17">
        <v>1</v>
      </c>
      <c r="M5" s="17" t="s">
        <v>25</v>
      </c>
      <c r="N5" s="17">
        <f>0+3</f>
        <v>3</v>
      </c>
      <c r="P5" s="40">
        <v>7</v>
      </c>
      <c r="Q5" s="9">
        <v>8</v>
      </c>
      <c r="R5" s="48" t="s">
        <v>26</v>
      </c>
      <c r="S5" s="9">
        <f>14-2</f>
        <v>12</v>
      </c>
      <c r="U5" s="27"/>
      <c r="V5" s="27"/>
      <c r="W5" s="27"/>
    </row>
    <row r="6" spans="1:23" ht="14.4" customHeight="1" x14ac:dyDescent="0.3">
      <c r="A6" s="74" t="s">
        <v>27</v>
      </c>
      <c r="B6" s="46" t="s">
        <v>28</v>
      </c>
      <c r="C6" s="14" t="s">
        <v>24</v>
      </c>
      <c r="D6" s="14">
        <v>2</v>
      </c>
      <c r="E6" s="14">
        <v>6</v>
      </c>
      <c r="F6" s="14">
        <v>10</v>
      </c>
      <c r="G6" s="66">
        <f t="shared" si="0"/>
        <v>6</v>
      </c>
      <c r="H6" s="15">
        <f t="shared" si="1"/>
        <v>1.3333333333333333</v>
      </c>
      <c r="I6" s="15">
        <f t="shared" si="2"/>
        <v>1.7777777777777777</v>
      </c>
      <c r="K6" s="9">
        <v>3</v>
      </c>
      <c r="L6" s="17">
        <v>2</v>
      </c>
      <c r="M6" s="17" t="s">
        <v>29</v>
      </c>
      <c r="N6" s="17">
        <f>3+2</f>
        <v>5</v>
      </c>
      <c r="P6" s="21">
        <v>6</v>
      </c>
      <c r="Q6" s="35">
        <v>8</v>
      </c>
      <c r="R6" s="36" t="s">
        <v>30</v>
      </c>
      <c r="S6" s="36">
        <f>14-0</f>
        <v>14</v>
      </c>
      <c r="V6" s="2"/>
    </row>
    <row r="7" spans="1:23" ht="14.4" customHeight="1" x14ac:dyDescent="0.3">
      <c r="A7" s="74" t="s">
        <v>31</v>
      </c>
      <c r="B7" s="46" t="s">
        <v>32</v>
      </c>
      <c r="C7" s="14" t="s">
        <v>28</v>
      </c>
      <c r="D7" s="14">
        <v>1</v>
      </c>
      <c r="E7" s="14">
        <v>2</v>
      </c>
      <c r="F7" s="14">
        <v>3</v>
      </c>
      <c r="G7" s="66">
        <f t="shared" si="0"/>
        <v>2</v>
      </c>
      <c r="H7" s="15">
        <f t="shared" si="1"/>
        <v>0.33333333333333331</v>
      </c>
      <c r="I7" s="15">
        <f t="shared" si="2"/>
        <v>0.1111111111111111</v>
      </c>
      <c r="K7" s="18">
        <v>4</v>
      </c>
      <c r="L7" s="17">
        <v>2</v>
      </c>
      <c r="M7" s="17" t="s">
        <v>33</v>
      </c>
      <c r="N7" s="22">
        <f>3+6</f>
        <v>9</v>
      </c>
      <c r="P7" s="40">
        <v>5</v>
      </c>
      <c r="Q7" s="9">
        <v>7</v>
      </c>
      <c r="R7" s="9" t="s">
        <v>34</v>
      </c>
      <c r="S7" s="9">
        <f>12-1.5</f>
        <v>10.5</v>
      </c>
    </row>
    <row r="8" spans="1:23" ht="14.4" customHeight="1" x14ac:dyDescent="0.3">
      <c r="A8" s="78" t="s">
        <v>35</v>
      </c>
      <c r="B8" s="46" t="s">
        <v>36</v>
      </c>
      <c r="C8" s="14" t="s">
        <v>24</v>
      </c>
      <c r="D8" s="14">
        <v>1</v>
      </c>
      <c r="E8" s="14">
        <v>3</v>
      </c>
      <c r="F8" s="14">
        <v>5</v>
      </c>
      <c r="G8" s="66">
        <f t="shared" si="0"/>
        <v>3</v>
      </c>
      <c r="H8" s="15">
        <f t="shared" si="1"/>
        <v>0.66666666666666663</v>
      </c>
      <c r="I8" s="15">
        <f t="shared" si="2"/>
        <v>0.44444444444444442</v>
      </c>
      <c r="K8" s="99">
        <v>5</v>
      </c>
      <c r="L8" s="23">
        <v>3</v>
      </c>
      <c r="M8" s="17" t="s">
        <v>37</v>
      </c>
      <c r="N8" s="22">
        <f>5+3</f>
        <v>8</v>
      </c>
      <c r="P8" s="99">
        <v>4</v>
      </c>
      <c r="Q8" s="25">
        <v>8</v>
      </c>
      <c r="R8" s="25" t="s">
        <v>38</v>
      </c>
      <c r="S8" s="45">
        <f>14-5</f>
        <v>9</v>
      </c>
    </row>
    <row r="9" spans="1:23" ht="14.4" customHeight="1" x14ac:dyDescent="0.3">
      <c r="B9" s="14" t="s">
        <v>39</v>
      </c>
      <c r="C9" s="14" t="s">
        <v>23</v>
      </c>
      <c r="D9" s="14">
        <v>2</v>
      </c>
      <c r="E9" s="14">
        <v>3</v>
      </c>
      <c r="F9" s="14">
        <v>4</v>
      </c>
      <c r="G9" s="66">
        <f t="shared" si="0"/>
        <v>3</v>
      </c>
      <c r="H9" s="15">
        <f t="shared" si="1"/>
        <v>0.33333333333333331</v>
      </c>
      <c r="I9" s="15">
        <f t="shared" si="2"/>
        <v>0.1111111111111111</v>
      </c>
      <c r="K9" s="100"/>
      <c r="L9" s="23">
        <v>4</v>
      </c>
      <c r="M9" s="17" t="s">
        <v>40</v>
      </c>
      <c r="N9" s="31">
        <f>9+1</f>
        <v>10</v>
      </c>
      <c r="P9" s="101"/>
      <c r="Q9" s="17">
        <v>6</v>
      </c>
      <c r="R9" s="44" t="s">
        <v>26</v>
      </c>
      <c r="S9" s="17">
        <f>14-2</f>
        <v>12</v>
      </c>
      <c r="V9" s="2"/>
    </row>
    <row r="10" spans="1:23" ht="14.4" customHeight="1" x14ac:dyDescent="0.3">
      <c r="B10" s="14" t="s">
        <v>41</v>
      </c>
      <c r="C10" s="14" t="s">
        <v>28</v>
      </c>
      <c r="D10" s="14">
        <v>3</v>
      </c>
      <c r="E10" s="14">
        <v>5</v>
      </c>
      <c r="F10" s="14">
        <v>7</v>
      </c>
      <c r="G10" s="66">
        <f t="shared" si="0"/>
        <v>5</v>
      </c>
      <c r="H10" s="15">
        <f t="shared" si="1"/>
        <v>0.66666666666666663</v>
      </c>
      <c r="I10" s="15">
        <f t="shared" si="2"/>
        <v>0.44444444444444442</v>
      </c>
      <c r="K10" s="9">
        <v>6</v>
      </c>
      <c r="L10" s="17">
        <v>4</v>
      </c>
      <c r="M10" s="17" t="s">
        <v>42</v>
      </c>
      <c r="N10" s="17">
        <f>9+2</f>
        <v>11</v>
      </c>
      <c r="P10" s="100"/>
      <c r="Q10" s="23">
        <v>5</v>
      </c>
      <c r="R10" s="44" t="s">
        <v>43</v>
      </c>
      <c r="S10" s="22">
        <f>10.5-1</f>
        <v>9.5</v>
      </c>
    </row>
    <row r="11" spans="1:23" ht="14.4" customHeight="1" x14ac:dyDescent="0.3">
      <c r="B11" s="14" t="s">
        <v>44</v>
      </c>
      <c r="C11" s="14" t="s">
        <v>28</v>
      </c>
      <c r="D11" s="14">
        <v>0.5</v>
      </c>
      <c r="E11" s="14">
        <v>1</v>
      </c>
      <c r="F11" s="14">
        <v>1.5</v>
      </c>
      <c r="G11" s="66">
        <f>(D11+4*E11+F11)/6</f>
        <v>1</v>
      </c>
      <c r="H11" s="15">
        <f t="shared" si="1"/>
        <v>0.16666666666666666</v>
      </c>
      <c r="I11" s="15">
        <f t="shared" si="2"/>
        <v>2.7777777777777776E-2</v>
      </c>
      <c r="K11" s="18">
        <v>7</v>
      </c>
      <c r="L11" s="25">
        <v>5</v>
      </c>
      <c r="M11" s="25" t="s">
        <v>45</v>
      </c>
      <c r="N11" s="25">
        <f>10+1.5</f>
        <v>11.5</v>
      </c>
      <c r="P11" s="17">
        <v>3</v>
      </c>
      <c r="Q11" s="23">
        <v>5</v>
      </c>
      <c r="R11" s="44" t="s">
        <v>46</v>
      </c>
      <c r="S11" s="17">
        <f>10.5-3</f>
        <v>7.5</v>
      </c>
    </row>
    <row r="12" spans="1:23" ht="14.4" customHeight="1" x14ac:dyDescent="0.3">
      <c r="B12" s="14" t="s">
        <v>47</v>
      </c>
      <c r="C12" s="14" t="s">
        <v>48</v>
      </c>
      <c r="D12" s="14">
        <v>1</v>
      </c>
      <c r="E12" s="14">
        <v>1.5</v>
      </c>
      <c r="F12" s="14">
        <v>2</v>
      </c>
      <c r="G12" s="66">
        <f>(D12+4*E12+F12)/6</f>
        <v>1.5</v>
      </c>
      <c r="H12" s="15">
        <f>(F12-D12)/6</f>
        <v>0.16666666666666666</v>
      </c>
      <c r="I12" s="15">
        <f t="shared" si="2"/>
        <v>2.7777777777777776E-2</v>
      </c>
      <c r="K12" s="99">
        <v>8</v>
      </c>
      <c r="L12" s="34">
        <v>2</v>
      </c>
      <c r="M12" s="25" t="s">
        <v>49</v>
      </c>
      <c r="N12" s="25">
        <f>3+3</f>
        <v>6</v>
      </c>
      <c r="P12" s="99">
        <v>2</v>
      </c>
      <c r="Q12" s="17">
        <v>8</v>
      </c>
      <c r="R12" s="44" t="s">
        <v>50</v>
      </c>
      <c r="S12" s="22">
        <f>14-3</f>
        <v>11</v>
      </c>
      <c r="V12" s="57"/>
    </row>
    <row r="13" spans="1:23" ht="14.4" customHeight="1" x14ac:dyDescent="0.3">
      <c r="B13" s="14" t="s">
        <v>51</v>
      </c>
      <c r="C13" s="14" t="s">
        <v>47</v>
      </c>
      <c r="D13" s="14">
        <v>1</v>
      </c>
      <c r="E13" s="14">
        <v>2</v>
      </c>
      <c r="F13" s="14">
        <v>3</v>
      </c>
      <c r="G13" s="66">
        <f>(D13+4*E13+F13)/6</f>
        <v>2</v>
      </c>
      <c r="H13" s="15">
        <f>(F13-D13)/6</f>
        <v>0.33333333333333331</v>
      </c>
      <c r="I13" s="15">
        <f t="shared" si="2"/>
        <v>0.1111111111111111</v>
      </c>
      <c r="K13" s="101"/>
      <c r="L13" s="9">
        <v>4</v>
      </c>
      <c r="M13" s="9" t="s">
        <v>52</v>
      </c>
      <c r="N13" s="38">
        <f>9+5</f>
        <v>14</v>
      </c>
      <c r="P13" s="101"/>
      <c r="Q13" s="17">
        <v>4</v>
      </c>
      <c r="R13" s="44" t="s">
        <v>53</v>
      </c>
      <c r="S13" s="31">
        <f>9-6</f>
        <v>3</v>
      </c>
    </row>
    <row r="14" spans="1:23" ht="14.4" customHeight="1" x14ac:dyDescent="0.3">
      <c r="K14" s="101"/>
      <c r="L14" s="35">
        <v>6</v>
      </c>
      <c r="M14" s="36" t="s">
        <v>54</v>
      </c>
      <c r="N14" s="36">
        <f>11+0</f>
        <v>11</v>
      </c>
      <c r="P14" s="100"/>
      <c r="Q14" s="17">
        <v>3</v>
      </c>
      <c r="R14" s="44" t="s">
        <v>55</v>
      </c>
      <c r="S14" s="17">
        <f>7.5-2</f>
        <v>5.5</v>
      </c>
    </row>
    <row r="15" spans="1:23" ht="14.4" customHeight="1" x14ac:dyDescent="0.3">
      <c r="K15" s="100"/>
      <c r="L15" s="18">
        <v>7</v>
      </c>
      <c r="M15" s="18" t="s">
        <v>56</v>
      </c>
      <c r="N15" s="18">
        <f>11.5+2</f>
        <v>13.5</v>
      </c>
      <c r="P15" s="9">
        <v>1</v>
      </c>
      <c r="Q15" s="17">
        <v>2</v>
      </c>
      <c r="R15" s="44" t="s">
        <v>57</v>
      </c>
      <c r="S15" s="17">
        <f>3-3</f>
        <v>0</v>
      </c>
    </row>
    <row r="16" spans="1:23" x14ac:dyDescent="0.3">
      <c r="L16" s="86" t="s">
        <v>58</v>
      </c>
      <c r="M16" s="58"/>
      <c r="N16" s="58">
        <f>3+6+5</f>
        <v>14</v>
      </c>
    </row>
    <row r="17" spans="16:18" x14ac:dyDescent="0.3">
      <c r="P17" s="96" t="s">
        <v>59</v>
      </c>
      <c r="Q17" s="96"/>
    </row>
    <row r="18" spans="16:18" ht="14.4" customHeight="1" x14ac:dyDescent="0.3">
      <c r="P18" s="93" t="s">
        <v>60</v>
      </c>
      <c r="Q18" s="93" t="s">
        <v>61</v>
      </c>
      <c r="R18" s="92" t="s">
        <v>62</v>
      </c>
    </row>
    <row r="19" spans="16:18" x14ac:dyDescent="0.3">
      <c r="P19" s="3" t="s">
        <v>63</v>
      </c>
      <c r="Q19" s="91">
        <f>S13-(N4+G4)</f>
        <v>0</v>
      </c>
      <c r="R19" s="83" t="s">
        <v>64</v>
      </c>
    </row>
    <row r="20" spans="16:18" ht="14.4" customHeight="1" x14ac:dyDescent="0.3">
      <c r="P20" s="3" t="s">
        <v>65</v>
      </c>
      <c r="Q20" s="5">
        <f>S11-(N5+G5)</f>
        <v>2.5</v>
      </c>
    </row>
    <row r="21" spans="16:18" ht="14.4" customHeight="1" x14ac:dyDescent="0.3">
      <c r="P21" s="3" t="s">
        <v>66</v>
      </c>
      <c r="Q21" s="5">
        <f>S8-(N5+G6)</f>
        <v>0</v>
      </c>
    </row>
    <row r="22" spans="16:18" ht="14.4" customHeight="1" x14ac:dyDescent="0.3">
      <c r="P22" s="3" t="s">
        <v>67</v>
      </c>
      <c r="Q22" s="5">
        <f>S6-(N7+G7)</f>
        <v>3</v>
      </c>
    </row>
    <row r="23" spans="16:18" ht="14.4" customHeight="1" x14ac:dyDescent="0.3">
      <c r="P23" s="3" t="s">
        <v>68</v>
      </c>
      <c r="Q23" s="5">
        <f>S4-(N5+G8)</f>
        <v>8</v>
      </c>
    </row>
    <row r="24" spans="16:18" ht="14.4" customHeight="1" x14ac:dyDescent="0.3">
      <c r="P24" s="3" t="s">
        <v>69</v>
      </c>
      <c r="Q24" s="5">
        <f>S7-(N6+G9)</f>
        <v>2.5</v>
      </c>
    </row>
    <row r="25" spans="16:18" ht="14.4" customHeight="1" x14ac:dyDescent="0.3">
      <c r="P25" s="3" t="s">
        <v>70</v>
      </c>
      <c r="Q25" s="5">
        <f>S4-(N7+G10)</f>
        <v>0</v>
      </c>
    </row>
    <row r="26" spans="16:18" ht="14.4" customHeight="1" x14ac:dyDescent="0.3">
      <c r="P26" s="3" t="s">
        <v>71</v>
      </c>
      <c r="Q26" s="5">
        <f>S7-(N7+G11)</f>
        <v>0.5</v>
      </c>
    </row>
    <row r="27" spans="16:18" ht="14.4" customHeight="1" x14ac:dyDescent="0.3">
      <c r="P27" s="50" t="s">
        <v>72</v>
      </c>
      <c r="Q27" s="51">
        <f>S5-(N9+G12)</f>
        <v>0.5</v>
      </c>
    </row>
    <row r="28" spans="16:18" ht="14.4" customHeight="1" x14ac:dyDescent="0.3">
      <c r="P28" s="55" t="s">
        <v>73</v>
      </c>
      <c r="Q28" s="28">
        <f>S4-(N11+G13)</f>
        <v>0.5</v>
      </c>
    </row>
    <row r="37" spans="4:6" x14ac:dyDescent="0.3">
      <c r="D37" t="s">
        <v>10</v>
      </c>
      <c r="E37" t="s">
        <v>175</v>
      </c>
      <c r="F37" t="s">
        <v>177</v>
      </c>
    </row>
    <row r="38" spans="4:6" x14ac:dyDescent="0.3">
      <c r="D38" t="s">
        <v>174</v>
      </c>
      <c r="E38" t="s">
        <v>176</v>
      </c>
      <c r="F38" t="s">
        <v>178</v>
      </c>
    </row>
  </sheetData>
  <mergeCells count="8">
    <mergeCell ref="B2:I2"/>
    <mergeCell ref="P17:Q17"/>
    <mergeCell ref="K2:N2"/>
    <mergeCell ref="P2:S2"/>
    <mergeCell ref="K8:K9"/>
    <mergeCell ref="K12:K15"/>
    <mergeCell ref="P8:P10"/>
    <mergeCell ref="P12:P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709B2-B5E8-47B0-A1B0-5B44BDC16380}">
  <dimension ref="A1:U28"/>
  <sheetViews>
    <sheetView zoomScaleNormal="100" workbookViewId="0">
      <selection activeCell="S21" sqref="S21"/>
    </sheetView>
  </sheetViews>
  <sheetFormatPr defaultColWidth="11.44140625" defaultRowHeight="14.4" x14ac:dyDescent="0.3"/>
  <cols>
    <col min="1" max="1" width="18.88671875" customWidth="1"/>
  </cols>
  <sheetData>
    <row r="1" spans="1:21" ht="23.4" x14ac:dyDescent="0.45">
      <c r="B1" s="102" t="s">
        <v>74</v>
      </c>
      <c r="C1" s="102"/>
      <c r="D1" s="102"/>
      <c r="E1" s="102"/>
      <c r="F1" s="102"/>
      <c r="G1" s="102"/>
      <c r="H1" s="102"/>
      <c r="I1" s="102"/>
      <c r="K1" s="102" t="s">
        <v>75</v>
      </c>
      <c r="L1" s="102"/>
      <c r="M1" s="102"/>
      <c r="N1" s="102"/>
      <c r="P1" s="103" t="s">
        <v>76</v>
      </c>
      <c r="Q1" s="103"/>
      <c r="R1" s="103"/>
      <c r="S1" s="103"/>
    </row>
    <row r="2" spans="1:21" x14ac:dyDescent="0.3">
      <c r="A2" s="73" t="s">
        <v>4</v>
      </c>
      <c r="B2" s="65" t="s">
        <v>5</v>
      </c>
      <c r="C2" s="39" t="s">
        <v>6</v>
      </c>
      <c r="D2" s="39" t="s">
        <v>7</v>
      </c>
      <c r="E2" s="39" t="s">
        <v>8</v>
      </c>
      <c r="F2" s="39" t="s">
        <v>9</v>
      </c>
      <c r="G2" s="63" t="s">
        <v>10</v>
      </c>
      <c r="H2" s="64" t="s">
        <v>77</v>
      </c>
      <c r="I2" s="62" t="s">
        <v>12</v>
      </c>
      <c r="K2" s="11" t="s">
        <v>13</v>
      </c>
      <c r="L2" s="65" t="s">
        <v>6</v>
      </c>
      <c r="M2" s="39" t="s">
        <v>14</v>
      </c>
      <c r="N2" s="39" t="s">
        <v>15</v>
      </c>
      <c r="P2" s="39" t="s">
        <v>13</v>
      </c>
      <c r="Q2" s="39" t="s">
        <v>6</v>
      </c>
      <c r="R2" s="39" t="s">
        <v>16</v>
      </c>
      <c r="S2" s="39" t="s">
        <v>17</v>
      </c>
    </row>
    <row r="3" spans="1:21" x14ac:dyDescent="0.3">
      <c r="A3" s="74" t="s">
        <v>18</v>
      </c>
      <c r="B3" s="29" t="s">
        <v>19</v>
      </c>
      <c r="C3" s="1" t="s">
        <v>20</v>
      </c>
      <c r="D3" s="1">
        <v>1</v>
      </c>
      <c r="E3" s="1">
        <v>2</v>
      </c>
      <c r="F3" s="1">
        <v>3</v>
      </c>
      <c r="G3" s="37">
        <f>(D3+4*E3+F3)/6</f>
        <v>2</v>
      </c>
      <c r="H3" s="52">
        <f>(F3-D3)/6</f>
        <v>0.33333333333333331</v>
      </c>
      <c r="I3" s="30">
        <f>H3^2</f>
        <v>0.1111111111111111</v>
      </c>
      <c r="J3" s="24"/>
      <c r="K3" s="9">
        <v>1</v>
      </c>
      <c r="L3" s="53" t="s">
        <v>20</v>
      </c>
      <c r="M3" s="6">
        <v>0</v>
      </c>
      <c r="N3" s="6">
        <v>0</v>
      </c>
      <c r="P3" s="1">
        <v>12</v>
      </c>
      <c r="Q3" s="1" t="s">
        <v>20</v>
      </c>
      <c r="R3" s="1" t="s">
        <v>78</v>
      </c>
      <c r="S3" s="1">
        <f>N21</f>
        <v>31</v>
      </c>
    </row>
    <row r="4" spans="1:21" x14ac:dyDescent="0.3">
      <c r="A4" s="74" t="s">
        <v>22</v>
      </c>
      <c r="B4" s="29" t="s">
        <v>23</v>
      </c>
      <c r="C4" s="1" t="s">
        <v>20</v>
      </c>
      <c r="D4" s="1">
        <v>1</v>
      </c>
      <c r="E4" s="1">
        <v>2</v>
      </c>
      <c r="F4" s="1">
        <v>4</v>
      </c>
      <c r="G4" s="37">
        <f t="shared" ref="G4:G17" si="0">(D4+4*E4+F4)/6</f>
        <v>2.1666666666666665</v>
      </c>
      <c r="H4" s="52">
        <f t="shared" ref="H4:H17" si="1">(F4-D4)/6</f>
        <v>0.5</v>
      </c>
      <c r="I4" s="30">
        <f t="shared" ref="I4:I17" si="2">H4^2</f>
        <v>0.25</v>
      </c>
      <c r="J4" s="24"/>
      <c r="K4" s="9">
        <v>2</v>
      </c>
      <c r="L4" s="29">
        <v>1</v>
      </c>
      <c r="M4" s="1" t="s">
        <v>79</v>
      </c>
      <c r="N4" s="1">
        <f>0+2.17</f>
        <v>2.17</v>
      </c>
      <c r="P4" s="1">
        <v>11</v>
      </c>
      <c r="Q4" s="1">
        <v>12</v>
      </c>
      <c r="R4" s="1" t="s">
        <v>80</v>
      </c>
      <c r="S4" s="1">
        <f>31-2.17</f>
        <v>28.83</v>
      </c>
    </row>
    <row r="5" spans="1:21" x14ac:dyDescent="0.3">
      <c r="A5" s="74" t="s">
        <v>27</v>
      </c>
      <c r="B5" s="29" t="s">
        <v>28</v>
      </c>
      <c r="C5" s="1" t="s">
        <v>23</v>
      </c>
      <c r="D5" s="1">
        <v>1</v>
      </c>
      <c r="E5" s="1">
        <v>3</v>
      </c>
      <c r="F5" s="1">
        <v>4</v>
      </c>
      <c r="G5" s="37">
        <f t="shared" si="0"/>
        <v>2.8333333333333335</v>
      </c>
      <c r="H5" s="52">
        <f t="shared" si="1"/>
        <v>0.5</v>
      </c>
      <c r="I5" s="30">
        <f t="shared" si="2"/>
        <v>0.25</v>
      </c>
      <c r="J5" s="24"/>
      <c r="K5" s="9">
        <v>3</v>
      </c>
      <c r="L5" s="29">
        <v>2</v>
      </c>
      <c r="M5" s="1" t="s">
        <v>81</v>
      </c>
      <c r="N5" s="1">
        <f>2.17+2.83</f>
        <v>5</v>
      </c>
      <c r="P5" s="14">
        <v>10</v>
      </c>
      <c r="Q5" s="14">
        <v>11</v>
      </c>
      <c r="R5" s="1" t="s">
        <v>82</v>
      </c>
      <c r="S5" s="1">
        <f>28.83-3</f>
        <v>25.83</v>
      </c>
      <c r="U5" s="2"/>
    </row>
    <row r="6" spans="1:21" ht="14.4" customHeight="1" x14ac:dyDescent="0.3">
      <c r="A6" s="75" t="s">
        <v>31</v>
      </c>
      <c r="B6" s="29" t="s">
        <v>32</v>
      </c>
      <c r="C6" s="1" t="s">
        <v>23</v>
      </c>
      <c r="D6" s="1">
        <v>1</v>
      </c>
      <c r="E6" s="1">
        <v>2</v>
      </c>
      <c r="F6" s="1">
        <v>3</v>
      </c>
      <c r="G6" s="37">
        <f t="shared" si="0"/>
        <v>2</v>
      </c>
      <c r="H6" s="52">
        <f t="shared" si="1"/>
        <v>0.33333333333333331</v>
      </c>
      <c r="I6" s="30">
        <f t="shared" si="2"/>
        <v>0.1111111111111111</v>
      </c>
      <c r="J6" s="24"/>
      <c r="K6" s="9">
        <v>4</v>
      </c>
      <c r="L6" s="29">
        <v>2</v>
      </c>
      <c r="M6" s="1" t="s">
        <v>83</v>
      </c>
      <c r="N6" s="7">
        <f>4+2.17</f>
        <v>6.17</v>
      </c>
      <c r="P6" s="105">
        <v>9</v>
      </c>
      <c r="Q6" s="14">
        <v>11</v>
      </c>
      <c r="R6" s="1" t="s">
        <v>84</v>
      </c>
      <c r="S6" s="71">
        <f>28.83-5.33</f>
        <v>23.5</v>
      </c>
    </row>
    <row r="7" spans="1:21" ht="14.4" customHeight="1" x14ac:dyDescent="0.3">
      <c r="A7" s="78" t="s">
        <v>35</v>
      </c>
      <c r="B7" s="1" t="s">
        <v>36</v>
      </c>
      <c r="C7" s="1" t="s">
        <v>23</v>
      </c>
      <c r="D7" s="1">
        <v>2</v>
      </c>
      <c r="E7" s="1">
        <v>4</v>
      </c>
      <c r="F7" s="1">
        <v>6</v>
      </c>
      <c r="G7" s="37">
        <f t="shared" si="0"/>
        <v>4</v>
      </c>
      <c r="H7" s="52">
        <f t="shared" si="1"/>
        <v>0.66666666666666663</v>
      </c>
      <c r="I7" s="30">
        <f t="shared" si="2"/>
        <v>0.44444444444444442</v>
      </c>
      <c r="J7" s="24"/>
      <c r="K7" s="104">
        <v>5</v>
      </c>
      <c r="L7" s="54">
        <v>2</v>
      </c>
      <c r="M7" s="8" t="s">
        <v>85</v>
      </c>
      <c r="N7" s="8">
        <f>2.17+2</f>
        <v>4.17</v>
      </c>
      <c r="P7" s="106"/>
      <c r="Q7" s="14">
        <v>10</v>
      </c>
      <c r="R7" s="1" t="s">
        <v>86</v>
      </c>
      <c r="S7" s="1">
        <f>25.83-0</f>
        <v>25.83</v>
      </c>
    </row>
    <row r="8" spans="1:21" x14ac:dyDescent="0.3">
      <c r="B8" s="1" t="s">
        <v>39</v>
      </c>
      <c r="C8" s="1" t="s">
        <v>87</v>
      </c>
      <c r="D8" s="1">
        <v>3</v>
      </c>
      <c r="E8" s="1">
        <v>5</v>
      </c>
      <c r="F8" s="1">
        <v>8</v>
      </c>
      <c r="G8" s="37">
        <f t="shared" si="0"/>
        <v>5.166666666666667</v>
      </c>
      <c r="H8" s="52">
        <f t="shared" si="1"/>
        <v>0.83333333333333337</v>
      </c>
      <c r="I8" s="30">
        <f t="shared" si="2"/>
        <v>0.69444444444444453</v>
      </c>
      <c r="J8" s="24"/>
      <c r="K8" s="104"/>
      <c r="L8" s="32">
        <v>3</v>
      </c>
      <c r="M8" s="9" t="s">
        <v>88</v>
      </c>
      <c r="N8" s="9">
        <f>5+0</f>
        <v>5</v>
      </c>
      <c r="P8" s="105">
        <v>8</v>
      </c>
      <c r="Q8" s="14">
        <v>10</v>
      </c>
      <c r="R8" s="1" t="s">
        <v>89</v>
      </c>
      <c r="S8" s="1">
        <f>25.83-2.17</f>
        <v>23.659999999999997</v>
      </c>
      <c r="U8" s="2"/>
    </row>
    <row r="9" spans="1:21" x14ac:dyDescent="0.3">
      <c r="B9" s="1" t="s">
        <v>41</v>
      </c>
      <c r="C9" s="1" t="s">
        <v>28</v>
      </c>
      <c r="D9" s="1">
        <v>2</v>
      </c>
      <c r="E9" s="1">
        <v>4</v>
      </c>
      <c r="F9" s="1">
        <v>6</v>
      </c>
      <c r="G9" s="37">
        <f t="shared" si="0"/>
        <v>4</v>
      </c>
      <c r="H9" s="52">
        <f t="shared" si="1"/>
        <v>0.66666666666666663</v>
      </c>
      <c r="I9" s="30">
        <f t="shared" si="2"/>
        <v>0.44444444444444442</v>
      </c>
      <c r="J9" s="24"/>
      <c r="K9" s="104"/>
      <c r="L9" s="32">
        <v>4</v>
      </c>
      <c r="M9" s="9" t="s">
        <v>90</v>
      </c>
      <c r="N9" s="67">
        <f>6.17+0</f>
        <v>6.17</v>
      </c>
      <c r="P9" s="106"/>
      <c r="Q9" s="14">
        <v>9</v>
      </c>
      <c r="R9" s="1" t="s">
        <v>91</v>
      </c>
      <c r="S9" s="71">
        <f>23.5-2.33</f>
        <v>21.17</v>
      </c>
    </row>
    <row r="10" spans="1:21" x14ac:dyDescent="0.3">
      <c r="B10" s="1" t="s">
        <v>44</v>
      </c>
      <c r="C10" s="1" t="s">
        <v>36</v>
      </c>
      <c r="D10" s="1">
        <v>2</v>
      </c>
      <c r="E10" s="1">
        <v>3</v>
      </c>
      <c r="F10" s="1">
        <v>5</v>
      </c>
      <c r="G10" s="37">
        <f t="shared" si="0"/>
        <v>3.1666666666666665</v>
      </c>
      <c r="H10" s="52">
        <f t="shared" si="1"/>
        <v>0.5</v>
      </c>
      <c r="I10" s="30">
        <f t="shared" si="2"/>
        <v>0.25</v>
      </c>
      <c r="J10" s="24"/>
      <c r="K10" s="104">
        <v>6</v>
      </c>
      <c r="L10" s="32">
        <v>4</v>
      </c>
      <c r="M10" s="9" t="s">
        <v>92</v>
      </c>
      <c r="N10" s="9">
        <f>6.17+3.17</f>
        <v>9.34</v>
      </c>
      <c r="P10" s="16">
        <v>7</v>
      </c>
      <c r="Q10" s="14">
        <v>8</v>
      </c>
      <c r="R10" s="1" t="s">
        <v>93</v>
      </c>
      <c r="S10" s="1">
        <f>21.17-7.83</f>
        <v>13.340000000000002</v>
      </c>
    </row>
    <row r="11" spans="1:21" x14ac:dyDescent="0.3">
      <c r="B11" s="1" t="s">
        <v>47</v>
      </c>
      <c r="C11" s="1" t="s">
        <v>48</v>
      </c>
      <c r="D11" s="1">
        <v>1</v>
      </c>
      <c r="E11" s="1">
        <v>2</v>
      </c>
      <c r="F11" s="1">
        <v>3</v>
      </c>
      <c r="G11" s="37">
        <f t="shared" si="0"/>
        <v>2</v>
      </c>
      <c r="H11" s="52">
        <f t="shared" si="1"/>
        <v>0.33333333333333331</v>
      </c>
      <c r="I11" s="30">
        <f t="shared" si="2"/>
        <v>0.1111111111111111</v>
      </c>
      <c r="J11" s="24"/>
      <c r="K11" s="104"/>
      <c r="L11" s="32">
        <v>5</v>
      </c>
      <c r="M11" s="9" t="s">
        <v>94</v>
      </c>
      <c r="N11" s="67">
        <f>6.17+5.17</f>
        <v>11.34</v>
      </c>
      <c r="P11" s="17">
        <v>6</v>
      </c>
      <c r="Q11" s="46">
        <v>7</v>
      </c>
      <c r="R11" s="1" t="s">
        <v>95</v>
      </c>
      <c r="S11" s="1">
        <f>13.34-2</f>
        <v>11.34</v>
      </c>
      <c r="U11" s="4"/>
    </row>
    <row r="12" spans="1:21" ht="14.4" customHeight="1" x14ac:dyDescent="0.3">
      <c r="B12" s="1" t="s">
        <v>51</v>
      </c>
      <c r="C12" s="1" t="s">
        <v>96</v>
      </c>
      <c r="D12" s="1">
        <v>5</v>
      </c>
      <c r="E12" s="1">
        <v>8</v>
      </c>
      <c r="F12" s="1">
        <v>10</v>
      </c>
      <c r="G12" s="37">
        <f t="shared" si="0"/>
        <v>7.833333333333333</v>
      </c>
      <c r="H12" s="52">
        <f t="shared" si="1"/>
        <v>0.83333333333333337</v>
      </c>
      <c r="I12" s="30">
        <f t="shared" si="2"/>
        <v>0.69444444444444453</v>
      </c>
      <c r="J12" s="24"/>
      <c r="K12" s="104">
        <v>7</v>
      </c>
      <c r="L12" s="32">
        <v>3</v>
      </c>
      <c r="M12" s="9" t="s">
        <v>97</v>
      </c>
      <c r="N12" s="9">
        <f>5+4</f>
        <v>9</v>
      </c>
      <c r="P12" s="25">
        <v>5</v>
      </c>
      <c r="Q12" s="47">
        <v>6</v>
      </c>
      <c r="R12" s="8" t="s">
        <v>98</v>
      </c>
      <c r="S12" s="8">
        <f>11.34-5.17</f>
        <v>6.17</v>
      </c>
    </row>
    <row r="13" spans="1:21" ht="14.4" customHeight="1" x14ac:dyDescent="0.3">
      <c r="B13" s="1" t="s">
        <v>99</v>
      </c>
      <c r="C13" s="1" t="s">
        <v>51</v>
      </c>
      <c r="D13" s="1">
        <v>1</v>
      </c>
      <c r="E13" s="1">
        <v>2</v>
      </c>
      <c r="F13" s="1">
        <v>4</v>
      </c>
      <c r="G13" s="37">
        <f t="shared" si="0"/>
        <v>2.1666666666666665</v>
      </c>
      <c r="H13" s="52">
        <f t="shared" si="1"/>
        <v>0.5</v>
      </c>
      <c r="I13" s="30">
        <f t="shared" si="2"/>
        <v>0.25</v>
      </c>
      <c r="J13" s="24"/>
      <c r="K13" s="104"/>
      <c r="L13" s="32">
        <v>6</v>
      </c>
      <c r="M13" s="9" t="s">
        <v>100</v>
      </c>
      <c r="N13" s="67">
        <f>11.34+2</f>
        <v>13.34</v>
      </c>
      <c r="P13" s="104">
        <v>4</v>
      </c>
      <c r="Q13" s="9">
        <v>6</v>
      </c>
      <c r="R13" s="9" t="s">
        <v>101</v>
      </c>
      <c r="S13" s="9">
        <f>11.34-3.17</f>
        <v>8.17</v>
      </c>
    </row>
    <row r="14" spans="1:21" ht="14.4" customHeight="1" x14ac:dyDescent="0.3">
      <c r="B14" s="1" t="s">
        <v>102</v>
      </c>
      <c r="C14" s="1" t="s">
        <v>51</v>
      </c>
      <c r="D14" s="1">
        <v>1</v>
      </c>
      <c r="E14" s="1">
        <v>2</v>
      </c>
      <c r="F14" s="1">
        <v>5</v>
      </c>
      <c r="G14" s="37">
        <f t="shared" si="0"/>
        <v>2.3333333333333335</v>
      </c>
      <c r="H14" s="52">
        <f t="shared" si="1"/>
        <v>0.66666666666666663</v>
      </c>
      <c r="I14" s="30">
        <f t="shared" si="2"/>
        <v>0.44444444444444442</v>
      </c>
      <c r="J14" s="24"/>
      <c r="K14" s="9">
        <v>8</v>
      </c>
      <c r="L14" s="32">
        <v>7</v>
      </c>
      <c r="M14" s="9" t="s">
        <v>103</v>
      </c>
      <c r="N14" s="9">
        <f>13.34+7.83</f>
        <v>21.17</v>
      </c>
      <c r="P14" s="99"/>
      <c r="Q14" s="18">
        <v>5</v>
      </c>
      <c r="R14" s="18" t="s">
        <v>104</v>
      </c>
      <c r="S14" s="72">
        <v>6.17</v>
      </c>
    </row>
    <row r="15" spans="1:21" ht="14.4" customHeight="1" x14ac:dyDescent="0.3">
      <c r="B15" s="1" t="s">
        <v>105</v>
      </c>
      <c r="C15" s="1" t="s">
        <v>106</v>
      </c>
      <c r="D15" s="1">
        <v>2</v>
      </c>
      <c r="E15" s="1">
        <v>3</v>
      </c>
      <c r="F15" s="1">
        <v>4</v>
      </c>
      <c r="G15" s="37">
        <f t="shared" si="0"/>
        <v>3</v>
      </c>
      <c r="H15" s="52">
        <f t="shared" si="1"/>
        <v>0.33333333333333331</v>
      </c>
      <c r="I15" s="30">
        <f t="shared" si="2"/>
        <v>0.1111111111111111</v>
      </c>
      <c r="J15" s="24"/>
      <c r="K15" s="9">
        <v>9</v>
      </c>
      <c r="L15" s="32">
        <v>8</v>
      </c>
      <c r="M15" s="9" t="s">
        <v>107</v>
      </c>
      <c r="N15" s="9">
        <f>21.17+2.33</f>
        <v>23.5</v>
      </c>
      <c r="P15" s="107">
        <v>3</v>
      </c>
      <c r="Q15" s="9">
        <v>7</v>
      </c>
      <c r="R15" s="9" t="s">
        <v>108</v>
      </c>
      <c r="S15" s="9">
        <f>13.34-4</f>
        <v>9.34</v>
      </c>
    </row>
    <row r="16" spans="1:21" ht="14.4" customHeight="1" x14ac:dyDescent="0.3">
      <c r="B16" s="1" t="s">
        <v>109</v>
      </c>
      <c r="C16" s="1" t="s">
        <v>102</v>
      </c>
      <c r="D16" s="1">
        <v>4</v>
      </c>
      <c r="E16" s="1">
        <v>5</v>
      </c>
      <c r="F16" s="1">
        <v>8</v>
      </c>
      <c r="G16" s="37">
        <f t="shared" si="0"/>
        <v>5.333333333333333</v>
      </c>
      <c r="H16" s="52">
        <f t="shared" si="1"/>
        <v>0.66666666666666663</v>
      </c>
      <c r="I16" s="30">
        <f t="shared" si="2"/>
        <v>0.44444444444444442</v>
      </c>
      <c r="J16" s="24"/>
      <c r="K16" s="104">
        <v>10</v>
      </c>
      <c r="L16" s="32">
        <v>8</v>
      </c>
      <c r="M16" s="9" t="s">
        <v>110</v>
      </c>
      <c r="N16" s="9">
        <f>21.17+2.17</f>
        <v>23.340000000000003</v>
      </c>
      <c r="P16" s="108"/>
      <c r="Q16" s="18">
        <v>5</v>
      </c>
      <c r="R16" s="18" t="s">
        <v>104</v>
      </c>
      <c r="S16" s="72">
        <v>6.17</v>
      </c>
    </row>
    <row r="17" spans="2:19" ht="14.4" customHeight="1" x14ac:dyDescent="0.3">
      <c r="B17" s="1" t="s">
        <v>111</v>
      </c>
      <c r="C17" s="1" t="s">
        <v>112</v>
      </c>
      <c r="D17" s="1">
        <v>1</v>
      </c>
      <c r="E17" s="1">
        <v>2</v>
      </c>
      <c r="F17" s="1">
        <v>4</v>
      </c>
      <c r="G17" s="37">
        <f t="shared" si="0"/>
        <v>2.1666666666666665</v>
      </c>
      <c r="H17" s="52">
        <f t="shared" si="1"/>
        <v>0.5</v>
      </c>
      <c r="I17" s="30">
        <f t="shared" si="2"/>
        <v>0.25</v>
      </c>
      <c r="J17" s="24"/>
      <c r="K17" s="104"/>
      <c r="L17" s="32">
        <v>9</v>
      </c>
      <c r="M17" s="9" t="s">
        <v>113</v>
      </c>
      <c r="N17" s="67">
        <f>23.5+0</f>
        <v>23.5</v>
      </c>
      <c r="P17" s="104">
        <v>2</v>
      </c>
      <c r="Q17" s="9">
        <v>5</v>
      </c>
      <c r="R17" s="9" t="s">
        <v>114</v>
      </c>
      <c r="S17" s="9">
        <f>6.17-2</f>
        <v>4.17</v>
      </c>
    </row>
    <row r="18" spans="2:19" ht="14.4" customHeight="1" x14ac:dyDescent="0.3">
      <c r="K18" s="104">
        <v>11</v>
      </c>
      <c r="L18" s="23">
        <v>9</v>
      </c>
      <c r="M18" s="43" t="s">
        <v>115</v>
      </c>
      <c r="N18" s="68">
        <f>23.5+5.33</f>
        <v>28.83</v>
      </c>
      <c r="P18" s="104"/>
      <c r="Q18" s="9">
        <v>4</v>
      </c>
      <c r="R18" s="9" t="s">
        <v>116</v>
      </c>
      <c r="S18" s="67">
        <f>6.17-4</f>
        <v>2.17</v>
      </c>
    </row>
    <row r="19" spans="2:19" ht="14.4" customHeight="1" x14ac:dyDescent="0.3">
      <c r="K19" s="104"/>
      <c r="L19" s="34">
        <v>10</v>
      </c>
      <c r="M19" s="25" t="s">
        <v>117</v>
      </c>
      <c r="N19" s="25">
        <f>23.5+3</f>
        <v>26.5</v>
      </c>
      <c r="P19" s="99"/>
      <c r="Q19" s="18">
        <v>3</v>
      </c>
      <c r="R19" s="18" t="s">
        <v>118</v>
      </c>
      <c r="S19" s="18">
        <f>6.17-2.83</f>
        <v>3.34</v>
      </c>
    </row>
    <row r="20" spans="2:19" x14ac:dyDescent="0.3">
      <c r="K20" s="100">
        <v>12</v>
      </c>
      <c r="L20" s="41">
        <v>1</v>
      </c>
      <c r="M20" s="41" t="s">
        <v>119</v>
      </c>
      <c r="N20" s="41">
        <f>0+2</f>
        <v>2</v>
      </c>
      <c r="P20" s="108">
        <v>1</v>
      </c>
      <c r="Q20" s="9">
        <v>12</v>
      </c>
      <c r="R20" s="30" t="s">
        <v>120</v>
      </c>
      <c r="S20" s="9">
        <f>31-2</f>
        <v>29</v>
      </c>
    </row>
    <row r="21" spans="2:19" ht="14.4" customHeight="1" x14ac:dyDescent="0.3">
      <c r="K21" s="104"/>
      <c r="L21" s="42">
        <v>11</v>
      </c>
      <c r="M21" s="42" t="s">
        <v>121</v>
      </c>
      <c r="N21" s="69">
        <f>28.83+2.17</f>
        <v>31</v>
      </c>
      <c r="P21" s="109"/>
      <c r="Q21" s="9">
        <v>2</v>
      </c>
      <c r="R21" s="30" t="s">
        <v>122</v>
      </c>
      <c r="S21" s="67">
        <f>2.17-2.17</f>
        <v>0</v>
      </c>
    </row>
    <row r="22" spans="2:19" x14ac:dyDescent="0.3">
      <c r="R22" s="49"/>
      <c r="S22" s="24"/>
    </row>
    <row r="23" spans="2:19" x14ac:dyDescent="0.3">
      <c r="R23" s="2"/>
    </row>
    <row r="24" spans="2:19" x14ac:dyDescent="0.3">
      <c r="R24" s="2"/>
    </row>
    <row r="25" spans="2:19" x14ac:dyDescent="0.3">
      <c r="R25" s="2"/>
    </row>
    <row r="26" spans="2:19" x14ac:dyDescent="0.3">
      <c r="R26" s="2"/>
    </row>
    <row r="27" spans="2:19" x14ac:dyDescent="0.3">
      <c r="R27" s="2"/>
    </row>
    <row r="28" spans="2:19" x14ac:dyDescent="0.3">
      <c r="R28" s="2"/>
    </row>
  </sheetData>
  <mergeCells count="15">
    <mergeCell ref="K20:K21"/>
    <mergeCell ref="P6:P7"/>
    <mergeCell ref="P8:P9"/>
    <mergeCell ref="P13:P14"/>
    <mergeCell ref="P15:P16"/>
    <mergeCell ref="P17:P19"/>
    <mergeCell ref="P20:P21"/>
    <mergeCell ref="K10:K11"/>
    <mergeCell ref="K7:K9"/>
    <mergeCell ref="K12:K13"/>
    <mergeCell ref="B1:I1"/>
    <mergeCell ref="K1:N1"/>
    <mergeCell ref="P1:S1"/>
    <mergeCell ref="K16:K17"/>
    <mergeCell ref="K18:K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D5BCF-457C-4D55-ABA5-6CB259C2583F}">
  <dimension ref="A1:V32"/>
  <sheetViews>
    <sheetView topLeftCell="J12" zoomScale="62" zoomScaleNormal="62" workbookViewId="0">
      <selection activeCell="P19" sqref="P19"/>
    </sheetView>
  </sheetViews>
  <sheetFormatPr defaultColWidth="11.44140625" defaultRowHeight="14.4" x14ac:dyDescent="0.3"/>
  <cols>
    <col min="1" max="1" width="16.109375" customWidth="1"/>
    <col min="3" max="3" width="13.109375" customWidth="1"/>
    <col min="8" max="8" width="17" customWidth="1"/>
    <col min="12" max="12" width="14" customWidth="1"/>
    <col min="16" max="16" width="19.109375" customWidth="1"/>
    <col min="17" max="17" width="13.44140625" customWidth="1"/>
    <col min="18" max="18" width="20.6640625" customWidth="1"/>
    <col min="21" max="21" width="26.6640625" customWidth="1"/>
    <col min="22" max="22" width="20.44140625" customWidth="1"/>
    <col min="23" max="23" width="21.6640625" customWidth="1"/>
  </cols>
  <sheetData>
    <row r="1" spans="1:22" ht="14.4" customHeight="1" x14ac:dyDescent="0.3">
      <c r="B1" s="112" t="s">
        <v>123</v>
      </c>
      <c r="C1" s="112"/>
      <c r="D1" s="112"/>
      <c r="E1" s="112"/>
      <c r="F1" s="112"/>
      <c r="G1" s="112"/>
      <c r="H1" s="112"/>
      <c r="I1" s="112"/>
      <c r="K1" s="112" t="s">
        <v>124</v>
      </c>
      <c r="L1" s="112"/>
      <c r="M1" s="112"/>
      <c r="N1" s="112"/>
      <c r="P1" s="96" t="s">
        <v>125</v>
      </c>
      <c r="Q1" s="96"/>
      <c r="R1" s="96"/>
      <c r="S1" s="96"/>
    </row>
    <row r="2" spans="1:22" x14ac:dyDescent="0.3">
      <c r="A2" s="73" t="s">
        <v>4</v>
      </c>
      <c r="B2" s="76" t="s">
        <v>5</v>
      </c>
      <c r="C2" s="11" t="s">
        <v>6</v>
      </c>
      <c r="D2" s="11" t="s">
        <v>7</v>
      </c>
      <c r="E2" s="11" t="s">
        <v>8</v>
      </c>
      <c r="F2" s="11" t="s">
        <v>9</v>
      </c>
      <c r="G2" s="62" t="s">
        <v>10</v>
      </c>
      <c r="H2" s="62" t="s">
        <v>77</v>
      </c>
      <c r="I2" s="62" t="s">
        <v>12</v>
      </c>
      <c r="K2" s="11" t="s">
        <v>13</v>
      </c>
      <c r="L2" s="11" t="s">
        <v>6</v>
      </c>
      <c r="M2" s="11" t="s">
        <v>14</v>
      </c>
      <c r="N2" s="11" t="s">
        <v>15</v>
      </c>
      <c r="P2" s="70" t="s">
        <v>13</v>
      </c>
      <c r="Q2" s="70" t="s">
        <v>6</v>
      </c>
      <c r="R2" s="70" t="s">
        <v>16</v>
      </c>
      <c r="S2" s="70" t="s">
        <v>17</v>
      </c>
      <c r="U2" s="110" t="s">
        <v>126</v>
      </c>
      <c r="V2" s="110"/>
    </row>
    <row r="3" spans="1:22" x14ac:dyDescent="0.3">
      <c r="A3" s="74" t="s">
        <v>18</v>
      </c>
      <c r="B3" s="32" t="s">
        <v>19</v>
      </c>
      <c r="C3" s="9" t="s">
        <v>20</v>
      </c>
      <c r="D3" s="9">
        <v>1</v>
      </c>
      <c r="E3" s="9">
        <v>2</v>
      </c>
      <c r="F3" s="9">
        <v>3</v>
      </c>
      <c r="G3" s="79">
        <f t="shared" ref="G3:G15" si="0">(D3+4*E3+F3)/6</f>
        <v>2</v>
      </c>
      <c r="H3" s="30">
        <f t="shared" ref="H3:H15" si="1">(F3-D3)/6</f>
        <v>0.33333333333333331</v>
      </c>
      <c r="I3" s="30">
        <f>H3^2</f>
        <v>0.1111111111111111</v>
      </c>
      <c r="K3" s="26">
        <v>1</v>
      </c>
      <c r="L3" s="19" t="s">
        <v>20</v>
      </c>
      <c r="M3" s="19">
        <v>0</v>
      </c>
      <c r="N3" s="19">
        <v>0</v>
      </c>
      <c r="P3" s="41">
        <v>10</v>
      </c>
      <c r="Q3" s="42" t="s">
        <v>21</v>
      </c>
      <c r="R3" s="60">
        <v>20</v>
      </c>
      <c r="S3" s="60">
        <v>20</v>
      </c>
    </row>
    <row r="4" spans="1:22" x14ac:dyDescent="0.3">
      <c r="A4" s="74" t="s">
        <v>22</v>
      </c>
      <c r="B4" s="32" t="s">
        <v>23</v>
      </c>
      <c r="C4" s="9" t="s">
        <v>24</v>
      </c>
      <c r="D4" s="9">
        <v>2</v>
      </c>
      <c r="E4" s="9">
        <v>4</v>
      </c>
      <c r="F4" s="9">
        <v>6</v>
      </c>
      <c r="G4" s="79">
        <f t="shared" si="0"/>
        <v>4</v>
      </c>
      <c r="H4" s="30">
        <f t="shared" si="1"/>
        <v>0.66666666666666663</v>
      </c>
      <c r="I4" s="30">
        <f t="shared" ref="I4:I11" si="2">H4^2</f>
        <v>0.44444444444444442</v>
      </c>
      <c r="K4" s="17">
        <v>2</v>
      </c>
      <c r="L4" s="9">
        <v>1</v>
      </c>
      <c r="M4" s="9" t="s">
        <v>119</v>
      </c>
      <c r="N4" s="9">
        <f>0+2</f>
        <v>2</v>
      </c>
      <c r="P4" s="41">
        <v>9</v>
      </c>
      <c r="Q4" s="42">
        <v>10</v>
      </c>
      <c r="R4" s="61" t="s">
        <v>127</v>
      </c>
      <c r="S4" s="60">
        <v>18</v>
      </c>
      <c r="U4" s="33" t="s">
        <v>128</v>
      </c>
      <c r="V4" s="81">
        <f>(V6-V5)/V7</f>
        <v>1.6666666666666667</v>
      </c>
    </row>
    <row r="5" spans="1:22" x14ac:dyDescent="0.3">
      <c r="A5" s="74" t="s">
        <v>27</v>
      </c>
      <c r="B5" s="32" t="s">
        <v>28</v>
      </c>
      <c r="C5" s="9" t="s">
        <v>129</v>
      </c>
      <c r="D5" s="9">
        <v>1</v>
      </c>
      <c r="E5" s="9">
        <v>1</v>
      </c>
      <c r="F5" s="9">
        <v>1</v>
      </c>
      <c r="G5" s="79">
        <f t="shared" si="0"/>
        <v>1</v>
      </c>
      <c r="H5" s="30">
        <f t="shared" si="1"/>
        <v>0</v>
      </c>
      <c r="I5" s="30">
        <f t="shared" si="2"/>
        <v>0</v>
      </c>
      <c r="K5" s="17">
        <v>3</v>
      </c>
      <c r="L5" s="9">
        <v>1</v>
      </c>
      <c r="M5" s="9" t="s">
        <v>130</v>
      </c>
      <c r="N5" s="9">
        <f>0+6</f>
        <v>6</v>
      </c>
      <c r="P5" s="41">
        <v>8</v>
      </c>
      <c r="Q5" s="42">
        <v>9</v>
      </c>
      <c r="R5" s="61" t="s">
        <v>131</v>
      </c>
      <c r="S5" s="60">
        <f>18-5</f>
        <v>13</v>
      </c>
      <c r="U5" s="33" t="s">
        <v>132</v>
      </c>
      <c r="V5" s="10">
        <v>20</v>
      </c>
    </row>
    <row r="6" spans="1:22" x14ac:dyDescent="0.3">
      <c r="A6" s="75" t="s">
        <v>31</v>
      </c>
      <c r="B6" s="32" t="s">
        <v>32</v>
      </c>
      <c r="C6" s="9" t="s">
        <v>21</v>
      </c>
      <c r="D6" s="9">
        <v>3</v>
      </c>
      <c r="E6" s="9">
        <v>6</v>
      </c>
      <c r="F6" s="9">
        <v>9</v>
      </c>
      <c r="G6" s="79">
        <f t="shared" si="0"/>
        <v>6</v>
      </c>
      <c r="H6" s="30">
        <f t="shared" si="1"/>
        <v>1</v>
      </c>
      <c r="I6" s="30">
        <f t="shared" si="2"/>
        <v>1</v>
      </c>
      <c r="K6" s="17">
        <v>4</v>
      </c>
      <c r="L6" s="9">
        <v>3</v>
      </c>
      <c r="M6" s="9" t="s">
        <v>133</v>
      </c>
      <c r="N6" s="59">
        <f>6+2</f>
        <v>8</v>
      </c>
      <c r="P6" s="41">
        <v>7</v>
      </c>
      <c r="Q6" s="42">
        <v>10</v>
      </c>
      <c r="R6" s="61" t="s">
        <v>134</v>
      </c>
      <c r="S6" s="60">
        <f>20-5</f>
        <v>15</v>
      </c>
      <c r="U6" s="33" t="s">
        <v>135</v>
      </c>
      <c r="V6" s="10">
        <v>25</v>
      </c>
    </row>
    <row r="7" spans="1:22" x14ac:dyDescent="0.3">
      <c r="A7" s="78" t="s">
        <v>35</v>
      </c>
      <c r="B7" s="9" t="s">
        <v>36</v>
      </c>
      <c r="C7" s="9" t="s">
        <v>41</v>
      </c>
      <c r="D7" s="9">
        <v>2</v>
      </c>
      <c r="E7" s="9">
        <v>3</v>
      </c>
      <c r="F7" s="9">
        <v>4</v>
      </c>
      <c r="G7" s="79">
        <f t="shared" si="0"/>
        <v>3</v>
      </c>
      <c r="H7" s="30">
        <f t="shared" si="1"/>
        <v>0.33333333333333331</v>
      </c>
      <c r="I7" s="30">
        <f t="shared" si="2"/>
        <v>0.1111111111111111</v>
      </c>
      <c r="K7" s="17">
        <v>5</v>
      </c>
      <c r="L7" s="9">
        <v>3</v>
      </c>
      <c r="M7" s="9" t="s">
        <v>136</v>
      </c>
      <c r="N7" s="59">
        <f>6+3</f>
        <v>9</v>
      </c>
      <c r="P7" s="41">
        <v>6</v>
      </c>
      <c r="Q7" s="42">
        <v>9</v>
      </c>
      <c r="R7" s="61" t="s">
        <v>137</v>
      </c>
      <c r="S7" s="60">
        <v>17</v>
      </c>
      <c r="U7" s="33" t="s">
        <v>138</v>
      </c>
      <c r="V7" s="28">
        <f>H6+H11+H12+H14+H15</f>
        <v>3</v>
      </c>
    </row>
    <row r="8" spans="1:22" x14ac:dyDescent="0.3">
      <c r="B8" s="9" t="s">
        <v>39</v>
      </c>
      <c r="C8" s="9" t="s">
        <v>36</v>
      </c>
      <c r="D8" s="9">
        <v>3</v>
      </c>
      <c r="E8" s="9">
        <v>5</v>
      </c>
      <c r="F8" s="9">
        <v>7</v>
      </c>
      <c r="G8" s="79">
        <f t="shared" si="0"/>
        <v>5</v>
      </c>
      <c r="H8" s="30">
        <f t="shared" si="1"/>
        <v>0.66666666666666663</v>
      </c>
      <c r="I8" s="30">
        <f t="shared" si="2"/>
        <v>0.44444444444444442</v>
      </c>
      <c r="K8" s="104">
        <v>6</v>
      </c>
      <c r="L8" s="9">
        <v>2</v>
      </c>
      <c r="M8" s="9" t="s">
        <v>139</v>
      </c>
      <c r="N8" s="59">
        <f>2+4</f>
        <v>6</v>
      </c>
      <c r="P8" s="41">
        <v>5</v>
      </c>
      <c r="Q8" s="42">
        <v>8</v>
      </c>
      <c r="R8" s="61" t="s">
        <v>140</v>
      </c>
      <c r="S8" s="60">
        <f>13-4</f>
        <v>9</v>
      </c>
    </row>
    <row r="9" spans="1:22" x14ac:dyDescent="0.3">
      <c r="B9" s="9" t="s">
        <v>41</v>
      </c>
      <c r="C9" s="9" t="s">
        <v>32</v>
      </c>
      <c r="D9" s="9">
        <v>1</v>
      </c>
      <c r="E9" s="9">
        <v>2</v>
      </c>
      <c r="F9" s="9">
        <v>3</v>
      </c>
      <c r="G9" s="79">
        <f t="shared" si="0"/>
        <v>2</v>
      </c>
      <c r="H9" s="30">
        <f t="shared" si="1"/>
        <v>0.33333333333333331</v>
      </c>
      <c r="I9" s="30">
        <f t="shared" si="2"/>
        <v>0.1111111111111111</v>
      </c>
      <c r="K9" s="104"/>
      <c r="L9" s="9">
        <v>4</v>
      </c>
      <c r="M9" s="9" t="s">
        <v>141</v>
      </c>
      <c r="N9" s="67">
        <f>8+2</f>
        <v>10</v>
      </c>
      <c r="P9" s="113">
        <v>4</v>
      </c>
      <c r="Q9" s="42">
        <v>7</v>
      </c>
      <c r="R9" s="61" t="s">
        <v>142</v>
      </c>
      <c r="S9" s="69">
        <f>15-3</f>
        <v>12</v>
      </c>
      <c r="U9" s="85" t="s">
        <v>143</v>
      </c>
      <c r="V9" s="80">
        <v>0.95150000000000001</v>
      </c>
    </row>
    <row r="10" spans="1:22" x14ac:dyDescent="0.3">
      <c r="B10" s="9" t="s">
        <v>44</v>
      </c>
      <c r="C10" s="9" t="s">
        <v>41</v>
      </c>
      <c r="D10" s="9">
        <v>1</v>
      </c>
      <c r="E10" s="9">
        <v>2</v>
      </c>
      <c r="F10" s="9">
        <v>3</v>
      </c>
      <c r="G10" s="79">
        <f t="shared" si="0"/>
        <v>2</v>
      </c>
      <c r="H10" s="30">
        <f t="shared" si="1"/>
        <v>0.33333333333333331</v>
      </c>
      <c r="I10" s="30">
        <f t="shared" si="2"/>
        <v>0.1111111111111111</v>
      </c>
      <c r="K10" s="17">
        <v>7</v>
      </c>
      <c r="L10" s="9">
        <v>4</v>
      </c>
      <c r="M10" s="9" t="s">
        <v>144</v>
      </c>
      <c r="N10" s="59">
        <f>8+3</f>
        <v>11</v>
      </c>
      <c r="P10" s="113"/>
      <c r="Q10" s="42">
        <v>6</v>
      </c>
      <c r="R10" s="61" t="s">
        <v>145</v>
      </c>
      <c r="S10" s="60">
        <f>17-2</f>
        <v>15</v>
      </c>
      <c r="V10" s="4"/>
    </row>
    <row r="11" spans="1:22" x14ac:dyDescent="0.3">
      <c r="B11" s="9" t="s">
        <v>47</v>
      </c>
      <c r="C11" s="9" t="s">
        <v>32</v>
      </c>
      <c r="D11" s="9">
        <v>1</v>
      </c>
      <c r="E11" s="9">
        <v>3</v>
      </c>
      <c r="F11" s="9">
        <v>5</v>
      </c>
      <c r="G11" s="79">
        <f t="shared" si="0"/>
        <v>3</v>
      </c>
      <c r="H11" s="30">
        <f t="shared" si="1"/>
        <v>0.66666666666666663</v>
      </c>
      <c r="I11" s="30">
        <f t="shared" si="2"/>
        <v>0.44444444444444442</v>
      </c>
      <c r="K11" s="104">
        <v>8</v>
      </c>
      <c r="L11" s="9">
        <v>3</v>
      </c>
      <c r="M11" s="9" t="s">
        <v>136</v>
      </c>
      <c r="N11" s="59">
        <f>6+3</f>
        <v>9</v>
      </c>
      <c r="P11" s="113">
        <v>3</v>
      </c>
      <c r="Q11" s="42">
        <v>8</v>
      </c>
      <c r="R11" s="61" t="s">
        <v>146</v>
      </c>
      <c r="S11" s="60">
        <f>13-3</f>
        <v>10</v>
      </c>
      <c r="U11" t="s">
        <v>147</v>
      </c>
    </row>
    <row r="12" spans="1:22" x14ac:dyDescent="0.3">
      <c r="B12" s="9" t="s">
        <v>51</v>
      </c>
      <c r="C12" s="9" t="s">
        <v>47</v>
      </c>
      <c r="D12" s="9">
        <v>3</v>
      </c>
      <c r="E12" s="9">
        <v>4</v>
      </c>
      <c r="F12" s="9">
        <v>5</v>
      </c>
      <c r="G12" s="79">
        <f t="shared" si="0"/>
        <v>4</v>
      </c>
      <c r="H12" s="30">
        <f t="shared" si="1"/>
        <v>0.33333333333333331</v>
      </c>
      <c r="I12" s="30">
        <f>H12^2</f>
        <v>0.1111111111111111</v>
      </c>
      <c r="K12" s="104"/>
      <c r="L12" s="9">
        <v>5</v>
      </c>
      <c r="M12" s="9" t="s">
        <v>148</v>
      </c>
      <c r="N12" s="67">
        <f>9+4</f>
        <v>13</v>
      </c>
      <c r="P12" s="113"/>
      <c r="Q12" s="42">
        <v>5</v>
      </c>
      <c r="R12" s="61" t="s">
        <v>149</v>
      </c>
      <c r="S12" s="69">
        <f>9-3</f>
        <v>6</v>
      </c>
    </row>
    <row r="13" spans="1:22" ht="14.4" customHeight="1" x14ac:dyDescent="0.3">
      <c r="B13" s="9" t="s">
        <v>99</v>
      </c>
      <c r="C13" s="9" t="s">
        <v>32</v>
      </c>
      <c r="D13" s="9">
        <v>2</v>
      </c>
      <c r="E13" s="9">
        <v>3</v>
      </c>
      <c r="F13" s="9">
        <v>4</v>
      </c>
      <c r="G13" s="79">
        <f t="shared" si="0"/>
        <v>3</v>
      </c>
      <c r="H13" s="30">
        <f t="shared" si="1"/>
        <v>0.33333333333333331</v>
      </c>
      <c r="I13" s="30">
        <f>H13^2</f>
        <v>0.1111111111111111</v>
      </c>
      <c r="K13" s="104">
        <v>9</v>
      </c>
      <c r="L13" s="9">
        <v>6</v>
      </c>
      <c r="M13" s="9" t="s">
        <v>150</v>
      </c>
      <c r="N13" s="59">
        <v>11</v>
      </c>
      <c r="P13" s="113"/>
      <c r="Q13" s="42">
        <v>4</v>
      </c>
      <c r="R13" s="61" t="s">
        <v>151</v>
      </c>
      <c r="S13" s="60">
        <f>12-2</f>
        <v>10</v>
      </c>
    </row>
    <row r="14" spans="1:22" ht="14.4" customHeight="1" x14ac:dyDescent="0.3">
      <c r="B14" s="9" t="s">
        <v>102</v>
      </c>
      <c r="C14" s="9" t="s">
        <v>152</v>
      </c>
      <c r="D14" s="9">
        <v>3</v>
      </c>
      <c r="E14" s="9">
        <v>5</v>
      </c>
      <c r="F14" s="9">
        <v>7</v>
      </c>
      <c r="G14" s="79">
        <f t="shared" si="0"/>
        <v>5</v>
      </c>
      <c r="H14" s="30">
        <f t="shared" si="1"/>
        <v>0.66666666666666663</v>
      </c>
      <c r="I14" s="30">
        <f>H14^2</f>
        <v>0.44444444444444442</v>
      </c>
      <c r="K14" s="99"/>
      <c r="L14" s="18">
        <v>8</v>
      </c>
      <c r="M14" s="9" t="s">
        <v>153</v>
      </c>
      <c r="N14" s="67">
        <f>13+5</f>
        <v>18</v>
      </c>
      <c r="P14" s="41">
        <v>2</v>
      </c>
      <c r="Q14" s="42">
        <v>6</v>
      </c>
      <c r="R14" s="61" t="s">
        <v>154</v>
      </c>
      <c r="S14" s="60">
        <f>17-4</f>
        <v>13</v>
      </c>
    </row>
    <row r="15" spans="1:22" x14ac:dyDescent="0.3">
      <c r="B15" s="9" t="s">
        <v>105</v>
      </c>
      <c r="C15" s="9" t="s">
        <v>155</v>
      </c>
      <c r="D15" s="9">
        <v>1</v>
      </c>
      <c r="E15" s="9">
        <v>2</v>
      </c>
      <c r="F15" s="9">
        <v>3</v>
      </c>
      <c r="G15" s="79">
        <f t="shared" si="0"/>
        <v>2</v>
      </c>
      <c r="H15" s="30">
        <f t="shared" si="1"/>
        <v>0.33333333333333331</v>
      </c>
      <c r="I15" s="30">
        <f>H15^2</f>
        <v>0.1111111111111111</v>
      </c>
      <c r="K15" s="104">
        <v>10</v>
      </c>
      <c r="L15" s="9">
        <v>7</v>
      </c>
      <c r="M15" s="32" t="s">
        <v>156</v>
      </c>
      <c r="N15" s="9">
        <f>11+5</f>
        <v>16</v>
      </c>
      <c r="P15" s="113">
        <v>1</v>
      </c>
      <c r="Q15" s="42">
        <v>3</v>
      </c>
      <c r="R15" s="61" t="s">
        <v>157</v>
      </c>
      <c r="S15" s="69">
        <v>0</v>
      </c>
    </row>
    <row r="16" spans="1:22" x14ac:dyDescent="0.3">
      <c r="K16" s="104"/>
      <c r="L16" s="9">
        <v>9</v>
      </c>
      <c r="M16" s="32" t="s">
        <v>158</v>
      </c>
      <c r="N16" s="67">
        <v>20</v>
      </c>
      <c r="P16" s="113"/>
      <c r="Q16" s="42">
        <v>2</v>
      </c>
      <c r="R16" s="61" t="s">
        <v>159</v>
      </c>
      <c r="S16" s="60">
        <f>13-2</f>
        <v>11</v>
      </c>
    </row>
    <row r="17" spans="16:19" x14ac:dyDescent="0.3">
      <c r="P17" s="88"/>
      <c r="Q17" s="89"/>
      <c r="R17" s="90"/>
      <c r="S17" s="89"/>
    </row>
    <row r="18" spans="16:19" x14ac:dyDescent="0.3">
      <c r="P18" s="111" t="s">
        <v>160</v>
      </c>
      <c r="Q18" s="111"/>
      <c r="R18" s="111"/>
      <c r="S18" s="111"/>
    </row>
    <row r="19" spans="16:19" x14ac:dyDescent="0.3">
      <c r="P19" s="11" t="s">
        <v>60</v>
      </c>
      <c r="Q19" s="84" t="s">
        <v>61</v>
      </c>
      <c r="R19" s="82" t="s">
        <v>62</v>
      </c>
      <c r="S19" s="87"/>
    </row>
    <row r="20" spans="16:19" x14ac:dyDescent="0.3">
      <c r="P20" s="10" t="s">
        <v>63</v>
      </c>
      <c r="Q20" s="56">
        <f>S16-(N3+G3)</f>
        <v>9</v>
      </c>
      <c r="R20" s="83" t="s">
        <v>161</v>
      </c>
      <c r="S20" s="24"/>
    </row>
    <row r="21" spans="16:19" x14ac:dyDescent="0.3">
      <c r="P21" s="10" t="s">
        <v>162</v>
      </c>
      <c r="Q21" s="28">
        <f>S7-(N4+G4)</f>
        <v>11</v>
      </c>
    </row>
    <row r="22" spans="16:19" x14ac:dyDescent="0.3">
      <c r="P22" s="10" t="s">
        <v>163</v>
      </c>
      <c r="Q22" s="28">
        <f>S4-(N9+G5)</f>
        <v>7</v>
      </c>
    </row>
    <row r="23" spans="16:19" x14ac:dyDescent="0.3">
      <c r="P23" s="10" t="s">
        <v>164</v>
      </c>
      <c r="Q23" s="28">
        <f>S12-(N3+G6)</f>
        <v>0</v>
      </c>
    </row>
    <row r="24" spans="16:19" x14ac:dyDescent="0.3">
      <c r="P24" s="10" t="s">
        <v>165</v>
      </c>
      <c r="Q24" s="28">
        <f>S12-(N4+G7)</f>
        <v>1</v>
      </c>
    </row>
    <row r="25" spans="16:19" x14ac:dyDescent="0.3">
      <c r="P25" s="10" t="s">
        <v>166</v>
      </c>
      <c r="Q25" s="28">
        <f>S3-(N10+G8)</f>
        <v>4</v>
      </c>
    </row>
    <row r="26" spans="16:19" x14ac:dyDescent="0.3">
      <c r="P26" s="10" t="s">
        <v>167</v>
      </c>
      <c r="Q26" s="28">
        <f>S9-(N5+G9)</f>
        <v>4</v>
      </c>
    </row>
    <row r="27" spans="16:19" x14ac:dyDescent="0.3">
      <c r="P27" s="10" t="s">
        <v>168</v>
      </c>
      <c r="Q27" s="28">
        <f>S7-(N6+G10)</f>
        <v>7</v>
      </c>
    </row>
    <row r="28" spans="16:19" x14ac:dyDescent="0.3">
      <c r="P28" s="10" t="s">
        <v>169</v>
      </c>
      <c r="Q28" s="28">
        <f>S8-(N5+G11)</f>
        <v>0</v>
      </c>
    </row>
    <row r="29" spans="16:19" x14ac:dyDescent="0.3">
      <c r="P29" s="10" t="s">
        <v>170</v>
      </c>
      <c r="Q29" s="28">
        <f>S5-(N7+G12)</f>
        <v>0</v>
      </c>
    </row>
    <row r="30" spans="16:19" x14ac:dyDescent="0.3">
      <c r="P30" s="10" t="s">
        <v>171</v>
      </c>
      <c r="Q30" s="28">
        <f>S5-(N5+G13)</f>
        <v>4</v>
      </c>
    </row>
    <row r="31" spans="16:19" x14ac:dyDescent="0.3">
      <c r="P31" s="10" t="s">
        <v>172</v>
      </c>
      <c r="Q31" s="28">
        <f>S4-(N12+G14)</f>
        <v>0</v>
      </c>
    </row>
    <row r="32" spans="16:19" x14ac:dyDescent="0.3">
      <c r="P32" s="10" t="s">
        <v>173</v>
      </c>
      <c r="Q32" s="28">
        <f>S3-(N14+G15)</f>
        <v>0</v>
      </c>
    </row>
  </sheetData>
  <mergeCells count="12">
    <mergeCell ref="U2:V2"/>
    <mergeCell ref="P18:S18"/>
    <mergeCell ref="B1:I1"/>
    <mergeCell ref="K1:N1"/>
    <mergeCell ref="P1:S1"/>
    <mergeCell ref="K13:K14"/>
    <mergeCell ref="K11:K12"/>
    <mergeCell ref="K15:K16"/>
    <mergeCell ref="P9:P10"/>
    <mergeCell ref="P11:P13"/>
    <mergeCell ref="P15:P16"/>
    <mergeCell ref="K8:K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22E47DC7D0374DBF1FF8606307261B" ma:contentTypeVersion="17" ma:contentTypeDescription="Crear nuevo documento." ma:contentTypeScope="" ma:versionID="672d39aa868e78537bc521a2d2ab73a3">
  <xsd:schema xmlns:xsd="http://www.w3.org/2001/XMLSchema" xmlns:xs="http://www.w3.org/2001/XMLSchema" xmlns:p="http://schemas.microsoft.com/office/2006/metadata/properties" xmlns:ns3="ce4950e7-31ff-441e-a103-9a0e095e15da" xmlns:ns4="41cfda0b-3574-45e9-bbf3-384157781ffd" targetNamespace="http://schemas.microsoft.com/office/2006/metadata/properties" ma:root="true" ma:fieldsID="ce7cb3f8b544974cb2a807632cb1ec81" ns3:_="" ns4:_="">
    <xsd:import namespace="ce4950e7-31ff-441e-a103-9a0e095e15da"/>
    <xsd:import namespace="41cfda0b-3574-45e9-bbf3-384157781ff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4950e7-31ff-441e-a103-9a0e095e15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cfda0b-3574-45e9-bbf3-384157781ffd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e4950e7-31ff-441e-a103-9a0e095e15d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EB86DE-7B46-4F0F-BAE5-B769347A28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4950e7-31ff-441e-a103-9a0e095e15da"/>
    <ds:schemaRef ds:uri="41cfda0b-3574-45e9-bbf3-384157781f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9ACA13-518A-481D-8432-39236FB77EDA}">
  <ds:schemaRefs>
    <ds:schemaRef ds:uri="http://schemas.microsoft.com/office/2006/metadata/properties"/>
    <ds:schemaRef ds:uri="http://schemas.microsoft.com/office/infopath/2007/PartnerControls"/>
    <ds:schemaRef ds:uri="ce4950e7-31ff-441e-a103-9a0e095e15da"/>
  </ds:schemaRefs>
</ds:datastoreItem>
</file>

<file path=customXml/itemProps3.xml><?xml version="1.0" encoding="utf-8"?>
<ds:datastoreItem xmlns:ds="http://schemas.openxmlformats.org/officeDocument/2006/customXml" ds:itemID="{A68BE95E-8D54-46DF-AC84-1D02319574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Ejercicio1</vt:lpstr>
      <vt:lpstr>Ejercicio2</vt:lpstr>
      <vt:lpstr>Ejercicio3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Ayme Sigcha David Alexander</dc:creator>
  <cp:keywords/>
  <dc:description/>
  <cp:lastModifiedBy>Lopez Ramos Josue Santiago</cp:lastModifiedBy>
  <cp:revision/>
  <dcterms:created xsi:type="dcterms:W3CDTF">2024-05-16T14:05:43Z</dcterms:created>
  <dcterms:modified xsi:type="dcterms:W3CDTF">2024-05-28T12:52:15Z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0x010100BF22E47DC7D0374DBF1FF8606307261B</vt:lpwstr>
  </property>
</Properties>
</file>