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embeddings/oleObject1.bin" ContentType="application/vnd.openxmlformats-officedocument.oleObject"/>
  <Override PartName="/xl/drawings/drawing8.xml" ContentType="application/vnd.openxmlformats-officedocument.drawing+xml"/>
  <Override PartName="/xl/drawings/drawing9.xml" ContentType="application/vnd.openxmlformats-officedocument.drawing+xml"/>
  <Override PartName="/xl/embeddings/oleObject2.bin" ContentType="application/vnd.openxmlformats-officedocument.oleObject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embeddings/oleObject3.bin" ContentType="application/vnd.openxmlformats-officedocument.oleObject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 defaultThemeVersion="124226"/>
  <xr:revisionPtr revIDLastSave="0" documentId="13_ncr:1_{8E9C88E6-6CF1-4F50-A246-938DE3245ABF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4thAUG2018" sheetId="20" r:id="rId1"/>
    <sheet name="Data" sheetId="1" r:id="rId2"/>
    <sheet name="Rice 130" sheetId="29" r:id="rId3"/>
    <sheet name="Deseasonalized Production" sheetId="2" r:id="rId4"/>
    <sheet name="regression" sheetId="5" r:id="rId5"/>
    <sheet name="Sheet7" sheetId="24" r:id="rId6"/>
    <sheet name="Sheet8" sheetId="25" r:id="rId7"/>
    <sheet name="Sheet6" sheetId="23" r:id="rId8"/>
    <sheet name="time 0.5, 1.5" sheetId="8" r:id="rId9"/>
    <sheet name="reg by Data Analysis" sheetId="7" r:id="rId10"/>
    <sheet name="Reg with 1,2,3" sheetId="10" r:id="rId11"/>
    <sheet name="MA pg582" sheetId="11" r:id="rId12"/>
    <sheet name="WMA" sheetId="12" r:id="rId13"/>
    <sheet name="Exp Smoothening pg590" sheetId="13" r:id="rId14"/>
    <sheet name="Double Exp" sheetId="14" r:id="rId15"/>
    <sheet name="AutoReg" sheetId="15" r:id="rId16"/>
    <sheet name="Sales vs Advt" sheetId="16" r:id="rId17"/>
    <sheet name="ACF" sheetId="17" r:id="rId18"/>
    <sheet name="PACF" sheetId="18" r:id="rId19"/>
  </sheets>
  <externalReferences>
    <externalReference r:id="rId20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C18" i="29" l="1"/>
  <c r="B18" i="29"/>
  <c r="C3" i="12" l="1"/>
  <c r="J28" i="20" l="1"/>
  <c r="L27" i="20"/>
  <c r="K28" i="20" s="1"/>
  <c r="H22" i="20"/>
  <c r="I28" i="20" l="1"/>
  <c r="L28" i="20" s="1"/>
  <c r="E31" i="12"/>
  <c r="H31" i="12" s="1"/>
  <c r="F31" i="12"/>
  <c r="G31" i="12"/>
  <c r="H30" i="12"/>
  <c r="H29" i="12"/>
  <c r="H27" i="12"/>
  <c r="H43" i="15" l="1"/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C4" i="11" l="1"/>
  <c r="C3" i="11"/>
  <c r="G3" i="14"/>
  <c r="J3" i="14" s="1"/>
  <c r="C4" i="14"/>
  <c r="D4" i="14" s="1"/>
  <c r="E4" i="14"/>
  <c r="G4" i="14" s="1"/>
  <c r="Q7" i="14"/>
  <c r="Q5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O3" i="12"/>
  <c r="R3" i="12" s="1"/>
  <c r="M4" i="12"/>
  <c r="O4" i="12" s="1"/>
  <c r="T4" i="13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P4" i="13"/>
  <c r="S4" i="13" s="1"/>
  <c r="J4" i="13"/>
  <c r="M4" i="13" s="1"/>
  <c r="O5" i="13"/>
  <c r="P5" i="13" s="1"/>
  <c r="I5" i="13"/>
  <c r="J5" i="13" s="1"/>
  <c r="M5" i="13" s="1"/>
  <c r="C4" i="13"/>
  <c r="D4" i="13" s="1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4" i="13"/>
  <c r="E5" i="12"/>
  <c r="F5" i="12" s="1"/>
  <c r="G5" i="12" s="1"/>
  <c r="E6" i="12"/>
  <c r="F6" i="12" s="1"/>
  <c r="G6" i="12" s="1"/>
  <c r="E7" i="12"/>
  <c r="H7" i="12" s="1"/>
  <c r="E8" i="12"/>
  <c r="H8" i="12" s="1"/>
  <c r="E9" i="12"/>
  <c r="H9" i="12" s="1"/>
  <c r="E10" i="12"/>
  <c r="F10" i="12" s="1"/>
  <c r="G10" i="12" s="1"/>
  <c r="E11" i="12"/>
  <c r="H11" i="12" s="1"/>
  <c r="E12" i="12"/>
  <c r="H12" i="12" s="1"/>
  <c r="E13" i="12"/>
  <c r="H13" i="12" s="1"/>
  <c r="E4" i="12"/>
  <c r="F4" i="12" s="1"/>
  <c r="C4" i="12"/>
  <c r="C5" i="12"/>
  <c r="C6" i="12"/>
  <c r="C7" i="12"/>
  <c r="C8" i="12"/>
  <c r="C9" i="12"/>
  <c r="C10" i="12"/>
  <c r="C11" i="12"/>
  <c r="C12" i="12"/>
  <c r="E5" i="11"/>
  <c r="F5" i="11" s="1"/>
  <c r="G5" i="11" s="1"/>
  <c r="E6" i="11"/>
  <c r="H6" i="11" s="1"/>
  <c r="E7" i="11"/>
  <c r="H7" i="11" s="1"/>
  <c r="E8" i="11"/>
  <c r="H8" i="11" s="1"/>
  <c r="E9" i="11"/>
  <c r="F9" i="11" s="1"/>
  <c r="G9" i="11" s="1"/>
  <c r="E10" i="11"/>
  <c r="H10" i="11" s="1"/>
  <c r="E11" i="11"/>
  <c r="H11" i="11" s="1"/>
  <c r="E12" i="11"/>
  <c r="H12" i="11" s="1"/>
  <c r="E13" i="11"/>
  <c r="F13" i="11" s="1"/>
  <c r="G13" i="11" s="1"/>
  <c r="E4" i="11"/>
  <c r="H4" i="11" s="1"/>
  <c r="N5" i="11"/>
  <c r="N6" i="11"/>
  <c r="N7" i="11"/>
  <c r="N8" i="11"/>
  <c r="N9" i="11"/>
  <c r="N10" i="11"/>
  <c r="N11" i="11"/>
  <c r="N12" i="11"/>
  <c r="N13" i="11"/>
  <c r="N14" i="11"/>
  <c r="C5" i="11"/>
  <c r="C6" i="11"/>
  <c r="C7" i="11"/>
  <c r="C8" i="11"/>
  <c r="C9" i="11"/>
  <c r="C10" i="11"/>
  <c r="C11" i="11"/>
  <c r="C12" i="11"/>
  <c r="R4" i="2"/>
  <c r="R8" i="2" s="1"/>
  <c r="S8" i="2" s="1"/>
  <c r="R5" i="2"/>
  <c r="R6" i="2"/>
  <c r="R7" i="2"/>
  <c r="G23" i="5"/>
  <c r="J27" i="5" s="1"/>
  <c r="I3" i="5"/>
  <c r="K3" i="5" s="1"/>
  <c r="I4" i="5"/>
  <c r="K4" i="5" s="1"/>
  <c r="I5" i="5"/>
  <c r="K5" i="5" s="1"/>
  <c r="I6" i="5"/>
  <c r="K6" i="5" s="1"/>
  <c r="I7" i="5"/>
  <c r="K7" i="5" s="1"/>
  <c r="I8" i="5"/>
  <c r="K8" i="5" s="1"/>
  <c r="I9" i="5"/>
  <c r="K9" i="5" s="1"/>
  <c r="I10" i="5"/>
  <c r="K10" i="5" s="1"/>
  <c r="I11" i="5"/>
  <c r="K11" i="5" s="1"/>
  <c r="I13" i="5"/>
  <c r="K13" i="5" s="1"/>
  <c r="I14" i="5"/>
  <c r="K14" i="5" s="1"/>
  <c r="I15" i="5"/>
  <c r="K15" i="5" s="1"/>
  <c r="I16" i="5"/>
  <c r="K16" i="5" s="1"/>
  <c r="I17" i="5"/>
  <c r="K17" i="5" s="1"/>
  <c r="I18" i="5"/>
  <c r="K18" i="5" s="1"/>
  <c r="I19" i="5"/>
  <c r="K19" i="5" s="1"/>
  <c r="I20" i="5"/>
  <c r="K20" i="5" s="1"/>
  <c r="I21" i="5"/>
  <c r="K21" i="5" s="1"/>
  <c r="I22" i="5"/>
  <c r="K22" i="5" s="1"/>
  <c r="I2" i="5"/>
  <c r="K2" i="5" s="1"/>
  <c r="I5" i="2"/>
  <c r="J5" i="2" s="1"/>
  <c r="I7" i="2"/>
  <c r="J7" i="2" s="1"/>
  <c r="I9" i="2"/>
  <c r="J9" i="2" s="1"/>
  <c r="I11" i="2"/>
  <c r="J11" i="2" s="1"/>
  <c r="I13" i="2"/>
  <c r="J13" i="2" s="1"/>
  <c r="I15" i="2"/>
  <c r="J15" i="2" s="1"/>
  <c r="I17" i="2"/>
  <c r="J17" i="2" s="1"/>
  <c r="I19" i="2"/>
  <c r="J19" i="2" s="1"/>
  <c r="I21" i="2"/>
  <c r="J21" i="2" s="1"/>
  <c r="I23" i="2"/>
  <c r="J23" i="2" s="1"/>
  <c r="I25" i="2"/>
  <c r="J25" i="2" s="1"/>
  <c r="I27" i="2"/>
  <c r="J27" i="2" s="1"/>
  <c r="I29" i="2"/>
  <c r="J29" i="2" s="1"/>
  <c r="I31" i="2"/>
  <c r="J31" i="2" s="1"/>
  <c r="I33" i="2"/>
  <c r="J33" i="2" s="1"/>
  <c r="I35" i="2"/>
  <c r="J35" i="2" s="1"/>
  <c r="I37" i="2"/>
  <c r="J37" i="2" s="1"/>
  <c r="I39" i="2"/>
  <c r="J39" i="2" s="1"/>
  <c r="I41" i="2"/>
  <c r="J41" i="2" s="1"/>
  <c r="I3" i="2"/>
  <c r="J3" i="2" s="1"/>
  <c r="D8" i="2"/>
  <c r="D10" i="2"/>
  <c r="D12" i="2"/>
  <c r="D14" i="2"/>
  <c r="D16" i="2"/>
  <c r="D18" i="2"/>
  <c r="D20" i="2"/>
  <c r="D22" i="2"/>
  <c r="D24" i="2"/>
  <c r="D26" i="2"/>
  <c r="D28" i="2"/>
  <c r="D30" i="2"/>
  <c r="D32" i="2"/>
  <c r="D34" i="2"/>
  <c r="D36" i="2"/>
  <c r="D38" i="2"/>
  <c r="D6" i="2"/>
  <c r="E7" i="2" s="1"/>
  <c r="F7" i="2" s="1"/>
  <c r="G7" i="2" s="1"/>
  <c r="F12" i="11" l="1"/>
  <c r="G12" i="11" s="1"/>
  <c r="S6" i="2"/>
  <c r="F11" i="11"/>
  <c r="G11" i="11" s="1"/>
  <c r="F8" i="12"/>
  <c r="G8" i="12" s="1"/>
  <c r="F8" i="11"/>
  <c r="G8" i="11" s="1"/>
  <c r="S4" i="2"/>
  <c r="F7" i="11"/>
  <c r="G7" i="11" s="1"/>
  <c r="E4" i="13"/>
  <c r="G4" i="13"/>
  <c r="S5" i="13"/>
  <c r="Q5" i="13"/>
  <c r="R5" i="13" s="1"/>
  <c r="H13" i="11"/>
  <c r="H9" i="11"/>
  <c r="H5" i="11"/>
  <c r="J2" i="5"/>
  <c r="E14" i="11"/>
  <c r="F7" i="12"/>
  <c r="G7" i="12" s="1"/>
  <c r="C5" i="13"/>
  <c r="O6" i="13"/>
  <c r="O7" i="13" s="1"/>
  <c r="O8" i="13" s="1"/>
  <c r="O9" i="13" s="1"/>
  <c r="K5" i="13"/>
  <c r="L5" i="13" s="1"/>
  <c r="F4" i="11"/>
  <c r="F10" i="11"/>
  <c r="G10" i="11" s="1"/>
  <c r="F6" i="11"/>
  <c r="G6" i="11" s="1"/>
  <c r="F12" i="12"/>
  <c r="G12" i="12" s="1"/>
  <c r="Q4" i="13"/>
  <c r="F11" i="12"/>
  <c r="G11" i="12" s="1"/>
  <c r="K4" i="13"/>
  <c r="K23" i="5"/>
  <c r="J16" i="5"/>
  <c r="J7" i="5"/>
  <c r="J17" i="5"/>
  <c r="J8" i="5"/>
  <c r="J22" i="5"/>
  <c r="J18" i="5"/>
  <c r="J14" i="5"/>
  <c r="J9" i="5"/>
  <c r="J5" i="5"/>
  <c r="J20" i="5"/>
  <c r="J11" i="5"/>
  <c r="J3" i="5"/>
  <c r="J21" i="5"/>
  <c r="J13" i="5"/>
  <c r="J4" i="5"/>
  <c r="J19" i="5"/>
  <c r="J15" i="5"/>
  <c r="J10" i="5"/>
  <c r="J6" i="5"/>
  <c r="Q9" i="14"/>
  <c r="J4" i="14"/>
  <c r="H4" i="14"/>
  <c r="I4" i="14" s="1"/>
  <c r="Q11" i="14"/>
  <c r="H3" i="14"/>
  <c r="E5" i="14"/>
  <c r="G5" i="14" s="1"/>
  <c r="C5" i="14"/>
  <c r="P4" i="12"/>
  <c r="Q4" i="12" s="1"/>
  <c r="R4" i="12"/>
  <c r="G4" i="12"/>
  <c r="H5" i="12"/>
  <c r="H10" i="12"/>
  <c r="F13" i="12"/>
  <c r="G13" i="12" s="1"/>
  <c r="F9" i="12"/>
  <c r="G9" i="12" s="1"/>
  <c r="M5" i="12"/>
  <c r="P3" i="12"/>
  <c r="H4" i="12"/>
  <c r="H6" i="12"/>
  <c r="I6" i="13"/>
  <c r="T4" i="2"/>
  <c r="S5" i="2"/>
  <c r="T6" i="2"/>
  <c r="S7" i="2"/>
  <c r="T7" i="2" s="1"/>
  <c r="E31" i="2"/>
  <c r="F31" i="2" s="1"/>
  <c r="G31" i="2" s="1"/>
  <c r="E23" i="2"/>
  <c r="F23" i="2" s="1"/>
  <c r="G23" i="2" s="1"/>
  <c r="E15" i="2"/>
  <c r="F15" i="2" s="1"/>
  <c r="G15" i="2" s="1"/>
  <c r="E11" i="2"/>
  <c r="F11" i="2" s="1"/>
  <c r="G11" i="2" s="1"/>
  <c r="E35" i="2"/>
  <c r="F35" i="2" s="1"/>
  <c r="G35" i="2" s="1"/>
  <c r="E27" i="2"/>
  <c r="F27" i="2" s="1"/>
  <c r="G27" i="2" s="1"/>
  <c r="E19" i="2"/>
  <c r="F19" i="2" s="1"/>
  <c r="G19" i="2" s="1"/>
  <c r="E37" i="2"/>
  <c r="F37" i="2" s="1"/>
  <c r="G37" i="2" s="1"/>
  <c r="E29" i="2"/>
  <c r="F29" i="2" s="1"/>
  <c r="G29" i="2" s="1"/>
  <c r="E21" i="2"/>
  <c r="F21" i="2" s="1"/>
  <c r="G21" i="2" s="1"/>
  <c r="E13" i="2"/>
  <c r="F13" i="2" s="1"/>
  <c r="G13" i="2" s="1"/>
  <c r="E33" i="2"/>
  <c r="F33" i="2" s="1"/>
  <c r="G33" i="2" s="1"/>
  <c r="E25" i="2"/>
  <c r="F25" i="2" s="1"/>
  <c r="G25" i="2" s="1"/>
  <c r="E17" i="2"/>
  <c r="F17" i="2" s="1"/>
  <c r="G17" i="2" s="1"/>
  <c r="E9" i="2"/>
  <c r="F9" i="2" s="1"/>
  <c r="G9" i="2" s="1"/>
  <c r="H14" i="11" l="1"/>
  <c r="H17" i="11" s="1"/>
  <c r="P7" i="13"/>
  <c r="P8" i="13"/>
  <c r="P6" i="13"/>
  <c r="S6" i="13" s="1"/>
  <c r="C6" i="13"/>
  <c r="D5" i="13"/>
  <c r="S7" i="13"/>
  <c r="Q7" i="13"/>
  <c r="R7" i="13" s="1"/>
  <c r="R4" i="13"/>
  <c r="G4" i="11"/>
  <c r="G14" i="11" s="1"/>
  <c r="G16" i="11" s="1"/>
  <c r="F14" i="11"/>
  <c r="F15" i="11" s="1"/>
  <c r="S8" i="13"/>
  <c r="Q8" i="13"/>
  <c r="R8" i="13" s="1"/>
  <c r="F4" i="13"/>
  <c r="L4" i="13"/>
  <c r="O10" i="13"/>
  <c r="P9" i="13"/>
  <c r="J23" i="5"/>
  <c r="K26" i="5" s="1"/>
  <c r="L10" i="5" s="1"/>
  <c r="I3" i="14"/>
  <c r="J5" i="14"/>
  <c r="H5" i="14"/>
  <c r="I5" i="14" s="1"/>
  <c r="Q13" i="14"/>
  <c r="Q15" i="14" s="1"/>
  <c r="D5" i="14"/>
  <c r="E6" i="14" s="1"/>
  <c r="G6" i="14" s="1"/>
  <c r="M6" i="12"/>
  <c r="O5" i="12"/>
  <c r="Q3" i="12"/>
  <c r="F14" i="12"/>
  <c r="F15" i="12" s="1"/>
  <c r="H14" i="12"/>
  <c r="H17" i="12" s="1"/>
  <c r="G14" i="12"/>
  <c r="G16" i="12" s="1"/>
  <c r="I7" i="13"/>
  <c r="J6" i="13"/>
  <c r="T5" i="2"/>
  <c r="Q6" i="13" l="1"/>
  <c r="R6" i="13" s="1"/>
  <c r="M6" i="13"/>
  <c r="K6" i="13"/>
  <c r="L22" i="5"/>
  <c r="N22" i="5" s="1"/>
  <c r="O22" i="5" s="1"/>
  <c r="L13" i="5"/>
  <c r="L8" i="5"/>
  <c r="L21" i="5"/>
  <c r="N21" i="5" s="1"/>
  <c r="O21" i="5" s="1"/>
  <c r="L20" i="5"/>
  <c r="N20" i="5" s="1"/>
  <c r="O20" i="5" s="1"/>
  <c r="L9" i="5"/>
  <c r="M9" i="5" s="1"/>
  <c r="L19" i="5"/>
  <c r="S9" i="13"/>
  <c r="Q9" i="13"/>
  <c r="R9" i="13" s="1"/>
  <c r="G5" i="13"/>
  <c r="E5" i="13"/>
  <c r="L11" i="5"/>
  <c r="N11" i="5" s="1"/>
  <c r="O11" i="5" s="1"/>
  <c r="L5" i="5"/>
  <c r="N5" i="5" s="1"/>
  <c r="O5" i="5" s="1"/>
  <c r="L15" i="5"/>
  <c r="M15" i="5" s="1"/>
  <c r="O11" i="13"/>
  <c r="P10" i="13"/>
  <c r="C7" i="13"/>
  <c r="D6" i="13"/>
  <c r="L17" i="5"/>
  <c r="L14" i="5"/>
  <c r="M14" i="5" s="1"/>
  <c r="L7" i="5"/>
  <c r="N7" i="5" s="1"/>
  <c r="O7" i="5" s="1"/>
  <c r="L2" i="5"/>
  <c r="N2" i="5" s="1"/>
  <c r="O2" i="5" s="1"/>
  <c r="L6" i="5"/>
  <c r="L3" i="5"/>
  <c r="M3" i="5" s="1"/>
  <c r="L18" i="5"/>
  <c r="N18" i="5" s="1"/>
  <c r="O18" i="5" s="1"/>
  <c r="L16" i="5"/>
  <c r="M16" i="5" s="1"/>
  <c r="L4" i="5"/>
  <c r="N4" i="5" s="1"/>
  <c r="O4" i="5" s="1"/>
  <c r="M18" i="5"/>
  <c r="M10" i="5"/>
  <c r="N10" i="5"/>
  <c r="O10" i="5" s="1"/>
  <c r="M17" i="5"/>
  <c r="N17" i="5"/>
  <c r="O17" i="5" s="1"/>
  <c r="M6" i="5"/>
  <c r="N6" i="5"/>
  <c r="O6" i="5" s="1"/>
  <c r="M4" i="5"/>
  <c r="M5" i="5"/>
  <c r="N13" i="5"/>
  <c r="O13" i="5" s="1"/>
  <c r="M13" i="5"/>
  <c r="M8" i="5"/>
  <c r="N8" i="5"/>
  <c r="O8" i="5" s="1"/>
  <c r="N9" i="5"/>
  <c r="O9" i="5" s="1"/>
  <c r="M21" i="5"/>
  <c r="M19" i="5"/>
  <c r="N19" i="5"/>
  <c r="O19" i="5" s="1"/>
  <c r="C6" i="14"/>
  <c r="D6" i="14" s="1"/>
  <c r="C7" i="14" s="1"/>
  <c r="J6" i="14"/>
  <c r="H6" i="14"/>
  <c r="M7" i="12"/>
  <c r="O6" i="12"/>
  <c r="R5" i="12"/>
  <c r="P5" i="12"/>
  <c r="I8" i="13"/>
  <c r="J7" i="13"/>
  <c r="M20" i="5" l="1"/>
  <c r="M11" i="5"/>
  <c r="M2" i="5"/>
  <c r="N15" i="5"/>
  <c r="O15" i="5" s="1"/>
  <c r="M22" i="5"/>
  <c r="N16" i="5"/>
  <c r="O16" i="5" s="1"/>
  <c r="M7" i="13"/>
  <c r="K7" i="13"/>
  <c r="L7" i="13" s="1"/>
  <c r="S10" i="13"/>
  <c r="Q10" i="13"/>
  <c r="R10" i="13" s="1"/>
  <c r="E6" i="13"/>
  <c r="F6" i="13" s="1"/>
  <c r="G6" i="13"/>
  <c r="O12" i="13"/>
  <c r="P11" i="13"/>
  <c r="F5" i="13"/>
  <c r="L6" i="13"/>
  <c r="C8" i="13"/>
  <c r="D7" i="13"/>
  <c r="N14" i="5"/>
  <c r="O14" i="5" s="1"/>
  <c r="N3" i="5"/>
  <c r="O3" i="5" s="1"/>
  <c r="M7" i="5"/>
  <c r="I6" i="14"/>
  <c r="D7" i="14"/>
  <c r="C8" i="14" s="1"/>
  <c r="E7" i="14"/>
  <c r="G7" i="14" s="1"/>
  <c r="M8" i="12"/>
  <c r="O7" i="12"/>
  <c r="R6" i="12"/>
  <c r="P6" i="12"/>
  <c r="Q6" i="12" s="1"/>
  <c r="Q5" i="12"/>
  <c r="I9" i="13"/>
  <c r="J8" i="13"/>
  <c r="O13" i="13" l="1"/>
  <c r="P12" i="13"/>
  <c r="M8" i="13"/>
  <c r="K8" i="13"/>
  <c r="E7" i="13"/>
  <c r="F7" i="13" s="1"/>
  <c r="G7" i="13"/>
  <c r="C9" i="13"/>
  <c r="D8" i="13"/>
  <c r="S11" i="13"/>
  <c r="Q11" i="13"/>
  <c r="R11" i="13" s="1"/>
  <c r="J7" i="14"/>
  <c r="H7" i="14"/>
  <c r="E8" i="14"/>
  <c r="G8" i="14" s="1"/>
  <c r="D8" i="14"/>
  <c r="C9" i="14" s="1"/>
  <c r="M9" i="12"/>
  <c r="O8" i="12"/>
  <c r="R7" i="12"/>
  <c r="P7" i="12"/>
  <c r="Q7" i="12" s="1"/>
  <c r="I10" i="13"/>
  <c r="J9" i="13"/>
  <c r="S12" i="13" l="1"/>
  <c r="Q12" i="13"/>
  <c r="G8" i="13"/>
  <c r="E8" i="13"/>
  <c r="O14" i="13"/>
  <c r="P14" i="13" s="1"/>
  <c r="P13" i="13"/>
  <c r="M9" i="13"/>
  <c r="K9" i="13"/>
  <c r="L9" i="13" s="1"/>
  <c r="C10" i="13"/>
  <c r="D9" i="13"/>
  <c r="L8" i="13"/>
  <c r="E9" i="14"/>
  <c r="G9" i="14" s="1"/>
  <c r="I7" i="14"/>
  <c r="J8" i="14"/>
  <c r="H8" i="14"/>
  <c r="I8" i="14" s="1"/>
  <c r="D9" i="14"/>
  <c r="C10" i="14" s="1"/>
  <c r="M10" i="12"/>
  <c r="O9" i="12"/>
  <c r="R8" i="12"/>
  <c r="P8" i="12"/>
  <c r="I11" i="13"/>
  <c r="J10" i="13"/>
  <c r="G9" i="13" l="1"/>
  <c r="E9" i="13"/>
  <c r="F9" i="13" s="1"/>
  <c r="S13" i="13"/>
  <c r="Q13" i="13"/>
  <c r="R13" i="13" s="1"/>
  <c r="E10" i="14"/>
  <c r="G10" i="14" s="1"/>
  <c r="C11" i="13"/>
  <c r="D10" i="13"/>
  <c r="S14" i="13"/>
  <c r="S15" i="13" s="1"/>
  <c r="S18" i="13" s="1"/>
  <c r="Q14" i="13"/>
  <c r="R14" i="13" s="1"/>
  <c r="R12" i="13"/>
  <c r="M10" i="13"/>
  <c r="K10" i="13"/>
  <c r="F8" i="13"/>
  <c r="H9" i="14"/>
  <c r="I9" i="14" s="1"/>
  <c r="J9" i="14"/>
  <c r="J10" i="14"/>
  <c r="H10" i="14"/>
  <c r="I10" i="14" s="1"/>
  <c r="D10" i="14"/>
  <c r="C11" i="14" s="1"/>
  <c r="Q8" i="12"/>
  <c r="M11" i="12"/>
  <c r="O10" i="12"/>
  <c r="P9" i="12"/>
  <c r="Q9" i="12" s="1"/>
  <c r="R9" i="12"/>
  <c r="I12" i="13"/>
  <c r="J11" i="13"/>
  <c r="E11" i="14" l="1"/>
  <c r="G11" i="14" s="1"/>
  <c r="Q15" i="13"/>
  <c r="Q16" i="13" s="1"/>
  <c r="E10" i="13"/>
  <c r="G10" i="13"/>
  <c r="C12" i="13"/>
  <c r="D11" i="13"/>
  <c r="M11" i="13"/>
  <c r="K11" i="13"/>
  <c r="L11" i="13" s="1"/>
  <c r="L10" i="13"/>
  <c r="R15" i="13"/>
  <c r="R17" i="13" s="1"/>
  <c r="J11" i="14"/>
  <c r="H11" i="14"/>
  <c r="I11" i="14" s="1"/>
  <c r="D11" i="14"/>
  <c r="C12" i="14" s="1"/>
  <c r="R10" i="12"/>
  <c r="P10" i="12"/>
  <c r="Q10" i="12" s="1"/>
  <c r="M12" i="12"/>
  <c r="O11" i="12"/>
  <c r="I13" i="13"/>
  <c r="J12" i="13"/>
  <c r="M12" i="13" l="1"/>
  <c r="K12" i="13"/>
  <c r="L12" i="13" s="1"/>
  <c r="E11" i="13"/>
  <c r="F11" i="13" s="1"/>
  <c r="G11" i="13"/>
  <c r="F10" i="13"/>
  <c r="C13" i="13"/>
  <c r="D12" i="13"/>
  <c r="E12" i="14"/>
  <c r="G12" i="14" s="1"/>
  <c r="D12" i="14"/>
  <c r="C13" i="14" s="1"/>
  <c r="R11" i="12"/>
  <c r="P11" i="12"/>
  <c r="Q11" i="12" s="1"/>
  <c r="M13" i="12"/>
  <c r="O13" i="12" s="1"/>
  <c r="O12" i="12"/>
  <c r="I14" i="13"/>
  <c r="J14" i="13" s="1"/>
  <c r="J13" i="13"/>
  <c r="M14" i="13" l="1"/>
  <c r="K14" i="13"/>
  <c r="C14" i="13"/>
  <c r="D14" i="13" s="1"/>
  <c r="D13" i="13"/>
  <c r="M13" i="13"/>
  <c r="K13" i="13"/>
  <c r="L13" i="13" s="1"/>
  <c r="G12" i="13"/>
  <c r="E12" i="13"/>
  <c r="F12" i="13" s="1"/>
  <c r="J12" i="14"/>
  <c r="H12" i="14"/>
  <c r="I12" i="14" s="1"/>
  <c r="E13" i="14"/>
  <c r="G13" i="14" s="1"/>
  <c r="D13" i="14"/>
  <c r="C14" i="14" s="1"/>
  <c r="D14" i="14" s="1"/>
  <c r="R13" i="12"/>
  <c r="P13" i="12"/>
  <c r="R12" i="12"/>
  <c r="P12" i="12"/>
  <c r="Q12" i="12" s="1"/>
  <c r="E14" i="13" l="1"/>
  <c r="G14" i="13"/>
  <c r="L14" i="13"/>
  <c r="L15" i="13" s="1"/>
  <c r="L17" i="13" s="1"/>
  <c r="K15" i="13"/>
  <c r="K16" i="13" s="1"/>
  <c r="G13" i="13"/>
  <c r="E13" i="13"/>
  <c r="F13" i="13" s="1"/>
  <c r="R14" i="12"/>
  <c r="R17" i="12" s="1"/>
  <c r="M15" i="13"/>
  <c r="M18" i="13" s="1"/>
  <c r="J13" i="14"/>
  <c r="H13" i="14"/>
  <c r="I13" i="14" s="1"/>
  <c r="E14" i="14"/>
  <c r="G14" i="14" s="1"/>
  <c r="Q13" i="12"/>
  <c r="Q14" i="12" s="1"/>
  <c r="Q16" i="12" s="1"/>
  <c r="P14" i="12"/>
  <c r="P15" i="12" s="1"/>
  <c r="G15" i="13" l="1"/>
  <c r="G18" i="13" s="1"/>
  <c r="F14" i="13"/>
  <c r="F15" i="13" s="1"/>
  <c r="F17" i="13" s="1"/>
  <c r="E15" i="13"/>
  <c r="E16" i="13" s="1"/>
  <c r="J14" i="14"/>
  <c r="J15" i="14" s="1"/>
  <c r="J18" i="14" s="1"/>
  <c r="H14" i="14"/>
  <c r="I14" i="14" l="1"/>
  <c r="I15" i="14" s="1"/>
  <c r="I17" i="14" s="1"/>
  <c r="H15" i="14"/>
  <c r="H16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Dr Vinod:</t>
        </r>
        <r>
          <rPr>
            <sz val="9"/>
            <color indexed="81"/>
            <rFont val="Tahoma"/>
            <family val="2"/>
          </rPr>
          <t xml:space="preserve">
2022/1.01198945 = 1998.045; DESEASONALIZED data</t>
        </r>
      </text>
    </comment>
    <comment ref="O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Dr Vinod:</t>
        </r>
        <r>
          <rPr>
            <sz val="9"/>
            <color indexed="81"/>
            <rFont val="Tahoma"/>
            <family val="2"/>
          </rPr>
          <t xml:space="preserve">
Strike of extremes</t>
        </r>
      </text>
    </comment>
    <comment ref="R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Dr Vinod:</t>
        </r>
        <r>
          <rPr>
            <sz val="9"/>
            <color indexed="81"/>
            <rFont val="Tahoma"/>
            <family val="2"/>
          </rPr>
          <t xml:space="preserve">
(100.9174+101.8568)/2 = 101.3871</t>
        </r>
      </text>
    </comment>
    <comment ref="S4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Dr Vinod:
101.3871*0.99814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Dr Vinod:
Quarter Seasonal index is Divided by 100</t>
        </r>
      </text>
    </comment>
    <comment ref="D6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Dr Vinod:</t>
        </r>
        <r>
          <rPr>
            <sz val="9"/>
            <color indexed="81"/>
            <rFont val="Tahoma"/>
            <family val="2"/>
          </rPr>
          <t xml:space="preserve">
sum of 1st 4 values of col 3</t>
        </r>
      </text>
    </comment>
    <comment ref="E7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Dr Vinod:</t>
        </r>
        <r>
          <rPr>
            <sz val="9"/>
            <color indexed="81"/>
            <rFont val="Tahoma"/>
            <family val="2"/>
          </rPr>
          <t xml:space="preserve">
sum of 1st two values of col 4</t>
        </r>
      </text>
    </comment>
    <comment ref="F7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Dr Vinod:
16962/8</t>
        </r>
        <r>
          <rPr>
            <sz val="9"/>
            <color indexed="81"/>
            <rFont val="Tahoma"/>
            <family val="2"/>
          </rPr>
          <t xml:space="preserve">
MOVING AVERAGE; contains only Trend and Cyclic components. Seasonality &amp; Randomness have been smoothened</t>
        </r>
      </text>
    </comment>
    <comment ref="G7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Dr Vinod:
2150/2120.25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8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Dr Vinod:</t>
        </r>
        <r>
          <rPr>
            <sz val="9"/>
            <color indexed="81"/>
            <rFont val="Tahoma"/>
            <family val="2"/>
          </rPr>
          <t xml:space="preserve">
Total above</t>
        </r>
      </text>
    </comment>
    <comment ref="S8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Dr Vinod:</t>
        </r>
        <r>
          <rPr>
            <sz val="9"/>
            <color indexed="81"/>
            <rFont val="Tahoma"/>
            <family val="2"/>
          </rPr>
          <t xml:space="preserve">
400/400.7437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Dr Vinod:
(2022/2087.605808)*100 = 96.85736611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Dr Vinod:
2087.605808*1.011989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Dr Vinod:
Xt = 120 for 1996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 xml:space="preserve">Dr Vinod:
Ft, Forecast for t = 1997 = 120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" authorId="0" shapeId="0" xr:uid="{00000000-0006-0000-0D00-000003000000}">
      <text>
        <r>
          <rPr>
            <b/>
            <sz val="9"/>
            <color indexed="81"/>
            <rFont val="Tahoma"/>
            <family val="2"/>
          </rPr>
          <t>Dr Vinod:
F(t+1) = alpha*X(t)+         (1-alpha)*Ft
Xt = 112, Ft = 120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3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Dr Vinod:
T1996, trend = 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<sst xmlns="http://schemas.openxmlformats.org/spreadsheetml/2006/main" count="794" uniqueCount="412">
  <si>
    <t>Year</t>
  </si>
  <si>
    <t>Quarter</t>
  </si>
  <si>
    <t>Production</t>
  </si>
  <si>
    <t>col 1</t>
  </si>
  <si>
    <t>col 2</t>
  </si>
  <si>
    <t>col 3</t>
  </si>
  <si>
    <t>col 4</t>
  </si>
  <si>
    <t>col 5</t>
  </si>
  <si>
    <t>col 6</t>
  </si>
  <si>
    <t>col 8</t>
  </si>
  <si>
    <t>col 7</t>
  </si>
  <si>
    <t>col 9</t>
  </si>
  <si>
    <t>col 10</t>
  </si>
  <si>
    <t>Year1</t>
  </si>
  <si>
    <t>Year2</t>
  </si>
  <si>
    <t>Year3</t>
  </si>
  <si>
    <t>Year4</t>
  </si>
  <si>
    <t>Year5</t>
  </si>
  <si>
    <t>4 qtr Moving Total</t>
  </si>
  <si>
    <t>4 qtr &amp; 2 years Moving Total</t>
  </si>
  <si>
    <t>rounding of col 9</t>
  </si>
  <si>
    <t>Add first 4 values in col 4</t>
  </si>
  <si>
    <t>Add first 2 values from col 4 and put in col 5</t>
  </si>
  <si>
    <t>col 6 = col 5/8</t>
  </si>
  <si>
    <t>col 7 = Prod/Col 6 values</t>
  </si>
  <si>
    <t xml:space="preserve">col 8 = adjusting constants </t>
  </si>
  <si>
    <t>col 9 = Estimated Moving Average = Prod/adj constant</t>
  </si>
  <si>
    <t>col 10 = rounded of col 9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</si>
  <si>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</si>
  <si>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</si>
  <si>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</si>
  <si>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</si>
  <si>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</si>
  <si>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</si>
  <si>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</si>
  <si>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</si>
  <si>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</si>
  <si>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</si>
  <si>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</si>
  <si>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</si>
  <si>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</si>
  <si>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</si>
  <si>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</si>
  <si>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</si>
  <si>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</si>
  <si>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</si>
  <si>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</si>
  <si>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</si>
  <si>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</si>
  <si>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</si>
  <si>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</si>
  <si>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</si>
  <si>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Middle-----------</t>
  </si>
  <si>
    <t>d</t>
  </si>
  <si>
    <t>x =d*2</t>
  </si>
  <si>
    <t>xy</t>
  </si>
  <si>
    <t>x^2</t>
  </si>
  <si>
    <t>Average=</t>
  </si>
  <si>
    <t>Sum =</t>
  </si>
  <si>
    <t>b = [sum(xy)]/[sum(x^2)]</t>
  </si>
  <si>
    <t xml:space="preserve"> = 27813.78/2660 = </t>
  </si>
  <si>
    <t>a = yhat</t>
  </si>
  <si>
    <t xml:space="preserve">             0 mark here</t>
  </si>
  <si>
    <t>Predicted Values after deseasonalization and detrending</t>
  </si>
  <si>
    <t>seasonal index</t>
  </si>
  <si>
    <r>
      <rPr>
        <sz val="11"/>
        <color rgb="FFFF0000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=deseasonalised prod</t>
    </r>
  </si>
  <si>
    <t>Y</t>
  </si>
  <si>
    <t>X</t>
  </si>
  <si>
    <t xml:space="preserve"> </t>
  </si>
  <si>
    <r>
      <t xml:space="preserve">col 5 divided by 8
Only Trend &amp; Cyclic components
</t>
    </r>
    <r>
      <rPr>
        <b/>
        <sz val="16"/>
        <color rgb="FFFF0000"/>
        <rFont val="Calibri"/>
        <family val="2"/>
        <scheme val="minor"/>
      </rPr>
      <t>Ti*Ci</t>
    </r>
  </si>
  <si>
    <r>
      <t xml:space="preserve">(col 3 divided  by col 6)*100
</t>
    </r>
    <r>
      <rPr>
        <b/>
        <sz val="16"/>
        <color rgb="FFC00000"/>
        <rFont val="Calibri"/>
        <family val="2"/>
        <scheme val="minor"/>
      </rPr>
      <t>Si*Ri</t>
    </r>
  </si>
  <si>
    <r>
      <t xml:space="preserve">Production
</t>
    </r>
    <r>
      <rPr>
        <b/>
        <sz val="11"/>
        <color rgb="FF7030A0"/>
        <rFont val="Calibri"/>
        <family val="2"/>
        <scheme val="minor"/>
      </rPr>
      <t>Ti*Ci*Si*Ri</t>
    </r>
  </si>
  <si>
    <t>Y/Moving Average = Si*Ri</t>
  </si>
  <si>
    <t xml:space="preserve">Moving Average having only Ti*Ci
</t>
  </si>
  <si>
    <r>
      <t xml:space="preserve">Ratio to Moving Average Method:
</t>
    </r>
    <r>
      <rPr>
        <b/>
        <sz val="14"/>
        <color rgb="FFFF0000"/>
        <rFont val="Calibri"/>
        <family val="2"/>
        <scheme val="minor"/>
      </rPr>
      <t>For eliminating SEASONAL variations</t>
    </r>
    <r>
      <rPr>
        <b/>
        <sz val="12"/>
        <color rgb="FF7030A0"/>
        <rFont val="Calibri"/>
        <family val="2"/>
        <scheme val="minor"/>
      </rPr>
      <t xml:space="preserve">
Moving Average will give Ti*Ci, once Yi (Ti*Ci*Si*Ri) is divided by MA, we get only Si*Ri. 
Adjusting Seasonal Indices are in denomination to Yi for getting </t>
    </r>
    <r>
      <rPr>
        <b/>
        <sz val="12"/>
        <color rgb="FFFF0000"/>
        <rFont val="Calibri"/>
        <family val="2"/>
        <scheme val="minor"/>
      </rPr>
      <t>Deseasonalized Yi</t>
    </r>
  </si>
  <si>
    <r>
      <t xml:space="preserve">Adjusting Constants; seasonal index
</t>
    </r>
    <r>
      <rPr>
        <b/>
        <sz val="22"/>
        <color rgb="FF7030A0"/>
        <rFont val="Calibri"/>
        <family val="2"/>
        <scheme val="minor"/>
      </rPr>
      <t>Si</t>
    </r>
  </si>
  <si>
    <r>
      <t>col 3 divided by col 8;</t>
    </r>
    <r>
      <rPr>
        <b/>
        <sz val="11"/>
        <color rgb="FF7030A0"/>
        <rFont val="Calibri"/>
        <family val="2"/>
        <scheme val="minor"/>
      </rPr>
      <t xml:space="preserve">
</t>
    </r>
    <r>
      <rPr>
        <b/>
        <i/>
        <sz val="11"/>
        <color rgb="FF7030A0"/>
        <rFont val="Calibri"/>
        <family val="2"/>
        <scheme val="minor"/>
      </rPr>
      <t>Deseasonalized data</t>
    </r>
  </si>
  <si>
    <t>y deseason</t>
  </si>
  <si>
    <t>X = 1,2,3…col K</t>
  </si>
  <si>
    <t>Y = Raw, col L</t>
  </si>
  <si>
    <t>Y = Deseason, col M</t>
  </si>
  <si>
    <r>
      <t xml:space="preserve">Predicted y
</t>
    </r>
    <r>
      <rPr>
        <b/>
        <sz val="11"/>
        <color rgb="FFFF0000"/>
        <rFont val="Calibri"/>
        <family val="2"/>
        <scheme val="minor"/>
      </rPr>
      <t>Trend Values</t>
    </r>
  </si>
  <si>
    <r>
      <t xml:space="preserve">Production
</t>
    </r>
    <r>
      <rPr>
        <b/>
        <sz val="16"/>
        <color theme="1"/>
        <rFont val="Calibri"/>
        <family val="2"/>
        <scheme val="minor"/>
      </rPr>
      <t>Y</t>
    </r>
  </si>
  <si>
    <r>
      <t xml:space="preserve">Detrend Values =(Prod </t>
    </r>
    <r>
      <rPr>
        <b/>
        <sz val="14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/Predicted y)*100</t>
    </r>
  </si>
  <si>
    <t>Months</t>
  </si>
  <si>
    <t>Sales</t>
  </si>
  <si>
    <t>Jan</t>
  </si>
  <si>
    <t>Feb</t>
  </si>
  <si>
    <t>March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</si>
  <si>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</si>
  <si>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</si>
  <si>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</si>
  <si>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</si>
  <si>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</si>
  <si>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</si>
  <si>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</si>
  <si>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</si>
  <si>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</si>
  <si>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Fits</t>
  </si>
  <si>
    <t>Error</t>
  </si>
  <si>
    <t>Abs Error</t>
  </si>
  <si>
    <t>MAD =</t>
  </si>
  <si>
    <t>ei/Yi</t>
  </si>
  <si>
    <t>SUM =</t>
  </si>
  <si>
    <t>MAPE =</t>
  </si>
  <si>
    <t>e^2</t>
  </si>
  <si>
    <t>MSD</t>
  </si>
  <si>
    <t>Excel Output</t>
  </si>
  <si>
    <t>*</t>
  </si>
  <si>
    <t>ei</t>
  </si>
  <si>
    <t>abs ei</t>
  </si>
  <si>
    <t>ei/Y</t>
  </si>
  <si>
    <t xml:space="preserve">SUM = </t>
  </si>
  <si>
    <t>MSD =</t>
  </si>
  <si>
    <t>Prod</t>
  </si>
  <si>
    <t xml:space="preserve">alpha = </t>
  </si>
  <si>
    <t>Forecast</t>
  </si>
  <si>
    <t>ei^2</t>
  </si>
  <si>
    <t>F (t+1) = alpha*Xt + (1-alpha)*Ft</t>
  </si>
  <si>
    <t xml:space="preserve">F (t+1) </t>
  </si>
  <si>
    <t xml:space="preserve">Xt </t>
  </si>
  <si>
    <t>Ft</t>
  </si>
  <si>
    <t>C5</t>
  </si>
  <si>
    <t>B4</t>
  </si>
  <si>
    <t>C4</t>
  </si>
  <si>
    <t>In excel damping factor is (1-alpha) 0.3</t>
  </si>
  <si>
    <t>N4</t>
  </si>
  <si>
    <t>M3</t>
  </si>
  <si>
    <t>N3</t>
  </si>
  <si>
    <t xml:space="preserve">Sum = </t>
  </si>
  <si>
    <t>Exponential Moving Average</t>
  </si>
  <si>
    <t>Weighted Moving Average</t>
  </si>
  <si>
    <t>beta =</t>
  </si>
  <si>
    <t>Et</t>
  </si>
  <si>
    <t>Tt</t>
  </si>
  <si>
    <t>Et(1997) = alpha*Xt(1997) + (1-alpha)*[E(t-1, 1996) + T(t-1, 1996)]</t>
  </si>
  <si>
    <t>Et(1997) = 0.8*112 + 0.2*[120 + 0]</t>
  </si>
  <si>
    <t>Tt(1997) = beta*[Et1997 - E(t-1,1996)] + (1-beta)*T(t-1,1996)</t>
  </si>
  <si>
    <t>0.4*[113.6-120]+0.6*0</t>
  </si>
  <si>
    <t>Ft1997 = Et1996+Tt1996 = 120+0 = 120</t>
  </si>
  <si>
    <t>Ft(1998) = Et(1997) + Tt(1997) = 113.6 + (-2.56)</t>
  </si>
  <si>
    <t>Et(1998) = alpha*Xt(1998) + (1-alpha)*[E(t-1, 1997) + T(t-1, 1997)]</t>
  </si>
  <si>
    <t>Et(1998) = 0.8*136+0.2*(113.6+(-2.56))</t>
  </si>
  <si>
    <t>Tt(1998) = beta*[Et1998 - E(t-1,1997)] + (1-beta)*T(t-1,1997)</t>
  </si>
  <si>
    <t>Tt(1998) = 0.4*(131.008-113.6)+0.6*(-2.56)</t>
  </si>
  <si>
    <t>Ft(1999) = Et(1998) + Tt(1998) = 131.008 + (5.4272)</t>
  </si>
  <si>
    <r>
      <rPr>
        <b/>
        <sz val="11"/>
        <color theme="1"/>
        <rFont val="Calibri"/>
        <family val="2"/>
        <scheme val="minor"/>
      </rPr>
      <t>1996</t>
    </r>
    <r>
      <rPr>
        <sz val="11"/>
        <color theme="1"/>
        <rFont val="Calibri"/>
        <family val="2"/>
        <scheme val="minor"/>
      </rPr>
      <t>, Keep E1996 = X1996=120, T1996 = 0</t>
    </r>
  </si>
  <si>
    <t>abs(ei)</t>
  </si>
  <si>
    <t>Yi-2</t>
  </si>
  <si>
    <t>Yi-1</t>
  </si>
  <si>
    <t>Advt</t>
  </si>
  <si>
    <t>(xbar - mu)/(sd/SQRTn)</t>
  </si>
  <si>
    <t>Error [F-N]</t>
  </si>
  <si>
    <t>X Variable 1</t>
  </si>
  <si>
    <t>X Variable 2</t>
  </si>
  <si>
    <t xml:space="preserve">For 1 Lag take Y as B3:B25 and Yt-1 as C3:C25 </t>
  </si>
  <si>
    <t>Data: B4::D25</t>
  </si>
  <si>
    <t>Pred_Y(2006) = Y(2005)*0.942 + 9.64</t>
  </si>
  <si>
    <t>Date</t>
  </si>
  <si>
    <t>Close</t>
  </si>
  <si>
    <t>t-1</t>
  </si>
  <si>
    <t>t-2</t>
  </si>
  <si>
    <t>t-3</t>
  </si>
  <si>
    <t>t-4</t>
  </si>
  <si>
    <t>t-5</t>
  </si>
  <si>
    <t>t-6</t>
  </si>
  <si>
    <t>t-7</t>
  </si>
  <si>
    <t>t-8</t>
  </si>
  <si>
    <t>Correlations = ACF</t>
  </si>
  <si>
    <t>Auto Correlation Function</t>
  </si>
  <si>
    <t>Lag</t>
  </si>
  <si>
    <t>Cor</t>
  </si>
  <si>
    <t>PACF Lag 2</t>
  </si>
  <si>
    <t>RESIDUAL OUTPUT</t>
  </si>
  <si>
    <t>Observation</t>
  </si>
  <si>
    <t>Predicted Y</t>
  </si>
  <si>
    <t>Residuals</t>
  </si>
  <si>
    <t>Standard Residuals</t>
  </si>
  <si>
    <t xml:space="preserve">Time </t>
  </si>
  <si>
    <t xml:space="preserve">Trend </t>
  </si>
  <si>
    <t xml:space="preserve">Seasonality </t>
  </si>
  <si>
    <t xml:space="preserve">Cyclic nature </t>
  </si>
  <si>
    <t xml:space="preserve">Irregular variations </t>
  </si>
  <si>
    <t>Prediction</t>
  </si>
  <si>
    <t>MA</t>
  </si>
  <si>
    <t>..</t>
  </si>
  <si>
    <t>Mode</t>
  </si>
  <si>
    <t xml:space="preserve">Mathew P </t>
  </si>
  <si>
    <t>N</t>
  </si>
  <si>
    <t xml:space="preserve">Regression </t>
  </si>
  <si>
    <t>t</t>
  </si>
  <si>
    <t xml:space="preserve">1 Lag </t>
  </si>
  <si>
    <t>2 Lag</t>
  </si>
  <si>
    <t>X1</t>
  </si>
  <si>
    <t xml:space="preserve">5 Lag </t>
  </si>
  <si>
    <t xml:space="preserve">AR = AutoRegression </t>
  </si>
  <si>
    <t xml:space="preserve">RMSE </t>
  </si>
  <si>
    <t xml:space="preserve">ARIMA </t>
  </si>
  <si>
    <t xml:space="preserve">Stationary </t>
  </si>
  <si>
    <r>
      <t xml:space="preserve"> property of </t>
    </r>
    <r>
      <rPr>
        <b/>
        <sz val="11"/>
        <color rgb="FFFF0000"/>
        <rFont val="Calibri"/>
        <family val="2"/>
        <scheme val="minor"/>
      </rPr>
      <t>mean reversion</t>
    </r>
    <r>
      <rPr>
        <sz val="11"/>
        <color theme="1"/>
        <rFont val="Calibri"/>
        <family val="2"/>
        <scheme val="minor"/>
      </rPr>
      <t xml:space="preserve"> should not be violated </t>
    </r>
  </si>
  <si>
    <t>A</t>
  </si>
  <si>
    <t>B</t>
  </si>
  <si>
    <t>C</t>
  </si>
  <si>
    <t>D</t>
  </si>
  <si>
    <t>x1</t>
  </si>
  <si>
    <t>x2</t>
  </si>
  <si>
    <t>x3</t>
  </si>
  <si>
    <t>x4</t>
  </si>
  <si>
    <t xml:space="preserve">Augmented Dicky Fuller Test [Ho: Data is not stationary, Ha: Data is stationary]; p value; &lt;,-= 0.05; Reject </t>
  </si>
  <si>
    <t>ACF</t>
  </si>
  <si>
    <t xml:space="preserve">PACF </t>
  </si>
  <si>
    <t>E GARCH</t>
  </si>
  <si>
    <t>GARCH</t>
  </si>
  <si>
    <t xml:space="preserve">H GARCH </t>
  </si>
  <si>
    <t>3 month MA</t>
  </si>
  <si>
    <t>3 months  WMA</t>
  </si>
  <si>
    <t>B2</t>
  </si>
  <si>
    <t>B3</t>
  </si>
  <si>
    <t>Highest</t>
  </si>
  <si>
    <t>Next High</t>
  </si>
  <si>
    <t>Lowest</t>
  </si>
  <si>
    <t xml:space="preserve">Time Series </t>
  </si>
  <si>
    <t>Time Series Analysis</t>
  </si>
  <si>
    <t>tides in the ocean</t>
  </si>
  <si>
    <t>weather changes</t>
  </si>
  <si>
    <t>temp climate</t>
  </si>
  <si>
    <t>no of offers</t>
  </si>
  <si>
    <t>ct scan</t>
  </si>
  <si>
    <t>heart beat , pulse rate</t>
  </si>
  <si>
    <t>stock market index</t>
  </si>
  <si>
    <t>gold price</t>
  </si>
  <si>
    <t>crude oil</t>
  </si>
  <si>
    <t>currency rate</t>
  </si>
  <si>
    <t xml:space="preserve">satellite motion </t>
  </si>
  <si>
    <t xml:space="preserve">abhishek </t>
  </si>
  <si>
    <t>repo rate</t>
  </si>
  <si>
    <t>passenger nos AIR Only</t>
  </si>
  <si>
    <t>Predict Future</t>
  </si>
  <si>
    <t>Matrix of what?</t>
  </si>
  <si>
    <t>Compare sales</t>
  </si>
  <si>
    <t>Forecasting</t>
  </si>
  <si>
    <t>range over the years</t>
  </si>
  <si>
    <t>aditya 23</t>
  </si>
  <si>
    <r>
      <t xml:space="preserve">Shoping </t>
    </r>
    <r>
      <rPr>
        <b/>
        <sz val="11"/>
        <color rgb="FFFF0000"/>
        <rFont val="Calibri"/>
        <family val="2"/>
        <scheme val="minor"/>
      </rPr>
      <t>TRENDS</t>
    </r>
  </si>
  <si>
    <t xml:space="preserve">CEREAL DATA --&gt; Explored, Described </t>
  </si>
  <si>
    <t>Analysis</t>
  </si>
  <si>
    <r>
      <rPr>
        <b/>
        <sz val="11"/>
        <color rgb="FFFF0000"/>
        <rFont val="Calibri"/>
        <family val="2"/>
        <scheme val="minor"/>
      </rPr>
      <t>REPITITION</t>
    </r>
    <r>
      <rPr>
        <sz val="11"/>
        <color theme="1"/>
        <rFont val="Calibri"/>
        <family val="2"/>
        <scheme val="minor"/>
      </rPr>
      <t xml:space="preserve"> , Shreyes, 30 ----&gt; freq, </t>
    </r>
    <r>
      <rPr>
        <b/>
        <sz val="11"/>
        <color rgb="FFFF0000"/>
        <rFont val="Calibri"/>
        <family val="2"/>
        <scheme val="minor"/>
      </rPr>
      <t>SEASONALITY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2"/>
        <color rgb="FFFF0000"/>
        <rFont val="Calibri"/>
        <family val="2"/>
        <scheme val="minor"/>
      </rPr>
      <t>Cyclic</t>
    </r>
  </si>
  <si>
    <t xml:space="preserve">Less Time </t>
  </si>
  <si>
    <t xml:space="preserve">Larger Time Span ---&gt; Boom, Depression </t>
  </si>
  <si>
    <t xml:space="preserve"> $73.21 </t>
  </si>
  <si>
    <t>80+</t>
  </si>
  <si>
    <t xml:space="preserve">Umbrella - rainy </t>
  </si>
  <si>
    <t xml:space="preserve">sales of cloths - Nov Dec Jan </t>
  </si>
  <si>
    <t xml:space="preserve">Components of TS </t>
  </si>
  <si>
    <t>BE Elec</t>
  </si>
  <si>
    <t xml:space="preserve">12th </t>
  </si>
  <si>
    <t>11th</t>
  </si>
  <si>
    <t xml:space="preserve">10th </t>
  </si>
  <si>
    <t xml:space="preserve">Ayush Marks </t>
  </si>
  <si>
    <t xml:space="preserve">Easy Very Easy -------------- Very Complex </t>
  </si>
  <si>
    <t xml:space="preserve"> ???</t>
  </si>
  <si>
    <t>praveen</t>
  </si>
  <si>
    <t>varda sab</t>
  </si>
  <si>
    <t>shreyas</t>
  </si>
  <si>
    <t>average of all numbers</t>
  </si>
  <si>
    <t>cyclic nature</t>
  </si>
  <si>
    <t xml:space="preserve">trend </t>
  </si>
  <si>
    <t xml:space="preserve">last 3 numbers </t>
  </si>
  <si>
    <t>1. Recent numbers are more relevant</t>
  </si>
  <si>
    <t xml:space="preserve">2. MORE WEIGHTED </t>
  </si>
  <si>
    <t>L</t>
  </si>
  <si>
    <t>Next L</t>
  </si>
  <si>
    <t>Oldest</t>
  </si>
  <si>
    <t xml:space="preserve">exponential </t>
  </si>
  <si>
    <t xml:space="preserve">alpha </t>
  </si>
  <si>
    <t xml:space="preserve">Linear Regression </t>
  </si>
  <si>
    <t>Yt</t>
  </si>
  <si>
    <t>Yt-1</t>
  </si>
  <si>
    <t>Yt-2</t>
  </si>
  <si>
    <t>Lag 1</t>
  </si>
  <si>
    <t>Lag 2</t>
  </si>
  <si>
    <t>Lag3</t>
  </si>
  <si>
    <t>Y t-3</t>
  </si>
  <si>
    <t>x</t>
  </si>
  <si>
    <t xml:space="preserve">Auto Regression </t>
  </si>
  <si>
    <t xml:space="preserve">Mean Reversion </t>
  </si>
  <si>
    <t xml:space="preserve">ACF PACF </t>
  </si>
  <si>
    <r>
      <t xml:space="preserve">ADF Augmented Ducky Fuller test </t>
    </r>
    <r>
      <rPr>
        <b/>
        <sz val="12"/>
        <color theme="1"/>
        <rFont val="Calibri"/>
        <family val="2"/>
        <scheme val="minor"/>
      </rPr>
      <t xml:space="preserve">Ho: Data is NOT stationary </t>
    </r>
  </si>
  <si>
    <t>Moving Average</t>
  </si>
  <si>
    <t xml:space="preserve">GARCH </t>
  </si>
  <si>
    <t xml:space="preserve">E-GARCH, H-GARCH </t>
  </si>
  <si>
    <t xml:space="preserve">General Auto Regressive Conditional Heteroscedasticity </t>
  </si>
  <si>
    <t>sales</t>
  </si>
  <si>
    <t>advt</t>
  </si>
  <si>
    <t>pv</t>
  </si>
  <si>
    <t>Papa</t>
  </si>
  <si>
    <t>b1</t>
  </si>
  <si>
    <t>b2</t>
  </si>
  <si>
    <t>b3</t>
  </si>
  <si>
    <t>zyada</t>
  </si>
  <si>
    <t>tdhoda kam</t>
  </si>
  <si>
    <t>nalayak</t>
  </si>
  <si>
    <t>ADVT</t>
  </si>
  <si>
    <t>SALES</t>
  </si>
  <si>
    <t>Mean</t>
  </si>
  <si>
    <t>Median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</si>
  <si>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</si>
  <si>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</si>
  <si>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</si>
  <si>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</si>
  <si>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</si>
  <si>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</si>
  <si>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</si>
  <si>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</si>
  <si>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</si>
  <si>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</si>
  <si>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Predicted SALES</t>
  </si>
  <si>
    <t>PROBABILITY OUTPUT</t>
  </si>
  <si>
    <t>Percentile</t>
  </si>
  <si>
    <t>R Sqr</t>
  </si>
  <si>
    <t>86% of the variance in sales explained by variance of advt</t>
  </si>
  <si>
    <t xml:space="preserve">what minimum variance should be expained by your model </t>
  </si>
  <si>
    <t>R sqr</t>
  </si>
  <si>
    <t>r*r</t>
  </si>
  <si>
    <t>Reg (t--&gt;p)</t>
  </si>
  <si>
    <t>AR</t>
  </si>
  <si>
    <t>PACF</t>
  </si>
  <si>
    <t>Lngth MA; how many lags</t>
  </si>
  <si>
    <t>ARCH</t>
  </si>
  <si>
    <t>T</t>
  </si>
  <si>
    <t>y = Y - Ybar</t>
  </si>
  <si>
    <t>t = T - Tbar</t>
  </si>
  <si>
    <t>yt</t>
  </si>
  <si>
    <t>t*t</t>
  </si>
  <si>
    <t>Trend Value</t>
  </si>
  <si>
    <t>value</t>
  </si>
  <si>
    <t>vv</t>
  </si>
  <si>
    <t>qualif</t>
  </si>
  <si>
    <t>MCA 3rd</t>
  </si>
  <si>
    <t xml:space="preserve">          2nd </t>
  </si>
  <si>
    <t xml:space="preserve">          1st</t>
  </si>
  <si>
    <t xml:space="preserve">BSC 3rd </t>
  </si>
  <si>
    <t xml:space="preserve">        2nd </t>
  </si>
  <si>
    <t xml:space="preserve">        1st </t>
  </si>
  <si>
    <t>score</t>
  </si>
  <si>
    <t>add qual</t>
  </si>
  <si>
    <t>???</t>
  </si>
  <si>
    <t>Lakshmi</t>
  </si>
  <si>
    <t xml:space="preserve">anjali </t>
  </si>
  <si>
    <t>&gt;90</t>
  </si>
  <si>
    <t>deb</t>
  </si>
  <si>
    <t xml:space="preserve"> avg last few </t>
  </si>
  <si>
    <t>yaseen</t>
  </si>
  <si>
    <t>&gt; 95</t>
  </si>
  <si>
    <t>raj</t>
  </si>
  <si>
    <t xml:space="preserve">hidden in past values </t>
  </si>
  <si>
    <t>avg…..</t>
  </si>
  <si>
    <t>avg last 4</t>
  </si>
  <si>
    <t xml:space="preserve">Moving Averages </t>
  </si>
  <si>
    <t>(3*MVA 3 + 2*MCA 2 + 1*MCA 1)/6</t>
  </si>
  <si>
    <t>Plain avg</t>
  </si>
  <si>
    <t>Wtd Avg</t>
  </si>
  <si>
    <t>(3*MVA 3 + .75*MCA 2 + .1*MCA 1)/(3+0.75+0.1)</t>
  </si>
  <si>
    <t xml:space="preserve">         smoothing</t>
  </si>
  <si>
    <t>obs</t>
  </si>
  <si>
    <t>pred</t>
  </si>
  <si>
    <t>e</t>
  </si>
  <si>
    <t xml:space="preserve">obs - pred </t>
  </si>
  <si>
    <t>added/n</t>
  </si>
  <si>
    <t>MSE</t>
  </si>
  <si>
    <t>sqrt(MSE)</t>
  </si>
  <si>
    <t>RMSE</t>
  </si>
  <si>
    <t xml:space="preserve">lowest </t>
  </si>
  <si>
    <t>v</t>
  </si>
  <si>
    <t>predictor</t>
  </si>
  <si>
    <t>response</t>
  </si>
  <si>
    <t>ARIMA</t>
  </si>
  <si>
    <t xml:space="preserve">Auto Regressive Integrated Moving Average </t>
  </si>
  <si>
    <t xml:space="preserve">Lag1 </t>
  </si>
  <si>
    <t>Predictor</t>
  </si>
  <si>
    <t xml:space="preserve">Lag2 </t>
  </si>
  <si>
    <t xml:space="preserve">ACF = Auto Correlation Function </t>
  </si>
  <si>
    <t>n = 2000</t>
  </si>
  <si>
    <t>Durbin Watson Statistics</t>
  </si>
  <si>
    <t>PACF = Partial Auto Correlation Function</t>
  </si>
  <si>
    <t xml:space="preserve">ACF PACF post modeling </t>
  </si>
  <si>
    <t xml:space="preserve">Stationary : constant mean/ ADF test (less than 05=happy) </t>
  </si>
  <si>
    <t xml:space="preserve">Residual analysis </t>
  </si>
  <si>
    <t xml:space="preserve">Line diagram </t>
  </si>
  <si>
    <t xml:space="preserve">Histogram pg 101, Step by Step SPSS, Darren George, Paul Mallery, Pearson </t>
  </si>
  <si>
    <t xml:space="preserve">Test Ljung-Box test [there is no sign correlation) </t>
  </si>
  <si>
    <t xml:space="preserve">House P </t>
  </si>
  <si>
    <t>x+ a</t>
  </si>
  <si>
    <t>x + a+ a</t>
  </si>
  <si>
    <t>add</t>
  </si>
  <si>
    <t>x 1 lac</t>
  </si>
  <si>
    <t>11k</t>
  </si>
  <si>
    <t>1l+10k + 11k</t>
  </si>
  <si>
    <t>mult</t>
  </si>
  <si>
    <t>alpha</t>
  </si>
  <si>
    <t>beta</t>
  </si>
  <si>
    <t>gamma</t>
  </si>
  <si>
    <t xml:space="preserve">level </t>
  </si>
  <si>
    <t>seasonality</t>
  </si>
  <si>
    <t>Mutliplicative</t>
  </si>
  <si>
    <t xml:space="preserve">Additive </t>
  </si>
  <si>
    <t xml:space="preserve">3 BedRoom Flats </t>
  </si>
  <si>
    <t>600/mo</t>
  </si>
  <si>
    <t>t0 = 2.25 cr; t1 = 2.25 + 10k + t2 = t1+10k + t3 = t2 + 10k</t>
  </si>
  <si>
    <t xml:space="preserve">t0 = 2.25 cr; t1 = 2.25*10% …....10% hike </t>
  </si>
  <si>
    <t xml:space="preserve"> ts = T*C*S*R</t>
  </si>
  <si>
    <t>ts = T+C+D+R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</si>
</sst>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22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/>
    </xf>
    <xf numFmtId="165" fontId="10" fillId="6" borderId="5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/>
    <xf numFmtId="0" fontId="0" fillId="0" borderId="0" xfId="0" applyFill="1" applyBorder="1" applyAlignment="1"/>
    <xf numFmtId="0" fontId="0" fillId="0" borderId="7" xfId="0" applyFill="1" applyBorder="1" applyAlignment="1"/>
    <xf numFmtId="0" fontId="12" fillId="0" borderId="10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0" xfId="0" applyFill="1"/>
    <xf numFmtId="0" fontId="0" fillId="0" borderId="0" xfId="0" applyBorder="1"/>
    <xf numFmtId="0" fontId="0" fillId="3" borderId="7" xfId="0" applyFill="1" applyBorder="1" applyAlignment="1"/>
    <xf numFmtId="0" fontId="0" fillId="7" borderId="0" xfId="0" applyFill="1"/>
    <xf numFmtId="0" fontId="0" fillId="11" borderId="0" xfId="0" applyFill="1"/>
    <xf numFmtId="0" fontId="0" fillId="9" borderId="0" xfId="0" applyFill="1"/>
    <xf numFmtId="0" fontId="0" fillId="1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/>
    <xf numFmtId="0" fontId="0" fillId="0" borderId="7" xfId="0" applyBorder="1"/>
    <xf numFmtId="0" fontId="8" fillId="2" borderId="0" xfId="0" applyFont="1" applyFill="1"/>
    <xf numFmtId="0" fontId="6" fillId="0" borderId="0" xfId="0" applyFont="1" applyAlignment="1">
      <alignment horizontal="center"/>
    </xf>
    <xf numFmtId="0" fontId="0" fillId="5" borderId="0" xfId="0" applyFill="1"/>
    <xf numFmtId="0" fontId="0" fillId="8" borderId="0" xfId="0" applyFill="1"/>
    <xf numFmtId="0" fontId="0" fillId="16" borderId="0" xfId="0" applyFill="1"/>
    <xf numFmtId="0" fontId="0" fillId="10" borderId="0" xfId="0" applyFill="1"/>
    <xf numFmtId="0" fontId="0" fillId="17" borderId="0" xfId="0" applyFill="1"/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18" borderId="0" xfId="0" applyFill="1" applyBorder="1" applyAlignment="1"/>
    <xf numFmtId="0" fontId="0" fillId="18" borderId="0" xfId="0" applyFill="1"/>
    <xf numFmtId="0" fontId="0" fillId="16" borderId="0" xfId="0" applyFill="1" applyBorder="1" applyAlignment="1"/>
    <xf numFmtId="0" fontId="8" fillId="16" borderId="0" xfId="0" applyFont="1" applyFill="1" applyBorder="1" applyAlignment="1"/>
    <xf numFmtId="0" fontId="8" fillId="16" borderId="7" xfId="0" applyFont="1" applyFill="1" applyBorder="1" applyAlignment="1"/>
    <xf numFmtId="0" fontId="0" fillId="0" borderId="16" xfId="0" applyBorder="1"/>
    <xf numFmtId="0" fontId="0" fillId="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7" xfId="0" applyFill="1" applyBorder="1"/>
    <xf numFmtId="0" fontId="7" fillId="0" borderId="0" xfId="0" applyFont="1" applyFill="1" applyAlignment="1">
      <alignment horizontal="center"/>
    </xf>
    <xf numFmtId="0" fontId="0" fillId="0" borderId="19" xfId="0" applyBorder="1"/>
    <xf numFmtId="0" fontId="0" fillId="0" borderId="20" xfId="0" applyBorder="1"/>
    <xf numFmtId="0" fontId="7" fillId="13" borderId="19" xfId="0" applyFont="1" applyFill="1" applyBorder="1"/>
    <xf numFmtId="0" fontId="0" fillId="13" borderId="19" xfId="0" applyFill="1" applyBorder="1"/>
    <xf numFmtId="0" fontId="0" fillId="13" borderId="21" xfId="0" applyFill="1" applyBorder="1"/>
    <xf numFmtId="0" fontId="0" fillId="0" borderId="22" xfId="0" applyBorder="1"/>
    <xf numFmtId="0" fontId="0" fillId="0" borderId="7" xfId="0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0" fillId="0" borderId="23" xfId="0" applyBorder="1"/>
    <xf numFmtId="0" fontId="0" fillId="0" borderId="23" xfId="0" applyFill="1" applyBorder="1"/>
    <xf numFmtId="0" fontId="3" fillId="5" borderId="0" xfId="0" applyFont="1" applyFill="1" applyAlignment="1">
      <alignment horizontal="left"/>
    </xf>
    <xf numFmtId="0" fontId="0" fillId="13" borderId="14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8" fillId="0" borderId="0" xfId="0" applyFont="1" applyFill="1" applyAlignment="1">
      <alignment horizontal="left"/>
    </xf>
    <xf numFmtId="0" fontId="25" fillId="0" borderId="0" xfId="0" applyFont="1" applyFill="1" applyAlignment="1">
      <alignment horizontal="left"/>
    </xf>
    <xf numFmtId="0" fontId="25" fillId="0" borderId="0" xfId="0" applyFont="1"/>
    <xf numFmtId="0" fontId="3" fillId="0" borderId="0" xfId="0" applyFont="1" applyFill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 applyBorder="1" applyAlignment="1">
      <alignment horizontal="center"/>
    </xf>
    <xf numFmtId="0" fontId="0" fillId="5" borderId="7" xfId="0" applyFill="1" applyBorder="1" applyAlignment="1"/>
    <xf numFmtId="0" fontId="25" fillId="2" borderId="0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center"/>
    </xf>
    <xf numFmtId="0" fontId="12" fillId="2" borderId="0" xfId="0" applyFont="1" applyFill="1"/>
    <xf numFmtId="0" fontId="27" fillId="2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19" borderId="0" xfId="0" applyFill="1" applyBorder="1"/>
    <xf numFmtId="0" fontId="0" fillId="19" borderId="0" xfId="0" applyFill="1" applyBorder="1" applyAlignment="1"/>
    <xf numFmtId="0" fontId="0" fillId="19" borderId="7" xfId="0" applyFill="1" applyBorder="1" applyAlignment="1"/>
    <xf numFmtId="0" fontId="8" fillId="19" borderId="0" xfId="0" applyFont="1" applyFill="1"/>
    <xf numFmtId="0" fontId="9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right"/>
    </xf>
    <xf numFmtId="0" fontId="8" fillId="5" borderId="0" xfId="0" applyFont="1" applyFill="1"/>
    <xf numFmtId="0" fontId="12" fillId="0" borderId="0" xfId="0" applyFont="1" applyFill="1" applyBorder="1" applyAlignment="1">
      <alignment horizontal="center"/>
    </xf>
    <xf numFmtId="0" fontId="8" fillId="2" borderId="7" xfId="0" applyFont="1" applyFill="1" applyBorder="1" applyAlignment="1"/>
    <xf numFmtId="0" fontId="0" fillId="20" borderId="0" xfId="0" applyFill="1" applyAlignment="1">
      <alignment horizontal="center"/>
    </xf>
    <xf numFmtId="0" fontId="0" fillId="20" borderId="0" xfId="0" applyFill="1"/>
    <xf numFmtId="2" fontId="0" fillId="0" borderId="0" xfId="0" applyNumberFormat="1"/>
    <xf numFmtId="0" fontId="0" fillId="19" borderId="0" xfId="0" applyFill="1"/>
    <xf numFmtId="0" fontId="22" fillId="0" borderId="0" xfId="0" applyFont="1"/>
    <xf numFmtId="0" fontId="3" fillId="0" borderId="0" xfId="0" applyFont="1"/>
    <xf numFmtId="0" fontId="0" fillId="21" borderId="0" xfId="0" applyFill="1"/>
    <xf numFmtId="0" fontId="8" fillId="10" borderId="0" xfId="0" applyFont="1" applyFill="1"/>
    <xf numFmtId="0" fontId="0" fillId="22" borderId="0" xfId="0" applyFill="1"/>
    <xf numFmtId="0" fontId="8" fillId="0" borderId="0" xfId="0" applyFont="1" applyFill="1"/>
    <xf numFmtId="9" fontId="0" fillId="0" borderId="0" xfId="0" applyNumberFormat="1"/>
    <xf numFmtId="0" fontId="18" fillId="2" borderId="0" xfId="0" applyFont="1" applyFill="1"/>
    <xf numFmtId="0" fontId="0" fillId="0" borderId="0" xfId="0" applyFill="1" applyBorder="1"/>
    <xf numFmtId="0" fontId="0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23" borderId="0" xfId="0" applyFill="1"/>
    <xf numFmtId="0" fontId="0" fillId="13" borderId="0" xfId="0" applyFill="1"/>
    <xf numFmtId="0" fontId="7" fillId="0" borderId="0" xfId="0" applyFont="1"/>
    <xf numFmtId="0" fontId="25" fillId="23" borderId="0" xfId="0" applyFont="1" applyFill="1"/>
    <xf numFmtId="0" fontId="0" fillId="20" borderId="26" xfId="0" applyFill="1" applyBorder="1" applyAlignment="1">
      <alignment horizontal="center"/>
    </xf>
    <xf numFmtId="0" fontId="0" fillId="20" borderId="26" xfId="0" applyFill="1" applyBorder="1"/>
    <xf numFmtId="0" fontId="25" fillId="20" borderId="0" xfId="0" applyFont="1" applyFill="1" applyAlignment="1">
      <alignment horizontal="center"/>
    </xf>
    <xf numFmtId="0" fontId="17" fillId="0" borderId="11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0" fillId="15" borderId="13" xfId="0" applyFill="1" applyBorder="1" applyAlignment="1">
      <alignment horizontal="center" vertical="center" wrapText="1"/>
    </xf>
    <xf numFmtId="0" fontId="0" fillId="15" borderId="14" xfId="0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center" wrapText="1"/>
    </xf>
    <xf numFmtId="0" fontId="0" fillId="18" borderId="13" xfId="0" applyFill="1" applyBorder="1" applyAlignment="1">
      <alignment horizontal="center" vertical="center" wrapText="1"/>
    </xf>
    <xf numFmtId="0" fontId="0" fillId="18" borderId="14" xfId="0" applyFill="1" applyBorder="1" applyAlignment="1">
      <alignment horizontal="center" vertical="center" wrapText="1"/>
    </xf>
    <xf numFmtId="0" fontId="0" fillId="18" borderId="15" xfId="0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6" fillId="0" borderId="13" xfId="0" applyFont="1" applyBorder="1" applyAlignment="1">
      <alignment horizontal="center" wrapText="1"/>
    </xf>
    <xf numFmtId="0" fontId="26" fillId="0" borderId="14" xfId="0" applyFont="1" applyBorder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Data!$G$4:$G$12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C-4B89-B29F-20E3C99F6A41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Data!$H$4:$H$12</c:f>
              <c:numCache>
                <c:formatCode>General</c:formatCode>
                <c:ptCount val="9"/>
                <c:pt idx="0">
                  <c:v>95</c:v>
                </c:pt>
                <c:pt idx="1">
                  <c:v>96</c:v>
                </c:pt>
                <c:pt idx="2">
                  <c:v>92</c:v>
                </c:pt>
                <c:pt idx="3">
                  <c:v>99</c:v>
                </c:pt>
                <c:pt idx="4">
                  <c:v>96</c:v>
                </c:pt>
                <c:pt idx="5">
                  <c:v>94.56</c:v>
                </c:pt>
                <c:pt idx="6">
                  <c:v>90</c:v>
                </c:pt>
                <c:pt idx="7">
                  <c:v>90</c:v>
                </c:pt>
                <c:pt idx="8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C-4B89-B29F-20E3C99F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20574688"/>
        <c:axId val="-920565984"/>
      </c:lineChart>
      <c:catAx>
        <c:axId val="-920574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0565984"/>
        <c:crosses val="autoZero"/>
        <c:auto val="1"/>
        <c:lblAlgn val="ctr"/>
        <c:lblOffset val="100"/>
        <c:noMultiLvlLbl val="0"/>
      </c:catAx>
      <c:valAx>
        <c:axId val="-920565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057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[1]Sheet1!$D$4:$D$67</c:f>
              <c:numCache>
                <c:formatCode>General</c:formatCode>
                <c:ptCount val="64"/>
                <c:pt idx="0">
                  <c:v>160.08000200000001</c:v>
                </c:pt>
                <c:pt idx="1">
                  <c:v>161.05999800000001</c:v>
                </c:pt>
                <c:pt idx="2">
                  <c:v>155.320007</c:v>
                </c:pt>
                <c:pt idx="3">
                  <c:v>157.479996</c:v>
                </c:pt>
                <c:pt idx="4">
                  <c:v>159.85000600000001</c:v>
                </c:pt>
                <c:pt idx="5">
                  <c:v>161.60000600000001</c:v>
                </c:pt>
                <c:pt idx="6">
                  <c:v>160.949997</c:v>
                </c:pt>
                <c:pt idx="7">
                  <c:v>157.86000100000001</c:v>
                </c:pt>
                <c:pt idx="8">
                  <c:v>157.5</c:v>
                </c:pt>
                <c:pt idx="9">
                  <c:v>157.21000699999999</c:v>
                </c:pt>
                <c:pt idx="10">
                  <c:v>159.779999</c:v>
                </c:pt>
                <c:pt idx="11">
                  <c:v>159.979996</c:v>
                </c:pt>
                <c:pt idx="12">
                  <c:v>159.270004</c:v>
                </c:pt>
                <c:pt idx="13">
                  <c:v>159.86000100000001</c:v>
                </c:pt>
                <c:pt idx="14">
                  <c:v>161.470001</c:v>
                </c:pt>
                <c:pt idx="15">
                  <c:v>162.91000399999999</c:v>
                </c:pt>
                <c:pt idx="16">
                  <c:v>163.35000600000001</c:v>
                </c:pt>
                <c:pt idx="17">
                  <c:v>164</c:v>
                </c:pt>
                <c:pt idx="18">
                  <c:v>164.050003</c:v>
                </c:pt>
                <c:pt idx="19">
                  <c:v>162.08000200000001</c:v>
                </c:pt>
                <c:pt idx="20">
                  <c:v>161.91000399999999</c:v>
                </c:pt>
                <c:pt idx="21">
                  <c:v>161.259995</c:v>
                </c:pt>
                <c:pt idx="22">
                  <c:v>158.63000500000001</c:v>
                </c:pt>
                <c:pt idx="23">
                  <c:v>161.5</c:v>
                </c:pt>
                <c:pt idx="24">
                  <c:v>160.86000100000001</c:v>
                </c:pt>
                <c:pt idx="25">
                  <c:v>159.64999399999999</c:v>
                </c:pt>
                <c:pt idx="26">
                  <c:v>158.279999</c:v>
                </c:pt>
                <c:pt idx="27">
                  <c:v>159.88000500000001</c:v>
                </c:pt>
                <c:pt idx="28">
                  <c:v>158.66999799999999</c:v>
                </c:pt>
                <c:pt idx="29">
                  <c:v>158.729996</c:v>
                </c:pt>
                <c:pt idx="30">
                  <c:v>156.070007</c:v>
                </c:pt>
                <c:pt idx="31">
                  <c:v>153.38999899999999</c:v>
                </c:pt>
                <c:pt idx="32">
                  <c:v>151.88999899999999</c:v>
                </c:pt>
                <c:pt idx="33">
                  <c:v>150.550003</c:v>
                </c:pt>
                <c:pt idx="34">
                  <c:v>153.13999899999999</c:v>
                </c:pt>
                <c:pt idx="35">
                  <c:v>154.229996</c:v>
                </c:pt>
                <c:pt idx="36">
                  <c:v>153.279999</c:v>
                </c:pt>
                <c:pt idx="37">
                  <c:v>154.11999499999999</c:v>
                </c:pt>
                <c:pt idx="38">
                  <c:v>153.80999800000001</c:v>
                </c:pt>
                <c:pt idx="39">
                  <c:v>154.479996</c:v>
                </c:pt>
                <c:pt idx="40">
                  <c:v>153.479996</c:v>
                </c:pt>
                <c:pt idx="41">
                  <c:v>155.38999899999999</c:v>
                </c:pt>
                <c:pt idx="42">
                  <c:v>155.300003</c:v>
                </c:pt>
                <c:pt idx="43">
                  <c:v>155.83999600000001</c:v>
                </c:pt>
                <c:pt idx="44">
                  <c:v>155.89999399999999</c:v>
                </c:pt>
                <c:pt idx="45">
                  <c:v>156.550003</c:v>
                </c:pt>
                <c:pt idx="46">
                  <c:v>156</c:v>
                </c:pt>
                <c:pt idx="47">
                  <c:v>156.990005</c:v>
                </c:pt>
                <c:pt idx="48">
                  <c:v>159.88000500000001</c:v>
                </c:pt>
                <c:pt idx="49">
                  <c:v>160.470001</c:v>
                </c:pt>
                <c:pt idx="50">
                  <c:v>159.759995</c:v>
                </c:pt>
                <c:pt idx="51">
                  <c:v>155.979996</c:v>
                </c:pt>
                <c:pt idx="52">
                  <c:v>156.25</c:v>
                </c:pt>
                <c:pt idx="53">
                  <c:v>156.16999799999999</c:v>
                </c:pt>
                <c:pt idx="54">
                  <c:v>157.10000600000001</c:v>
                </c:pt>
                <c:pt idx="55">
                  <c:v>156.41000399999999</c:v>
                </c:pt>
                <c:pt idx="56">
                  <c:v>157.41000399999999</c:v>
                </c:pt>
                <c:pt idx="57">
                  <c:v>163.050003</c:v>
                </c:pt>
                <c:pt idx="58">
                  <c:v>166.720001</c:v>
                </c:pt>
                <c:pt idx="59">
                  <c:v>169.03999300000001</c:v>
                </c:pt>
                <c:pt idx="60">
                  <c:v>166.88999899999999</c:v>
                </c:pt>
                <c:pt idx="61">
                  <c:v>168.11000100000001</c:v>
                </c:pt>
                <c:pt idx="62">
                  <c:v>172.5</c:v>
                </c:pt>
                <c:pt idx="63">
                  <c:v>174.25</c:v>
                </c:pt>
              </c:numCache>
            </c:numRef>
          </c:xVal>
          <c:yVal>
            <c:numRef>
              <c:f>[1]Sheet1!$B$4:$B$67</c:f>
              <c:numCache>
                <c:formatCode>General</c:formatCode>
                <c:ptCount val="64"/>
                <c:pt idx="0">
                  <c:v>155.320007</c:v>
                </c:pt>
                <c:pt idx="1">
                  <c:v>157.479996</c:v>
                </c:pt>
                <c:pt idx="2">
                  <c:v>159.85000600000001</c:v>
                </c:pt>
                <c:pt idx="3">
                  <c:v>161.60000600000001</c:v>
                </c:pt>
                <c:pt idx="4">
                  <c:v>160.949997</c:v>
                </c:pt>
                <c:pt idx="5">
                  <c:v>157.86000100000001</c:v>
                </c:pt>
                <c:pt idx="6">
                  <c:v>157.5</c:v>
                </c:pt>
                <c:pt idx="7">
                  <c:v>157.21000699999999</c:v>
                </c:pt>
                <c:pt idx="8">
                  <c:v>159.779999</c:v>
                </c:pt>
                <c:pt idx="9">
                  <c:v>159.979996</c:v>
                </c:pt>
                <c:pt idx="10">
                  <c:v>159.270004</c:v>
                </c:pt>
                <c:pt idx="11">
                  <c:v>159.86000100000001</c:v>
                </c:pt>
                <c:pt idx="12">
                  <c:v>161.470001</c:v>
                </c:pt>
                <c:pt idx="13">
                  <c:v>162.91000399999999</c:v>
                </c:pt>
                <c:pt idx="14">
                  <c:v>163.35000600000001</c:v>
                </c:pt>
                <c:pt idx="15">
                  <c:v>164</c:v>
                </c:pt>
                <c:pt idx="16">
                  <c:v>164.050003</c:v>
                </c:pt>
                <c:pt idx="17">
                  <c:v>162.08000200000001</c:v>
                </c:pt>
                <c:pt idx="18">
                  <c:v>161.91000399999999</c:v>
                </c:pt>
                <c:pt idx="19">
                  <c:v>161.259995</c:v>
                </c:pt>
                <c:pt idx="20">
                  <c:v>158.63000500000001</c:v>
                </c:pt>
                <c:pt idx="21">
                  <c:v>161.5</c:v>
                </c:pt>
                <c:pt idx="22">
                  <c:v>160.86000100000001</c:v>
                </c:pt>
                <c:pt idx="23">
                  <c:v>159.64999399999999</c:v>
                </c:pt>
                <c:pt idx="24">
                  <c:v>158.279999</c:v>
                </c:pt>
                <c:pt idx="25">
                  <c:v>159.88000500000001</c:v>
                </c:pt>
                <c:pt idx="26">
                  <c:v>158.66999799999999</c:v>
                </c:pt>
                <c:pt idx="27">
                  <c:v>158.729996</c:v>
                </c:pt>
                <c:pt idx="28">
                  <c:v>156.070007</c:v>
                </c:pt>
                <c:pt idx="29">
                  <c:v>153.38999899999999</c:v>
                </c:pt>
                <c:pt idx="30">
                  <c:v>151.88999899999999</c:v>
                </c:pt>
                <c:pt idx="31">
                  <c:v>150.550003</c:v>
                </c:pt>
                <c:pt idx="32">
                  <c:v>153.13999899999999</c:v>
                </c:pt>
                <c:pt idx="33">
                  <c:v>154.229996</c:v>
                </c:pt>
                <c:pt idx="34">
                  <c:v>153.279999</c:v>
                </c:pt>
                <c:pt idx="35">
                  <c:v>154.11999499999999</c:v>
                </c:pt>
                <c:pt idx="36">
                  <c:v>153.80999800000001</c:v>
                </c:pt>
                <c:pt idx="37">
                  <c:v>154.479996</c:v>
                </c:pt>
                <c:pt idx="38">
                  <c:v>153.479996</c:v>
                </c:pt>
                <c:pt idx="39">
                  <c:v>155.38999899999999</c:v>
                </c:pt>
                <c:pt idx="40">
                  <c:v>155.300003</c:v>
                </c:pt>
                <c:pt idx="41">
                  <c:v>155.83999600000001</c:v>
                </c:pt>
                <c:pt idx="42">
                  <c:v>155.89999399999999</c:v>
                </c:pt>
                <c:pt idx="43">
                  <c:v>156.550003</c:v>
                </c:pt>
                <c:pt idx="44">
                  <c:v>156</c:v>
                </c:pt>
                <c:pt idx="45">
                  <c:v>156.990005</c:v>
                </c:pt>
                <c:pt idx="46">
                  <c:v>159.88000500000001</c:v>
                </c:pt>
                <c:pt idx="47">
                  <c:v>160.470001</c:v>
                </c:pt>
                <c:pt idx="48">
                  <c:v>159.759995</c:v>
                </c:pt>
                <c:pt idx="49">
                  <c:v>155.979996</c:v>
                </c:pt>
                <c:pt idx="50">
                  <c:v>156.25</c:v>
                </c:pt>
                <c:pt idx="51">
                  <c:v>156.16999799999999</c:v>
                </c:pt>
                <c:pt idx="52">
                  <c:v>157.10000600000001</c:v>
                </c:pt>
                <c:pt idx="53">
                  <c:v>156.41000399999999</c:v>
                </c:pt>
                <c:pt idx="54">
                  <c:v>157.41000399999999</c:v>
                </c:pt>
                <c:pt idx="55">
                  <c:v>163.050003</c:v>
                </c:pt>
                <c:pt idx="56">
                  <c:v>166.720001</c:v>
                </c:pt>
                <c:pt idx="57">
                  <c:v>169.03999300000001</c:v>
                </c:pt>
                <c:pt idx="58">
                  <c:v>166.88999899999999</c:v>
                </c:pt>
                <c:pt idx="59">
                  <c:v>168.11000100000001</c:v>
                </c:pt>
                <c:pt idx="60">
                  <c:v>172.5</c:v>
                </c:pt>
                <c:pt idx="61">
                  <c:v>174.25</c:v>
                </c:pt>
                <c:pt idx="62">
                  <c:v>174.80999800000001</c:v>
                </c:pt>
                <c:pt idx="63">
                  <c:v>176.240005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6-4AEC-BCC9-DF848235F06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[1]Sheet1!$D$4:$D$67</c:f>
              <c:numCache>
                <c:formatCode>General</c:formatCode>
                <c:ptCount val="64"/>
                <c:pt idx="0">
                  <c:v>160.08000200000001</c:v>
                </c:pt>
                <c:pt idx="1">
                  <c:v>161.05999800000001</c:v>
                </c:pt>
                <c:pt idx="2">
                  <c:v>155.320007</c:v>
                </c:pt>
                <c:pt idx="3">
                  <c:v>157.479996</c:v>
                </c:pt>
                <c:pt idx="4">
                  <c:v>159.85000600000001</c:v>
                </c:pt>
                <c:pt idx="5">
                  <c:v>161.60000600000001</c:v>
                </c:pt>
                <c:pt idx="6">
                  <c:v>160.949997</c:v>
                </c:pt>
                <c:pt idx="7">
                  <c:v>157.86000100000001</c:v>
                </c:pt>
                <c:pt idx="8">
                  <c:v>157.5</c:v>
                </c:pt>
                <c:pt idx="9">
                  <c:v>157.21000699999999</c:v>
                </c:pt>
                <c:pt idx="10">
                  <c:v>159.779999</c:v>
                </c:pt>
                <c:pt idx="11">
                  <c:v>159.979996</c:v>
                </c:pt>
                <c:pt idx="12">
                  <c:v>159.270004</c:v>
                </c:pt>
                <c:pt idx="13">
                  <c:v>159.86000100000001</c:v>
                </c:pt>
                <c:pt idx="14">
                  <c:v>161.470001</c:v>
                </c:pt>
                <c:pt idx="15">
                  <c:v>162.91000399999999</c:v>
                </c:pt>
                <c:pt idx="16">
                  <c:v>163.35000600000001</c:v>
                </c:pt>
                <c:pt idx="17">
                  <c:v>164</c:v>
                </c:pt>
                <c:pt idx="18">
                  <c:v>164.050003</c:v>
                </c:pt>
                <c:pt idx="19">
                  <c:v>162.08000200000001</c:v>
                </c:pt>
                <c:pt idx="20">
                  <c:v>161.91000399999999</c:v>
                </c:pt>
                <c:pt idx="21">
                  <c:v>161.259995</c:v>
                </c:pt>
                <c:pt idx="22">
                  <c:v>158.63000500000001</c:v>
                </c:pt>
                <c:pt idx="23">
                  <c:v>161.5</c:v>
                </c:pt>
                <c:pt idx="24">
                  <c:v>160.86000100000001</c:v>
                </c:pt>
                <c:pt idx="25">
                  <c:v>159.64999399999999</c:v>
                </c:pt>
                <c:pt idx="26">
                  <c:v>158.279999</c:v>
                </c:pt>
                <c:pt idx="27">
                  <c:v>159.88000500000001</c:v>
                </c:pt>
                <c:pt idx="28">
                  <c:v>158.66999799999999</c:v>
                </c:pt>
                <c:pt idx="29">
                  <c:v>158.729996</c:v>
                </c:pt>
                <c:pt idx="30">
                  <c:v>156.070007</c:v>
                </c:pt>
                <c:pt idx="31">
                  <c:v>153.38999899999999</c:v>
                </c:pt>
                <c:pt idx="32">
                  <c:v>151.88999899999999</c:v>
                </c:pt>
                <c:pt idx="33">
                  <c:v>150.550003</c:v>
                </c:pt>
                <c:pt idx="34">
                  <c:v>153.13999899999999</c:v>
                </c:pt>
                <c:pt idx="35">
                  <c:v>154.229996</c:v>
                </c:pt>
                <c:pt idx="36">
                  <c:v>153.279999</c:v>
                </c:pt>
                <c:pt idx="37">
                  <c:v>154.11999499999999</c:v>
                </c:pt>
                <c:pt idx="38">
                  <c:v>153.80999800000001</c:v>
                </c:pt>
                <c:pt idx="39">
                  <c:v>154.479996</c:v>
                </c:pt>
                <c:pt idx="40">
                  <c:v>153.479996</c:v>
                </c:pt>
                <c:pt idx="41">
                  <c:v>155.38999899999999</c:v>
                </c:pt>
                <c:pt idx="42">
                  <c:v>155.300003</c:v>
                </c:pt>
                <c:pt idx="43">
                  <c:v>155.83999600000001</c:v>
                </c:pt>
                <c:pt idx="44">
                  <c:v>155.89999399999999</c:v>
                </c:pt>
                <c:pt idx="45">
                  <c:v>156.550003</c:v>
                </c:pt>
                <c:pt idx="46">
                  <c:v>156</c:v>
                </c:pt>
                <c:pt idx="47">
                  <c:v>156.990005</c:v>
                </c:pt>
                <c:pt idx="48">
                  <c:v>159.88000500000001</c:v>
                </c:pt>
                <c:pt idx="49">
                  <c:v>160.470001</c:v>
                </c:pt>
                <c:pt idx="50">
                  <c:v>159.759995</c:v>
                </c:pt>
                <c:pt idx="51">
                  <c:v>155.979996</c:v>
                </c:pt>
                <c:pt idx="52">
                  <c:v>156.25</c:v>
                </c:pt>
                <c:pt idx="53">
                  <c:v>156.16999799999999</c:v>
                </c:pt>
                <c:pt idx="54">
                  <c:v>157.10000600000001</c:v>
                </c:pt>
                <c:pt idx="55">
                  <c:v>156.41000399999999</c:v>
                </c:pt>
                <c:pt idx="56">
                  <c:v>157.41000399999999</c:v>
                </c:pt>
                <c:pt idx="57">
                  <c:v>163.050003</c:v>
                </c:pt>
                <c:pt idx="58">
                  <c:v>166.720001</c:v>
                </c:pt>
                <c:pt idx="59">
                  <c:v>169.03999300000001</c:v>
                </c:pt>
                <c:pt idx="60">
                  <c:v>166.88999899999999</c:v>
                </c:pt>
                <c:pt idx="61">
                  <c:v>168.11000100000001</c:v>
                </c:pt>
                <c:pt idx="62">
                  <c:v>172.5</c:v>
                </c:pt>
                <c:pt idx="63">
                  <c:v>174.25</c:v>
                </c:pt>
              </c:numCache>
            </c:numRef>
          </c:xVal>
          <c:yVal>
            <c:numRef>
              <c:f>[1]Sheet2!$B$26:$B$89</c:f>
              <c:numCache>
                <c:formatCode>General</c:formatCode>
                <c:ptCount val="64"/>
                <c:pt idx="0">
                  <c:v>161.41510447620149</c:v>
                </c:pt>
                <c:pt idx="1">
                  <c:v>154.61421595064635</c:v>
                </c:pt>
                <c:pt idx="2">
                  <c:v>158.01565213116683</c:v>
                </c:pt>
                <c:pt idx="3">
                  <c:v>160.42155838733788</c:v>
                </c:pt>
                <c:pt idx="4">
                  <c:v>162.07652730396472</c:v>
                </c:pt>
                <c:pt idx="5">
                  <c:v>161.04937517160238</c:v>
                </c:pt>
                <c:pt idx="6">
                  <c:v>157.57291562423788</c:v>
                </c:pt>
                <c:pt idx="7">
                  <c:v>157.64053753340539</c:v>
                </c:pt>
                <c:pt idx="8">
                  <c:v>157.3611593455025</c:v>
                </c:pt>
                <c:pt idx="9">
                  <c:v>160.38282173530857</c:v>
                </c:pt>
                <c:pt idx="10">
                  <c:v>160.21144501950417</c:v>
                </c:pt>
                <c:pt idx="11">
                  <c:v>159.35787543263652</c:v>
                </c:pt>
                <c:pt idx="12">
                  <c:v>160.15245336191433</c:v>
                </c:pt>
                <c:pt idx="13">
                  <c:v>161.92440719498569</c:v>
                </c:pt>
                <c:pt idx="14">
                  <c:v>163.33955507354574</c:v>
                </c:pt>
                <c:pt idx="15">
                  <c:v>163.62330358728849</c:v>
                </c:pt>
                <c:pt idx="16">
                  <c:v>164.30703805300558</c:v>
                </c:pt>
                <c:pt idx="17">
                  <c:v>164.26302281663655</c:v>
                </c:pt>
                <c:pt idx="18">
                  <c:v>161.97381392465491</c:v>
                </c:pt>
                <c:pt idx="19">
                  <c:v>162.08585033740673</c:v>
                </c:pt>
                <c:pt idx="20">
                  <c:v>161.35976088955005</c:v>
                </c:pt>
                <c:pt idx="21">
                  <c:v>158.41601329426089</c:v>
                </c:pt>
                <c:pt idx="22">
                  <c:v>162.15201552356217</c:v>
                </c:pt>
                <c:pt idx="23">
                  <c:v>160.96083621708885</c:v>
                </c:pt>
                <c:pt idx="24">
                  <c:v>159.65993651587738</c:v>
                </c:pt>
                <c:pt idx="25">
                  <c:v>158.26314134635589</c:v>
                </c:pt>
                <c:pt idx="26">
                  <c:v>160.33085547367151</c:v>
                </c:pt>
                <c:pt idx="27">
                  <c:v>158.67871482397666</c:v>
                </c:pt>
                <c:pt idx="28">
                  <c:v>158.93792927712116</c:v>
                </c:pt>
                <c:pt idx="29">
                  <c:v>155.84810952373772</c:v>
                </c:pt>
                <c:pt idx="30">
                  <c:v>153.16161055574787</c:v>
                </c:pt>
                <c:pt idx="31">
                  <c:v>151.84476404441153</c:v>
                </c:pt>
                <c:pt idx="32">
                  <c:v>150.52818130689613</c:v>
                </c:pt>
                <c:pt idx="33">
                  <c:v>153.73765371354304</c:v>
                </c:pt>
                <c:pt idx="34">
                  <c:v>154.59380867444625</c:v>
                </c:pt>
                <c:pt idx="35">
                  <c:v>153.32274500795549</c:v>
                </c:pt>
                <c:pt idx="36">
                  <c:v>154.4444690269554</c:v>
                </c:pt>
                <c:pt idx="37">
                  <c:v>153.95376121630591</c:v>
                </c:pt>
                <c:pt idx="38">
                  <c:v>154.77826397819419</c:v>
                </c:pt>
                <c:pt idx="39">
                  <c:v>153.51515149377511</c:v>
                </c:pt>
                <c:pt idx="40">
                  <c:v>155.88384243270389</c:v>
                </c:pt>
                <c:pt idx="41">
                  <c:v>155.48012674080806</c:v>
                </c:pt>
                <c:pt idx="42">
                  <c:v>156.11957968747689</c:v>
                </c:pt>
                <c:pt idx="43">
                  <c:v>156.104387762133</c:v>
                </c:pt>
                <c:pt idx="44">
                  <c:v>156.84772561092322</c:v>
                </c:pt>
                <c:pt idx="45">
                  <c:v>156.10886846058742</c:v>
                </c:pt>
                <c:pt idx="46">
                  <c:v>157.34159053835469</c:v>
                </c:pt>
                <c:pt idx="47">
                  <c:v>160.53313123470676</c:v>
                </c:pt>
                <c:pt idx="48">
                  <c:v>160.76321613889755</c:v>
                </c:pt>
                <c:pt idx="49">
                  <c:v>159.84847707458084</c:v>
                </c:pt>
                <c:pt idx="50">
                  <c:v>155.58236429570951</c:v>
                </c:pt>
                <c:pt idx="51">
                  <c:v>156.48776122477184</c:v>
                </c:pt>
                <c:pt idx="52">
                  <c:v>156.35277694886079</c:v>
                </c:pt>
                <c:pt idx="53">
                  <c:v>157.44232136954921</c:v>
                </c:pt>
                <c:pt idx="54">
                  <c:v>156.49743290367653</c:v>
                </c:pt>
                <c:pt idx="55">
                  <c:v>157.76368208820722</c:v>
                </c:pt>
                <c:pt idx="56">
                  <c:v>164.13830385301017</c:v>
                </c:pt>
                <c:pt idx="57">
                  <c:v>167.50398862318227</c:v>
                </c:pt>
                <c:pt idx="58">
                  <c:v>169.61519640161904</c:v>
                </c:pt>
                <c:pt idx="59">
                  <c:v>166.76160328297158</c:v>
                </c:pt>
                <c:pt idx="60">
                  <c:v>168.51155880897841</c:v>
                </c:pt>
                <c:pt idx="61">
                  <c:v>173.40411551333622</c:v>
                </c:pt>
                <c:pt idx="62">
                  <c:v>174.74234279220516</c:v>
                </c:pt>
                <c:pt idx="63">
                  <c:v>175.11644453695499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6-4AEC-BCC9-DF848235F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0583392"/>
        <c:axId val="-920585568"/>
      </c:scatterChart>
      <c:valAx>
        <c:axId val="-92058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920585568"/>
        <c:crosses val="autoZero"/>
        <c:crossBetween val="midCat"/>
      </c:valAx>
      <c:valAx>
        <c:axId val="-92058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920583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ADVT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Sheet6!$B$3:$B$7</c:f>
              <c:numCache>
                <c:formatCode>General</c:formatCode>
                <c:ptCount val="5"/>
                <c:pt idx="0">
                  <c:v>35</c:v>
                </c:pt>
                <c:pt idx="1">
                  <c:v>100</c:v>
                </c:pt>
                <c:pt idx="2">
                  <c:v>46</c:v>
                </c:pt>
                <c:pt idx="3">
                  <c:v>20</c:v>
                </c:pt>
                <c:pt idx="4">
                  <c:v>27</c:v>
                </c:pt>
              </c:numCache>
            </c:numRef>
          </c:xVal>
          <c:yVal>
            <c:numRef>
              <c:f>Sheet8!$C$25:$C$29</c:f>
              <c:numCache>
                <c:formatCode>General</c:formatCode>
                <c:ptCount val="5"/>
                <c:pt idx="0">
                  <c:v>2.3645782185996467</c:v>
                </c:pt>
                <c:pt idx="1">
                  <c:v>-1.3238731218698376</c:v>
                </c:pt>
                <c:pt idx="2">
                  <c:v>0.5711479917509763</c:v>
                </c:pt>
                <c:pt idx="3">
                  <c:v>-9.5534714720612399</c:v>
                </c:pt>
                <c:pt idx="4">
                  <c:v>7.9416183835805114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D-4A8D-93F9-98D9F3524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7828352"/>
        <c:axId val="-1397829984"/>
      </c:scatterChart>
      <c:valAx>
        <c:axId val="-139782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ADVT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397829984"/>
        <c:crosses val="autoZero"/>
        <c:crossBetween val="midCat"/>
      </c:valAx>
      <c:valAx>
        <c:axId val="-1397829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397828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ADVT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28575">
              <a:noFill/>
            </a:ln>
          </c:spPr>
          <c:xVal>
            <c:numRef>
              <c:f>Sheet6!$B$3:$B$7</c:f>
              <c:numCache>
                <c:formatCode>General</c:formatCode>
                <c:ptCount val="5"/>
                <c:pt idx="0">
                  <c:v>35</c:v>
                </c:pt>
                <c:pt idx="1">
                  <c:v>100</c:v>
                </c:pt>
                <c:pt idx="2">
                  <c:v>46</c:v>
                </c:pt>
                <c:pt idx="3">
                  <c:v>20</c:v>
                </c:pt>
                <c:pt idx="4">
                  <c:v>27</c:v>
                </c:pt>
              </c:numCache>
            </c:numRef>
          </c:xVal>
          <c:yVal>
            <c:numRef>
              <c:f>Sheet6!$C$3:$C$7</c:f>
              <c:numCache>
                <c:formatCode>General</c:formatCode>
                <c:ptCount val="5"/>
                <c:pt idx="0">
                  <c:v>69</c:v>
                </c:pt>
                <c:pt idx="1">
                  <c:v>200</c:v>
                </c:pt>
                <c:pt idx="2">
                  <c:v>90</c:v>
                </c:pt>
                <c:pt idx="3">
                  <c:v>26</c:v>
                </c:pt>
                <c:pt idx="4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C-4871-AC29-AFDB07029BDF}"/>
            </c:ext>
          </c:extLst>
        </c:ser>
        <c:ser>
          <c:idx val="1"/>
          <c:order val="1"/>
          <c:tx>
            <c:v>Predicted SALES</c:v>
          </c:tx>
          <c:spPr>
            <a:ln w="28575">
              <a:noFill/>
            </a:ln>
          </c:spPr>
          <c:xVal>
            <c:numRef>
              <c:f>Sheet6!$B$3:$B$7</c:f>
              <c:numCache>
                <c:formatCode>General</c:formatCode>
                <c:ptCount val="5"/>
                <c:pt idx="0">
                  <c:v>35</c:v>
                </c:pt>
                <c:pt idx="1">
                  <c:v>100</c:v>
                </c:pt>
                <c:pt idx="2">
                  <c:v>46</c:v>
                </c:pt>
                <c:pt idx="3">
                  <c:v>20</c:v>
                </c:pt>
                <c:pt idx="4">
                  <c:v>27</c:v>
                </c:pt>
              </c:numCache>
            </c:numRef>
          </c:xVal>
          <c:yVal>
            <c:numRef>
              <c:f>Sheet8!$B$25:$B$29</c:f>
              <c:numCache>
                <c:formatCode>General</c:formatCode>
                <c:ptCount val="5"/>
                <c:pt idx="0">
                  <c:v>66.635421781400353</c:v>
                </c:pt>
                <c:pt idx="1">
                  <c:v>201.32387312186984</c:v>
                </c:pt>
                <c:pt idx="2">
                  <c:v>89.428852008249024</c:v>
                </c:pt>
                <c:pt idx="3">
                  <c:v>35.55347147206124</c:v>
                </c:pt>
                <c:pt idx="4">
                  <c:v>50.058381616419489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C-4871-AC29-AFDB07029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7833248"/>
        <c:axId val="-1397827264"/>
      </c:scatterChart>
      <c:valAx>
        <c:axId val="-139783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ADVT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397827264"/>
        <c:crosses val="autoZero"/>
        <c:crossBetween val="midCat"/>
      </c:valAx>
      <c:valAx>
        <c:axId val="-1397827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397833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Sheet8!$F$25:$F$29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Sheet8!$G$25:$G$29</c:f>
              <c:numCache>
                <c:formatCode>General</c:formatCode>
                <c:ptCount val="5"/>
                <c:pt idx="0">
                  <c:v>26</c:v>
                </c:pt>
                <c:pt idx="1">
                  <c:v>58</c:v>
                </c:pt>
                <c:pt idx="2">
                  <c:v>69</c:v>
                </c:pt>
                <c:pt idx="3">
                  <c:v>90</c:v>
                </c:pt>
                <c:pt idx="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7-4766-B04D-4D7BB9566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7828896"/>
        <c:axId val="-1402198448"/>
      </c:scatterChart>
      <c:valAx>
        <c:axId val="-139782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402198448"/>
        <c:crosses val="autoZero"/>
        <c:crossBetween val="midCat"/>
      </c:valAx>
      <c:valAx>
        <c:axId val="-140219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397828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versus Advt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'Sales vs Advt'!$B$1</c:f>
              <c:strCache>
                <c:ptCount val="1"/>
                <c:pt idx="0">
                  <c:v>Sales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16645888013998272"/>
                  <c:y val="1.8159448818897642E-2"/>
                </c:manualLayout>
              </c:layout>
              <c:numFmt formatCode="General" sourceLinked="0"/>
            </c:trendlineLbl>
          </c:trendline>
          <c:xVal>
            <c:numRef>
              <c:f>'Sales vs Advt'!$A$2:$A$13</c:f>
              <c:numCache>
                <c:formatCode>General</c:formatCode>
                <c:ptCount val="12"/>
                <c:pt idx="0">
                  <c:v>92</c:v>
                </c:pt>
                <c:pt idx="1">
                  <c:v>94</c:v>
                </c:pt>
                <c:pt idx="2">
                  <c:v>97</c:v>
                </c:pt>
                <c:pt idx="3">
                  <c:v>98</c:v>
                </c:pt>
                <c:pt idx="4">
                  <c:v>100</c:v>
                </c:pt>
                <c:pt idx="5">
                  <c:v>102</c:v>
                </c:pt>
                <c:pt idx="6">
                  <c:v>104</c:v>
                </c:pt>
                <c:pt idx="7">
                  <c:v>105</c:v>
                </c:pt>
                <c:pt idx="8">
                  <c:v>105</c:v>
                </c:pt>
                <c:pt idx="9">
                  <c:v>107</c:v>
                </c:pt>
                <c:pt idx="10">
                  <c:v>107</c:v>
                </c:pt>
                <c:pt idx="11">
                  <c:v>110</c:v>
                </c:pt>
              </c:numCache>
            </c:numRef>
          </c:xVal>
          <c:yVal>
            <c:numRef>
              <c:f>'Sales vs Advt'!$B$2:$B$13</c:f>
              <c:numCache>
                <c:formatCode>General</c:formatCode>
                <c:ptCount val="12"/>
                <c:pt idx="0">
                  <c:v>930</c:v>
                </c:pt>
                <c:pt idx="1">
                  <c:v>900</c:v>
                </c:pt>
                <c:pt idx="2">
                  <c:v>1020</c:v>
                </c:pt>
                <c:pt idx="3">
                  <c:v>990</c:v>
                </c:pt>
                <c:pt idx="4">
                  <c:v>1100</c:v>
                </c:pt>
                <c:pt idx="5">
                  <c:v>1050</c:v>
                </c:pt>
                <c:pt idx="6">
                  <c:v>1150</c:v>
                </c:pt>
                <c:pt idx="7">
                  <c:v>1120</c:v>
                </c:pt>
                <c:pt idx="8">
                  <c:v>1130</c:v>
                </c:pt>
                <c:pt idx="9">
                  <c:v>1200</c:v>
                </c:pt>
                <c:pt idx="10">
                  <c:v>1250</c:v>
                </c:pt>
                <c:pt idx="11">
                  <c:v>1220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7E-4F68-86E1-63C52EF63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2259904"/>
        <c:axId val="-1403083360"/>
      </c:scatterChart>
      <c:valAx>
        <c:axId val="-140225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Advertisement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403083360"/>
        <c:crosses val="autoZero"/>
        <c:crossBetween val="midCat"/>
      </c:valAx>
      <c:valAx>
        <c:axId val="-1403083360"/>
        <c:scaling>
          <c:orientation val="minMax"/>
          <c:min val="8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402259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versus</a:t>
            </a:r>
            <a:r>
              <a:rPr lang="en-US" baseline="0"/>
              <a:t> Lags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[1]Sheet1!$D$70</c:f>
              <c:strCache>
                <c:ptCount val="1"/>
                <c:pt idx="0">
                  <c:v>Cor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97924321959755"/>
                  <c:y val="-0.35166375036453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[1]Sheet1!$C$71:$C$78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[1]Sheet1!$D$71:$D$78</c:f>
              <c:numCache>
                <c:formatCode>General</c:formatCode>
                <c:ptCount val="8"/>
                <c:pt idx="0">
                  <c:v>0.93540000000000001</c:v>
                </c:pt>
                <c:pt idx="1">
                  <c:v>0.84323899999999996</c:v>
                </c:pt>
                <c:pt idx="2">
                  <c:v>0.75603299999999996</c:v>
                </c:pt>
                <c:pt idx="3">
                  <c:v>0.67986599999999997</c:v>
                </c:pt>
                <c:pt idx="4">
                  <c:v>0.59473600000000004</c:v>
                </c:pt>
                <c:pt idx="5">
                  <c:v>0.46705200000000002</c:v>
                </c:pt>
                <c:pt idx="6">
                  <c:v>0.30095300000000003</c:v>
                </c:pt>
                <c:pt idx="7">
                  <c:v>0.14388799999999999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6-45AE-B54E-C9456A23D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2179408"/>
        <c:axId val="-1402287024"/>
      </c:scatterChart>
      <c:valAx>
        <c:axId val="-140217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Lags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rgbClr val="7030A0"/>
          </a:solidFill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2287024"/>
        <c:crosses val="autoZero"/>
        <c:crossBetween val="midCat"/>
      </c:valAx>
      <c:valAx>
        <c:axId val="-14022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rgbClr val="FF0000"/>
          </a:solidFill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217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[1]Sheet1!$C$4:$C$67</c:f>
              <c:numCache>
                <c:formatCode>General</c:formatCode>
                <c:ptCount val="64"/>
                <c:pt idx="0">
                  <c:v>161.05999800000001</c:v>
                </c:pt>
                <c:pt idx="1">
                  <c:v>155.320007</c:v>
                </c:pt>
                <c:pt idx="2">
                  <c:v>157.479996</c:v>
                </c:pt>
                <c:pt idx="3">
                  <c:v>159.85000600000001</c:v>
                </c:pt>
                <c:pt idx="4">
                  <c:v>161.60000600000001</c:v>
                </c:pt>
                <c:pt idx="5">
                  <c:v>160.949997</c:v>
                </c:pt>
                <c:pt idx="6">
                  <c:v>157.86000100000001</c:v>
                </c:pt>
                <c:pt idx="7">
                  <c:v>157.5</c:v>
                </c:pt>
                <c:pt idx="8">
                  <c:v>157.21000699999999</c:v>
                </c:pt>
                <c:pt idx="9">
                  <c:v>159.779999</c:v>
                </c:pt>
                <c:pt idx="10">
                  <c:v>159.979996</c:v>
                </c:pt>
                <c:pt idx="11">
                  <c:v>159.270004</c:v>
                </c:pt>
                <c:pt idx="12">
                  <c:v>159.86000100000001</c:v>
                </c:pt>
                <c:pt idx="13">
                  <c:v>161.470001</c:v>
                </c:pt>
                <c:pt idx="14">
                  <c:v>162.91000399999999</c:v>
                </c:pt>
                <c:pt idx="15">
                  <c:v>163.35000600000001</c:v>
                </c:pt>
                <c:pt idx="16">
                  <c:v>164</c:v>
                </c:pt>
                <c:pt idx="17">
                  <c:v>164.050003</c:v>
                </c:pt>
                <c:pt idx="18">
                  <c:v>162.08000200000001</c:v>
                </c:pt>
                <c:pt idx="19">
                  <c:v>161.91000399999999</c:v>
                </c:pt>
                <c:pt idx="20">
                  <c:v>161.259995</c:v>
                </c:pt>
                <c:pt idx="21">
                  <c:v>158.63000500000001</c:v>
                </c:pt>
                <c:pt idx="22">
                  <c:v>161.5</c:v>
                </c:pt>
                <c:pt idx="23">
                  <c:v>160.86000100000001</c:v>
                </c:pt>
                <c:pt idx="24">
                  <c:v>159.64999399999999</c:v>
                </c:pt>
                <c:pt idx="25">
                  <c:v>158.279999</c:v>
                </c:pt>
                <c:pt idx="26">
                  <c:v>159.88000500000001</c:v>
                </c:pt>
                <c:pt idx="27">
                  <c:v>158.66999799999999</c:v>
                </c:pt>
                <c:pt idx="28">
                  <c:v>158.729996</c:v>
                </c:pt>
                <c:pt idx="29">
                  <c:v>156.070007</c:v>
                </c:pt>
                <c:pt idx="30">
                  <c:v>153.38999899999999</c:v>
                </c:pt>
                <c:pt idx="31">
                  <c:v>151.88999899999999</c:v>
                </c:pt>
                <c:pt idx="32">
                  <c:v>150.550003</c:v>
                </c:pt>
                <c:pt idx="33">
                  <c:v>153.13999899999999</c:v>
                </c:pt>
                <c:pt idx="34">
                  <c:v>154.229996</c:v>
                </c:pt>
                <c:pt idx="35">
                  <c:v>153.279999</c:v>
                </c:pt>
                <c:pt idx="36">
                  <c:v>154.11999499999999</c:v>
                </c:pt>
                <c:pt idx="37">
                  <c:v>153.80999800000001</c:v>
                </c:pt>
                <c:pt idx="38">
                  <c:v>154.479996</c:v>
                </c:pt>
                <c:pt idx="39">
                  <c:v>153.479996</c:v>
                </c:pt>
                <c:pt idx="40">
                  <c:v>155.38999899999999</c:v>
                </c:pt>
                <c:pt idx="41">
                  <c:v>155.300003</c:v>
                </c:pt>
                <c:pt idx="42">
                  <c:v>155.83999600000001</c:v>
                </c:pt>
                <c:pt idx="43">
                  <c:v>155.89999399999999</c:v>
                </c:pt>
                <c:pt idx="44">
                  <c:v>156.550003</c:v>
                </c:pt>
                <c:pt idx="45">
                  <c:v>156</c:v>
                </c:pt>
                <c:pt idx="46">
                  <c:v>156.990005</c:v>
                </c:pt>
                <c:pt idx="47">
                  <c:v>159.88000500000001</c:v>
                </c:pt>
                <c:pt idx="48">
                  <c:v>160.470001</c:v>
                </c:pt>
                <c:pt idx="49">
                  <c:v>159.759995</c:v>
                </c:pt>
                <c:pt idx="50">
                  <c:v>155.979996</c:v>
                </c:pt>
                <c:pt idx="51">
                  <c:v>156.25</c:v>
                </c:pt>
                <c:pt idx="52">
                  <c:v>156.16999799999999</c:v>
                </c:pt>
                <c:pt idx="53">
                  <c:v>157.10000600000001</c:v>
                </c:pt>
                <c:pt idx="54">
                  <c:v>156.41000399999999</c:v>
                </c:pt>
                <c:pt idx="55">
                  <c:v>157.41000399999999</c:v>
                </c:pt>
                <c:pt idx="56">
                  <c:v>163.050003</c:v>
                </c:pt>
                <c:pt idx="57">
                  <c:v>166.720001</c:v>
                </c:pt>
                <c:pt idx="58">
                  <c:v>169.03999300000001</c:v>
                </c:pt>
                <c:pt idx="59">
                  <c:v>166.88999899999999</c:v>
                </c:pt>
                <c:pt idx="60">
                  <c:v>168.11000100000001</c:v>
                </c:pt>
                <c:pt idx="61">
                  <c:v>172.5</c:v>
                </c:pt>
                <c:pt idx="62">
                  <c:v>174.25</c:v>
                </c:pt>
                <c:pt idx="63">
                  <c:v>174.80999800000001</c:v>
                </c:pt>
              </c:numCache>
            </c:numRef>
          </c:xVal>
          <c:yVal>
            <c:numRef>
              <c:f>[1]Sheet2!$C$26:$C$89</c:f>
              <c:numCache>
                <c:formatCode>General</c:formatCode>
                <c:ptCount val="64"/>
                <c:pt idx="0">
                  <c:v>-6.095097476201488</c:v>
                </c:pt>
                <c:pt idx="1">
                  <c:v>2.8657800493536456</c:v>
                </c:pt>
                <c:pt idx="2">
                  <c:v>1.8343538688331762</c:v>
                </c:pt>
                <c:pt idx="3">
                  <c:v>1.1784476126621257</c:v>
                </c:pt>
                <c:pt idx="4">
                  <c:v>-1.1265303039647279</c:v>
                </c:pt>
                <c:pt idx="5">
                  <c:v>-3.1893741716023669</c:v>
                </c:pt>
                <c:pt idx="6">
                  <c:v>-7.2915624237879229E-2</c:v>
                </c:pt>
                <c:pt idx="7">
                  <c:v>-0.43053053340540259</c:v>
                </c:pt>
                <c:pt idx="8">
                  <c:v>2.4188396544975035</c:v>
                </c:pt>
                <c:pt idx="9">
                  <c:v>-0.4028257353085678</c:v>
                </c:pt>
                <c:pt idx="10">
                  <c:v>-0.94144101950416825</c:v>
                </c:pt>
                <c:pt idx="11">
                  <c:v>0.50212556736349256</c:v>
                </c:pt>
                <c:pt idx="12">
                  <c:v>1.3175476380856708</c:v>
                </c:pt>
                <c:pt idx="13">
                  <c:v>0.98559680501429625</c:v>
                </c:pt>
                <c:pt idx="14">
                  <c:v>1.0450926454268483E-2</c:v>
                </c:pt>
                <c:pt idx="15">
                  <c:v>0.37669641271151022</c:v>
                </c:pt>
                <c:pt idx="16">
                  <c:v>-0.25703505300558049</c:v>
                </c:pt>
                <c:pt idx="17">
                  <c:v>-2.1830208166365423</c:v>
                </c:pt>
                <c:pt idx="18">
                  <c:v>-6.3809924654918859E-2</c:v>
                </c:pt>
                <c:pt idx="19">
                  <c:v>-0.8258553374067219</c:v>
                </c:pt>
                <c:pt idx="20">
                  <c:v>-2.7297558895500345</c:v>
                </c:pt>
                <c:pt idx="21">
                  <c:v>3.0839867057391075</c:v>
                </c:pt>
                <c:pt idx="22">
                  <c:v>-1.292014523562159</c:v>
                </c:pt>
                <c:pt idx="23">
                  <c:v>-1.3108422170888616</c:v>
                </c:pt>
                <c:pt idx="24">
                  <c:v>-1.3799375158773728</c:v>
                </c:pt>
                <c:pt idx="25">
                  <c:v>1.616863653644117</c:v>
                </c:pt>
                <c:pt idx="26">
                  <c:v>-1.6608574736715127</c:v>
                </c:pt>
                <c:pt idx="27">
                  <c:v>5.1281176023337594E-2</c:v>
                </c:pt>
                <c:pt idx="28">
                  <c:v>-2.8679222771211528</c:v>
                </c:pt>
                <c:pt idx="29">
                  <c:v>-2.4581105237377301</c:v>
                </c:pt>
                <c:pt idx="30">
                  <c:v>-1.2716115557478815</c:v>
                </c:pt>
                <c:pt idx="31">
                  <c:v>-1.2947610444115298</c:v>
                </c:pt>
                <c:pt idx="32">
                  <c:v>2.611817693103859</c:v>
                </c:pt>
                <c:pt idx="33">
                  <c:v>0.49234228645696021</c:v>
                </c:pt>
                <c:pt idx="34">
                  <c:v>-1.3138096744462473</c:v>
                </c:pt>
                <c:pt idx="35">
                  <c:v>0.79724999204449887</c:v>
                </c:pt>
                <c:pt idx="36">
                  <c:v>-0.6344710269553957</c:v>
                </c:pt>
                <c:pt idx="37">
                  <c:v>0.52623478369409327</c:v>
                </c:pt>
                <c:pt idx="38">
                  <c:v>-1.2982679781941897</c:v>
                </c:pt>
                <c:pt idx="39">
                  <c:v>1.8748475062248815</c:v>
                </c:pt>
                <c:pt idx="40">
                  <c:v>-0.58383943270388272</c:v>
                </c:pt>
                <c:pt idx="41">
                  <c:v>0.35986925919195301</c:v>
                </c:pt>
                <c:pt idx="42">
                  <c:v>-0.21958568747689355</c:v>
                </c:pt>
                <c:pt idx="43">
                  <c:v>0.44561523786700263</c:v>
                </c:pt>
                <c:pt idx="44">
                  <c:v>-0.84772561092322007</c:v>
                </c:pt>
                <c:pt idx="45">
                  <c:v>0.88113653941258008</c:v>
                </c:pt>
                <c:pt idx="46">
                  <c:v>2.538414461645317</c:v>
                </c:pt>
                <c:pt idx="47">
                  <c:v>-6.3130234706761712E-2</c:v>
                </c:pt>
                <c:pt idx="48">
                  <c:v>-1.0032211388975441</c:v>
                </c:pt>
                <c:pt idx="49">
                  <c:v>-3.868481074580842</c:v>
                </c:pt>
                <c:pt idx="50">
                  <c:v>0.66763570429048968</c:v>
                </c:pt>
                <c:pt idx="51">
                  <c:v>-0.31776322477185204</c:v>
                </c:pt>
                <c:pt idx="52">
                  <c:v>0.74722905113921456</c:v>
                </c:pt>
                <c:pt idx="53">
                  <c:v>-1.0323173695492187</c:v>
                </c:pt>
                <c:pt idx="54">
                  <c:v>0.91257109632346101</c:v>
                </c:pt>
                <c:pt idx="55">
                  <c:v>5.2863209117927852</c:v>
                </c:pt>
                <c:pt idx="56">
                  <c:v>2.5816971469898249</c:v>
                </c:pt>
                <c:pt idx="57">
                  <c:v>1.5360043768177434</c:v>
                </c:pt>
                <c:pt idx="58">
                  <c:v>-2.7251974016190559</c:v>
                </c:pt>
                <c:pt idx="59">
                  <c:v>1.3483977170284334</c:v>
                </c:pt>
                <c:pt idx="60">
                  <c:v>3.9884411910215931</c:v>
                </c:pt>
                <c:pt idx="61">
                  <c:v>0.84588448666377758</c:v>
                </c:pt>
                <c:pt idx="62">
                  <c:v>6.7655207794842909E-2</c:v>
                </c:pt>
                <c:pt idx="63">
                  <c:v>1.1235604630450098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3-4338-8FF9-10DFD98B1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0562720"/>
        <c:axId val="-920578496"/>
      </c:scatterChart>
      <c:valAx>
        <c:axId val="-92056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920578496"/>
        <c:crosses val="autoZero"/>
        <c:crossBetween val="midCat"/>
      </c:valAx>
      <c:valAx>
        <c:axId val="-920578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920562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[1]Sheet1!$D$4:$D$67</c:f>
              <c:numCache>
                <c:formatCode>General</c:formatCode>
                <c:ptCount val="64"/>
                <c:pt idx="0">
                  <c:v>160.08000200000001</c:v>
                </c:pt>
                <c:pt idx="1">
                  <c:v>161.05999800000001</c:v>
                </c:pt>
                <c:pt idx="2">
                  <c:v>155.320007</c:v>
                </c:pt>
                <c:pt idx="3">
                  <c:v>157.479996</c:v>
                </c:pt>
                <c:pt idx="4">
                  <c:v>159.85000600000001</c:v>
                </c:pt>
                <c:pt idx="5">
                  <c:v>161.60000600000001</c:v>
                </c:pt>
                <c:pt idx="6">
                  <c:v>160.949997</c:v>
                </c:pt>
                <c:pt idx="7">
                  <c:v>157.86000100000001</c:v>
                </c:pt>
                <c:pt idx="8">
                  <c:v>157.5</c:v>
                </c:pt>
                <c:pt idx="9">
                  <c:v>157.21000699999999</c:v>
                </c:pt>
                <c:pt idx="10">
                  <c:v>159.779999</c:v>
                </c:pt>
                <c:pt idx="11">
                  <c:v>159.979996</c:v>
                </c:pt>
                <c:pt idx="12">
                  <c:v>159.270004</c:v>
                </c:pt>
                <c:pt idx="13">
                  <c:v>159.86000100000001</c:v>
                </c:pt>
                <c:pt idx="14">
                  <c:v>161.470001</c:v>
                </c:pt>
                <c:pt idx="15">
                  <c:v>162.91000399999999</c:v>
                </c:pt>
                <c:pt idx="16">
                  <c:v>163.35000600000001</c:v>
                </c:pt>
                <c:pt idx="17">
                  <c:v>164</c:v>
                </c:pt>
                <c:pt idx="18">
                  <c:v>164.050003</c:v>
                </c:pt>
                <c:pt idx="19">
                  <c:v>162.08000200000001</c:v>
                </c:pt>
                <c:pt idx="20">
                  <c:v>161.91000399999999</c:v>
                </c:pt>
                <c:pt idx="21">
                  <c:v>161.259995</c:v>
                </c:pt>
                <c:pt idx="22">
                  <c:v>158.63000500000001</c:v>
                </c:pt>
                <c:pt idx="23">
                  <c:v>161.5</c:v>
                </c:pt>
                <c:pt idx="24">
                  <c:v>160.86000100000001</c:v>
                </c:pt>
                <c:pt idx="25">
                  <c:v>159.64999399999999</c:v>
                </c:pt>
                <c:pt idx="26">
                  <c:v>158.279999</c:v>
                </c:pt>
                <c:pt idx="27">
                  <c:v>159.88000500000001</c:v>
                </c:pt>
                <c:pt idx="28">
                  <c:v>158.66999799999999</c:v>
                </c:pt>
                <c:pt idx="29">
                  <c:v>158.729996</c:v>
                </c:pt>
                <c:pt idx="30">
                  <c:v>156.070007</c:v>
                </c:pt>
                <c:pt idx="31">
                  <c:v>153.38999899999999</c:v>
                </c:pt>
                <c:pt idx="32">
                  <c:v>151.88999899999999</c:v>
                </c:pt>
                <c:pt idx="33">
                  <c:v>150.550003</c:v>
                </c:pt>
                <c:pt idx="34">
                  <c:v>153.13999899999999</c:v>
                </c:pt>
                <c:pt idx="35">
                  <c:v>154.229996</c:v>
                </c:pt>
                <c:pt idx="36">
                  <c:v>153.279999</c:v>
                </c:pt>
                <c:pt idx="37">
                  <c:v>154.11999499999999</c:v>
                </c:pt>
                <c:pt idx="38">
                  <c:v>153.80999800000001</c:v>
                </c:pt>
                <c:pt idx="39">
                  <c:v>154.479996</c:v>
                </c:pt>
                <c:pt idx="40">
                  <c:v>153.479996</c:v>
                </c:pt>
                <c:pt idx="41">
                  <c:v>155.38999899999999</c:v>
                </c:pt>
                <c:pt idx="42">
                  <c:v>155.300003</c:v>
                </c:pt>
                <c:pt idx="43">
                  <c:v>155.83999600000001</c:v>
                </c:pt>
                <c:pt idx="44">
                  <c:v>155.89999399999999</c:v>
                </c:pt>
                <c:pt idx="45">
                  <c:v>156.550003</c:v>
                </c:pt>
                <c:pt idx="46">
                  <c:v>156</c:v>
                </c:pt>
                <c:pt idx="47">
                  <c:v>156.990005</c:v>
                </c:pt>
                <c:pt idx="48">
                  <c:v>159.88000500000001</c:v>
                </c:pt>
                <c:pt idx="49">
                  <c:v>160.470001</c:v>
                </c:pt>
                <c:pt idx="50">
                  <c:v>159.759995</c:v>
                </c:pt>
                <c:pt idx="51">
                  <c:v>155.979996</c:v>
                </c:pt>
                <c:pt idx="52">
                  <c:v>156.25</c:v>
                </c:pt>
                <c:pt idx="53">
                  <c:v>156.16999799999999</c:v>
                </c:pt>
                <c:pt idx="54">
                  <c:v>157.10000600000001</c:v>
                </c:pt>
                <c:pt idx="55">
                  <c:v>156.41000399999999</c:v>
                </c:pt>
                <c:pt idx="56">
                  <c:v>157.41000399999999</c:v>
                </c:pt>
                <c:pt idx="57">
                  <c:v>163.050003</c:v>
                </c:pt>
                <c:pt idx="58">
                  <c:v>166.720001</c:v>
                </c:pt>
                <c:pt idx="59">
                  <c:v>169.03999300000001</c:v>
                </c:pt>
                <c:pt idx="60">
                  <c:v>166.88999899999999</c:v>
                </c:pt>
                <c:pt idx="61">
                  <c:v>168.11000100000001</c:v>
                </c:pt>
                <c:pt idx="62">
                  <c:v>172.5</c:v>
                </c:pt>
                <c:pt idx="63">
                  <c:v>174.25</c:v>
                </c:pt>
              </c:numCache>
            </c:numRef>
          </c:xVal>
          <c:yVal>
            <c:numRef>
              <c:f>[1]Sheet2!$C$26:$C$89</c:f>
              <c:numCache>
                <c:formatCode>General</c:formatCode>
                <c:ptCount val="64"/>
                <c:pt idx="0">
                  <c:v>-6.095097476201488</c:v>
                </c:pt>
                <c:pt idx="1">
                  <c:v>2.8657800493536456</c:v>
                </c:pt>
                <c:pt idx="2">
                  <c:v>1.8343538688331762</c:v>
                </c:pt>
                <c:pt idx="3">
                  <c:v>1.1784476126621257</c:v>
                </c:pt>
                <c:pt idx="4">
                  <c:v>-1.1265303039647279</c:v>
                </c:pt>
                <c:pt idx="5">
                  <c:v>-3.1893741716023669</c:v>
                </c:pt>
                <c:pt idx="6">
                  <c:v>-7.2915624237879229E-2</c:v>
                </c:pt>
                <c:pt idx="7">
                  <c:v>-0.43053053340540259</c:v>
                </c:pt>
                <c:pt idx="8">
                  <c:v>2.4188396544975035</c:v>
                </c:pt>
                <c:pt idx="9">
                  <c:v>-0.4028257353085678</c:v>
                </c:pt>
                <c:pt idx="10">
                  <c:v>-0.94144101950416825</c:v>
                </c:pt>
                <c:pt idx="11">
                  <c:v>0.50212556736349256</c:v>
                </c:pt>
                <c:pt idx="12">
                  <c:v>1.3175476380856708</c:v>
                </c:pt>
                <c:pt idx="13">
                  <c:v>0.98559680501429625</c:v>
                </c:pt>
                <c:pt idx="14">
                  <c:v>1.0450926454268483E-2</c:v>
                </c:pt>
                <c:pt idx="15">
                  <c:v>0.37669641271151022</c:v>
                </c:pt>
                <c:pt idx="16">
                  <c:v>-0.25703505300558049</c:v>
                </c:pt>
                <c:pt idx="17">
                  <c:v>-2.1830208166365423</c:v>
                </c:pt>
                <c:pt idx="18">
                  <c:v>-6.3809924654918859E-2</c:v>
                </c:pt>
                <c:pt idx="19">
                  <c:v>-0.8258553374067219</c:v>
                </c:pt>
                <c:pt idx="20">
                  <c:v>-2.7297558895500345</c:v>
                </c:pt>
                <c:pt idx="21">
                  <c:v>3.0839867057391075</c:v>
                </c:pt>
                <c:pt idx="22">
                  <c:v>-1.292014523562159</c:v>
                </c:pt>
                <c:pt idx="23">
                  <c:v>-1.3108422170888616</c:v>
                </c:pt>
                <c:pt idx="24">
                  <c:v>-1.3799375158773728</c:v>
                </c:pt>
                <c:pt idx="25">
                  <c:v>1.616863653644117</c:v>
                </c:pt>
                <c:pt idx="26">
                  <c:v>-1.6608574736715127</c:v>
                </c:pt>
                <c:pt idx="27">
                  <c:v>5.1281176023337594E-2</c:v>
                </c:pt>
                <c:pt idx="28">
                  <c:v>-2.8679222771211528</c:v>
                </c:pt>
                <c:pt idx="29">
                  <c:v>-2.4581105237377301</c:v>
                </c:pt>
                <c:pt idx="30">
                  <c:v>-1.2716115557478815</c:v>
                </c:pt>
                <c:pt idx="31">
                  <c:v>-1.2947610444115298</c:v>
                </c:pt>
                <c:pt idx="32">
                  <c:v>2.611817693103859</c:v>
                </c:pt>
                <c:pt idx="33">
                  <c:v>0.49234228645696021</c:v>
                </c:pt>
                <c:pt idx="34">
                  <c:v>-1.3138096744462473</c:v>
                </c:pt>
                <c:pt idx="35">
                  <c:v>0.79724999204449887</c:v>
                </c:pt>
                <c:pt idx="36">
                  <c:v>-0.6344710269553957</c:v>
                </c:pt>
                <c:pt idx="37">
                  <c:v>0.52623478369409327</c:v>
                </c:pt>
                <c:pt idx="38">
                  <c:v>-1.2982679781941897</c:v>
                </c:pt>
                <c:pt idx="39">
                  <c:v>1.8748475062248815</c:v>
                </c:pt>
                <c:pt idx="40">
                  <c:v>-0.58383943270388272</c:v>
                </c:pt>
                <c:pt idx="41">
                  <c:v>0.35986925919195301</c:v>
                </c:pt>
                <c:pt idx="42">
                  <c:v>-0.21958568747689355</c:v>
                </c:pt>
                <c:pt idx="43">
                  <c:v>0.44561523786700263</c:v>
                </c:pt>
                <c:pt idx="44">
                  <c:v>-0.84772561092322007</c:v>
                </c:pt>
                <c:pt idx="45">
                  <c:v>0.88113653941258008</c:v>
                </c:pt>
                <c:pt idx="46">
                  <c:v>2.538414461645317</c:v>
                </c:pt>
                <c:pt idx="47">
                  <c:v>-6.3130234706761712E-2</c:v>
                </c:pt>
                <c:pt idx="48">
                  <c:v>-1.0032211388975441</c:v>
                </c:pt>
                <c:pt idx="49">
                  <c:v>-3.868481074580842</c:v>
                </c:pt>
                <c:pt idx="50">
                  <c:v>0.66763570429048968</c:v>
                </c:pt>
                <c:pt idx="51">
                  <c:v>-0.31776322477185204</c:v>
                </c:pt>
                <c:pt idx="52">
                  <c:v>0.74722905113921456</c:v>
                </c:pt>
                <c:pt idx="53">
                  <c:v>-1.0323173695492187</c:v>
                </c:pt>
                <c:pt idx="54">
                  <c:v>0.91257109632346101</c:v>
                </c:pt>
                <c:pt idx="55">
                  <c:v>5.2863209117927852</c:v>
                </c:pt>
                <c:pt idx="56">
                  <c:v>2.5816971469898249</c:v>
                </c:pt>
                <c:pt idx="57">
                  <c:v>1.5360043768177434</c:v>
                </c:pt>
                <c:pt idx="58">
                  <c:v>-2.7251974016190559</c:v>
                </c:pt>
                <c:pt idx="59">
                  <c:v>1.3483977170284334</c:v>
                </c:pt>
                <c:pt idx="60">
                  <c:v>3.9884411910215931</c:v>
                </c:pt>
                <c:pt idx="61">
                  <c:v>0.84588448666377758</c:v>
                </c:pt>
                <c:pt idx="62">
                  <c:v>6.7655207794842909E-2</c:v>
                </c:pt>
                <c:pt idx="63">
                  <c:v>1.1235604630450098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D-45ED-BF27-B4F7FDB51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0569792"/>
        <c:axId val="-920571424"/>
      </c:scatterChart>
      <c:valAx>
        <c:axId val="-92056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920571424"/>
        <c:crosses val="autoZero"/>
        <c:crossBetween val="midCat"/>
      </c:valAx>
      <c:valAx>
        <c:axId val="-920571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920569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[1]Sheet1!$C$4:$C$67</c:f>
              <c:numCache>
                <c:formatCode>General</c:formatCode>
                <c:ptCount val="64"/>
                <c:pt idx="0">
                  <c:v>161.05999800000001</c:v>
                </c:pt>
                <c:pt idx="1">
                  <c:v>155.320007</c:v>
                </c:pt>
                <c:pt idx="2">
                  <c:v>157.479996</c:v>
                </c:pt>
                <c:pt idx="3">
                  <c:v>159.85000600000001</c:v>
                </c:pt>
                <c:pt idx="4">
                  <c:v>161.60000600000001</c:v>
                </c:pt>
                <c:pt idx="5">
                  <c:v>160.949997</c:v>
                </c:pt>
                <c:pt idx="6">
                  <c:v>157.86000100000001</c:v>
                </c:pt>
                <c:pt idx="7">
                  <c:v>157.5</c:v>
                </c:pt>
                <c:pt idx="8">
                  <c:v>157.21000699999999</c:v>
                </c:pt>
                <c:pt idx="9">
                  <c:v>159.779999</c:v>
                </c:pt>
                <c:pt idx="10">
                  <c:v>159.979996</c:v>
                </c:pt>
                <c:pt idx="11">
                  <c:v>159.270004</c:v>
                </c:pt>
                <c:pt idx="12">
                  <c:v>159.86000100000001</c:v>
                </c:pt>
                <c:pt idx="13">
                  <c:v>161.470001</c:v>
                </c:pt>
                <c:pt idx="14">
                  <c:v>162.91000399999999</c:v>
                </c:pt>
                <c:pt idx="15">
                  <c:v>163.35000600000001</c:v>
                </c:pt>
                <c:pt idx="16">
                  <c:v>164</c:v>
                </c:pt>
                <c:pt idx="17">
                  <c:v>164.050003</c:v>
                </c:pt>
                <c:pt idx="18">
                  <c:v>162.08000200000001</c:v>
                </c:pt>
                <c:pt idx="19">
                  <c:v>161.91000399999999</c:v>
                </c:pt>
                <c:pt idx="20">
                  <c:v>161.259995</c:v>
                </c:pt>
                <c:pt idx="21">
                  <c:v>158.63000500000001</c:v>
                </c:pt>
                <c:pt idx="22">
                  <c:v>161.5</c:v>
                </c:pt>
                <c:pt idx="23">
                  <c:v>160.86000100000001</c:v>
                </c:pt>
                <c:pt idx="24">
                  <c:v>159.64999399999999</c:v>
                </c:pt>
                <c:pt idx="25">
                  <c:v>158.279999</c:v>
                </c:pt>
                <c:pt idx="26">
                  <c:v>159.88000500000001</c:v>
                </c:pt>
                <c:pt idx="27">
                  <c:v>158.66999799999999</c:v>
                </c:pt>
                <c:pt idx="28">
                  <c:v>158.729996</c:v>
                </c:pt>
                <c:pt idx="29">
                  <c:v>156.070007</c:v>
                </c:pt>
                <c:pt idx="30">
                  <c:v>153.38999899999999</c:v>
                </c:pt>
                <c:pt idx="31">
                  <c:v>151.88999899999999</c:v>
                </c:pt>
                <c:pt idx="32">
                  <c:v>150.550003</c:v>
                </c:pt>
                <c:pt idx="33">
                  <c:v>153.13999899999999</c:v>
                </c:pt>
                <c:pt idx="34">
                  <c:v>154.229996</c:v>
                </c:pt>
                <c:pt idx="35">
                  <c:v>153.279999</c:v>
                </c:pt>
                <c:pt idx="36">
                  <c:v>154.11999499999999</c:v>
                </c:pt>
                <c:pt idx="37">
                  <c:v>153.80999800000001</c:v>
                </c:pt>
                <c:pt idx="38">
                  <c:v>154.479996</c:v>
                </c:pt>
                <c:pt idx="39">
                  <c:v>153.479996</c:v>
                </c:pt>
                <c:pt idx="40">
                  <c:v>155.38999899999999</c:v>
                </c:pt>
                <c:pt idx="41">
                  <c:v>155.300003</c:v>
                </c:pt>
                <c:pt idx="42">
                  <c:v>155.83999600000001</c:v>
                </c:pt>
                <c:pt idx="43">
                  <c:v>155.89999399999999</c:v>
                </c:pt>
                <c:pt idx="44">
                  <c:v>156.550003</c:v>
                </c:pt>
                <c:pt idx="45">
                  <c:v>156</c:v>
                </c:pt>
                <c:pt idx="46">
                  <c:v>156.990005</c:v>
                </c:pt>
                <c:pt idx="47">
                  <c:v>159.88000500000001</c:v>
                </c:pt>
                <c:pt idx="48">
                  <c:v>160.470001</c:v>
                </c:pt>
                <c:pt idx="49">
                  <c:v>159.759995</c:v>
                </c:pt>
                <c:pt idx="50">
                  <c:v>155.979996</c:v>
                </c:pt>
                <c:pt idx="51">
                  <c:v>156.25</c:v>
                </c:pt>
                <c:pt idx="52">
                  <c:v>156.16999799999999</c:v>
                </c:pt>
                <c:pt idx="53">
                  <c:v>157.10000600000001</c:v>
                </c:pt>
                <c:pt idx="54">
                  <c:v>156.41000399999999</c:v>
                </c:pt>
                <c:pt idx="55">
                  <c:v>157.41000399999999</c:v>
                </c:pt>
                <c:pt idx="56">
                  <c:v>163.050003</c:v>
                </c:pt>
                <c:pt idx="57">
                  <c:v>166.720001</c:v>
                </c:pt>
                <c:pt idx="58">
                  <c:v>169.03999300000001</c:v>
                </c:pt>
                <c:pt idx="59">
                  <c:v>166.88999899999999</c:v>
                </c:pt>
                <c:pt idx="60">
                  <c:v>168.11000100000001</c:v>
                </c:pt>
                <c:pt idx="61">
                  <c:v>172.5</c:v>
                </c:pt>
                <c:pt idx="62">
                  <c:v>174.25</c:v>
                </c:pt>
                <c:pt idx="63">
                  <c:v>174.80999800000001</c:v>
                </c:pt>
              </c:numCache>
            </c:numRef>
          </c:xVal>
          <c:yVal>
            <c:numRef>
              <c:f>[1]Sheet1!$B$4:$B$67</c:f>
              <c:numCache>
                <c:formatCode>General</c:formatCode>
                <c:ptCount val="64"/>
                <c:pt idx="0">
                  <c:v>155.320007</c:v>
                </c:pt>
                <c:pt idx="1">
                  <c:v>157.479996</c:v>
                </c:pt>
                <c:pt idx="2">
                  <c:v>159.85000600000001</c:v>
                </c:pt>
                <c:pt idx="3">
                  <c:v>161.60000600000001</c:v>
                </c:pt>
                <c:pt idx="4">
                  <c:v>160.949997</c:v>
                </c:pt>
                <c:pt idx="5">
                  <c:v>157.86000100000001</c:v>
                </c:pt>
                <c:pt idx="6">
                  <c:v>157.5</c:v>
                </c:pt>
                <c:pt idx="7">
                  <c:v>157.21000699999999</c:v>
                </c:pt>
                <c:pt idx="8">
                  <c:v>159.779999</c:v>
                </c:pt>
                <c:pt idx="9">
                  <c:v>159.979996</c:v>
                </c:pt>
                <c:pt idx="10">
                  <c:v>159.270004</c:v>
                </c:pt>
                <c:pt idx="11">
                  <c:v>159.86000100000001</c:v>
                </c:pt>
                <c:pt idx="12">
                  <c:v>161.470001</c:v>
                </c:pt>
                <c:pt idx="13">
                  <c:v>162.91000399999999</c:v>
                </c:pt>
                <c:pt idx="14">
                  <c:v>163.35000600000001</c:v>
                </c:pt>
                <c:pt idx="15">
                  <c:v>164</c:v>
                </c:pt>
                <c:pt idx="16">
                  <c:v>164.050003</c:v>
                </c:pt>
                <c:pt idx="17">
                  <c:v>162.08000200000001</c:v>
                </c:pt>
                <c:pt idx="18">
                  <c:v>161.91000399999999</c:v>
                </c:pt>
                <c:pt idx="19">
                  <c:v>161.259995</c:v>
                </c:pt>
                <c:pt idx="20">
                  <c:v>158.63000500000001</c:v>
                </c:pt>
                <c:pt idx="21">
                  <c:v>161.5</c:v>
                </c:pt>
                <c:pt idx="22">
                  <c:v>160.86000100000001</c:v>
                </c:pt>
                <c:pt idx="23">
                  <c:v>159.64999399999999</c:v>
                </c:pt>
                <c:pt idx="24">
                  <c:v>158.279999</c:v>
                </c:pt>
                <c:pt idx="25">
                  <c:v>159.88000500000001</c:v>
                </c:pt>
                <c:pt idx="26">
                  <c:v>158.66999799999999</c:v>
                </c:pt>
                <c:pt idx="27">
                  <c:v>158.729996</c:v>
                </c:pt>
                <c:pt idx="28">
                  <c:v>156.070007</c:v>
                </c:pt>
                <c:pt idx="29">
                  <c:v>153.38999899999999</c:v>
                </c:pt>
                <c:pt idx="30">
                  <c:v>151.88999899999999</c:v>
                </c:pt>
                <c:pt idx="31">
                  <c:v>150.550003</c:v>
                </c:pt>
                <c:pt idx="32">
                  <c:v>153.13999899999999</c:v>
                </c:pt>
                <c:pt idx="33">
                  <c:v>154.229996</c:v>
                </c:pt>
                <c:pt idx="34">
                  <c:v>153.279999</c:v>
                </c:pt>
                <c:pt idx="35">
                  <c:v>154.11999499999999</c:v>
                </c:pt>
                <c:pt idx="36">
                  <c:v>153.80999800000001</c:v>
                </c:pt>
                <c:pt idx="37">
                  <c:v>154.479996</c:v>
                </c:pt>
                <c:pt idx="38">
                  <c:v>153.479996</c:v>
                </c:pt>
                <c:pt idx="39">
                  <c:v>155.38999899999999</c:v>
                </c:pt>
                <c:pt idx="40">
                  <c:v>155.300003</c:v>
                </c:pt>
                <c:pt idx="41">
                  <c:v>155.83999600000001</c:v>
                </c:pt>
                <c:pt idx="42">
                  <c:v>155.89999399999999</c:v>
                </c:pt>
                <c:pt idx="43">
                  <c:v>156.550003</c:v>
                </c:pt>
                <c:pt idx="44">
                  <c:v>156</c:v>
                </c:pt>
                <c:pt idx="45">
                  <c:v>156.990005</c:v>
                </c:pt>
                <c:pt idx="46">
                  <c:v>159.88000500000001</c:v>
                </c:pt>
                <c:pt idx="47">
                  <c:v>160.470001</c:v>
                </c:pt>
                <c:pt idx="48">
                  <c:v>159.759995</c:v>
                </c:pt>
                <c:pt idx="49">
                  <c:v>155.979996</c:v>
                </c:pt>
                <c:pt idx="50">
                  <c:v>156.25</c:v>
                </c:pt>
                <c:pt idx="51">
                  <c:v>156.16999799999999</c:v>
                </c:pt>
                <c:pt idx="52">
                  <c:v>157.10000600000001</c:v>
                </c:pt>
                <c:pt idx="53">
                  <c:v>156.41000399999999</c:v>
                </c:pt>
                <c:pt idx="54">
                  <c:v>157.41000399999999</c:v>
                </c:pt>
                <c:pt idx="55">
                  <c:v>163.050003</c:v>
                </c:pt>
                <c:pt idx="56">
                  <c:v>166.720001</c:v>
                </c:pt>
                <c:pt idx="57">
                  <c:v>169.03999300000001</c:v>
                </c:pt>
                <c:pt idx="58">
                  <c:v>166.88999899999999</c:v>
                </c:pt>
                <c:pt idx="59">
                  <c:v>168.11000100000001</c:v>
                </c:pt>
                <c:pt idx="60">
                  <c:v>172.5</c:v>
                </c:pt>
                <c:pt idx="61">
                  <c:v>174.25</c:v>
                </c:pt>
                <c:pt idx="62">
                  <c:v>174.80999800000001</c:v>
                </c:pt>
                <c:pt idx="63">
                  <c:v>176.240005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1-4A18-A0A3-BA8ED39375B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[1]Sheet1!$C$4:$C$67</c:f>
              <c:numCache>
                <c:formatCode>General</c:formatCode>
                <c:ptCount val="64"/>
                <c:pt idx="0">
                  <c:v>161.05999800000001</c:v>
                </c:pt>
                <c:pt idx="1">
                  <c:v>155.320007</c:v>
                </c:pt>
                <c:pt idx="2">
                  <c:v>157.479996</c:v>
                </c:pt>
                <c:pt idx="3">
                  <c:v>159.85000600000001</c:v>
                </c:pt>
                <c:pt idx="4">
                  <c:v>161.60000600000001</c:v>
                </c:pt>
                <c:pt idx="5">
                  <c:v>160.949997</c:v>
                </c:pt>
                <c:pt idx="6">
                  <c:v>157.86000100000001</c:v>
                </c:pt>
                <c:pt idx="7">
                  <c:v>157.5</c:v>
                </c:pt>
                <c:pt idx="8">
                  <c:v>157.21000699999999</c:v>
                </c:pt>
                <c:pt idx="9">
                  <c:v>159.779999</c:v>
                </c:pt>
                <c:pt idx="10">
                  <c:v>159.979996</c:v>
                </c:pt>
                <c:pt idx="11">
                  <c:v>159.270004</c:v>
                </c:pt>
                <c:pt idx="12">
                  <c:v>159.86000100000001</c:v>
                </c:pt>
                <c:pt idx="13">
                  <c:v>161.470001</c:v>
                </c:pt>
                <c:pt idx="14">
                  <c:v>162.91000399999999</c:v>
                </c:pt>
                <c:pt idx="15">
                  <c:v>163.35000600000001</c:v>
                </c:pt>
                <c:pt idx="16">
                  <c:v>164</c:v>
                </c:pt>
                <c:pt idx="17">
                  <c:v>164.050003</c:v>
                </c:pt>
                <c:pt idx="18">
                  <c:v>162.08000200000001</c:v>
                </c:pt>
                <c:pt idx="19">
                  <c:v>161.91000399999999</c:v>
                </c:pt>
                <c:pt idx="20">
                  <c:v>161.259995</c:v>
                </c:pt>
                <c:pt idx="21">
                  <c:v>158.63000500000001</c:v>
                </c:pt>
                <c:pt idx="22">
                  <c:v>161.5</c:v>
                </c:pt>
                <c:pt idx="23">
                  <c:v>160.86000100000001</c:v>
                </c:pt>
                <c:pt idx="24">
                  <c:v>159.64999399999999</c:v>
                </c:pt>
                <c:pt idx="25">
                  <c:v>158.279999</c:v>
                </c:pt>
                <c:pt idx="26">
                  <c:v>159.88000500000001</c:v>
                </c:pt>
                <c:pt idx="27">
                  <c:v>158.66999799999999</c:v>
                </c:pt>
                <c:pt idx="28">
                  <c:v>158.729996</c:v>
                </c:pt>
                <c:pt idx="29">
                  <c:v>156.070007</c:v>
                </c:pt>
                <c:pt idx="30">
                  <c:v>153.38999899999999</c:v>
                </c:pt>
                <c:pt idx="31">
                  <c:v>151.88999899999999</c:v>
                </c:pt>
                <c:pt idx="32">
                  <c:v>150.550003</c:v>
                </c:pt>
                <c:pt idx="33">
                  <c:v>153.13999899999999</c:v>
                </c:pt>
                <c:pt idx="34">
                  <c:v>154.229996</c:v>
                </c:pt>
                <c:pt idx="35">
                  <c:v>153.279999</c:v>
                </c:pt>
                <c:pt idx="36">
                  <c:v>154.11999499999999</c:v>
                </c:pt>
                <c:pt idx="37">
                  <c:v>153.80999800000001</c:v>
                </c:pt>
                <c:pt idx="38">
                  <c:v>154.479996</c:v>
                </c:pt>
                <c:pt idx="39">
                  <c:v>153.479996</c:v>
                </c:pt>
                <c:pt idx="40">
                  <c:v>155.38999899999999</c:v>
                </c:pt>
                <c:pt idx="41">
                  <c:v>155.300003</c:v>
                </c:pt>
                <c:pt idx="42">
                  <c:v>155.83999600000001</c:v>
                </c:pt>
                <c:pt idx="43">
                  <c:v>155.89999399999999</c:v>
                </c:pt>
                <c:pt idx="44">
                  <c:v>156.550003</c:v>
                </c:pt>
                <c:pt idx="45">
                  <c:v>156</c:v>
                </c:pt>
                <c:pt idx="46">
                  <c:v>156.990005</c:v>
                </c:pt>
                <c:pt idx="47">
                  <c:v>159.88000500000001</c:v>
                </c:pt>
                <c:pt idx="48">
                  <c:v>160.470001</c:v>
                </c:pt>
                <c:pt idx="49">
                  <c:v>159.759995</c:v>
                </c:pt>
                <c:pt idx="50">
                  <c:v>155.979996</c:v>
                </c:pt>
                <c:pt idx="51">
                  <c:v>156.25</c:v>
                </c:pt>
                <c:pt idx="52">
                  <c:v>156.16999799999999</c:v>
                </c:pt>
                <c:pt idx="53">
                  <c:v>157.10000600000001</c:v>
                </c:pt>
                <c:pt idx="54">
                  <c:v>156.41000399999999</c:v>
                </c:pt>
                <c:pt idx="55">
                  <c:v>157.41000399999999</c:v>
                </c:pt>
                <c:pt idx="56">
                  <c:v>163.050003</c:v>
                </c:pt>
                <c:pt idx="57">
                  <c:v>166.720001</c:v>
                </c:pt>
                <c:pt idx="58">
                  <c:v>169.03999300000001</c:v>
                </c:pt>
                <c:pt idx="59">
                  <c:v>166.88999899999999</c:v>
                </c:pt>
                <c:pt idx="60">
                  <c:v>168.11000100000001</c:v>
                </c:pt>
                <c:pt idx="61">
                  <c:v>172.5</c:v>
                </c:pt>
                <c:pt idx="62">
                  <c:v>174.25</c:v>
                </c:pt>
                <c:pt idx="63">
                  <c:v>174.80999800000001</c:v>
                </c:pt>
              </c:numCache>
            </c:numRef>
          </c:xVal>
          <c:yVal>
            <c:numRef>
              <c:f>[1]Sheet2!$B$26:$B$89</c:f>
              <c:numCache>
                <c:formatCode>General</c:formatCode>
                <c:ptCount val="64"/>
                <c:pt idx="0">
                  <c:v>161.41510447620149</c:v>
                </c:pt>
                <c:pt idx="1">
                  <c:v>154.61421595064635</c:v>
                </c:pt>
                <c:pt idx="2">
                  <c:v>158.01565213116683</c:v>
                </c:pt>
                <c:pt idx="3">
                  <c:v>160.42155838733788</c:v>
                </c:pt>
                <c:pt idx="4">
                  <c:v>162.07652730396472</c:v>
                </c:pt>
                <c:pt idx="5">
                  <c:v>161.04937517160238</c:v>
                </c:pt>
                <c:pt idx="6">
                  <c:v>157.57291562423788</c:v>
                </c:pt>
                <c:pt idx="7">
                  <c:v>157.64053753340539</c:v>
                </c:pt>
                <c:pt idx="8">
                  <c:v>157.3611593455025</c:v>
                </c:pt>
                <c:pt idx="9">
                  <c:v>160.38282173530857</c:v>
                </c:pt>
                <c:pt idx="10">
                  <c:v>160.21144501950417</c:v>
                </c:pt>
                <c:pt idx="11">
                  <c:v>159.35787543263652</c:v>
                </c:pt>
                <c:pt idx="12">
                  <c:v>160.15245336191433</c:v>
                </c:pt>
                <c:pt idx="13">
                  <c:v>161.92440719498569</c:v>
                </c:pt>
                <c:pt idx="14">
                  <c:v>163.33955507354574</c:v>
                </c:pt>
                <c:pt idx="15">
                  <c:v>163.62330358728849</c:v>
                </c:pt>
                <c:pt idx="16">
                  <c:v>164.30703805300558</c:v>
                </c:pt>
                <c:pt idx="17">
                  <c:v>164.26302281663655</c:v>
                </c:pt>
                <c:pt idx="18">
                  <c:v>161.97381392465491</c:v>
                </c:pt>
                <c:pt idx="19">
                  <c:v>162.08585033740673</c:v>
                </c:pt>
                <c:pt idx="20">
                  <c:v>161.35976088955005</c:v>
                </c:pt>
                <c:pt idx="21">
                  <c:v>158.41601329426089</c:v>
                </c:pt>
                <c:pt idx="22">
                  <c:v>162.15201552356217</c:v>
                </c:pt>
                <c:pt idx="23">
                  <c:v>160.96083621708885</c:v>
                </c:pt>
                <c:pt idx="24">
                  <c:v>159.65993651587738</c:v>
                </c:pt>
                <c:pt idx="25">
                  <c:v>158.26314134635589</c:v>
                </c:pt>
                <c:pt idx="26">
                  <c:v>160.33085547367151</c:v>
                </c:pt>
                <c:pt idx="27">
                  <c:v>158.67871482397666</c:v>
                </c:pt>
                <c:pt idx="28">
                  <c:v>158.93792927712116</c:v>
                </c:pt>
                <c:pt idx="29">
                  <c:v>155.84810952373772</c:v>
                </c:pt>
                <c:pt idx="30">
                  <c:v>153.16161055574787</c:v>
                </c:pt>
                <c:pt idx="31">
                  <c:v>151.84476404441153</c:v>
                </c:pt>
                <c:pt idx="32">
                  <c:v>150.52818130689613</c:v>
                </c:pt>
                <c:pt idx="33">
                  <c:v>153.73765371354304</c:v>
                </c:pt>
                <c:pt idx="34">
                  <c:v>154.59380867444625</c:v>
                </c:pt>
                <c:pt idx="35">
                  <c:v>153.32274500795549</c:v>
                </c:pt>
                <c:pt idx="36">
                  <c:v>154.4444690269554</c:v>
                </c:pt>
                <c:pt idx="37">
                  <c:v>153.95376121630591</c:v>
                </c:pt>
                <c:pt idx="38">
                  <c:v>154.77826397819419</c:v>
                </c:pt>
                <c:pt idx="39">
                  <c:v>153.51515149377511</c:v>
                </c:pt>
                <c:pt idx="40">
                  <c:v>155.88384243270389</c:v>
                </c:pt>
                <c:pt idx="41">
                  <c:v>155.48012674080806</c:v>
                </c:pt>
                <c:pt idx="42">
                  <c:v>156.11957968747689</c:v>
                </c:pt>
                <c:pt idx="43">
                  <c:v>156.104387762133</c:v>
                </c:pt>
                <c:pt idx="44">
                  <c:v>156.84772561092322</c:v>
                </c:pt>
                <c:pt idx="45">
                  <c:v>156.10886846058742</c:v>
                </c:pt>
                <c:pt idx="46">
                  <c:v>157.34159053835469</c:v>
                </c:pt>
                <c:pt idx="47">
                  <c:v>160.53313123470676</c:v>
                </c:pt>
                <c:pt idx="48">
                  <c:v>160.76321613889755</c:v>
                </c:pt>
                <c:pt idx="49">
                  <c:v>159.84847707458084</c:v>
                </c:pt>
                <c:pt idx="50">
                  <c:v>155.58236429570951</c:v>
                </c:pt>
                <c:pt idx="51">
                  <c:v>156.48776122477184</c:v>
                </c:pt>
                <c:pt idx="52">
                  <c:v>156.35277694886079</c:v>
                </c:pt>
                <c:pt idx="53">
                  <c:v>157.44232136954921</c:v>
                </c:pt>
                <c:pt idx="54">
                  <c:v>156.49743290367653</c:v>
                </c:pt>
                <c:pt idx="55">
                  <c:v>157.76368208820722</c:v>
                </c:pt>
                <c:pt idx="56">
                  <c:v>164.13830385301017</c:v>
                </c:pt>
                <c:pt idx="57">
                  <c:v>167.50398862318227</c:v>
                </c:pt>
                <c:pt idx="58">
                  <c:v>169.61519640161904</c:v>
                </c:pt>
                <c:pt idx="59">
                  <c:v>166.76160328297158</c:v>
                </c:pt>
                <c:pt idx="60">
                  <c:v>168.51155880897841</c:v>
                </c:pt>
                <c:pt idx="61">
                  <c:v>173.40411551333622</c:v>
                </c:pt>
                <c:pt idx="62">
                  <c:v>174.74234279220516</c:v>
                </c:pt>
                <c:pt idx="63">
                  <c:v>175.11644453695499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F1-4A18-A0A3-BA8ED3937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0557824"/>
        <c:axId val="-920575776"/>
      </c:scatterChart>
      <c:valAx>
        <c:axId val="-92055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920575776"/>
        <c:crosses val="autoZero"/>
        <c:crossBetween val="midCat"/>
      </c:valAx>
      <c:valAx>
        <c:axId val="-92057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920557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12</xdr:row>
      <xdr:rowOff>179070</xdr:rowOff>
    </xdr:from>
    <xdr:to>
      <xdr:col>7</xdr:col>
      <xdr:colOff>426720</xdr:colOff>
      <xdr:row>27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274320</xdr:colOff>
      <xdr:row>2</xdr:row>
      <xdr:rowOff>45720</xdr:rowOff>
    </xdr:from>
    <xdr:to>
      <xdr:col>14</xdr:col>
      <xdr:colOff>228600</xdr:colOff>
      <xdr:row>12</xdr:row>
      <xdr:rowOff>68580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420100" y="411480"/>
          <a:ext cx="563880" cy="185166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14</xdr:row>
      <xdr:rowOff>28575</xdr:rowOff>
    </xdr:from>
    <xdr:to>
      <xdr:col>4</xdr:col>
      <xdr:colOff>428625</xdr:colOff>
      <xdr:row>33</xdr:row>
      <xdr:rowOff>171450</xdr:rowOff>
    </xdr:to>
    <xdr:pic>
      <xdr:nvPicPr>
        <xdr:cNvPr id="9221" name="Picture 5">
          <a:extLst>
            <a:ext uri="{FF2B5EF4-FFF2-40B4-BE49-F238E27FC236}">
              <a16:creationId xmlns:a16="http://schemas.microsoft.com/office/drawing/2014/main" id="{00000000-0008-0000-0E00-000005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r="1873"/>
        <a:stretch>
          <a:fillRect/>
        </a:stretch>
      </xdr:blipFill>
      <xdr:spPr bwMode="auto">
        <a:xfrm>
          <a:off x="371475" y="2705100"/>
          <a:ext cx="2495550" cy="3781425"/>
        </a:xfrm>
        <a:prstGeom prst="rect">
          <a:avLst/>
        </a:prstGeom>
        <a:noFill/>
        <a:ln w="1">
          <a:solidFill>
            <a:srgbClr val="FF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542925</xdr:colOff>
      <xdr:row>15</xdr:row>
      <xdr:rowOff>28575</xdr:rowOff>
    </xdr:from>
    <xdr:to>
      <xdr:col>17</xdr:col>
      <xdr:colOff>257175</xdr:colOff>
      <xdr:row>25</xdr:row>
      <xdr:rowOff>28575</xdr:rowOff>
    </xdr:to>
    <xdr:pic>
      <xdr:nvPicPr>
        <xdr:cNvPr id="9223" name="Picture 7">
          <a:extLst>
            <a:ext uri="{FF2B5EF4-FFF2-40B4-BE49-F238E27FC236}">
              <a16:creationId xmlns:a16="http://schemas.microsoft.com/office/drawing/2014/main" id="{00000000-0008-0000-0E00-000007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858125" y="2924175"/>
          <a:ext cx="2762250" cy="1914525"/>
        </a:xfrm>
        <a:prstGeom prst="rect">
          <a:avLst/>
        </a:prstGeom>
        <a:noFill/>
        <a:ln w="1">
          <a:solidFill>
            <a:srgbClr val="FF0000"/>
          </a:solidFill>
          <a:miter lim="800000"/>
          <a:headEnd/>
          <a:tailEnd type="none" w="med" len="med"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358140</xdr:colOff>
          <xdr:row>18</xdr:row>
          <xdr:rowOff>121920</xdr:rowOff>
        </xdr:from>
        <xdr:to>
          <xdr:col>12</xdr:col>
          <xdr:colOff>281940</xdr:colOff>
          <xdr:row>33</xdr:row>
          <xdr:rowOff>60960</xdr:rowOff>
        </xdr:to>
        <xdr:sp macro="" textlink="">
          <xdr:nvSpPr>
            <xdr:cNvPr id="9222" name="Object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E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0</xdr:row>
      <xdr:rowOff>104775</xdr:rowOff>
    </xdr:from>
    <xdr:to>
      <xdr:col>15</xdr:col>
      <xdr:colOff>180975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33</xdr:row>
      <xdr:rowOff>85725</xdr:rowOff>
    </xdr:from>
    <xdr:to>
      <xdr:col>14</xdr:col>
      <xdr:colOff>314325</xdr:colOff>
      <xdr:row>33</xdr:row>
      <xdr:rowOff>95250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CxnSpPr/>
      </xdr:nvCxnSpPr>
      <xdr:spPr>
        <a:xfrm>
          <a:off x="5200650" y="6429375"/>
          <a:ext cx="43338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484982</xdr:colOff>
      <xdr:row>20</xdr:row>
      <xdr:rowOff>57944</xdr:rowOff>
    </xdr:from>
    <xdr:to>
      <xdr:col>7</xdr:col>
      <xdr:colOff>486570</xdr:colOff>
      <xdr:row>35</xdr:row>
      <xdr:rowOff>86519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CxnSpPr/>
      </xdr:nvCxnSpPr>
      <xdr:spPr>
        <a:xfrm rot="5400000" flipH="1" flipV="1">
          <a:off x="3995738" y="5367338"/>
          <a:ext cx="288607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23</xdr:row>
      <xdr:rowOff>9525</xdr:rowOff>
    </xdr:from>
    <xdr:to>
      <xdr:col>13</xdr:col>
      <xdr:colOff>228600</xdr:colOff>
      <xdr:row>30</xdr:row>
      <xdr:rowOff>161928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CxnSpPr/>
      </xdr:nvCxnSpPr>
      <xdr:spPr>
        <a:xfrm flipV="1">
          <a:off x="5629275" y="4448175"/>
          <a:ext cx="3209925" cy="148590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600076</xdr:colOff>
      <xdr:row>23</xdr:row>
      <xdr:rowOff>28575</xdr:rowOff>
    </xdr:from>
    <xdr:to>
      <xdr:col>7</xdr:col>
      <xdr:colOff>180976</xdr:colOff>
      <xdr:row>27</xdr:row>
      <xdr:rowOff>135014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1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09676" y="4467225"/>
          <a:ext cx="3924300" cy="868439"/>
        </a:xfrm>
        <a:prstGeom prst="rect">
          <a:avLst/>
        </a:prstGeom>
        <a:noFill/>
        <a:ln w="1">
          <a:solidFill>
            <a:srgbClr val="FF0000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0</xdr:row>
      <xdr:rowOff>137160</xdr:rowOff>
    </xdr:from>
    <xdr:to>
      <xdr:col>17</xdr:col>
      <xdr:colOff>350520</xdr:colOff>
      <xdr:row>67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1</xdr:row>
      <xdr:rowOff>22860</xdr:rowOff>
    </xdr:from>
    <xdr:to>
      <xdr:col>13</xdr:col>
      <xdr:colOff>175260</xdr:colOff>
      <xdr:row>11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594360</xdr:colOff>
      <xdr:row>1</xdr:row>
      <xdr:rowOff>15240</xdr:rowOff>
    </xdr:from>
    <xdr:to>
      <xdr:col>19</xdr:col>
      <xdr:colOff>594360</xdr:colOff>
      <xdr:row>11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312420</xdr:colOff>
      <xdr:row>16</xdr:row>
      <xdr:rowOff>7620</xdr:rowOff>
    </xdr:from>
    <xdr:to>
      <xdr:col>13</xdr:col>
      <xdr:colOff>312420</xdr:colOff>
      <xdr:row>26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175260</xdr:colOff>
      <xdr:row>15</xdr:row>
      <xdr:rowOff>160020</xdr:rowOff>
    </xdr:from>
    <xdr:to>
      <xdr:col>20</xdr:col>
      <xdr:colOff>175260</xdr:colOff>
      <xdr:row>25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5</xdr:row>
      <xdr:rowOff>76199</xdr:rowOff>
    </xdr:from>
    <xdr:to>
      <xdr:col>5</xdr:col>
      <xdr:colOff>695325</xdr:colOff>
      <xdr:row>5</xdr:row>
      <xdr:rowOff>219074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067050" y="2105024"/>
          <a:ext cx="304800" cy="142875"/>
        </a:xfrm>
        <a:prstGeom prst="down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152400</xdr:colOff>
      <xdr:row>5</xdr:row>
      <xdr:rowOff>85724</xdr:rowOff>
    </xdr:from>
    <xdr:to>
      <xdr:col>6</xdr:col>
      <xdr:colOff>457200</xdr:colOff>
      <xdr:row>5</xdr:row>
      <xdr:rowOff>228599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533775" y="2571749"/>
          <a:ext cx="304800" cy="142875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</xdr:col>
      <xdr:colOff>95250</xdr:colOff>
      <xdr:row>43</xdr:row>
      <xdr:rowOff>12838</xdr:rowOff>
    </xdr:from>
    <xdr:to>
      <xdr:col>17</xdr:col>
      <xdr:colOff>457200</xdr:colOff>
      <xdr:row>66</xdr:row>
      <xdr:rowOff>104775</xdr:rowOff>
    </xdr:to>
    <xdr:pic>
      <xdr:nvPicPr>
        <xdr:cNvPr id="1038" name="Picture 14">
          <a:extLst>
            <a:ext uri="{FF2B5EF4-FFF2-40B4-BE49-F238E27FC236}">
              <a16:creationId xmlns:a16="http://schemas.microsoft.com/office/drawing/2014/main" id="{00000000-0008-0000-03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8150" y="9861688"/>
          <a:ext cx="10267950" cy="4473437"/>
        </a:xfrm>
        <a:prstGeom prst="rect">
          <a:avLst/>
        </a:prstGeom>
        <a:noFill/>
        <a:ln w="1">
          <a:solidFill>
            <a:srgbClr val="FF0000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23</xdr:row>
      <xdr:rowOff>142876</xdr:rowOff>
    </xdr:from>
    <xdr:to>
      <xdr:col>6</xdr:col>
      <xdr:colOff>425450</xdr:colOff>
      <xdr:row>38</xdr:row>
      <xdr:rowOff>6996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4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05990" y="4722496"/>
          <a:ext cx="1816100" cy="2637800"/>
        </a:xfrm>
        <a:prstGeom prst="rect">
          <a:avLst/>
        </a:prstGeom>
        <a:noFill/>
        <a:ln w="1">
          <a:solidFill>
            <a:schemeClr val="accent1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15</xdr:col>
      <xdr:colOff>419100</xdr:colOff>
      <xdr:row>79</xdr:row>
      <xdr:rowOff>104775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00000000-0008-0000-04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" y="10934700"/>
          <a:ext cx="10734675" cy="4676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971550</xdr:colOff>
      <xdr:row>28</xdr:row>
      <xdr:rowOff>102538</xdr:rowOff>
    </xdr:from>
    <xdr:to>
      <xdr:col>17</xdr:col>
      <xdr:colOff>501822</xdr:colOff>
      <xdr:row>45</xdr:row>
      <xdr:rowOff>9525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400550" y="5893738"/>
          <a:ext cx="7937672" cy="3145487"/>
        </a:xfrm>
        <a:prstGeom prst="rect">
          <a:avLst/>
        </a:prstGeom>
        <a:noFill/>
        <a:ln w="1">
          <a:solidFill>
            <a:srgbClr val="FF0000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259080</xdr:colOff>
      <xdr:row>2</xdr:row>
      <xdr:rowOff>175260</xdr:rowOff>
    </xdr:from>
    <xdr:to>
      <xdr:col>16</xdr:col>
      <xdr:colOff>259080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259080</xdr:colOff>
      <xdr:row>4</xdr:row>
      <xdr:rowOff>175260</xdr:rowOff>
    </xdr:from>
    <xdr:to>
      <xdr:col>17</xdr:col>
      <xdr:colOff>259080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8</xdr:row>
      <xdr:rowOff>76200</xdr:rowOff>
    </xdr:from>
    <xdr:to>
      <xdr:col>11</xdr:col>
      <xdr:colOff>200025</xdr:colOff>
      <xdr:row>11</xdr:row>
      <xdr:rowOff>47625</xdr:rowOff>
    </xdr:to>
    <xdr:sp macro="" textlink="">
      <xdr:nvSpPr>
        <xdr:cNvPr id="2" name="Rounded Rectangular Callou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6038850" y="1609725"/>
          <a:ext cx="866775" cy="542925"/>
        </a:xfrm>
        <a:prstGeom prst="wedgeRoundRectCallout">
          <a:avLst>
            <a:gd name="adj1" fmla="val 27519"/>
            <a:gd name="adj2" fmla="val -13048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2nd qrtr of 2003 ends here</a:t>
          </a:r>
        </a:p>
      </xdr:txBody>
    </xdr:sp>
    <xdr:clientData/>
  </xdr:twoCellAnchor>
  <xdr:twoCellAnchor>
    <xdr:from>
      <xdr:col>8</xdr:col>
      <xdr:colOff>114301</xdr:colOff>
      <xdr:row>8</xdr:row>
      <xdr:rowOff>152400</xdr:rowOff>
    </xdr:from>
    <xdr:to>
      <xdr:col>9</xdr:col>
      <xdr:colOff>152401</xdr:colOff>
      <xdr:row>13</xdr:row>
      <xdr:rowOff>104775</xdr:rowOff>
    </xdr:to>
    <xdr:sp macro="" textlink="">
      <xdr:nvSpPr>
        <xdr:cNvPr id="4" name="Rounded Rectangular Callou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4991101" y="1685925"/>
          <a:ext cx="647700" cy="904875"/>
        </a:xfrm>
        <a:prstGeom prst="wedgeRoundRectCallout">
          <a:avLst>
            <a:gd name="adj1" fmla="val 117402"/>
            <a:gd name="adj2" fmla="val -10872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1st</a:t>
          </a:r>
          <a:r>
            <a:rPr lang="en-US" sz="1100" b="1" baseline="0"/>
            <a:t> </a:t>
          </a:r>
          <a:r>
            <a:rPr lang="en-US" sz="1100" b="1"/>
            <a:t>qrtr of 2003 ends here</a:t>
          </a:r>
        </a:p>
      </xdr:txBody>
    </xdr:sp>
    <xdr:clientData/>
  </xdr:twoCellAnchor>
  <xdr:twoCellAnchor>
    <xdr:from>
      <xdr:col>11</xdr:col>
      <xdr:colOff>504825</xdr:colOff>
      <xdr:row>8</xdr:row>
      <xdr:rowOff>104775</xdr:rowOff>
    </xdr:from>
    <xdr:to>
      <xdr:col>13</xdr:col>
      <xdr:colOff>152400</xdr:colOff>
      <xdr:row>11</xdr:row>
      <xdr:rowOff>76200</xdr:rowOff>
    </xdr:to>
    <xdr:sp macro="" textlink="">
      <xdr:nvSpPr>
        <xdr:cNvPr id="5" name="Rounded Rectangular Callou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7210425" y="1638300"/>
          <a:ext cx="866775" cy="542925"/>
        </a:xfrm>
        <a:prstGeom prst="wedgeRoundRectCallout">
          <a:avLst>
            <a:gd name="adj1" fmla="val -37316"/>
            <a:gd name="adj2" fmla="val -137500"/>
            <a:gd name="adj3" fmla="val 16667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3rd qrtr of 2003 ends here</a:t>
          </a:r>
        </a:p>
      </xdr:txBody>
    </xdr:sp>
    <xdr:clientData/>
  </xdr:twoCellAnchor>
  <xdr:twoCellAnchor>
    <xdr:from>
      <xdr:col>13</xdr:col>
      <xdr:colOff>352426</xdr:colOff>
      <xdr:row>10</xdr:row>
      <xdr:rowOff>57150</xdr:rowOff>
    </xdr:from>
    <xdr:to>
      <xdr:col>14</xdr:col>
      <xdr:colOff>390526</xdr:colOff>
      <xdr:row>15</xdr:row>
      <xdr:rowOff>9525</xdr:rowOff>
    </xdr:to>
    <xdr:sp macro="" textlink="">
      <xdr:nvSpPr>
        <xdr:cNvPr id="7" name="Rounded Rectangular Callou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8277226" y="1971675"/>
          <a:ext cx="647700" cy="904875"/>
        </a:xfrm>
        <a:prstGeom prst="wedgeRoundRectCallout">
          <a:avLst>
            <a:gd name="adj1" fmla="val -103186"/>
            <a:gd name="adj2" fmla="val -139254"/>
            <a:gd name="adj3" fmla="val 16667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4th qrtr of 2003 ends here</a:t>
          </a:r>
        </a:p>
      </xdr:txBody>
    </xdr:sp>
    <xdr:clientData/>
  </xdr:twoCellAnchor>
  <xdr:twoCellAnchor>
    <xdr:from>
      <xdr:col>10</xdr:col>
      <xdr:colOff>599283</xdr:colOff>
      <xdr:row>2</xdr:row>
      <xdr:rowOff>47627</xdr:rowOff>
    </xdr:from>
    <xdr:to>
      <xdr:col>11</xdr:col>
      <xdr:colOff>1</xdr:colOff>
      <xdr:row>5</xdr:row>
      <xdr:rowOff>115092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CxnSpPr/>
      </xdr:nvCxnSpPr>
      <xdr:spPr>
        <a:xfrm rot="5400000">
          <a:off x="6380959" y="742951"/>
          <a:ext cx="638965" cy="10318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276225</xdr:colOff>
      <xdr:row>3</xdr:row>
      <xdr:rowOff>57149</xdr:rowOff>
    </xdr:from>
    <xdr:to>
      <xdr:col>10</xdr:col>
      <xdr:colOff>285750</xdr:colOff>
      <xdr:row>6</xdr:row>
      <xdr:rowOff>171449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CxnSpPr/>
      </xdr:nvCxnSpPr>
      <xdr:spPr>
        <a:xfrm rot="16200000" flipH="1">
          <a:off x="6029325" y="971549"/>
          <a:ext cx="695325" cy="9525"/>
        </a:xfrm>
        <a:prstGeom prst="line">
          <a:avLst/>
        </a:prstGeom>
        <a:ln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352426</xdr:colOff>
      <xdr:row>9</xdr:row>
      <xdr:rowOff>28575</xdr:rowOff>
    </xdr:from>
    <xdr:to>
      <xdr:col>6</xdr:col>
      <xdr:colOff>390526</xdr:colOff>
      <xdr:row>13</xdr:row>
      <xdr:rowOff>171450</xdr:rowOff>
    </xdr:to>
    <xdr:sp macro="" textlink="">
      <xdr:nvSpPr>
        <xdr:cNvPr id="13" name="Rounded Rectangular Callou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3400426" y="1752600"/>
          <a:ext cx="647700" cy="904875"/>
        </a:xfrm>
        <a:prstGeom prst="wedgeRoundRectCallout">
          <a:avLst>
            <a:gd name="adj1" fmla="val 267402"/>
            <a:gd name="adj2" fmla="val -11714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4th qrtr of 2002</a:t>
          </a:r>
          <a:r>
            <a:rPr lang="en-US" sz="1100" b="1" baseline="0"/>
            <a:t> </a:t>
          </a:r>
          <a:r>
            <a:rPr lang="en-US" sz="1100" b="1"/>
            <a:t>ends here</a:t>
          </a:r>
        </a:p>
      </xdr:txBody>
    </xdr:sp>
    <xdr:clientData/>
  </xdr:twoCellAnchor>
  <xdr:twoCellAnchor>
    <xdr:from>
      <xdr:col>15</xdr:col>
      <xdr:colOff>533401</xdr:colOff>
      <xdr:row>7</xdr:row>
      <xdr:rowOff>180975</xdr:rowOff>
    </xdr:from>
    <xdr:to>
      <xdr:col>16</xdr:col>
      <xdr:colOff>571501</xdr:colOff>
      <xdr:row>12</xdr:row>
      <xdr:rowOff>133350</xdr:rowOff>
    </xdr:to>
    <xdr:sp macro="" textlink="">
      <xdr:nvSpPr>
        <xdr:cNvPr id="14" name="Rounded Rectangular Callou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9677401" y="1524000"/>
          <a:ext cx="647700" cy="952500"/>
        </a:xfrm>
        <a:prstGeom prst="wedgeRoundRectCallout">
          <a:avLst>
            <a:gd name="adj1" fmla="val -225245"/>
            <a:gd name="adj2" fmla="val -86886"/>
            <a:gd name="adj3" fmla="val 16667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1st qrtr of 2004</a:t>
          </a:r>
          <a:r>
            <a:rPr lang="en-US" sz="1100" b="1" baseline="0"/>
            <a:t> </a:t>
          </a:r>
          <a:r>
            <a:rPr lang="en-US" sz="1100" b="1"/>
            <a:t>ends here</a:t>
          </a:r>
        </a:p>
      </xdr:txBody>
    </xdr:sp>
    <xdr:clientData/>
  </xdr:twoCellAnchor>
  <xdr:twoCellAnchor>
    <xdr:from>
      <xdr:col>11</xdr:col>
      <xdr:colOff>285750</xdr:colOff>
      <xdr:row>3</xdr:row>
      <xdr:rowOff>57149</xdr:rowOff>
    </xdr:from>
    <xdr:to>
      <xdr:col>11</xdr:col>
      <xdr:colOff>295275</xdr:colOff>
      <xdr:row>6</xdr:row>
      <xdr:rowOff>171449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CxnSpPr/>
      </xdr:nvCxnSpPr>
      <xdr:spPr>
        <a:xfrm rot="16200000" flipH="1">
          <a:off x="6648450" y="971549"/>
          <a:ext cx="695325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276225</xdr:colOff>
      <xdr:row>4</xdr:row>
      <xdr:rowOff>133350</xdr:rowOff>
    </xdr:from>
    <xdr:to>
      <xdr:col>10</xdr:col>
      <xdr:colOff>600075</xdr:colOff>
      <xdr:row>4</xdr:row>
      <xdr:rowOff>134938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CxnSpPr/>
      </xdr:nvCxnSpPr>
      <xdr:spPr>
        <a:xfrm>
          <a:off x="6372225" y="895350"/>
          <a:ext cx="323850" cy="1588"/>
        </a:xfrm>
        <a:prstGeom prst="straightConnector1">
          <a:avLst/>
        </a:prstGeom>
        <a:ln>
          <a:solidFill>
            <a:srgbClr val="0070C0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581025</xdr:colOff>
      <xdr:row>3</xdr:row>
      <xdr:rowOff>123825</xdr:rowOff>
    </xdr:from>
    <xdr:to>
      <xdr:col>11</xdr:col>
      <xdr:colOff>295275</xdr:colOff>
      <xdr:row>3</xdr:row>
      <xdr:rowOff>125413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CxnSpPr/>
      </xdr:nvCxnSpPr>
      <xdr:spPr>
        <a:xfrm>
          <a:off x="6677025" y="695325"/>
          <a:ext cx="323850" cy="1588"/>
        </a:xfrm>
        <a:prstGeom prst="straightConnector1">
          <a:avLst/>
        </a:prstGeom>
        <a:ln>
          <a:solidFill>
            <a:srgbClr val="FF0000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123825</xdr:colOff>
      <xdr:row>0</xdr:row>
      <xdr:rowOff>95250</xdr:rowOff>
    </xdr:from>
    <xdr:to>
      <xdr:col>12</xdr:col>
      <xdr:colOff>533400</xdr:colOff>
      <xdr:row>2</xdr:row>
      <xdr:rowOff>0</xdr:rowOff>
    </xdr:to>
    <xdr:sp macro="" textlink="">
      <xdr:nvSpPr>
        <xdr:cNvPr id="20" name="Line Callout 2 (Border and Accent Bar)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7439025" y="95250"/>
          <a:ext cx="409575" cy="285750"/>
        </a:xfrm>
        <a:prstGeom prst="accentBorderCallout2">
          <a:avLst>
            <a:gd name="adj1" fmla="val 18750"/>
            <a:gd name="adj2" fmla="val -8333"/>
            <a:gd name="adj3" fmla="val 18750"/>
            <a:gd name="adj4" fmla="val -16667"/>
            <a:gd name="adj5" fmla="val 197500"/>
            <a:gd name="adj6" fmla="val -146971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/>
            <a:t>0.5</a:t>
          </a:r>
        </a:p>
      </xdr:txBody>
    </xdr:sp>
    <xdr:clientData/>
  </xdr:twoCellAnchor>
  <xdr:twoCellAnchor>
    <xdr:from>
      <xdr:col>12</xdr:col>
      <xdr:colOff>333375</xdr:colOff>
      <xdr:row>3</xdr:row>
      <xdr:rowOff>57149</xdr:rowOff>
    </xdr:from>
    <xdr:to>
      <xdr:col>12</xdr:col>
      <xdr:colOff>342900</xdr:colOff>
      <xdr:row>6</xdr:row>
      <xdr:rowOff>171449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CxnSpPr/>
      </xdr:nvCxnSpPr>
      <xdr:spPr>
        <a:xfrm rot="16200000" flipH="1">
          <a:off x="7305675" y="971549"/>
          <a:ext cx="695325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581025</xdr:colOff>
      <xdr:row>4</xdr:row>
      <xdr:rowOff>85725</xdr:rowOff>
    </xdr:from>
    <xdr:to>
      <xdr:col>12</xdr:col>
      <xdr:colOff>323850</xdr:colOff>
      <xdr:row>4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CxnSpPr/>
      </xdr:nvCxnSpPr>
      <xdr:spPr>
        <a:xfrm flipV="1">
          <a:off x="6677025" y="847725"/>
          <a:ext cx="962025" cy="9525"/>
        </a:xfrm>
        <a:prstGeom prst="straightConnector1">
          <a:avLst/>
        </a:prstGeom>
        <a:ln>
          <a:solidFill>
            <a:srgbClr val="FF0000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504825</xdr:colOff>
      <xdr:row>2</xdr:row>
      <xdr:rowOff>66675</xdr:rowOff>
    </xdr:from>
    <xdr:to>
      <xdr:col>13</xdr:col>
      <xdr:colOff>485775</xdr:colOff>
      <xdr:row>3</xdr:row>
      <xdr:rowOff>161925</xdr:rowOff>
    </xdr:to>
    <xdr:sp macro="" textlink="">
      <xdr:nvSpPr>
        <xdr:cNvPr id="24" name="Line Callout 2 (Border and Accent Bar)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/>
      </xdr:nvSpPr>
      <xdr:spPr>
        <a:xfrm>
          <a:off x="7820025" y="447675"/>
          <a:ext cx="590550" cy="285750"/>
        </a:xfrm>
        <a:prstGeom prst="accentBorderCallout2">
          <a:avLst>
            <a:gd name="adj1" fmla="val 18750"/>
            <a:gd name="adj2" fmla="val -8333"/>
            <a:gd name="adj3" fmla="val 18750"/>
            <a:gd name="adj4" fmla="val -16667"/>
            <a:gd name="adj5" fmla="val 144166"/>
            <a:gd name="adj6" fmla="val -122478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/>
            <a:t>1.5</a:t>
          </a:r>
        </a:p>
      </xdr:txBody>
    </xdr:sp>
    <xdr:clientData/>
  </xdr:twoCellAnchor>
  <xdr:twoCellAnchor>
    <xdr:from>
      <xdr:col>13</xdr:col>
      <xdr:colOff>285750</xdr:colOff>
      <xdr:row>3</xdr:row>
      <xdr:rowOff>47624</xdr:rowOff>
    </xdr:from>
    <xdr:to>
      <xdr:col>13</xdr:col>
      <xdr:colOff>295275</xdr:colOff>
      <xdr:row>6</xdr:row>
      <xdr:rowOff>161924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CxnSpPr/>
      </xdr:nvCxnSpPr>
      <xdr:spPr>
        <a:xfrm rot="16200000" flipH="1">
          <a:off x="7867650" y="962024"/>
          <a:ext cx="695325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438150</xdr:colOff>
      <xdr:row>2</xdr:row>
      <xdr:rowOff>95250</xdr:rowOff>
    </xdr:from>
    <xdr:to>
      <xdr:col>15</xdr:col>
      <xdr:colOff>419100</xdr:colOff>
      <xdr:row>4</xdr:row>
      <xdr:rowOff>0</xdr:rowOff>
    </xdr:to>
    <xdr:sp macro="" textlink="">
      <xdr:nvSpPr>
        <xdr:cNvPr id="26" name="Line Callout 2 (Border and Accent Bar)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8972550" y="476250"/>
          <a:ext cx="590550" cy="285750"/>
        </a:xfrm>
        <a:prstGeom prst="accentBorderCallout2">
          <a:avLst>
            <a:gd name="adj1" fmla="val 18750"/>
            <a:gd name="adj2" fmla="val -8333"/>
            <a:gd name="adj3" fmla="val 18750"/>
            <a:gd name="adj4" fmla="val -16667"/>
            <a:gd name="adj5" fmla="val 177499"/>
            <a:gd name="adj6" fmla="val -161188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/>
            <a:t>2.5</a:t>
          </a:r>
        </a:p>
      </xdr:txBody>
    </xdr:sp>
    <xdr:clientData/>
  </xdr:twoCellAnchor>
  <xdr:twoCellAnchor>
    <xdr:from>
      <xdr:col>11</xdr:col>
      <xdr:colOff>76200</xdr:colOff>
      <xdr:row>5</xdr:row>
      <xdr:rowOff>47625</xdr:rowOff>
    </xdr:from>
    <xdr:to>
      <xdr:col>13</xdr:col>
      <xdr:colOff>323850</xdr:colOff>
      <xdr:row>5</xdr:row>
      <xdr:rowOff>57151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CxnSpPr/>
      </xdr:nvCxnSpPr>
      <xdr:spPr>
        <a:xfrm flipV="1">
          <a:off x="6781800" y="1000125"/>
          <a:ext cx="1466850" cy="9526"/>
        </a:xfrm>
        <a:prstGeom prst="straightConnector1">
          <a:avLst/>
        </a:prstGeom>
        <a:ln>
          <a:solidFill>
            <a:srgbClr val="FF0000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1</xdr:row>
      <xdr:rowOff>38100</xdr:rowOff>
    </xdr:from>
    <xdr:to>
      <xdr:col>9</xdr:col>
      <xdr:colOff>485776</xdr:colOff>
      <xdr:row>2</xdr:row>
      <xdr:rowOff>161925</xdr:rowOff>
    </xdr:to>
    <xdr:sp macro="" textlink="">
      <xdr:nvSpPr>
        <xdr:cNvPr id="29" name="Cloud Callout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/>
      </xdr:nvSpPr>
      <xdr:spPr>
        <a:xfrm>
          <a:off x="5324475" y="228600"/>
          <a:ext cx="647701" cy="314325"/>
        </a:xfrm>
        <a:prstGeom prst="cloudCallout">
          <a:avLst>
            <a:gd name="adj1" fmla="val 112290"/>
            <a:gd name="adj2" fmla="val 1079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-0.5</a:t>
          </a:r>
        </a:p>
      </xdr:txBody>
    </xdr:sp>
    <xdr:clientData/>
  </xdr:twoCellAnchor>
  <xdr:twoCellAnchor>
    <xdr:from>
      <xdr:col>9</xdr:col>
      <xdr:colOff>285750</xdr:colOff>
      <xdr:row>5</xdr:row>
      <xdr:rowOff>2</xdr:rowOff>
    </xdr:from>
    <xdr:to>
      <xdr:col>9</xdr:col>
      <xdr:colOff>285751</xdr:colOff>
      <xdr:row>6</xdr:row>
      <xdr:rowOff>9522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CxnSpPr/>
      </xdr:nvCxnSpPr>
      <xdr:spPr>
        <a:xfrm rot="16200000" flipH="1">
          <a:off x="5667378" y="1057274"/>
          <a:ext cx="209545" cy="1"/>
        </a:xfrm>
        <a:prstGeom prst="line">
          <a:avLst/>
        </a:prstGeom>
        <a:ln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2</xdr:row>
      <xdr:rowOff>28575</xdr:rowOff>
    </xdr:from>
    <xdr:to>
      <xdr:col>8</xdr:col>
      <xdr:colOff>371476</xdr:colOff>
      <xdr:row>3</xdr:row>
      <xdr:rowOff>152400</xdr:rowOff>
    </xdr:to>
    <xdr:sp macro="" textlink="">
      <xdr:nvSpPr>
        <xdr:cNvPr id="33" name="Cloud Callout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/>
      </xdr:nvSpPr>
      <xdr:spPr>
        <a:xfrm>
          <a:off x="4600575" y="409575"/>
          <a:ext cx="647701" cy="314325"/>
        </a:xfrm>
        <a:prstGeom prst="cloudCallout">
          <a:avLst>
            <a:gd name="adj1" fmla="val 126995"/>
            <a:gd name="adj2" fmla="val 129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-1.5</a:t>
          </a:r>
        </a:p>
      </xdr:txBody>
    </xdr:sp>
    <xdr:clientData/>
  </xdr:twoCellAnchor>
  <xdr:twoCellAnchor>
    <xdr:from>
      <xdr:col>8</xdr:col>
      <xdr:colOff>323850</xdr:colOff>
      <xdr:row>5</xdr:row>
      <xdr:rowOff>19052</xdr:rowOff>
    </xdr:from>
    <xdr:to>
      <xdr:col>8</xdr:col>
      <xdr:colOff>323851</xdr:colOff>
      <xdr:row>6</xdr:row>
      <xdr:rowOff>28572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CxnSpPr/>
      </xdr:nvCxnSpPr>
      <xdr:spPr>
        <a:xfrm rot="16200000" flipH="1">
          <a:off x="5095878" y="1076324"/>
          <a:ext cx="209545" cy="1"/>
        </a:xfrm>
        <a:prstGeom prst="line">
          <a:avLst/>
        </a:prstGeom>
        <a:ln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552450</xdr:colOff>
      <xdr:row>3</xdr:row>
      <xdr:rowOff>171450</xdr:rowOff>
    </xdr:from>
    <xdr:to>
      <xdr:col>7</xdr:col>
      <xdr:colOff>590551</xdr:colOff>
      <xdr:row>5</xdr:row>
      <xdr:rowOff>104775</xdr:rowOff>
    </xdr:to>
    <xdr:sp macro="" textlink="">
      <xdr:nvSpPr>
        <xdr:cNvPr id="35" name="Cloud Callout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/>
      </xdr:nvSpPr>
      <xdr:spPr>
        <a:xfrm>
          <a:off x="4210050" y="742950"/>
          <a:ext cx="647701" cy="314325"/>
        </a:xfrm>
        <a:prstGeom prst="cloudCallout">
          <a:avLst>
            <a:gd name="adj1" fmla="val 97583"/>
            <a:gd name="adj2" fmla="val 4431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-2.5</a:t>
          </a:r>
        </a:p>
      </xdr:txBody>
    </xdr:sp>
    <xdr:clientData/>
  </xdr:twoCellAnchor>
  <xdr:twoCellAnchor>
    <xdr:from>
      <xdr:col>0</xdr:col>
      <xdr:colOff>571500</xdr:colOff>
      <xdr:row>16</xdr:row>
      <xdr:rowOff>152400</xdr:rowOff>
    </xdr:from>
    <xdr:to>
      <xdr:col>2</xdr:col>
      <xdr:colOff>428625</xdr:colOff>
      <xdr:row>19</xdr:row>
      <xdr:rowOff>114300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/>
      </xdr:nvSpPr>
      <xdr:spPr>
        <a:xfrm>
          <a:off x="571500" y="3257550"/>
          <a:ext cx="1076325" cy="5334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/>
            <a:t>Y = Ti*Ci*Si*Ri</a:t>
          </a:r>
        </a:p>
      </xdr:txBody>
    </xdr:sp>
    <xdr:clientData/>
  </xdr:twoCellAnchor>
  <xdr:twoCellAnchor>
    <xdr:from>
      <xdr:col>3</xdr:col>
      <xdr:colOff>409575</xdr:colOff>
      <xdr:row>17</xdr:row>
      <xdr:rowOff>123825</xdr:rowOff>
    </xdr:from>
    <xdr:to>
      <xdr:col>6</xdr:col>
      <xdr:colOff>95250</xdr:colOff>
      <xdr:row>21</xdr:row>
      <xdr:rowOff>57150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2238375" y="3419475"/>
          <a:ext cx="1514475" cy="69532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400" b="1"/>
            <a:t>Find MA [4 qtr, 2 yr divided by 8] = Ti*Ci</a:t>
          </a:r>
        </a:p>
      </xdr:txBody>
    </xdr:sp>
    <xdr:clientData/>
  </xdr:twoCellAnchor>
  <xdr:twoCellAnchor>
    <xdr:from>
      <xdr:col>6</xdr:col>
      <xdr:colOff>581025</xdr:colOff>
      <xdr:row>18</xdr:row>
      <xdr:rowOff>0</xdr:rowOff>
    </xdr:from>
    <xdr:to>
      <xdr:col>9</xdr:col>
      <xdr:colOff>266700</xdr:colOff>
      <xdr:row>21</xdr:row>
      <xdr:rowOff>123825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/>
      </xdr:nvSpPr>
      <xdr:spPr>
        <a:xfrm>
          <a:off x="4238625" y="3486150"/>
          <a:ext cx="1514475" cy="69532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400" b="1"/>
            <a:t>Find (Y/MA)*100            [= Si*Ri]</a:t>
          </a:r>
        </a:p>
      </xdr:txBody>
    </xdr:sp>
    <xdr:clientData/>
  </xdr:twoCellAnchor>
  <xdr:twoCellAnchor>
    <xdr:from>
      <xdr:col>10</xdr:col>
      <xdr:colOff>85725</xdr:colOff>
      <xdr:row>16</xdr:row>
      <xdr:rowOff>161925</xdr:rowOff>
    </xdr:from>
    <xdr:to>
      <xdr:col>13</xdr:col>
      <xdr:colOff>409575</xdr:colOff>
      <xdr:row>24</xdr:row>
      <xdr:rowOff>142875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SpPr/>
      </xdr:nvSpPr>
      <xdr:spPr>
        <a:xfrm>
          <a:off x="6181725" y="3267075"/>
          <a:ext cx="2152650" cy="15049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Adjust (Y/MA)*100 By deleting extremes, averaging, sum, 400/sum, multiply averages = Adjusting Constants</a:t>
          </a:r>
        </a:p>
      </xdr:txBody>
    </xdr:sp>
    <xdr:clientData/>
  </xdr:twoCellAnchor>
  <xdr:twoCellAnchor>
    <xdr:from>
      <xdr:col>14</xdr:col>
      <xdr:colOff>19050</xdr:colOff>
      <xdr:row>16</xdr:row>
      <xdr:rowOff>133350</xdr:rowOff>
    </xdr:from>
    <xdr:to>
      <xdr:col>17</xdr:col>
      <xdr:colOff>400050</xdr:colOff>
      <xdr:row>23</xdr:row>
      <xdr:rowOff>76200</xdr:rowOff>
    </xdr:to>
    <xdr:sp macro="" textlink="">
      <xdr:nvSpPr>
        <xdr:cNvPr id="41" name="Isosceles Triangle 40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SpPr/>
      </xdr:nvSpPr>
      <xdr:spPr>
        <a:xfrm>
          <a:off x="8553450" y="3238500"/>
          <a:ext cx="2209800" cy="1276350"/>
        </a:xfrm>
        <a:prstGeom prst="triangle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rtlCol="0" anchor="t"/>
        <a:lstStyle/>
        <a:p>
          <a:pPr algn="ctr"/>
          <a:r>
            <a:rPr lang="en-US" sz="1100" b="1"/>
            <a:t>Y/Adj Const = Deseasonalised Y</a:t>
          </a:r>
        </a:p>
      </xdr:txBody>
    </xdr:sp>
    <xdr:clientData/>
  </xdr:twoCellAnchor>
  <xdr:twoCellAnchor>
    <xdr:from>
      <xdr:col>14</xdr:col>
      <xdr:colOff>238125</xdr:colOff>
      <xdr:row>27</xdr:row>
      <xdr:rowOff>0</xdr:rowOff>
    </xdr:from>
    <xdr:to>
      <xdr:col>17</xdr:col>
      <xdr:colOff>104775</xdr:colOff>
      <xdr:row>31</xdr:row>
      <xdr:rowOff>76200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SpPr/>
      </xdr:nvSpPr>
      <xdr:spPr>
        <a:xfrm>
          <a:off x="8772525" y="5200650"/>
          <a:ext cx="1695450" cy="8382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1"/>
            <a:t>Find:--&gt;</a:t>
          </a:r>
          <a:r>
            <a:rPr lang="en-US" sz="1100" b="1" baseline="0"/>
            <a:t> </a:t>
          </a:r>
          <a:r>
            <a:rPr lang="en-US" sz="1100" b="1"/>
            <a:t>d, X = 2d,</a:t>
          </a:r>
          <a:r>
            <a:rPr lang="en-US" sz="1100" b="1" baseline="0"/>
            <a:t> intercept and Reg Coeff, Response Variable as           Deasonalized Y</a:t>
          </a:r>
          <a:endParaRPr lang="en-US" sz="1100" b="1"/>
        </a:p>
      </xdr:txBody>
    </xdr:sp>
    <xdr:clientData/>
  </xdr:twoCellAnchor>
  <xdr:twoCellAnchor>
    <xdr:from>
      <xdr:col>10</xdr:col>
      <xdr:colOff>114300</xdr:colOff>
      <xdr:row>25</xdr:row>
      <xdr:rowOff>28575</xdr:rowOff>
    </xdr:from>
    <xdr:to>
      <xdr:col>13</xdr:col>
      <xdr:colOff>495300</xdr:colOff>
      <xdr:row>31</xdr:row>
      <xdr:rowOff>161925</xdr:rowOff>
    </xdr:to>
    <xdr:sp macro="" textlink="">
      <xdr:nvSpPr>
        <xdr:cNvPr id="43" name="Isosceles Triangle 42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SpPr/>
      </xdr:nvSpPr>
      <xdr:spPr>
        <a:xfrm>
          <a:off x="6210300" y="4848225"/>
          <a:ext cx="2209800" cy="1276350"/>
        </a:xfrm>
        <a:prstGeom prst="triangl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t"/>
        <a:lstStyle/>
        <a:p>
          <a:pPr algn="ctr"/>
          <a:r>
            <a:rPr lang="en-US" sz="1100" b="1"/>
            <a:t>Pred Y is TREND Values</a:t>
          </a:r>
        </a:p>
      </xdr:txBody>
    </xdr:sp>
    <xdr:clientData/>
  </xdr:twoCellAnchor>
  <xdr:twoCellAnchor>
    <xdr:from>
      <xdr:col>8</xdr:col>
      <xdr:colOff>561975</xdr:colOff>
      <xdr:row>33</xdr:row>
      <xdr:rowOff>57150</xdr:rowOff>
    </xdr:from>
    <xdr:to>
      <xdr:col>12</xdr:col>
      <xdr:colOff>333375</xdr:colOff>
      <xdr:row>40</xdr:row>
      <xdr:rowOff>0</xdr:rowOff>
    </xdr:to>
    <xdr:sp macro="" textlink="">
      <xdr:nvSpPr>
        <xdr:cNvPr id="44" name="Isosceles Triangle 43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SpPr/>
      </xdr:nvSpPr>
      <xdr:spPr>
        <a:xfrm>
          <a:off x="5438775" y="6400800"/>
          <a:ext cx="2209800" cy="1276350"/>
        </a:xfrm>
        <a:prstGeom prst="triangle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t"/>
        <a:lstStyle/>
        <a:p>
          <a:pPr algn="ctr"/>
          <a:r>
            <a:rPr lang="en-US" sz="1100" b="1"/>
            <a:t>DETREND Values =  Y/Pred Y</a:t>
          </a:r>
        </a:p>
      </xdr:txBody>
    </xdr:sp>
    <xdr:clientData/>
  </xdr:twoCellAnchor>
  <xdr:twoCellAnchor>
    <xdr:from>
      <xdr:col>4</xdr:col>
      <xdr:colOff>552450</xdr:colOff>
      <xdr:row>27</xdr:row>
      <xdr:rowOff>9525</xdr:rowOff>
    </xdr:from>
    <xdr:to>
      <xdr:col>9</xdr:col>
      <xdr:colOff>247650</xdr:colOff>
      <xdr:row>37</xdr:row>
      <xdr:rowOff>47625</xdr:rowOff>
    </xdr:to>
    <xdr:sp macro="" textlink="">
      <xdr:nvSpPr>
        <xdr:cNvPr id="45" name="12-Point Star 44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SpPr/>
      </xdr:nvSpPr>
      <xdr:spPr>
        <a:xfrm>
          <a:off x="2990850" y="5210175"/>
          <a:ext cx="2743200" cy="1943100"/>
        </a:xfrm>
        <a:prstGeom prst="star12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Pred Y * Adjusting Const = DESEASONALIZED</a:t>
          </a:r>
          <a:r>
            <a:rPr lang="en-US" sz="1100" baseline="0"/>
            <a:t> &amp; DETRENDED Predictions</a:t>
          </a:r>
          <a:endParaRPr lang="en-US" sz="1100"/>
        </a:p>
      </xdr:txBody>
    </xdr:sp>
    <xdr:clientData/>
  </xdr:twoCellAnchor>
  <xdr:twoCellAnchor>
    <xdr:from>
      <xdr:col>2</xdr:col>
      <xdr:colOff>428625</xdr:colOff>
      <xdr:row>18</xdr:row>
      <xdr:rowOff>38100</xdr:rowOff>
    </xdr:from>
    <xdr:to>
      <xdr:col>3</xdr:col>
      <xdr:colOff>409575</xdr:colOff>
      <xdr:row>20</xdr:row>
      <xdr:rowOff>19050</xdr:rowOff>
    </xdr:to>
    <xdr:cxnSp macro="">
      <xdr:nvCxnSpPr>
        <xdr:cNvPr id="47" name="Elbow Connector 4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CxnSpPr>
          <a:stCxn id="37" idx="3"/>
        </xdr:cNvCxnSpPr>
      </xdr:nvCxnSpPr>
      <xdr:spPr>
        <a:xfrm>
          <a:off x="1647825" y="3524250"/>
          <a:ext cx="590550" cy="3619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19</xdr:row>
      <xdr:rowOff>90488</xdr:rowOff>
    </xdr:from>
    <xdr:to>
      <xdr:col>6</xdr:col>
      <xdr:colOff>571500</xdr:colOff>
      <xdr:row>20</xdr:row>
      <xdr:rowOff>133350</xdr:rowOff>
    </xdr:to>
    <xdr:cxnSp macro="">
      <xdr:nvCxnSpPr>
        <xdr:cNvPr id="49" name="Elbow Connector 48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CxnSpPr>
          <a:stCxn id="38" idx="3"/>
        </xdr:cNvCxnSpPr>
      </xdr:nvCxnSpPr>
      <xdr:spPr>
        <a:xfrm>
          <a:off x="3752850" y="3767138"/>
          <a:ext cx="476250" cy="23336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19</xdr:row>
      <xdr:rowOff>157163</xdr:rowOff>
    </xdr:from>
    <xdr:to>
      <xdr:col>10</xdr:col>
      <xdr:colOff>85725</xdr:colOff>
      <xdr:row>20</xdr:row>
      <xdr:rowOff>152400</xdr:rowOff>
    </xdr:to>
    <xdr:cxnSp macro="">
      <xdr:nvCxnSpPr>
        <xdr:cNvPr id="51" name="Elbow Connector 50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CxnSpPr>
          <a:stCxn id="39" idx="3"/>
          <a:endCxn id="40" idx="2"/>
        </xdr:cNvCxnSpPr>
      </xdr:nvCxnSpPr>
      <xdr:spPr>
        <a:xfrm>
          <a:off x="5753100" y="3833813"/>
          <a:ext cx="428625" cy="18573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409575</xdr:colOff>
      <xdr:row>18</xdr:row>
      <xdr:rowOff>133350</xdr:rowOff>
    </xdr:from>
    <xdr:to>
      <xdr:col>15</xdr:col>
      <xdr:colOff>209550</xdr:colOff>
      <xdr:row>20</xdr:row>
      <xdr:rowOff>152400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CxnSpPr>
          <a:stCxn id="40" idx="6"/>
        </xdr:cNvCxnSpPr>
      </xdr:nvCxnSpPr>
      <xdr:spPr>
        <a:xfrm flipV="1">
          <a:off x="8334375" y="3619500"/>
          <a:ext cx="1019175" cy="4000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476251</xdr:colOff>
      <xdr:row>23</xdr:row>
      <xdr:rowOff>104774</xdr:rowOff>
    </xdr:from>
    <xdr:to>
      <xdr:col>16</xdr:col>
      <xdr:colOff>133351</xdr:colOff>
      <xdr:row>26</xdr:row>
      <xdr:rowOff>190499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CxnSpPr>
          <a:endCxn id="42" idx="0"/>
        </xdr:cNvCxnSpPr>
      </xdr:nvCxnSpPr>
      <xdr:spPr>
        <a:xfrm rot="5400000">
          <a:off x="9424988" y="4738687"/>
          <a:ext cx="657225" cy="2667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361951</xdr:colOff>
      <xdr:row>27</xdr:row>
      <xdr:rowOff>47626</xdr:rowOff>
    </xdr:from>
    <xdr:to>
      <xdr:col>14</xdr:col>
      <xdr:colOff>238126</xdr:colOff>
      <xdr:row>29</xdr:row>
      <xdr:rowOff>38101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CxnSpPr>
          <a:stCxn id="42" idx="1"/>
        </xdr:cNvCxnSpPr>
      </xdr:nvCxnSpPr>
      <xdr:spPr>
        <a:xfrm rot="10800000">
          <a:off x="7677151" y="5248276"/>
          <a:ext cx="1095375" cy="3714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390525</xdr:colOff>
      <xdr:row>31</xdr:row>
      <xdr:rowOff>161926</xdr:rowOff>
    </xdr:from>
    <xdr:to>
      <xdr:col>12</xdr:col>
      <xdr:colOff>0</xdr:colOff>
      <xdr:row>36</xdr:row>
      <xdr:rowOff>123826</xdr:rowOff>
    </xdr:to>
    <xdr:cxnSp macro="">
      <xdr:nvCxnSpPr>
        <xdr:cNvPr id="59" name="Shap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CxnSpPr>
          <a:stCxn id="43" idx="3"/>
          <a:endCxn id="44" idx="5"/>
        </xdr:cNvCxnSpPr>
      </xdr:nvCxnSpPr>
      <xdr:spPr>
        <a:xfrm rot="5400000">
          <a:off x="6748463" y="6472238"/>
          <a:ext cx="914400" cy="219075"/>
        </a:xfrm>
        <a:prstGeom prst="bentConnector4">
          <a:avLst>
            <a:gd name="adj1" fmla="val 15104"/>
            <a:gd name="adj2" fmla="val -608696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523876</xdr:colOff>
      <xdr:row>28</xdr:row>
      <xdr:rowOff>95249</xdr:rowOff>
    </xdr:from>
    <xdr:to>
      <xdr:col>11</xdr:col>
      <xdr:colOff>57151</xdr:colOff>
      <xdr:row>30</xdr:row>
      <xdr:rowOff>123824</xdr:rowOff>
    </xdr:to>
    <xdr:cxnSp macro="">
      <xdr:nvCxnSpPr>
        <xdr:cNvPr id="61" name="Elbow Connector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CxnSpPr>
          <a:stCxn id="43" idx="1"/>
        </xdr:cNvCxnSpPr>
      </xdr:nvCxnSpPr>
      <xdr:spPr>
        <a:xfrm rot="10800000" flipV="1">
          <a:off x="5400676" y="5486399"/>
          <a:ext cx="1362075" cy="4095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95251</xdr:colOff>
      <xdr:row>23</xdr:row>
      <xdr:rowOff>112979</xdr:rowOff>
    </xdr:from>
    <xdr:to>
      <xdr:col>10</xdr:col>
      <xdr:colOff>400975</xdr:colOff>
      <xdr:row>27</xdr:row>
      <xdr:rowOff>9524</xdr:rowOff>
    </xdr:to>
    <xdr:cxnSp macro="">
      <xdr:nvCxnSpPr>
        <xdr:cNvPr id="63" name="Elbow Connector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CxnSpPr>
          <a:stCxn id="40" idx="3"/>
          <a:endCxn id="45" idx="10"/>
        </xdr:cNvCxnSpPr>
      </xdr:nvCxnSpPr>
      <xdr:spPr>
        <a:xfrm rot="5400000">
          <a:off x="5100440" y="3813640"/>
          <a:ext cx="658545" cy="2134524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prstDash val="dash"/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20</xdr:row>
      <xdr:rowOff>123825</xdr:rowOff>
    </xdr:from>
    <xdr:to>
      <xdr:col>9</xdr:col>
      <xdr:colOff>581025</xdr:colOff>
      <xdr:row>34</xdr:row>
      <xdr:rowOff>180350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14900" y="3990975"/>
          <a:ext cx="1790700" cy="2752100"/>
        </a:xfrm>
        <a:prstGeom prst="rect">
          <a:avLst/>
        </a:prstGeom>
        <a:noFill/>
        <a:ln w="1">
          <a:solidFill>
            <a:schemeClr val="accent1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0</xdr:row>
      <xdr:rowOff>38100</xdr:rowOff>
    </xdr:from>
    <xdr:to>
      <xdr:col>9</xdr:col>
      <xdr:colOff>571500</xdr:colOff>
      <xdr:row>14</xdr:row>
      <xdr:rowOff>85100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05375" y="38100"/>
          <a:ext cx="1790700" cy="2752100"/>
        </a:xfrm>
        <a:prstGeom prst="rect">
          <a:avLst/>
        </a:prstGeom>
        <a:noFill/>
        <a:ln w="1">
          <a:solidFill>
            <a:schemeClr val="accent1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0</xdr:row>
      <xdr:rowOff>171450</xdr:rowOff>
    </xdr:from>
    <xdr:to>
      <xdr:col>13</xdr:col>
      <xdr:colOff>36800</xdr:colOff>
      <xdr:row>13</xdr:row>
      <xdr:rowOff>171450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t="6711" r="5570" b="2349"/>
        <a:stretch>
          <a:fillRect/>
        </a:stretch>
      </xdr:blipFill>
      <xdr:spPr bwMode="auto">
        <a:xfrm>
          <a:off x="5648325" y="171450"/>
          <a:ext cx="3265775" cy="2486025"/>
        </a:xfrm>
        <a:prstGeom prst="rect">
          <a:avLst/>
        </a:prstGeom>
        <a:noFill/>
        <a:ln w="1">
          <a:solidFill>
            <a:srgbClr val="FF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251460</xdr:colOff>
      <xdr:row>14</xdr:row>
      <xdr:rowOff>24765</xdr:rowOff>
    </xdr:from>
    <xdr:to>
      <xdr:col>3</xdr:col>
      <xdr:colOff>213360</xdr:colOff>
      <xdr:row>22</xdr:row>
      <xdr:rowOff>24765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00000000-0008-0000-0B00-00000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61060" y="2592705"/>
          <a:ext cx="1348740" cy="1463040"/>
        </a:xfrm>
        <a:prstGeom prst="rect">
          <a:avLst/>
        </a:prstGeom>
        <a:noFill/>
        <a:ln w="1">
          <a:solidFill>
            <a:srgbClr val="FF0000"/>
          </a:solidFill>
          <a:miter lim="800000"/>
          <a:headEnd/>
          <a:tailEnd type="none" w="med" len="med"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83820</xdr:colOff>
          <xdr:row>17</xdr:row>
          <xdr:rowOff>53340</xdr:rowOff>
        </xdr:from>
        <xdr:to>
          <xdr:col>9</xdr:col>
          <xdr:colOff>952500</xdr:colOff>
          <xdr:row>31</xdr:row>
          <xdr:rowOff>121920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B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13</xdr:row>
      <xdr:rowOff>123825</xdr:rowOff>
    </xdr:from>
    <xdr:to>
      <xdr:col>2</xdr:col>
      <xdr:colOff>923925</xdr:colOff>
      <xdr:row>21</xdr:row>
      <xdr:rowOff>95250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00000000-0008-0000-0C00-000001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9625" y="2609850"/>
          <a:ext cx="1333500" cy="1524000"/>
        </a:xfrm>
        <a:prstGeom prst="rect">
          <a:avLst/>
        </a:prstGeom>
        <a:noFill/>
        <a:ln w="1">
          <a:solidFill>
            <a:srgbClr val="FF0000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0</xdr:colOff>
      <xdr:row>17</xdr:row>
      <xdr:rowOff>28575</xdr:rowOff>
    </xdr:from>
    <xdr:to>
      <xdr:col>6</xdr:col>
      <xdr:colOff>114300</xdr:colOff>
      <xdr:row>23</xdr:row>
      <xdr:rowOff>171450</xdr:rowOff>
    </xdr:to>
    <xdr:sp macro="" textlink="">
      <xdr:nvSpPr>
        <xdr:cNvPr id="3" name="12-Point Star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2438400" y="3305175"/>
          <a:ext cx="1333500" cy="1285875"/>
        </a:xfrm>
        <a:prstGeom prst="star12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Better than MA, </a:t>
          </a:r>
        </a:p>
        <a:p>
          <a:pPr algn="ctr"/>
          <a:r>
            <a:rPr lang="en-US" sz="1100"/>
            <a:t>EMA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66676</xdr:colOff>
      <xdr:row>1</xdr:row>
      <xdr:rowOff>19051</xdr:rowOff>
    </xdr:from>
    <xdr:to>
      <xdr:col>24</xdr:col>
      <xdr:colOff>19050</xdr:colOff>
      <xdr:row>14</xdr:row>
      <xdr:rowOff>79922</xdr:rowOff>
    </xdr:to>
    <xdr:pic>
      <xdr:nvPicPr>
        <xdr:cNvPr id="8197" name="Picture 5">
          <a:extLst>
            <a:ext uri="{FF2B5EF4-FFF2-40B4-BE49-F238E27FC236}">
              <a16:creationId xmlns:a16="http://schemas.microsoft.com/office/drawing/2014/main" id="{00000000-0008-0000-0D00-00000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72576" y="209551"/>
          <a:ext cx="2390774" cy="2775496"/>
        </a:xfrm>
        <a:prstGeom prst="rect">
          <a:avLst/>
        </a:prstGeom>
        <a:noFill/>
        <a:ln w="1">
          <a:solidFill>
            <a:srgbClr val="FF0000"/>
          </a:solidFill>
          <a:miter lim="800000"/>
          <a:headEnd/>
          <a:tailEnd type="none" w="med" len="med"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434340</xdr:colOff>
          <xdr:row>14</xdr:row>
          <xdr:rowOff>121920</xdr:rowOff>
        </xdr:from>
        <xdr:to>
          <xdr:col>27</xdr:col>
          <xdr:colOff>403860</xdr:colOff>
          <xdr:row>29</xdr:row>
          <xdr:rowOff>68580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D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APL_cal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pacf yt-2"/>
      <sheetName val="PACF"/>
      <sheetName val="Sheet5"/>
      <sheetName val="Sheet1"/>
    </sheetNames>
    <sheetDataSet>
      <sheetData sheetId="0">
        <row r="26">
          <cell r="B26">
            <v>161.41510447620149</v>
          </cell>
          <cell r="C26">
            <v>-6.095097476201488</v>
          </cell>
        </row>
        <row r="27">
          <cell r="B27">
            <v>154.61421595064635</v>
          </cell>
          <cell r="C27">
            <v>2.8657800493536456</v>
          </cell>
        </row>
        <row r="28">
          <cell r="B28">
            <v>158.01565213116683</v>
          </cell>
          <cell r="C28">
            <v>1.8343538688331762</v>
          </cell>
        </row>
        <row r="29">
          <cell r="B29">
            <v>160.42155838733788</v>
          </cell>
          <cell r="C29">
            <v>1.1784476126621257</v>
          </cell>
        </row>
        <row r="30">
          <cell r="B30">
            <v>162.07652730396472</v>
          </cell>
          <cell r="C30">
            <v>-1.1265303039647279</v>
          </cell>
        </row>
        <row r="31">
          <cell r="B31">
            <v>161.04937517160238</v>
          </cell>
          <cell r="C31">
            <v>-3.1893741716023669</v>
          </cell>
        </row>
        <row r="32">
          <cell r="B32">
            <v>157.57291562423788</v>
          </cell>
          <cell r="C32">
            <v>-7.2915624237879229E-2</v>
          </cell>
        </row>
        <row r="33">
          <cell r="B33">
            <v>157.64053753340539</v>
          </cell>
          <cell r="C33">
            <v>-0.43053053340540259</v>
          </cell>
        </row>
        <row r="34">
          <cell r="B34">
            <v>157.3611593455025</v>
          </cell>
          <cell r="C34">
            <v>2.4188396544975035</v>
          </cell>
        </row>
        <row r="35">
          <cell r="B35">
            <v>160.38282173530857</v>
          </cell>
          <cell r="C35">
            <v>-0.4028257353085678</v>
          </cell>
        </row>
        <row r="36">
          <cell r="B36">
            <v>160.21144501950417</v>
          </cell>
          <cell r="C36">
            <v>-0.94144101950416825</v>
          </cell>
        </row>
        <row r="37">
          <cell r="B37">
            <v>159.35787543263652</v>
          </cell>
          <cell r="C37">
            <v>0.50212556736349256</v>
          </cell>
        </row>
        <row r="38">
          <cell r="B38">
            <v>160.15245336191433</v>
          </cell>
          <cell r="C38">
            <v>1.3175476380856708</v>
          </cell>
        </row>
        <row r="39">
          <cell r="B39">
            <v>161.92440719498569</v>
          </cell>
          <cell r="C39">
            <v>0.98559680501429625</v>
          </cell>
        </row>
        <row r="40">
          <cell r="B40">
            <v>163.33955507354574</v>
          </cell>
          <cell r="C40">
            <v>1.0450926454268483E-2</v>
          </cell>
        </row>
        <row r="41">
          <cell r="B41">
            <v>163.62330358728849</v>
          </cell>
          <cell r="C41">
            <v>0.37669641271151022</v>
          </cell>
        </row>
        <row r="42">
          <cell r="B42">
            <v>164.30703805300558</v>
          </cell>
          <cell r="C42">
            <v>-0.25703505300558049</v>
          </cell>
        </row>
        <row r="43">
          <cell r="B43">
            <v>164.26302281663655</v>
          </cell>
          <cell r="C43">
            <v>-2.1830208166365423</v>
          </cell>
        </row>
        <row r="44">
          <cell r="B44">
            <v>161.97381392465491</v>
          </cell>
          <cell r="C44">
            <v>-6.3809924654918859E-2</v>
          </cell>
        </row>
        <row r="45">
          <cell r="B45">
            <v>162.08585033740673</v>
          </cell>
          <cell r="C45">
            <v>-0.8258553374067219</v>
          </cell>
        </row>
        <row r="46">
          <cell r="B46">
            <v>161.35976088955005</v>
          </cell>
          <cell r="C46">
            <v>-2.7297558895500345</v>
          </cell>
        </row>
        <row r="47">
          <cell r="B47">
            <v>158.41601329426089</v>
          </cell>
          <cell r="C47">
            <v>3.0839867057391075</v>
          </cell>
        </row>
        <row r="48">
          <cell r="B48">
            <v>162.15201552356217</v>
          </cell>
          <cell r="C48">
            <v>-1.292014523562159</v>
          </cell>
        </row>
        <row r="49">
          <cell r="B49">
            <v>160.96083621708885</v>
          </cell>
          <cell r="C49">
            <v>-1.3108422170888616</v>
          </cell>
        </row>
        <row r="50">
          <cell r="B50">
            <v>159.65993651587738</v>
          </cell>
          <cell r="C50">
            <v>-1.3799375158773728</v>
          </cell>
        </row>
        <row r="51">
          <cell r="B51">
            <v>158.26314134635589</v>
          </cell>
          <cell r="C51">
            <v>1.616863653644117</v>
          </cell>
        </row>
        <row r="52">
          <cell r="B52">
            <v>160.33085547367151</v>
          </cell>
          <cell r="C52">
            <v>-1.6608574736715127</v>
          </cell>
        </row>
        <row r="53">
          <cell r="B53">
            <v>158.67871482397666</v>
          </cell>
          <cell r="C53">
            <v>5.1281176023337594E-2</v>
          </cell>
        </row>
        <row r="54">
          <cell r="B54">
            <v>158.93792927712116</v>
          </cell>
          <cell r="C54">
            <v>-2.8679222771211528</v>
          </cell>
        </row>
        <row r="55">
          <cell r="B55">
            <v>155.84810952373772</v>
          </cell>
          <cell r="C55">
            <v>-2.4581105237377301</v>
          </cell>
        </row>
        <row r="56">
          <cell r="B56">
            <v>153.16161055574787</v>
          </cell>
          <cell r="C56">
            <v>-1.2716115557478815</v>
          </cell>
        </row>
        <row r="57">
          <cell r="B57">
            <v>151.84476404441153</v>
          </cell>
          <cell r="C57">
            <v>-1.2947610444115298</v>
          </cell>
        </row>
        <row r="58">
          <cell r="B58">
            <v>150.52818130689613</v>
          </cell>
          <cell r="C58">
            <v>2.611817693103859</v>
          </cell>
        </row>
        <row r="59">
          <cell r="B59">
            <v>153.73765371354304</v>
          </cell>
          <cell r="C59">
            <v>0.49234228645696021</v>
          </cell>
        </row>
        <row r="60">
          <cell r="B60">
            <v>154.59380867444625</v>
          </cell>
          <cell r="C60">
            <v>-1.3138096744462473</v>
          </cell>
        </row>
        <row r="61">
          <cell r="B61">
            <v>153.32274500795549</v>
          </cell>
          <cell r="C61">
            <v>0.79724999204449887</v>
          </cell>
        </row>
        <row r="62">
          <cell r="B62">
            <v>154.4444690269554</v>
          </cell>
          <cell r="C62">
            <v>-0.6344710269553957</v>
          </cell>
        </row>
        <row r="63">
          <cell r="B63">
            <v>153.95376121630591</v>
          </cell>
          <cell r="C63">
            <v>0.52623478369409327</v>
          </cell>
        </row>
        <row r="64">
          <cell r="B64">
            <v>154.77826397819419</v>
          </cell>
          <cell r="C64">
            <v>-1.2982679781941897</v>
          </cell>
        </row>
        <row r="65">
          <cell r="B65">
            <v>153.51515149377511</v>
          </cell>
          <cell r="C65">
            <v>1.8748475062248815</v>
          </cell>
        </row>
        <row r="66">
          <cell r="B66">
            <v>155.88384243270389</v>
          </cell>
          <cell r="C66">
            <v>-0.58383943270388272</v>
          </cell>
        </row>
        <row r="67">
          <cell r="B67">
            <v>155.48012674080806</v>
          </cell>
          <cell r="C67">
            <v>0.35986925919195301</v>
          </cell>
        </row>
        <row r="68">
          <cell r="B68">
            <v>156.11957968747689</v>
          </cell>
          <cell r="C68">
            <v>-0.21958568747689355</v>
          </cell>
        </row>
        <row r="69">
          <cell r="B69">
            <v>156.104387762133</v>
          </cell>
          <cell r="C69">
            <v>0.44561523786700263</v>
          </cell>
        </row>
        <row r="70">
          <cell r="B70">
            <v>156.84772561092322</v>
          </cell>
          <cell r="C70">
            <v>-0.84772561092322007</v>
          </cell>
        </row>
        <row r="71">
          <cell r="B71">
            <v>156.10886846058742</v>
          </cell>
          <cell r="C71">
            <v>0.88113653941258008</v>
          </cell>
        </row>
        <row r="72">
          <cell r="B72">
            <v>157.34159053835469</v>
          </cell>
          <cell r="C72">
            <v>2.538414461645317</v>
          </cell>
        </row>
        <row r="73">
          <cell r="B73">
            <v>160.53313123470676</v>
          </cell>
          <cell r="C73">
            <v>-6.3130234706761712E-2</v>
          </cell>
        </row>
        <row r="74">
          <cell r="B74">
            <v>160.76321613889755</v>
          </cell>
          <cell r="C74">
            <v>-1.0032211388975441</v>
          </cell>
        </row>
        <row r="75">
          <cell r="B75">
            <v>159.84847707458084</v>
          </cell>
          <cell r="C75">
            <v>-3.868481074580842</v>
          </cell>
        </row>
        <row r="76">
          <cell r="B76">
            <v>155.58236429570951</v>
          </cell>
          <cell r="C76">
            <v>0.66763570429048968</v>
          </cell>
        </row>
        <row r="77">
          <cell r="B77">
            <v>156.48776122477184</v>
          </cell>
          <cell r="C77">
            <v>-0.31776322477185204</v>
          </cell>
        </row>
        <row r="78">
          <cell r="B78">
            <v>156.35277694886079</v>
          </cell>
          <cell r="C78">
            <v>0.74722905113921456</v>
          </cell>
        </row>
        <row r="79">
          <cell r="B79">
            <v>157.44232136954921</v>
          </cell>
          <cell r="C79">
            <v>-1.0323173695492187</v>
          </cell>
        </row>
        <row r="80">
          <cell r="B80">
            <v>156.49743290367653</v>
          </cell>
          <cell r="C80">
            <v>0.91257109632346101</v>
          </cell>
        </row>
        <row r="81">
          <cell r="B81">
            <v>157.76368208820722</v>
          </cell>
          <cell r="C81">
            <v>5.2863209117927852</v>
          </cell>
        </row>
        <row r="82">
          <cell r="B82">
            <v>164.13830385301017</v>
          </cell>
          <cell r="C82">
            <v>2.5816971469898249</v>
          </cell>
        </row>
        <row r="83">
          <cell r="B83">
            <v>167.50398862318227</v>
          </cell>
          <cell r="C83">
            <v>1.5360043768177434</v>
          </cell>
        </row>
        <row r="84">
          <cell r="B84">
            <v>169.61519640161904</v>
          </cell>
          <cell r="C84">
            <v>-2.7251974016190559</v>
          </cell>
        </row>
        <row r="85">
          <cell r="B85">
            <v>166.76160328297158</v>
          </cell>
          <cell r="C85">
            <v>1.3483977170284334</v>
          </cell>
        </row>
        <row r="86">
          <cell r="B86">
            <v>168.51155880897841</v>
          </cell>
          <cell r="C86">
            <v>3.9884411910215931</v>
          </cell>
        </row>
        <row r="87">
          <cell r="B87">
            <v>173.40411551333622</v>
          </cell>
          <cell r="C87">
            <v>0.84588448666377758</v>
          </cell>
        </row>
        <row r="88">
          <cell r="B88">
            <v>174.74234279220516</v>
          </cell>
          <cell r="C88">
            <v>6.7655207794842909E-2</v>
          </cell>
        </row>
        <row r="89">
          <cell r="B89">
            <v>175.11644453695499</v>
          </cell>
          <cell r="C89">
            <v>1.1235604630450098</v>
          </cell>
        </row>
      </sheetData>
      <sheetData sheetId="1"/>
      <sheetData sheetId="2"/>
      <sheetData sheetId="3"/>
      <sheetData sheetId="4">
        <row r="4">
          <cell r="B4">
            <v>155.320007</v>
          </cell>
          <cell r="C4">
            <v>161.05999800000001</v>
          </cell>
          <cell r="D4">
            <v>160.08000200000001</v>
          </cell>
        </row>
        <row r="5">
          <cell r="B5">
            <v>157.479996</v>
          </cell>
          <cell r="C5">
            <v>155.320007</v>
          </cell>
          <cell r="D5">
            <v>161.05999800000001</v>
          </cell>
        </row>
        <row r="6">
          <cell r="B6">
            <v>159.85000600000001</v>
          </cell>
          <cell r="C6">
            <v>157.479996</v>
          </cell>
          <cell r="D6">
            <v>155.320007</v>
          </cell>
        </row>
        <row r="7">
          <cell r="B7">
            <v>161.60000600000001</v>
          </cell>
          <cell r="C7">
            <v>159.85000600000001</v>
          </cell>
          <cell r="D7">
            <v>157.479996</v>
          </cell>
        </row>
        <row r="8">
          <cell r="B8">
            <v>160.949997</v>
          </cell>
          <cell r="C8">
            <v>161.60000600000001</v>
          </cell>
          <cell r="D8">
            <v>159.85000600000001</v>
          </cell>
        </row>
        <row r="9">
          <cell r="B9">
            <v>157.86000100000001</v>
          </cell>
          <cell r="C9">
            <v>160.949997</v>
          </cell>
          <cell r="D9">
            <v>161.60000600000001</v>
          </cell>
        </row>
        <row r="10">
          <cell r="B10">
            <v>157.5</v>
          </cell>
          <cell r="C10">
            <v>157.86000100000001</v>
          </cell>
          <cell r="D10">
            <v>160.949997</v>
          </cell>
        </row>
        <row r="11">
          <cell r="B11">
            <v>157.21000699999999</v>
          </cell>
          <cell r="C11">
            <v>157.5</v>
          </cell>
          <cell r="D11">
            <v>157.86000100000001</v>
          </cell>
        </row>
        <row r="12">
          <cell r="B12">
            <v>159.779999</v>
          </cell>
          <cell r="C12">
            <v>157.21000699999999</v>
          </cell>
          <cell r="D12">
            <v>157.5</v>
          </cell>
        </row>
        <row r="13">
          <cell r="B13">
            <v>159.979996</v>
          </cell>
          <cell r="C13">
            <v>159.779999</v>
          </cell>
          <cell r="D13">
            <v>157.21000699999999</v>
          </cell>
        </row>
        <row r="14">
          <cell r="B14">
            <v>159.270004</v>
          </cell>
          <cell r="C14">
            <v>159.979996</v>
          </cell>
          <cell r="D14">
            <v>159.779999</v>
          </cell>
        </row>
        <row r="15">
          <cell r="B15">
            <v>159.86000100000001</v>
          </cell>
          <cell r="C15">
            <v>159.270004</v>
          </cell>
          <cell r="D15">
            <v>159.979996</v>
          </cell>
        </row>
        <row r="16">
          <cell r="B16">
            <v>161.470001</v>
          </cell>
          <cell r="C16">
            <v>159.86000100000001</v>
          </cell>
          <cell r="D16">
            <v>159.270004</v>
          </cell>
        </row>
        <row r="17">
          <cell r="B17">
            <v>162.91000399999999</v>
          </cell>
          <cell r="C17">
            <v>161.470001</v>
          </cell>
          <cell r="D17">
            <v>159.86000100000001</v>
          </cell>
        </row>
        <row r="18">
          <cell r="B18">
            <v>163.35000600000001</v>
          </cell>
          <cell r="C18">
            <v>162.91000399999999</v>
          </cell>
          <cell r="D18">
            <v>161.470001</v>
          </cell>
        </row>
        <row r="19">
          <cell r="B19">
            <v>164</v>
          </cell>
          <cell r="C19">
            <v>163.35000600000001</v>
          </cell>
          <cell r="D19">
            <v>162.91000399999999</v>
          </cell>
        </row>
        <row r="20">
          <cell r="B20">
            <v>164.050003</v>
          </cell>
          <cell r="C20">
            <v>164</v>
          </cell>
          <cell r="D20">
            <v>163.35000600000001</v>
          </cell>
        </row>
        <row r="21">
          <cell r="B21">
            <v>162.08000200000001</v>
          </cell>
          <cell r="C21">
            <v>164.050003</v>
          </cell>
          <cell r="D21">
            <v>164</v>
          </cell>
        </row>
        <row r="22">
          <cell r="B22">
            <v>161.91000399999999</v>
          </cell>
          <cell r="C22">
            <v>162.08000200000001</v>
          </cell>
          <cell r="D22">
            <v>164.050003</v>
          </cell>
        </row>
        <row r="23">
          <cell r="B23">
            <v>161.259995</v>
          </cell>
          <cell r="C23">
            <v>161.91000399999999</v>
          </cell>
          <cell r="D23">
            <v>162.08000200000001</v>
          </cell>
        </row>
        <row r="24">
          <cell r="B24">
            <v>158.63000500000001</v>
          </cell>
          <cell r="C24">
            <v>161.259995</v>
          </cell>
          <cell r="D24">
            <v>161.91000399999999</v>
          </cell>
        </row>
        <row r="25">
          <cell r="B25">
            <v>161.5</v>
          </cell>
          <cell r="C25">
            <v>158.63000500000001</v>
          </cell>
          <cell r="D25">
            <v>161.259995</v>
          </cell>
        </row>
        <row r="26">
          <cell r="B26">
            <v>160.86000100000001</v>
          </cell>
          <cell r="C26">
            <v>161.5</v>
          </cell>
          <cell r="D26">
            <v>158.63000500000001</v>
          </cell>
        </row>
        <row r="27">
          <cell r="B27">
            <v>159.64999399999999</v>
          </cell>
          <cell r="C27">
            <v>160.86000100000001</v>
          </cell>
          <cell r="D27">
            <v>161.5</v>
          </cell>
        </row>
        <row r="28">
          <cell r="B28">
            <v>158.279999</v>
          </cell>
          <cell r="C28">
            <v>159.64999399999999</v>
          </cell>
          <cell r="D28">
            <v>160.86000100000001</v>
          </cell>
        </row>
        <row r="29">
          <cell r="B29">
            <v>159.88000500000001</v>
          </cell>
          <cell r="C29">
            <v>158.279999</v>
          </cell>
          <cell r="D29">
            <v>159.64999399999999</v>
          </cell>
        </row>
        <row r="30">
          <cell r="B30">
            <v>158.66999799999999</v>
          </cell>
          <cell r="C30">
            <v>159.88000500000001</v>
          </cell>
          <cell r="D30">
            <v>158.279999</v>
          </cell>
        </row>
        <row r="31">
          <cell r="B31">
            <v>158.729996</v>
          </cell>
          <cell r="C31">
            <v>158.66999799999999</v>
          </cell>
          <cell r="D31">
            <v>159.88000500000001</v>
          </cell>
        </row>
        <row r="32">
          <cell r="B32">
            <v>156.070007</v>
          </cell>
          <cell r="C32">
            <v>158.729996</v>
          </cell>
          <cell r="D32">
            <v>158.66999799999999</v>
          </cell>
        </row>
        <row r="33">
          <cell r="B33">
            <v>153.38999899999999</v>
          </cell>
          <cell r="C33">
            <v>156.070007</v>
          </cell>
          <cell r="D33">
            <v>158.729996</v>
          </cell>
        </row>
        <row r="34">
          <cell r="B34">
            <v>151.88999899999999</v>
          </cell>
          <cell r="C34">
            <v>153.38999899999999</v>
          </cell>
          <cell r="D34">
            <v>156.070007</v>
          </cell>
        </row>
        <row r="35">
          <cell r="B35">
            <v>150.550003</v>
          </cell>
          <cell r="C35">
            <v>151.88999899999999</v>
          </cell>
          <cell r="D35">
            <v>153.38999899999999</v>
          </cell>
        </row>
        <row r="36">
          <cell r="B36">
            <v>153.13999899999999</v>
          </cell>
          <cell r="C36">
            <v>150.550003</v>
          </cell>
          <cell r="D36">
            <v>151.88999899999999</v>
          </cell>
        </row>
        <row r="37">
          <cell r="B37">
            <v>154.229996</v>
          </cell>
          <cell r="C37">
            <v>153.13999899999999</v>
          </cell>
          <cell r="D37">
            <v>150.550003</v>
          </cell>
        </row>
        <row r="38">
          <cell r="B38">
            <v>153.279999</v>
          </cell>
          <cell r="C38">
            <v>154.229996</v>
          </cell>
          <cell r="D38">
            <v>153.13999899999999</v>
          </cell>
        </row>
        <row r="39">
          <cell r="B39">
            <v>154.11999499999999</v>
          </cell>
          <cell r="C39">
            <v>153.279999</v>
          </cell>
          <cell r="D39">
            <v>154.229996</v>
          </cell>
        </row>
        <row r="40">
          <cell r="B40">
            <v>153.80999800000001</v>
          </cell>
          <cell r="C40">
            <v>154.11999499999999</v>
          </cell>
          <cell r="D40">
            <v>153.279999</v>
          </cell>
        </row>
        <row r="41">
          <cell r="B41">
            <v>154.479996</v>
          </cell>
          <cell r="C41">
            <v>153.80999800000001</v>
          </cell>
          <cell r="D41">
            <v>154.11999499999999</v>
          </cell>
        </row>
        <row r="42">
          <cell r="B42">
            <v>153.479996</v>
          </cell>
          <cell r="C42">
            <v>154.479996</v>
          </cell>
          <cell r="D42">
            <v>153.80999800000001</v>
          </cell>
        </row>
        <row r="43">
          <cell r="B43">
            <v>155.38999899999999</v>
          </cell>
          <cell r="C43">
            <v>153.479996</v>
          </cell>
          <cell r="D43">
            <v>154.479996</v>
          </cell>
        </row>
        <row r="44">
          <cell r="B44">
            <v>155.300003</v>
          </cell>
          <cell r="C44">
            <v>155.38999899999999</v>
          </cell>
          <cell r="D44">
            <v>153.479996</v>
          </cell>
        </row>
        <row r="45">
          <cell r="B45">
            <v>155.83999600000001</v>
          </cell>
          <cell r="C45">
            <v>155.300003</v>
          </cell>
          <cell r="D45">
            <v>155.38999899999999</v>
          </cell>
        </row>
        <row r="46">
          <cell r="B46">
            <v>155.89999399999999</v>
          </cell>
          <cell r="C46">
            <v>155.83999600000001</v>
          </cell>
          <cell r="D46">
            <v>155.300003</v>
          </cell>
        </row>
        <row r="47">
          <cell r="B47">
            <v>156.550003</v>
          </cell>
          <cell r="C47">
            <v>155.89999399999999</v>
          </cell>
          <cell r="D47">
            <v>155.83999600000001</v>
          </cell>
        </row>
        <row r="48">
          <cell r="B48">
            <v>156</v>
          </cell>
          <cell r="C48">
            <v>156.550003</v>
          </cell>
          <cell r="D48">
            <v>155.89999399999999</v>
          </cell>
        </row>
        <row r="49">
          <cell r="B49">
            <v>156.990005</v>
          </cell>
          <cell r="C49">
            <v>156</v>
          </cell>
          <cell r="D49">
            <v>156.550003</v>
          </cell>
        </row>
        <row r="50">
          <cell r="B50">
            <v>159.88000500000001</v>
          </cell>
          <cell r="C50">
            <v>156.990005</v>
          </cell>
          <cell r="D50">
            <v>156</v>
          </cell>
        </row>
        <row r="51">
          <cell r="B51">
            <v>160.470001</v>
          </cell>
          <cell r="C51">
            <v>159.88000500000001</v>
          </cell>
          <cell r="D51">
            <v>156.990005</v>
          </cell>
        </row>
        <row r="52">
          <cell r="B52">
            <v>159.759995</v>
          </cell>
          <cell r="C52">
            <v>160.470001</v>
          </cell>
          <cell r="D52">
            <v>159.88000500000001</v>
          </cell>
        </row>
        <row r="53">
          <cell r="B53">
            <v>155.979996</v>
          </cell>
          <cell r="C53">
            <v>159.759995</v>
          </cell>
          <cell r="D53">
            <v>160.470001</v>
          </cell>
        </row>
        <row r="54">
          <cell r="B54">
            <v>156.25</v>
          </cell>
          <cell r="C54">
            <v>155.979996</v>
          </cell>
          <cell r="D54">
            <v>159.759995</v>
          </cell>
        </row>
        <row r="55">
          <cell r="B55">
            <v>156.16999799999999</v>
          </cell>
          <cell r="C55">
            <v>156.25</v>
          </cell>
          <cell r="D55">
            <v>155.979996</v>
          </cell>
        </row>
        <row r="56">
          <cell r="B56">
            <v>157.10000600000001</v>
          </cell>
          <cell r="C56">
            <v>156.16999799999999</v>
          </cell>
          <cell r="D56">
            <v>156.25</v>
          </cell>
        </row>
        <row r="57">
          <cell r="B57">
            <v>156.41000399999999</v>
          </cell>
          <cell r="C57">
            <v>157.10000600000001</v>
          </cell>
          <cell r="D57">
            <v>156.16999799999999</v>
          </cell>
        </row>
        <row r="58">
          <cell r="B58">
            <v>157.41000399999999</v>
          </cell>
          <cell r="C58">
            <v>156.41000399999999</v>
          </cell>
          <cell r="D58">
            <v>157.10000600000001</v>
          </cell>
        </row>
        <row r="59">
          <cell r="B59">
            <v>163.050003</v>
          </cell>
          <cell r="C59">
            <v>157.41000399999999</v>
          </cell>
          <cell r="D59">
            <v>156.41000399999999</v>
          </cell>
        </row>
        <row r="60">
          <cell r="B60">
            <v>166.720001</v>
          </cell>
          <cell r="C60">
            <v>163.050003</v>
          </cell>
          <cell r="D60">
            <v>157.41000399999999</v>
          </cell>
        </row>
        <row r="61">
          <cell r="B61">
            <v>169.03999300000001</v>
          </cell>
          <cell r="C61">
            <v>166.720001</v>
          </cell>
          <cell r="D61">
            <v>163.050003</v>
          </cell>
        </row>
        <row r="62">
          <cell r="B62">
            <v>166.88999899999999</v>
          </cell>
          <cell r="C62">
            <v>169.03999300000001</v>
          </cell>
          <cell r="D62">
            <v>166.720001</v>
          </cell>
        </row>
        <row r="63">
          <cell r="B63">
            <v>168.11000100000001</v>
          </cell>
          <cell r="C63">
            <v>166.88999899999999</v>
          </cell>
          <cell r="D63">
            <v>169.03999300000001</v>
          </cell>
        </row>
        <row r="64">
          <cell r="B64">
            <v>172.5</v>
          </cell>
          <cell r="C64">
            <v>168.11000100000001</v>
          </cell>
          <cell r="D64">
            <v>166.88999899999999</v>
          </cell>
        </row>
        <row r="65">
          <cell r="B65">
            <v>174.25</v>
          </cell>
          <cell r="C65">
            <v>172.5</v>
          </cell>
          <cell r="D65">
            <v>168.11000100000001</v>
          </cell>
        </row>
        <row r="66">
          <cell r="B66">
            <v>174.80999800000001</v>
          </cell>
          <cell r="C66">
            <v>174.25</v>
          </cell>
          <cell r="D66">
            <v>172.5</v>
          </cell>
        </row>
        <row r="67">
          <cell r="B67">
            <v>176.240005</v>
          </cell>
          <cell r="C67">
            <v>174.80999800000001</v>
          </cell>
          <cell r="D67">
            <v>174.25</v>
          </cell>
        </row>
        <row r="70">
          <cell r="D70" t="str">
            <v>Cor</v>
          </cell>
        </row>
        <row r="71">
          <cell r="C71">
            <v>1</v>
          </cell>
          <cell r="D71">
            <v>0.93540000000000001</v>
          </cell>
        </row>
        <row r="72">
          <cell r="C72">
            <v>2</v>
          </cell>
          <cell r="D72">
            <v>0.84323899999999996</v>
          </cell>
        </row>
        <row r="73">
          <cell r="C73">
            <v>3</v>
          </cell>
          <cell r="D73">
            <v>0.75603299999999996</v>
          </cell>
        </row>
        <row r="74">
          <cell r="C74">
            <v>4</v>
          </cell>
          <cell r="D74">
            <v>0.67986599999999997</v>
          </cell>
        </row>
        <row r="75">
          <cell r="C75">
            <v>5</v>
          </cell>
          <cell r="D75">
            <v>0.59473600000000004</v>
          </cell>
        </row>
        <row r="76">
          <cell r="C76">
            <v>6</v>
          </cell>
          <cell r="D76">
            <v>0.46705200000000002</v>
          </cell>
        </row>
        <row r="77">
          <cell r="C77">
            <v>7</v>
          </cell>
          <cell r="D77">
            <v>0.30095300000000003</v>
          </cell>
        </row>
        <row r="78">
          <cell r="C78">
            <v>8</v>
          </cell>
          <cell r="D78">
            <v>0.14388799999999999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9.xml"/><Relationship Id="rId5" Type="http://schemas.openxmlformats.org/officeDocument/2006/relationships/comments" Target="../comments3.xml"/><Relationship Id="rId4" Type="http://schemas.openxmlformats.org/officeDocument/2006/relationships/image" Target="../media/image7.emf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0.xml"/><Relationship Id="rId5" Type="http://schemas.openxmlformats.org/officeDocument/2006/relationships/comments" Target="../comments4.xml"/><Relationship Id="rId4" Type="http://schemas.openxmlformats.org/officeDocument/2006/relationships/image" Target="../media/image9.emf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S37"/>
  <sheetViews>
    <sheetView workbookViewId="0">
      <selection activeCell="K2" sqref="K2"/>
    </sheetView>
  </sheetViews>
  <sheetFormatPr defaultRowHeight="14.4" x14ac:dyDescent="0.3"/>
  <cols>
    <col min="1" max="1" width="1.88671875" customWidth="1"/>
    <col min="2" max="2" width="1.21875" customWidth="1"/>
    <col min="16" max="16" width="10.6640625" customWidth="1"/>
  </cols>
  <sheetData>
    <row r="2" spans="3:19" x14ac:dyDescent="0.3">
      <c r="C2" t="s">
        <v>221</v>
      </c>
      <c r="G2" s="45" t="s">
        <v>222</v>
      </c>
      <c r="H2" s="30"/>
      <c r="K2" s="122" t="s">
        <v>245</v>
      </c>
      <c r="L2" s="122" t="s">
        <v>244</v>
      </c>
      <c r="M2" s="122"/>
      <c r="N2" s="122"/>
      <c r="O2" s="122"/>
    </row>
    <row r="4" spans="3:19" x14ac:dyDescent="0.3">
      <c r="C4" t="s">
        <v>223</v>
      </c>
      <c r="G4" t="s">
        <v>237</v>
      </c>
      <c r="I4" t="s">
        <v>240</v>
      </c>
    </row>
    <row r="5" spans="3:19" x14ac:dyDescent="0.3">
      <c r="C5" t="s">
        <v>224</v>
      </c>
      <c r="E5" t="s">
        <v>225</v>
      </c>
      <c r="G5" t="s">
        <v>238</v>
      </c>
    </row>
    <row r="6" spans="3:19" x14ac:dyDescent="0.3">
      <c r="C6" t="s">
        <v>226</v>
      </c>
      <c r="G6" t="s">
        <v>239</v>
      </c>
    </row>
    <row r="7" spans="3:19" x14ac:dyDescent="0.3">
      <c r="C7" t="s">
        <v>227</v>
      </c>
      <c r="D7" t="s">
        <v>228</v>
      </c>
      <c r="G7" t="s">
        <v>241</v>
      </c>
      <c r="I7" t="s">
        <v>242</v>
      </c>
    </row>
    <row r="8" spans="3:19" x14ac:dyDescent="0.3">
      <c r="C8" t="s">
        <v>229</v>
      </c>
    </row>
    <row r="9" spans="3:19" x14ac:dyDescent="0.3">
      <c r="C9" t="s">
        <v>230</v>
      </c>
      <c r="E9">
        <v>2008</v>
      </c>
      <c r="G9" t="s">
        <v>243</v>
      </c>
    </row>
    <row r="10" spans="3:19" ht="15.6" x14ac:dyDescent="0.3">
      <c r="C10" t="s">
        <v>231</v>
      </c>
      <c r="D10" t="s">
        <v>249</v>
      </c>
      <c r="E10" t="s">
        <v>250</v>
      </c>
      <c r="G10" t="s">
        <v>246</v>
      </c>
      <c r="P10" s="24" t="s">
        <v>284</v>
      </c>
    </row>
    <row r="11" spans="3:19" x14ac:dyDescent="0.3">
      <c r="C11" t="s">
        <v>232</v>
      </c>
      <c r="J11" t="s">
        <v>247</v>
      </c>
      <c r="L11" t="s">
        <v>248</v>
      </c>
      <c r="Q11" t="s">
        <v>204</v>
      </c>
      <c r="R11" t="s">
        <v>205</v>
      </c>
      <c r="S11" t="s">
        <v>206</v>
      </c>
    </row>
    <row r="12" spans="3:19" ht="15.6" x14ac:dyDescent="0.3">
      <c r="C12" t="s">
        <v>233</v>
      </c>
      <c r="E12" t="s">
        <v>234</v>
      </c>
      <c r="G12" s="124" t="s">
        <v>253</v>
      </c>
      <c r="J12" t="s">
        <v>251</v>
      </c>
      <c r="Q12" t="s">
        <v>279</v>
      </c>
      <c r="R12" t="s">
        <v>280</v>
      </c>
      <c r="S12" t="s">
        <v>281</v>
      </c>
    </row>
    <row r="13" spans="3:19" x14ac:dyDescent="0.3">
      <c r="C13" t="s">
        <v>235</v>
      </c>
      <c r="J13" t="s">
        <v>252</v>
      </c>
      <c r="P13" t="s">
        <v>276</v>
      </c>
      <c r="Q13" t="s">
        <v>277</v>
      </c>
      <c r="R13" t="s">
        <v>278</v>
      </c>
      <c r="S13" t="s">
        <v>282</v>
      </c>
    </row>
    <row r="14" spans="3:19" ht="15.6" x14ac:dyDescent="0.3">
      <c r="C14" t="s">
        <v>236</v>
      </c>
      <c r="G14" s="123" t="s">
        <v>182</v>
      </c>
      <c r="P14" s="128">
        <v>80.599999999999994</v>
      </c>
      <c r="Q14" s="37"/>
      <c r="R14" s="37"/>
      <c r="S14" s="37"/>
    </row>
    <row r="15" spans="3:19" x14ac:dyDescent="0.3">
      <c r="J15" s="127" t="s">
        <v>259</v>
      </c>
      <c r="K15" s="127"/>
      <c r="L15" s="127"/>
      <c r="M15" s="127"/>
      <c r="P15" s="128">
        <v>78.5</v>
      </c>
      <c r="Q15" s="128">
        <v>80.599999999999994</v>
      </c>
      <c r="R15" s="37"/>
      <c r="S15" s="37"/>
    </row>
    <row r="16" spans="3:19" x14ac:dyDescent="0.3">
      <c r="P16" s="128">
        <v>84</v>
      </c>
      <c r="Q16" s="128">
        <v>78.5</v>
      </c>
      <c r="R16" s="128">
        <v>80.599999999999994</v>
      </c>
      <c r="S16" s="37"/>
    </row>
    <row r="17" spans="4:19" x14ac:dyDescent="0.3">
      <c r="H17" s="24" t="s">
        <v>288</v>
      </c>
      <c r="P17" s="125">
        <v>86</v>
      </c>
      <c r="Q17" s="126">
        <v>84</v>
      </c>
      <c r="R17" s="126">
        <v>78.5</v>
      </c>
      <c r="S17" s="126">
        <v>80.599999999999994</v>
      </c>
    </row>
    <row r="18" spans="4:19" x14ac:dyDescent="0.3">
      <c r="F18" t="s">
        <v>276</v>
      </c>
      <c r="G18" t="s">
        <v>283</v>
      </c>
      <c r="H18">
        <v>88</v>
      </c>
      <c r="I18" t="s">
        <v>261</v>
      </c>
      <c r="J18" t="s">
        <v>264</v>
      </c>
      <c r="P18" s="125">
        <v>85</v>
      </c>
      <c r="Q18" s="125">
        <v>86</v>
      </c>
      <c r="R18" s="126">
        <v>84</v>
      </c>
      <c r="S18" s="126">
        <v>78.5</v>
      </c>
    </row>
    <row r="19" spans="4:19" x14ac:dyDescent="0.3">
      <c r="D19" t="s">
        <v>258</v>
      </c>
      <c r="F19" s="125" t="s">
        <v>260</v>
      </c>
      <c r="H19">
        <v>90</v>
      </c>
      <c r="I19" t="s">
        <v>262</v>
      </c>
      <c r="J19" t="s">
        <v>265</v>
      </c>
      <c r="P19" s="125">
        <v>82</v>
      </c>
      <c r="Q19" s="125">
        <v>85</v>
      </c>
      <c r="R19" s="125">
        <v>86</v>
      </c>
      <c r="S19" s="126">
        <v>84</v>
      </c>
    </row>
    <row r="20" spans="4:19" x14ac:dyDescent="0.3">
      <c r="E20" t="s">
        <v>254</v>
      </c>
      <c r="F20" s="126">
        <v>80.599999999999994</v>
      </c>
      <c r="G20">
        <v>1</v>
      </c>
      <c r="H20">
        <v>79</v>
      </c>
      <c r="I20" t="s">
        <v>263</v>
      </c>
      <c r="J20" t="s">
        <v>266</v>
      </c>
      <c r="P20" s="125">
        <v>93</v>
      </c>
      <c r="Q20" s="125">
        <v>82</v>
      </c>
      <c r="R20" s="125">
        <v>85</v>
      </c>
      <c r="S20" s="125">
        <v>86</v>
      </c>
    </row>
    <row r="21" spans="4:19" x14ac:dyDescent="0.3">
      <c r="F21" s="126">
        <v>78.5</v>
      </c>
      <c r="G21">
        <v>2</v>
      </c>
      <c r="P21" s="37"/>
      <c r="Q21" s="37">
        <v>93</v>
      </c>
      <c r="R21" s="37">
        <v>82</v>
      </c>
      <c r="S21" s="37">
        <v>85</v>
      </c>
    </row>
    <row r="22" spans="4:19" x14ac:dyDescent="0.3">
      <c r="F22" s="126">
        <v>84</v>
      </c>
      <c r="G22">
        <v>3</v>
      </c>
      <c r="H22">
        <f>(F20+F21+F22)/3</f>
        <v>81.033333333333331</v>
      </c>
      <c r="I22" t="s">
        <v>267</v>
      </c>
      <c r="K22" t="s">
        <v>268</v>
      </c>
      <c r="P22" s="37"/>
      <c r="Q22" s="37"/>
      <c r="R22" s="37">
        <v>93</v>
      </c>
      <c r="S22" s="37">
        <v>82</v>
      </c>
    </row>
    <row r="23" spans="4:19" x14ac:dyDescent="0.3">
      <c r="F23" s="125">
        <v>86</v>
      </c>
      <c r="G23">
        <v>4</v>
      </c>
      <c r="K23" t="s">
        <v>269</v>
      </c>
      <c r="P23" s="37"/>
      <c r="Q23" s="37"/>
      <c r="R23" s="37"/>
      <c r="S23" s="37">
        <v>93</v>
      </c>
    </row>
    <row r="24" spans="4:19" x14ac:dyDescent="0.3">
      <c r="E24" t="s">
        <v>255</v>
      </c>
      <c r="F24" s="125">
        <v>85</v>
      </c>
      <c r="G24">
        <v>5</v>
      </c>
    </row>
    <row r="25" spans="4:19" x14ac:dyDescent="0.3">
      <c r="E25" t="s">
        <v>256</v>
      </c>
      <c r="F25" s="125">
        <v>82</v>
      </c>
      <c r="G25">
        <v>6</v>
      </c>
      <c r="I25" t="s">
        <v>270</v>
      </c>
      <c r="J25" t="s">
        <v>271</v>
      </c>
      <c r="K25" t="s">
        <v>272</v>
      </c>
      <c r="P25" s="24" t="s">
        <v>198</v>
      </c>
      <c r="Q25" t="s">
        <v>285</v>
      </c>
    </row>
    <row r="26" spans="4:19" x14ac:dyDescent="0.3">
      <c r="E26" t="s">
        <v>257</v>
      </c>
      <c r="F26" s="125">
        <v>93</v>
      </c>
      <c r="G26">
        <v>7</v>
      </c>
      <c r="I26">
        <v>80.599999999999994</v>
      </c>
      <c r="J26">
        <v>78.5</v>
      </c>
      <c r="K26">
        <v>84</v>
      </c>
    </row>
    <row r="27" spans="4:19" ht="15.6" x14ac:dyDescent="0.3">
      <c r="E27">
        <v>9</v>
      </c>
      <c r="I27">
        <v>4</v>
      </c>
      <c r="J27">
        <v>3</v>
      </c>
      <c r="K27">
        <v>2</v>
      </c>
      <c r="L27">
        <f>SUM(I27:K27)</f>
        <v>9</v>
      </c>
      <c r="P27" t="s">
        <v>287</v>
      </c>
    </row>
    <row r="28" spans="4:19" x14ac:dyDescent="0.3">
      <c r="E28">
        <v>8</v>
      </c>
      <c r="I28">
        <f>I27/$L$27</f>
        <v>0.44444444444444442</v>
      </c>
      <c r="J28">
        <f t="shared" ref="J28:K28" si="0">J27/$L$27</f>
        <v>0.33333333333333331</v>
      </c>
      <c r="K28">
        <f t="shared" si="0"/>
        <v>0.22222222222222221</v>
      </c>
      <c r="L28">
        <f>SUM(I28:K28)</f>
        <v>0.99999999999999989</v>
      </c>
    </row>
    <row r="29" spans="4:19" x14ac:dyDescent="0.3">
      <c r="E29">
        <v>7</v>
      </c>
      <c r="P29" t="s">
        <v>286</v>
      </c>
    </row>
    <row r="30" spans="4:19" x14ac:dyDescent="0.3">
      <c r="E30">
        <v>6</v>
      </c>
      <c r="H30">
        <v>6</v>
      </c>
      <c r="I30" t="s">
        <v>273</v>
      </c>
      <c r="K30" t="s">
        <v>274</v>
      </c>
    </row>
    <row r="31" spans="4:19" x14ac:dyDescent="0.3">
      <c r="P31" t="s">
        <v>196</v>
      </c>
    </row>
    <row r="32" spans="4:19" x14ac:dyDescent="0.3">
      <c r="H32">
        <v>7</v>
      </c>
      <c r="I32" t="s">
        <v>275</v>
      </c>
    </row>
    <row r="33" spans="16:16" x14ac:dyDescent="0.3">
      <c r="P33" s="24" t="s">
        <v>197</v>
      </c>
    </row>
    <row r="35" spans="16:16" x14ac:dyDescent="0.3">
      <c r="P35" t="s">
        <v>289</v>
      </c>
    </row>
    <row r="36" spans="16:16" x14ac:dyDescent="0.3">
      <c r="P36" t="s">
        <v>290</v>
      </c>
    </row>
    <row r="37" spans="16:16" x14ac:dyDescent="0.3">
      <c r="P37" t="s">
        <v>291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8"/>
  <sheetViews>
    <sheetView workbookViewId="0">
      <selection activeCell="E24" sqref="E24"/>
    </sheetView>
  </sheetViews>
  <sheetFormatPr defaultRowHeight="14.4" x14ac:dyDescent="0.3"/>
  <cols>
    <col min="1" max="1" width="20.5546875" customWidth="1"/>
    <col min="2" max="2" width="13" customWidth="1"/>
    <col min="3" max="3" width="16" customWidth="1"/>
  </cols>
  <sheetData>
    <row r="1" spans="1:9" x14ac:dyDescent="0.3">
      <c r="A1" t="s">
        <v>28</v>
      </c>
    </row>
    <row r="2" spans="1:9" ht="15" thickBot="1" x14ac:dyDescent="0.35"/>
    <row r="3" spans="1:9" x14ac:dyDescent="0.3">
      <c r="A3" s="28" t="s">
        <v>29</v>
      </c>
      <c r="B3" s="28"/>
    </row>
    <row r="4" spans="1:9" x14ac:dyDescent="0.3">
      <c r="A4" s="25" t="s">
        <v>30</v>
      </c>
      <c r="B4" s="25">
        <v>0.88943754442309486</v>
      </c>
    </row>
    <row r="5" spans="1:9" x14ac:dyDescent="0.3">
      <c r="A5" s="25" t="s">
        <v>31</v>
      </c>
      <c r="B5" s="25">
        <v>0.79109914542938475</v>
      </c>
    </row>
    <row r="6" spans="1:9" x14ac:dyDescent="0.3">
      <c r="A6" s="25" t="s">
        <v>32</v>
      </c>
      <c r="B6" s="25">
        <v>0.77949354239768387</v>
      </c>
    </row>
    <row r="7" spans="1:9" x14ac:dyDescent="0.3">
      <c r="A7" s="25" t="s">
        <v>33</v>
      </c>
      <c r="B7" s="25">
        <v>65.31871387181809</v>
      </c>
    </row>
    <row r="8" spans="1:9" ht="15" thickBot="1" x14ac:dyDescent="0.35">
      <c r="A8" s="26" t="s">
        <v>34</v>
      </c>
      <c r="B8" s="26">
        <v>20</v>
      </c>
    </row>
    <row r="10" spans="1:9" ht="15" thickBot="1" x14ac:dyDescent="0.35">
      <c r="A10" t="s">
        <v>35</v>
      </c>
    </row>
    <row r="11" spans="1:9" x14ac:dyDescent="0.3">
      <c r="A11" s="27"/>
      <c r="B11" s="27" t="s">
        <v>40</v>
      </c>
      <c r="C11" s="27" t="s">
        <v>41</v>
      </c>
      <c r="D11" s="27" t="s">
        <v>42</v>
      </c>
      <c r="E11" s="27" t="s">
        <v>43</v>
      </c>
      <c r="F11" s="27" t="s">
        <v>44</v>
      </c>
    </row>
    <row r="12" spans="1:9" x14ac:dyDescent="0.3">
      <c r="A12" s="25" t="s">
        <v>36</v>
      </c>
      <c r="B12" s="25">
        <v>1</v>
      </c>
      <c r="C12" s="25">
        <v>290829.49797797418</v>
      </c>
      <c r="D12" s="25">
        <v>290829.49797797418</v>
      </c>
      <c r="E12" s="25">
        <v>68.165277001848835</v>
      </c>
      <c r="F12" s="25">
        <v>1.5597237790597943E-7</v>
      </c>
    </row>
    <row r="13" spans="1:9" x14ac:dyDescent="0.3">
      <c r="A13" s="25" t="s">
        <v>37</v>
      </c>
      <c r="B13" s="25">
        <v>18</v>
      </c>
      <c r="C13" s="25">
        <v>76797.618873631945</v>
      </c>
      <c r="D13" s="25">
        <v>4266.5343818684414</v>
      </c>
      <c r="E13" s="25"/>
      <c r="F13" s="25"/>
    </row>
    <row r="14" spans="1:9" ht="15" thickBot="1" x14ac:dyDescent="0.35">
      <c r="A14" s="26" t="s">
        <v>38</v>
      </c>
      <c r="B14" s="26">
        <v>19</v>
      </c>
      <c r="C14" s="26">
        <v>367627.11685160612</v>
      </c>
      <c r="D14" s="26"/>
      <c r="E14" s="26"/>
      <c r="F14" s="26"/>
    </row>
    <row r="15" spans="1:9" ht="15" thickBot="1" x14ac:dyDescent="0.35"/>
    <row r="16" spans="1:9" x14ac:dyDescent="0.3">
      <c r="A16" s="27"/>
      <c r="B16" s="27" t="s">
        <v>45</v>
      </c>
      <c r="C16" s="27" t="s">
        <v>33</v>
      </c>
      <c r="D16" s="27" t="s">
        <v>46</v>
      </c>
      <c r="E16" s="27" t="s">
        <v>47</v>
      </c>
      <c r="F16" s="27" t="s">
        <v>48</v>
      </c>
      <c r="G16" s="27" t="s">
        <v>49</v>
      </c>
      <c r="H16" s="27" t="s">
        <v>50</v>
      </c>
      <c r="I16" s="27" t="s">
        <v>51</v>
      </c>
    </row>
    <row r="17" spans="1:9" x14ac:dyDescent="0.3">
      <c r="A17" s="25" t="s">
        <v>39</v>
      </c>
      <c r="B17" s="29">
        <v>2286.2756785106922</v>
      </c>
      <c r="C17" s="25">
        <v>14.605708442024373</v>
      </c>
      <c r="D17" s="25">
        <v>156.5330218377145</v>
      </c>
      <c r="E17" s="25">
        <v>1.1484004071021164E-29</v>
      </c>
      <c r="F17" s="25">
        <v>2255.5902237808737</v>
      </c>
      <c r="G17" s="25">
        <v>2316.9611332405107</v>
      </c>
      <c r="H17" s="25">
        <v>2255.5902237808737</v>
      </c>
      <c r="I17" s="25">
        <v>2316.9611332405107</v>
      </c>
    </row>
    <row r="18" spans="1:9" ht="15" thickBot="1" x14ac:dyDescent="0.35">
      <c r="A18" s="26" t="s">
        <v>54</v>
      </c>
      <c r="B18" s="32">
        <v>10.456308991995241</v>
      </c>
      <c r="C18" s="26">
        <v>1.2664755402041936</v>
      </c>
      <c r="D18" s="26">
        <v>8.2562265595033697</v>
      </c>
      <c r="E18" s="26">
        <v>1.5597237790597943E-7</v>
      </c>
      <c r="F18" s="26">
        <v>7.795542620434583</v>
      </c>
      <c r="G18" s="26">
        <v>13.1170753635559</v>
      </c>
      <c r="H18" s="26">
        <v>7.795542620434583</v>
      </c>
      <c r="I18" s="26">
        <v>13.1170753635559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9"/>
  <sheetViews>
    <sheetView topLeftCell="A16" workbookViewId="0">
      <selection activeCell="K29" sqref="K29"/>
    </sheetView>
  </sheetViews>
  <sheetFormatPr defaultRowHeight="14.4" x14ac:dyDescent="0.3"/>
  <cols>
    <col min="1" max="1" width="18.6640625" customWidth="1"/>
    <col min="13" max="13" width="11.5546875" customWidth="1"/>
  </cols>
  <sheetData>
    <row r="1" spans="1:13" x14ac:dyDescent="0.3">
      <c r="A1" t="s">
        <v>28</v>
      </c>
      <c r="K1" t="s">
        <v>67</v>
      </c>
      <c r="L1" t="s">
        <v>66</v>
      </c>
      <c r="M1" t="s">
        <v>77</v>
      </c>
    </row>
    <row r="2" spans="1:13" ht="15" thickBot="1" x14ac:dyDescent="0.35">
      <c r="K2">
        <v>1</v>
      </c>
      <c r="L2" s="1">
        <v>2022</v>
      </c>
      <c r="M2" s="2">
        <v>1998.0445435232427</v>
      </c>
    </row>
    <row r="3" spans="1:13" x14ac:dyDescent="0.3">
      <c r="A3" s="28" t="s">
        <v>29</v>
      </c>
      <c r="B3" s="28"/>
      <c r="K3">
        <v>2</v>
      </c>
      <c r="L3" s="1">
        <v>2100</v>
      </c>
      <c r="M3" s="2">
        <v>2041.9339228964857</v>
      </c>
    </row>
    <row r="4" spans="1:13" x14ac:dyDescent="0.3">
      <c r="A4" s="25" t="s">
        <v>30</v>
      </c>
      <c r="B4" s="25">
        <v>0.83664573568428857</v>
      </c>
      <c r="D4" s="69" t="s">
        <v>78</v>
      </c>
      <c r="E4" s="69"/>
      <c r="K4">
        <v>3</v>
      </c>
      <c r="L4" s="1">
        <v>2150</v>
      </c>
      <c r="M4" s="2">
        <v>2169.7057219138014</v>
      </c>
    </row>
    <row r="5" spans="1:13" x14ac:dyDescent="0.3">
      <c r="A5" s="25" t="s">
        <v>31</v>
      </c>
      <c r="B5" s="68">
        <v>0.69997608703870451</v>
      </c>
      <c r="D5" s="69" t="s">
        <v>79</v>
      </c>
      <c r="E5" s="69"/>
      <c r="K5">
        <v>4</v>
      </c>
      <c r="L5" s="1">
        <v>2120</v>
      </c>
      <c r="M5" s="2">
        <v>2188.5995661781762</v>
      </c>
    </row>
    <row r="6" spans="1:13" x14ac:dyDescent="0.3">
      <c r="A6" s="25" t="s">
        <v>32</v>
      </c>
      <c r="B6" s="68">
        <v>0.68330809187418806</v>
      </c>
      <c r="K6">
        <v>5</v>
      </c>
      <c r="L6" s="1">
        <v>2200</v>
      </c>
      <c r="M6" s="2">
        <v>2173.9357051192551</v>
      </c>
    </row>
    <row r="7" spans="1:13" x14ac:dyDescent="0.3">
      <c r="A7" s="25" t="s">
        <v>33</v>
      </c>
      <c r="B7" s="25">
        <v>78.066845807738744</v>
      </c>
      <c r="K7">
        <v>6</v>
      </c>
      <c r="L7" s="1">
        <v>2250</v>
      </c>
      <c r="M7" s="2">
        <v>2187.7863459605205</v>
      </c>
    </row>
    <row r="8" spans="1:13" ht="15" thickBot="1" x14ac:dyDescent="0.35">
      <c r="A8" s="26" t="s">
        <v>34</v>
      </c>
      <c r="B8" s="26">
        <v>20</v>
      </c>
      <c r="K8">
        <v>7</v>
      </c>
      <c r="L8" s="1">
        <v>2150</v>
      </c>
      <c r="M8" s="2">
        <v>2169.7057219138014</v>
      </c>
    </row>
    <row r="9" spans="1:13" x14ac:dyDescent="0.3">
      <c r="K9">
        <v>8</v>
      </c>
      <c r="L9" s="1">
        <v>2340</v>
      </c>
      <c r="M9" s="2">
        <v>2415.718389083459</v>
      </c>
    </row>
    <row r="10" spans="1:13" ht="15" thickBot="1" x14ac:dyDescent="0.35">
      <c r="A10" t="s">
        <v>35</v>
      </c>
      <c r="K10">
        <v>9</v>
      </c>
      <c r="L10" s="1">
        <v>2250</v>
      </c>
      <c r="M10" s="2">
        <v>2223.3433347810565</v>
      </c>
    </row>
    <row r="11" spans="1:13" x14ac:dyDescent="0.3">
      <c r="A11" s="27"/>
      <c r="B11" s="27" t="s">
        <v>40</v>
      </c>
      <c r="C11" s="27" t="s">
        <v>41</v>
      </c>
      <c r="D11" s="27" t="s">
        <v>42</v>
      </c>
      <c r="E11" s="27" t="s">
        <v>43</v>
      </c>
      <c r="F11" s="27" t="s">
        <v>44</v>
      </c>
      <c r="K11">
        <v>10</v>
      </c>
      <c r="L11" s="1">
        <v>2300</v>
      </c>
      <c r="M11" s="2">
        <v>2236.4038203151986</v>
      </c>
    </row>
    <row r="12" spans="1:13" x14ac:dyDescent="0.3">
      <c r="A12" s="25" t="s">
        <v>36</v>
      </c>
      <c r="B12" s="25">
        <v>1</v>
      </c>
      <c r="C12" s="25">
        <v>255937.01654135337</v>
      </c>
      <c r="D12" s="25">
        <v>255937.01654135337</v>
      </c>
      <c r="E12" s="25">
        <v>41.995217788930319</v>
      </c>
      <c r="F12" s="25">
        <v>4.2779798413019533E-6</v>
      </c>
      <c r="K12">
        <v>11</v>
      </c>
      <c r="L12" s="1">
        <v>2350</v>
      </c>
      <c r="M12" s="2">
        <v>2371.5388123243879</v>
      </c>
    </row>
    <row r="13" spans="1:13" x14ac:dyDescent="0.3">
      <c r="A13" s="25" t="s">
        <v>37</v>
      </c>
      <c r="B13" s="25">
        <v>18</v>
      </c>
      <c r="C13" s="25">
        <v>109699.78345864662</v>
      </c>
      <c r="D13" s="25">
        <v>6094.4324143692565</v>
      </c>
      <c r="E13" s="25"/>
      <c r="F13" s="25"/>
      <c r="K13">
        <v>12</v>
      </c>
      <c r="L13" s="1">
        <v>2250</v>
      </c>
      <c r="M13" s="2">
        <v>2322.8061433494795</v>
      </c>
    </row>
    <row r="14" spans="1:13" ht="15" thickBot="1" x14ac:dyDescent="0.35">
      <c r="A14" s="26" t="s">
        <v>38</v>
      </c>
      <c r="B14" s="26">
        <v>19</v>
      </c>
      <c r="C14" s="26">
        <v>365636.8</v>
      </c>
      <c r="D14" s="26"/>
      <c r="E14" s="26"/>
      <c r="F14" s="26"/>
      <c r="K14">
        <v>13</v>
      </c>
      <c r="L14" s="1">
        <v>2400</v>
      </c>
      <c r="M14" s="2">
        <v>2371.5662237664601</v>
      </c>
    </row>
    <row r="15" spans="1:13" ht="15" thickBot="1" x14ac:dyDescent="0.35">
      <c r="K15">
        <v>14</v>
      </c>
      <c r="L15" s="1">
        <v>2450</v>
      </c>
      <c r="M15" s="2">
        <v>2382.2562433792332</v>
      </c>
    </row>
    <row r="16" spans="1:13" x14ac:dyDescent="0.3">
      <c r="A16" s="27"/>
      <c r="B16" s="27" t="s">
        <v>45</v>
      </c>
      <c r="C16" s="27" t="s">
        <v>33</v>
      </c>
      <c r="D16" s="27" t="s">
        <v>46</v>
      </c>
      <c r="E16" s="27" t="s">
        <v>47</v>
      </c>
      <c r="F16" s="27" t="s">
        <v>48</v>
      </c>
      <c r="G16" s="27" t="s">
        <v>49</v>
      </c>
      <c r="H16" s="27" t="s">
        <v>50</v>
      </c>
      <c r="I16" s="27" t="s">
        <v>51</v>
      </c>
      <c r="K16">
        <v>15</v>
      </c>
      <c r="L16" s="1">
        <v>2300</v>
      </c>
      <c r="M16" s="2">
        <v>2321.0805397217414</v>
      </c>
    </row>
    <row r="17" spans="1:13" x14ac:dyDescent="0.3">
      <c r="A17" s="25" t="s">
        <v>39</v>
      </c>
      <c r="B17" s="25">
        <v>2079.6105263157892</v>
      </c>
      <c r="C17" s="25">
        <v>36.264505554339692</v>
      </c>
      <c r="D17" s="25">
        <v>57.34561920883344</v>
      </c>
      <c r="E17" s="25">
        <v>7.8064519505913643E-22</v>
      </c>
      <c r="F17" s="25">
        <v>2003.4216274408022</v>
      </c>
      <c r="G17" s="25">
        <v>2155.7994251907762</v>
      </c>
      <c r="H17" s="25">
        <v>2003.4216274408022</v>
      </c>
      <c r="I17" s="25">
        <v>2155.7994251907762</v>
      </c>
      <c r="K17">
        <v>16</v>
      </c>
      <c r="L17" s="1">
        <v>2270</v>
      </c>
      <c r="M17" s="2">
        <v>2343.4533090681416</v>
      </c>
    </row>
    <row r="18" spans="1:13" ht="15" thickBot="1" x14ac:dyDescent="0.35">
      <c r="A18" s="26" t="s">
        <v>67</v>
      </c>
      <c r="B18" s="26">
        <v>19.618045112781953</v>
      </c>
      <c r="C18" s="26">
        <v>3.0273024331255547</v>
      </c>
      <c r="D18" s="26">
        <v>6.4803717323106023</v>
      </c>
      <c r="E18" s="26">
        <v>4.2779798413019533E-6</v>
      </c>
      <c r="F18" s="26">
        <v>13.257918718785005</v>
      </c>
      <c r="G18" s="26">
        <v>25.978171506778899</v>
      </c>
      <c r="H18" s="26">
        <v>13.257918718785005</v>
      </c>
      <c r="I18" s="26">
        <v>25.978171506778899</v>
      </c>
      <c r="K18">
        <v>17</v>
      </c>
      <c r="L18" s="1">
        <v>2500</v>
      </c>
      <c r="M18" s="2">
        <v>2470.3814830900628</v>
      </c>
    </row>
    <row r="19" spans="1:13" x14ac:dyDescent="0.3">
      <c r="K19">
        <v>18</v>
      </c>
      <c r="L19" s="1">
        <v>2560</v>
      </c>
      <c r="M19" s="2">
        <v>2489.2146869595254</v>
      </c>
    </row>
    <row r="20" spans="1:13" x14ac:dyDescent="0.3">
      <c r="K20">
        <v>19</v>
      </c>
      <c r="L20" s="1">
        <v>2400</v>
      </c>
      <c r="M20" s="2">
        <v>2421.9970849270344</v>
      </c>
    </row>
    <row r="21" spans="1:13" x14ac:dyDescent="0.3">
      <c r="K21">
        <v>20</v>
      </c>
      <c r="L21" s="1">
        <v>2350</v>
      </c>
      <c r="M21" s="2">
        <v>2426.04197194279</v>
      </c>
    </row>
    <row r="22" spans="1:13" x14ac:dyDescent="0.3">
      <c r="A22" t="s">
        <v>28</v>
      </c>
    </row>
    <row r="23" spans="1:13" ht="15" thickBot="1" x14ac:dyDescent="0.35"/>
    <row r="24" spans="1:13" x14ac:dyDescent="0.3">
      <c r="A24" s="28" t="s">
        <v>29</v>
      </c>
      <c r="B24" s="28"/>
    </row>
    <row r="25" spans="1:13" x14ac:dyDescent="0.3">
      <c r="A25" s="25" t="s">
        <v>30</v>
      </c>
      <c r="B25" s="70">
        <v>0.88943754442309486</v>
      </c>
    </row>
    <row r="26" spans="1:13" x14ac:dyDescent="0.3">
      <c r="A26" s="25" t="s">
        <v>31</v>
      </c>
      <c r="B26" s="70">
        <v>0.79109914542938475</v>
      </c>
      <c r="D26" s="49" t="s">
        <v>78</v>
      </c>
      <c r="E26" s="49"/>
    </row>
    <row r="27" spans="1:13" x14ac:dyDescent="0.3">
      <c r="A27" s="25" t="s">
        <v>32</v>
      </c>
      <c r="B27" s="70">
        <v>0.77949354239768387</v>
      </c>
      <c r="D27" s="49" t="s">
        <v>80</v>
      </c>
      <c r="E27" s="49"/>
    </row>
    <row r="28" spans="1:13" x14ac:dyDescent="0.3">
      <c r="A28" s="25" t="s">
        <v>33</v>
      </c>
      <c r="B28" s="70">
        <v>65.31871387181809</v>
      </c>
    </row>
    <row r="29" spans="1:13" ht="15" thickBot="1" x14ac:dyDescent="0.35">
      <c r="A29" s="26" t="s">
        <v>34</v>
      </c>
      <c r="B29" s="26">
        <v>20</v>
      </c>
    </row>
    <row r="31" spans="1:13" ht="15" thickBot="1" x14ac:dyDescent="0.35">
      <c r="A31" t="s">
        <v>35</v>
      </c>
    </row>
    <row r="32" spans="1:13" x14ac:dyDescent="0.3">
      <c r="A32" s="27"/>
      <c r="B32" s="27" t="s">
        <v>40</v>
      </c>
      <c r="C32" s="27" t="s">
        <v>41</v>
      </c>
      <c r="D32" s="27" t="s">
        <v>42</v>
      </c>
      <c r="E32" s="27" t="s">
        <v>43</v>
      </c>
      <c r="F32" s="27" t="s">
        <v>44</v>
      </c>
    </row>
    <row r="33" spans="1:9" x14ac:dyDescent="0.3">
      <c r="A33" s="25" t="s">
        <v>36</v>
      </c>
      <c r="B33" s="25">
        <v>1</v>
      </c>
      <c r="C33" s="25">
        <v>290829.49797797418</v>
      </c>
      <c r="D33" s="25">
        <v>290829.49797797418</v>
      </c>
      <c r="E33" s="25">
        <v>68.165277001848835</v>
      </c>
      <c r="F33" s="25">
        <v>1.5597237790597943E-7</v>
      </c>
    </row>
    <row r="34" spans="1:9" x14ac:dyDescent="0.3">
      <c r="A34" s="25" t="s">
        <v>37</v>
      </c>
      <c r="B34" s="25">
        <v>18</v>
      </c>
      <c r="C34" s="25">
        <v>76797.618873631945</v>
      </c>
      <c r="D34" s="25">
        <v>4266.5343818684414</v>
      </c>
      <c r="E34" s="25"/>
      <c r="F34" s="25"/>
    </row>
    <row r="35" spans="1:9" ht="15" thickBot="1" x14ac:dyDescent="0.35">
      <c r="A35" s="26" t="s">
        <v>38</v>
      </c>
      <c r="B35" s="26">
        <v>19</v>
      </c>
      <c r="C35" s="26">
        <v>367627.11685160612</v>
      </c>
      <c r="D35" s="26"/>
      <c r="E35" s="26"/>
      <c r="F35" s="26"/>
    </row>
    <row r="36" spans="1:9" ht="15" thickBot="1" x14ac:dyDescent="0.35"/>
    <row r="37" spans="1:9" x14ac:dyDescent="0.3">
      <c r="A37" s="27"/>
      <c r="B37" s="27" t="s">
        <v>45</v>
      </c>
      <c r="C37" s="27" t="s">
        <v>33</v>
      </c>
      <c r="D37" s="27" t="s">
        <v>46</v>
      </c>
      <c r="E37" s="27" t="s">
        <v>47</v>
      </c>
      <c r="F37" s="27" t="s">
        <v>48</v>
      </c>
      <c r="G37" s="27" t="s">
        <v>49</v>
      </c>
      <c r="H37" s="27" t="s">
        <v>50</v>
      </c>
      <c r="I37" s="27" t="s">
        <v>51</v>
      </c>
    </row>
    <row r="38" spans="1:9" x14ac:dyDescent="0.3">
      <c r="A38" s="25" t="s">
        <v>39</v>
      </c>
      <c r="B38" s="71">
        <v>2066.6931896787919</v>
      </c>
      <c r="C38" s="25">
        <v>30.342597263895843</v>
      </c>
      <c r="D38" s="25">
        <v>68.111940836980224</v>
      </c>
      <c r="E38" s="25">
        <v>3.5754411432186178E-23</v>
      </c>
      <c r="F38" s="25">
        <v>2002.9457584314694</v>
      </c>
      <c r="G38" s="25">
        <v>2130.4406209261142</v>
      </c>
      <c r="H38" s="25">
        <v>2002.9457584314694</v>
      </c>
      <c r="I38" s="25">
        <v>2130.4406209261142</v>
      </c>
    </row>
    <row r="39" spans="1:9" ht="15" thickBot="1" x14ac:dyDescent="0.35">
      <c r="A39" s="26" t="s">
        <v>67</v>
      </c>
      <c r="B39" s="72">
        <v>20.912617983990483</v>
      </c>
      <c r="C39" s="26">
        <v>2.5329510804083872</v>
      </c>
      <c r="D39" s="26">
        <v>8.2562265595033697</v>
      </c>
      <c r="E39" s="26">
        <v>1.5597237790597943E-7</v>
      </c>
      <c r="F39" s="26">
        <v>15.591085240869166</v>
      </c>
      <c r="G39" s="26">
        <v>26.2341507271118</v>
      </c>
      <c r="H39" s="26">
        <v>15.591085240869166</v>
      </c>
      <c r="I39" s="26">
        <v>26.2341507271118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9"/>
  <sheetViews>
    <sheetView workbookViewId="0">
      <selection activeCell="E1" sqref="E1:H1"/>
    </sheetView>
  </sheetViews>
  <sheetFormatPr defaultRowHeight="14.4" x14ac:dyDescent="0.3"/>
  <cols>
    <col min="3" max="3" width="11.33203125" style="2" customWidth="1"/>
    <col min="4" max="4" width="9.109375" style="2"/>
    <col min="10" max="10" width="23.44140625" customWidth="1"/>
    <col min="14" max="14" width="9.109375" customWidth="1"/>
  </cols>
  <sheetData>
    <row r="1" spans="1:15" x14ac:dyDescent="0.3">
      <c r="A1" s="38" t="s">
        <v>84</v>
      </c>
      <c r="B1" s="38" t="s">
        <v>85</v>
      </c>
      <c r="C1" s="38" t="s">
        <v>214</v>
      </c>
      <c r="D1" s="38" t="s">
        <v>98</v>
      </c>
      <c r="E1" s="38" t="s">
        <v>99</v>
      </c>
      <c r="F1" s="38" t="s">
        <v>100</v>
      </c>
      <c r="G1" s="38" t="s">
        <v>102</v>
      </c>
      <c r="H1" s="38" t="s">
        <v>105</v>
      </c>
    </row>
    <row r="2" spans="1:15" x14ac:dyDescent="0.3">
      <c r="A2" s="38" t="s">
        <v>86</v>
      </c>
      <c r="B2" s="38">
        <v>20</v>
      </c>
      <c r="C2" s="38" t="s">
        <v>108</v>
      </c>
      <c r="D2" s="38" t="s">
        <v>108</v>
      </c>
      <c r="E2" s="38" t="s">
        <v>108</v>
      </c>
      <c r="F2" s="38" t="s">
        <v>108</v>
      </c>
      <c r="G2" s="38" t="s">
        <v>108</v>
      </c>
      <c r="H2" s="38" t="s">
        <v>108</v>
      </c>
      <c r="N2" s="150" t="s">
        <v>107</v>
      </c>
      <c r="O2" s="151"/>
    </row>
    <row r="3" spans="1:15" x14ac:dyDescent="0.3">
      <c r="A3" s="38" t="s">
        <v>87</v>
      </c>
      <c r="B3" s="12">
        <v>19</v>
      </c>
      <c r="C3" s="12">
        <f>(B2+B3+B4)/3</f>
        <v>19.666666666666668</v>
      </c>
      <c r="D3" s="38" t="s">
        <v>108</v>
      </c>
      <c r="E3" s="38" t="s">
        <v>108</v>
      </c>
      <c r="F3" s="38" t="s">
        <v>108</v>
      </c>
      <c r="G3" s="38" t="s">
        <v>108</v>
      </c>
      <c r="H3" s="38" t="s">
        <v>108</v>
      </c>
      <c r="N3" s="78" t="e">
        <v>#N/A</v>
      </c>
      <c r="O3" s="79"/>
    </row>
    <row r="4" spans="1:15" x14ac:dyDescent="0.3">
      <c r="A4" s="77" t="s">
        <v>88</v>
      </c>
      <c r="B4" s="38">
        <v>20</v>
      </c>
      <c r="C4" s="38">
        <f>(B3+B4+B5)/3</f>
        <v>21</v>
      </c>
      <c r="D4" s="77">
        <v>19.666666666666668</v>
      </c>
      <c r="E4" s="38">
        <f>B4-D4</f>
        <v>0.33333333333333215</v>
      </c>
      <c r="F4" s="37">
        <f>ABS(E4)</f>
        <v>0.33333333333333215</v>
      </c>
      <c r="G4" s="37">
        <f>F4/B4</f>
        <v>1.6666666666666607E-2</v>
      </c>
      <c r="H4" s="37">
        <f>E4*E4</f>
        <v>0.11111111111111033</v>
      </c>
      <c r="N4" s="78" t="e">
        <v>#N/A</v>
      </c>
      <c r="O4" s="79"/>
    </row>
    <row r="5" spans="1:15" x14ac:dyDescent="0.3">
      <c r="A5" s="38" t="s">
        <v>89</v>
      </c>
      <c r="B5" s="38">
        <v>24</v>
      </c>
      <c r="C5" s="38">
        <f t="shared" ref="C5:C12" si="0">(B4+B5+B6)/3</f>
        <v>23</v>
      </c>
      <c r="D5" s="38">
        <v>21</v>
      </c>
      <c r="E5" s="38">
        <f t="shared" ref="E5:E13" si="1">B5-D5</f>
        <v>3</v>
      </c>
      <c r="F5" s="37">
        <f t="shared" ref="F5:F13" si="2">ABS(E5)</f>
        <v>3</v>
      </c>
      <c r="G5" s="37">
        <f t="shared" ref="G5:G13" si="3">F5/B5</f>
        <v>0.125</v>
      </c>
      <c r="H5" s="37">
        <f t="shared" ref="H5:H13" si="4">E5*E5</f>
        <v>9</v>
      </c>
      <c r="N5" s="80">
        <f t="shared" ref="N5:N14" si="5">AVERAGE(B2:B4)</f>
        <v>19.666666666666668</v>
      </c>
      <c r="O5" s="79"/>
    </row>
    <row r="6" spans="1:15" x14ac:dyDescent="0.3">
      <c r="A6" s="38" t="s">
        <v>90</v>
      </c>
      <c r="B6" s="38">
        <v>25</v>
      </c>
      <c r="C6" s="38">
        <f t="shared" si="0"/>
        <v>23.333333333333332</v>
      </c>
      <c r="D6" s="38">
        <v>23</v>
      </c>
      <c r="E6" s="38">
        <f t="shared" si="1"/>
        <v>2</v>
      </c>
      <c r="F6" s="37">
        <f t="shared" si="2"/>
        <v>2</v>
      </c>
      <c r="G6" s="37">
        <f t="shared" si="3"/>
        <v>0.08</v>
      </c>
      <c r="H6" s="37">
        <f t="shared" si="4"/>
        <v>4</v>
      </c>
      <c r="N6" s="81">
        <f t="shared" si="5"/>
        <v>21</v>
      </c>
      <c r="O6" s="79"/>
    </row>
    <row r="7" spans="1:15" x14ac:dyDescent="0.3">
      <c r="A7" s="38" t="s">
        <v>91</v>
      </c>
      <c r="B7" s="38">
        <v>21</v>
      </c>
      <c r="C7" s="38">
        <f t="shared" si="0"/>
        <v>22.666666666666668</v>
      </c>
      <c r="D7" s="38">
        <v>23.333333333333332</v>
      </c>
      <c r="E7" s="38">
        <f t="shared" si="1"/>
        <v>-2.3333333333333321</v>
      </c>
      <c r="F7" s="37">
        <f t="shared" si="2"/>
        <v>2.3333333333333321</v>
      </c>
      <c r="G7" s="37">
        <f t="shared" si="3"/>
        <v>0.11111111111111105</v>
      </c>
      <c r="H7" s="37">
        <f t="shared" si="4"/>
        <v>5.4444444444444393</v>
      </c>
      <c r="N7" s="81">
        <f t="shared" si="5"/>
        <v>23</v>
      </c>
      <c r="O7" s="79"/>
    </row>
    <row r="8" spans="1:15" x14ac:dyDescent="0.3">
      <c r="A8" s="38" t="s">
        <v>92</v>
      </c>
      <c r="B8" s="38">
        <v>22</v>
      </c>
      <c r="C8" s="38">
        <f t="shared" si="0"/>
        <v>22</v>
      </c>
      <c r="D8" s="38">
        <v>22.666666666666668</v>
      </c>
      <c r="E8" s="38">
        <f t="shared" si="1"/>
        <v>-0.66666666666666785</v>
      </c>
      <c r="F8" s="37">
        <f t="shared" si="2"/>
        <v>0.66666666666666785</v>
      </c>
      <c r="G8" s="37">
        <f t="shared" si="3"/>
        <v>3.0303030303030356E-2</v>
      </c>
      <c r="H8" s="37">
        <f t="shared" si="4"/>
        <v>0.44444444444444603</v>
      </c>
      <c r="N8" s="81">
        <f t="shared" si="5"/>
        <v>23.333333333333332</v>
      </c>
      <c r="O8" s="79"/>
    </row>
    <row r="9" spans="1:15" x14ac:dyDescent="0.3">
      <c r="A9" s="38" t="s">
        <v>93</v>
      </c>
      <c r="B9" s="38">
        <v>23</v>
      </c>
      <c r="C9" s="38">
        <f t="shared" si="0"/>
        <v>24.666666666666668</v>
      </c>
      <c r="D9" s="38">
        <v>22</v>
      </c>
      <c r="E9" s="38">
        <f t="shared" si="1"/>
        <v>1</v>
      </c>
      <c r="F9" s="37">
        <f t="shared" si="2"/>
        <v>1</v>
      </c>
      <c r="G9" s="37">
        <f t="shared" si="3"/>
        <v>4.3478260869565216E-2</v>
      </c>
      <c r="H9" s="37">
        <f t="shared" si="4"/>
        <v>1</v>
      </c>
      <c r="N9" s="81">
        <f t="shared" si="5"/>
        <v>22.666666666666668</v>
      </c>
      <c r="O9" s="79"/>
    </row>
    <row r="10" spans="1:15" x14ac:dyDescent="0.3">
      <c r="A10" s="38" t="s">
        <v>94</v>
      </c>
      <c r="B10" s="38">
        <v>29</v>
      </c>
      <c r="C10" s="38">
        <f t="shared" si="0"/>
        <v>27.333333333333332</v>
      </c>
      <c r="D10" s="38">
        <v>24.666666666666668</v>
      </c>
      <c r="E10" s="38">
        <f t="shared" si="1"/>
        <v>4.3333333333333321</v>
      </c>
      <c r="F10" s="37">
        <f t="shared" si="2"/>
        <v>4.3333333333333321</v>
      </c>
      <c r="G10" s="37">
        <f t="shared" si="3"/>
        <v>0.1494252873563218</v>
      </c>
      <c r="H10" s="37">
        <f t="shared" si="4"/>
        <v>18.777777777777768</v>
      </c>
      <c r="N10" s="81">
        <f t="shared" si="5"/>
        <v>22</v>
      </c>
      <c r="O10" s="79"/>
    </row>
    <row r="11" spans="1:15" x14ac:dyDescent="0.3">
      <c r="A11" s="38" t="s">
        <v>95</v>
      </c>
      <c r="B11" s="38">
        <v>30</v>
      </c>
      <c r="C11" s="38">
        <f t="shared" si="0"/>
        <v>30.333333333333332</v>
      </c>
      <c r="D11" s="38">
        <v>27.333333333333332</v>
      </c>
      <c r="E11" s="38">
        <f t="shared" si="1"/>
        <v>2.6666666666666679</v>
      </c>
      <c r="F11" s="37">
        <f t="shared" si="2"/>
        <v>2.6666666666666679</v>
      </c>
      <c r="G11" s="37">
        <f t="shared" si="3"/>
        <v>8.8888888888888934E-2</v>
      </c>
      <c r="H11" s="37">
        <f t="shared" si="4"/>
        <v>7.1111111111111178</v>
      </c>
      <c r="N11" s="81">
        <f t="shared" si="5"/>
        <v>24.666666666666668</v>
      </c>
      <c r="O11" s="79"/>
    </row>
    <row r="12" spans="1:15" x14ac:dyDescent="0.3">
      <c r="A12" s="38" t="s">
        <v>96</v>
      </c>
      <c r="B12" s="38">
        <v>32</v>
      </c>
      <c r="C12" s="38">
        <f t="shared" si="0"/>
        <v>30</v>
      </c>
      <c r="D12" s="38">
        <v>30.333333333333332</v>
      </c>
      <c r="E12" s="38">
        <f t="shared" si="1"/>
        <v>1.6666666666666679</v>
      </c>
      <c r="F12" s="37">
        <f t="shared" si="2"/>
        <v>1.6666666666666679</v>
      </c>
      <c r="G12" s="37">
        <f t="shared" si="3"/>
        <v>5.208333333333337E-2</v>
      </c>
      <c r="H12" s="37">
        <f t="shared" si="4"/>
        <v>2.7777777777777817</v>
      </c>
      <c r="N12" s="81">
        <f t="shared" si="5"/>
        <v>27.333333333333332</v>
      </c>
      <c r="O12" s="79"/>
    </row>
    <row r="13" spans="1:15" ht="15" thickBot="1" x14ac:dyDescent="0.35">
      <c r="A13" s="38" t="s">
        <v>97</v>
      </c>
      <c r="B13" s="38">
        <v>28</v>
      </c>
      <c r="C13" s="38" t="s">
        <v>108</v>
      </c>
      <c r="D13" s="8">
        <v>30</v>
      </c>
      <c r="E13" s="84">
        <f t="shared" si="1"/>
        <v>-2</v>
      </c>
      <c r="F13" s="76">
        <f t="shared" si="2"/>
        <v>2</v>
      </c>
      <c r="G13" s="76">
        <f t="shared" si="3"/>
        <v>7.1428571428571425E-2</v>
      </c>
      <c r="H13" s="76">
        <f t="shared" si="4"/>
        <v>4</v>
      </c>
      <c r="N13" s="81">
        <f t="shared" si="5"/>
        <v>30.333333333333332</v>
      </c>
      <c r="O13" s="79"/>
    </row>
    <row r="14" spans="1:15" x14ac:dyDescent="0.3">
      <c r="A14" s="37"/>
      <c r="B14" s="37"/>
      <c r="C14" s="38"/>
      <c r="D14" s="38" t="s">
        <v>103</v>
      </c>
      <c r="E14" s="37">
        <f>SUM(E4:E13)</f>
        <v>10</v>
      </c>
      <c r="F14" s="37">
        <f>SUM(F4:F13)</f>
        <v>20</v>
      </c>
      <c r="G14" s="37">
        <f>SUM(G4:G13)</f>
        <v>0.76838514995748863</v>
      </c>
      <c r="H14" s="37">
        <f>SUM(H4:H13)</f>
        <v>52.666666666666664</v>
      </c>
      <c r="N14" s="82">
        <f t="shared" si="5"/>
        <v>30</v>
      </c>
      <c r="O14" s="83"/>
    </row>
    <row r="15" spans="1:15" x14ac:dyDescent="0.3">
      <c r="A15" s="37"/>
      <c r="B15" s="37"/>
      <c r="C15" s="38"/>
      <c r="D15" s="38"/>
      <c r="E15" s="85" t="s">
        <v>101</v>
      </c>
      <c r="F15" s="85">
        <f>F14/10</f>
        <v>2</v>
      </c>
      <c r="G15" s="85"/>
      <c r="H15" s="85"/>
    </row>
    <row r="16" spans="1:15" x14ac:dyDescent="0.3">
      <c r="A16" s="37"/>
      <c r="B16" s="37"/>
      <c r="C16" s="38"/>
      <c r="D16" s="38"/>
      <c r="E16" s="85" t="s">
        <v>104</v>
      </c>
      <c r="F16" s="85"/>
      <c r="G16" s="85">
        <f>(G14/10)*100</f>
        <v>7.683851499574887</v>
      </c>
      <c r="H16" s="85"/>
    </row>
    <row r="17" spans="1:8" x14ac:dyDescent="0.3">
      <c r="A17" s="37"/>
      <c r="B17" s="37"/>
      <c r="C17" s="38"/>
      <c r="D17" s="38"/>
      <c r="E17" s="85" t="s">
        <v>106</v>
      </c>
      <c r="F17" s="85"/>
      <c r="G17" s="85"/>
      <c r="H17" s="85">
        <f>H14/10</f>
        <v>5.2666666666666666</v>
      </c>
    </row>
    <row r="18" spans="1:8" x14ac:dyDescent="0.3">
      <c r="A18" s="37"/>
      <c r="B18" s="37"/>
      <c r="C18" s="38"/>
      <c r="D18" s="38"/>
      <c r="E18" s="37"/>
      <c r="F18" s="37"/>
      <c r="G18" s="37"/>
      <c r="H18" s="37"/>
    </row>
    <row r="19" spans="1:8" x14ac:dyDescent="0.3">
      <c r="A19" s="37"/>
      <c r="B19" s="37"/>
      <c r="C19" s="38"/>
      <c r="D19" s="38"/>
      <c r="E19" s="37"/>
      <c r="F19" s="37"/>
      <c r="G19" s="37"/>
      <c r="H19" s="37"/>
    </row>
  </sheetData>
  <mergeCells count="1">
    <mergeCell ref="N2:O2"/>
  </mergeCell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MtbGraph.Document.16" shapeId="6147" r:id="rId4">
          <objectPr defaultSize="0" autoPict="0" r:id="rId5">
            <anchor moveWithCells="1">
              <from>
                <xdr:col>4</xdr:col>
                <xdr:colOff>83820</xdr:colOff>
                <xdr:row>17</xdr:row>
                <xdr:rowOff>53340</xdr:rowOff>
              </from>
              <to>
                <xdr:col>9</xdr:col>
                <xdr:colOff>952500</xdr:colOff>
                <xdr:row>31</xdr:row>
                <xdr:rowOff>121920</xdr:rowOff>
              </to>
            </anchor>
          </objectPr>
        </oleObject>
      </mc:Choice>
      <mc:Fallback>
        <oleObject progId="MtbGraph.Document.16" shapeId="6147" r:id="rId4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1"/>
  <sheetViews>
    <sheetView topLeftCell="A10" workbookViewId="0">
      <selection activeCell="P25" sqref="P25"/>
    </sheetView>
  </sheetViews>
  <sheetFormatPr defaultRowHeight="14.4" x14ac:dyDescent="0.3"/>
  <cols>
    <col min="3" max="3" width="14.6640625" customWidth="1"/>
    <col min="10" max="10" width="0.44140625" customWidth="1"/>
    <col min="13" max="13" width="9.109375" style="2"/>
  </cols>
  <sheetData>
    <row r="1" spans="1:21" x14ac:dyDescent="0.3">
      <c r="A1" s="38" t="s">
        <v>84</v>
      </c>
      <c r="B1" s="38" t="s">
        <v>85</v>
      </c>
      <c r="C1" s="38" t="s">
        <v>215</v>
      </c>
      <c r="D1" s="38" t="s">
        <v>98</v>
      </c>
      <c r="E1" s="38" t="s">
        <v>109</v>
      </c>
      <c r="F1" s="38" t="s">
        <v>110</v>
      </c>
      <c r="G1" s="38" t="s">
        <v>111</v>
      </c>
      <c r="H1" s="38" t="s">
        <v>105</v>
      </c>
      <c r="J1" s="35"/>
      <c r="K1" s="38" t="s">
        <v>84</v>
      </c>
      <c r="L1" s="38" t="s">
        <v>85</v>
      </c>
      <c r="M1" s="2" t="s">
        <v>115</v>
      </c>
      <c r="N1">
        <v>0.9</v>
      </c>
      <c r="O1" s="38" t="s">
        <v>109</v>
      </c>
      <c r="P1" s="38" t="s">
        <v>110</v>
      </c>
      <c r="Q1" s="38" t="s">
        <v>111</v>
      </c>
      <c r="R1" s="38" t="s">
        <v>105</v>
      </c>
    </row>
    <row r="2" spans="1:21" x14ac:dyDescent="0.3">
      <c r="A2" s="38" t="s">
        <v>86</v>
      </c>
      <c r="B2" s="38">
        <v>20</v>
      </c>
      <c r="C2" s="38" t="s">
        <v>108</v>
      </c>
      <c r="D2" s="38" t="s">
        <v>108</v>
      </c>
      <c r="E2" s="38" t="s">
        <v>108</v>
      </c>
      <c r="F2" s="38" t="s">
        <v>108</v>
      </c>
      <c r="G2" s="38" t="s">
        <v>108</v>
      </c>
      <c r="H2" s="38" t="s">
        <v>108</v>
      </c>
      <c r="J2" s="35"/>
      <c r="K2" s="38" t="s">
        <v>86</v>
      </c>
      <c r="L2" s="38">
        <v>20</v>
      </c>
      <c r="M2" s="2" t="s">
        <v>108</v>
      </c>
      <c r="O2" s="2" t="s">
        <v>108</v>
      </c>
      <c r="P2" s="2" t="s">
        <v>108</v>
      </c>
      <c r="Q2" s="2" t="s">
        <v>108</v>
      </c>
      <c r="R2" s="2" t="s">
        <v>108</v>
      </c>
    </row>
    <row r="3" spans="1:21" x14ac:dyDescent="0.3">
      <c r="A3" s="38" t="s">
        <v>87</v>
      </c>
      <c r="B3" s="38">
        <v>19</v>
      </c>
      <c r="C3" s="38">
        <f>(1*B2+2*B3+3*B4)/6</f>
        <v>19.666666666666668</v>
      </c>
      <c r="D3" s="38" t="s">
        <v>108</v>
      </c>
      <c r="E3" s="38" t="s">
        <v>108</v>
      </c>
      <c r="F3" s="38" t="s">
        <v>108</v>
      </c>
      <c r="G3" s="38" t="s">
        <v>108</v>
      </c>
      <c r="H3" s="38" t="s">
        <v>108</v>
      </c>
      <c r="J3" s="35"/>
      <c r="K3" s="38" t="s">
        <v>87</v>
      </c>
      <c r="L3" s="38">
        <v>19</v>
      </c>
      <c r="M3" s="2">
        <v>20</v>
      </c>
      <c r="O3">
        <f>L3-M3</f>
        <v>-1</v>
      </c>
      <c r="P3">
        <f>ABS(O3)</f>
        <v>1</v>
      </c>
      <c r="Q3">
        <f>P3/L3</f>
        <v>5.2631578947368418E-2</v>
      </c>
      <c r="R3">
        <f>O3*O3</f>
        <v>1</v>
      </c>
    </row>
    <row r="4" spans="1:21" x14ac:dyDescent="0.3">
      <c r="A4" s="77" t="s">
        <v>88</v>
      </c>
      <c r="B4" s="38">
        <v>20</v>
      </c>
      <c r="C4" s="38">
        <f t="shared" ref="C4:C12" si="0">(1*B3+2*B4+3*B5)/6</f>
        <v>21.833333333333332</v>
      </c>
      <c r="D4" s="77">
        <v>19.6666666666667</v>
      </c>
      <c r="E4">
        <f>B4-D4</f>
        <v>0.33333333333330017</v>
      </c>
      <c r="F4">
        <f>ABS(E4)</f>
        <v>0.33333333333330017</v>
      </c>
      <c r="G4">
        <f>F4/B4</f>
        <v>1.6666666666665008E-2</v>
      </c>
      <c r="H4">
        <f>E4*E4</f>
        <v>0.11111111111108901</v>
      </c>
      <c r="J4" s="35"/>
      <c r="K4" s="77" t="s">
        <v>88</v>
      </c>
      <c r="L4" s="38">
        <v>20</v>
      </c>
      <c r="M4" s="2">
        <f>$N$1*L3+(1-$N$1)*M3</f>
        <v>19.100000000000001</v>
      </c>
      <c r="O4">
        <f t="shared" ref="O4:O13" si="1">L4-M4</f>
        <v>0.89999999999999858</v>
      </c>
      <c r="P4">
        <f t="shared" ref="P4:P13" si="2">ABS(O4)</f>
        <v>0.89999999999999858</v>
      </c>
      <c r="Q4">
        <f t="shared" ref="Q4:Q13" si="3">P4/L4</f>
        <v>4.4999999999999929E-2</v>
      </c>
      <c r="R4">
        <f t="shared" ref="R4:R13" si="4">O4*O4</f>
        <v>0.80999999999999739</v>
      </c>
    </row>
    <row r="5" spans="1:21" x14ac:dyDescent="0.3">
      <c r="A5" s="38" t="s">
        <v>89</v>
      </c>
      <c r="B5" s="38">
        <v>24</v>
      </c>
      <c r="C5" s="38">
        <f t="shared" si="0"/>
        <v>23.833333333333332</v>
      </c>
      <c r="D5" s="38">
        <v>21.833333333333332</v>
      </c>
      <c r="E5">
        <f t="shared" ref="E5:E13" si="5">B5-D5</f>
        <v>2.1666666666666679</v>
      </c>
      <c r="F5">
        <f t="shared" ref="F5:F13" si="6">ABS(E5)</f>
        <v>2.1666666666666679</v>
      </c>
      <c r="G5">
        <f t="shared" ref="G5:G13" si="7">F5/B5</f>
        <v>9.0277777777777832E-2</v>
      </c>
      <c r="H5">
        <f t="shared" ref="H5:H13" si="8">E5*E5</f>
        <v>4.69444444444445</v>
      </c>
      <c r="J5" s="35"/>
      <c r="K5" s="38" t="s">
        <v>89</v>
      </c>
      <c r="L5" s="38">
        <v>24</v>
      </c>
      <c r="M5" s="2">
        <f t="shared" ref="M5:M13" si="9">$N$1*L4+(1-$N$1)*M4</f>
        <v>19.91</v>
      </c>
      <c r="O5">
        <f t="shared" si="1"/>
        <v>4.09</v>
      </c>
      <c r="P5">
        <f t="shared" si="2"/>
        <v>4.09</v>
      </c>
      <c r="Q5">
        <f t="shared" si="3"/>
        <v>0.17041666666666666</v>
      </c>
      <c r="R5">
        <f t="shared" si="4"/>
        <v>16.728099999999998</v>
      </c>
      <c r="T5" t="s">
        <v>295</v>
      </c>
      <c r="U5" t="s">
        <v>67</v>
      </c>
    </row>
    <row r="6" spans="1:21" x14ac:dyDescent="0.3">
      <c r="A6" s="38" t="s">
        <v>90</v>
      </c>
      <c r="B6" s="38">
        <v>25</v>
      </c>
      <c r="C6" s="38">
        <f t="shared" si="0"/>
        <v>22.833333333333332</v>
      </c>
      <c r="D6" s="38">
        <v>23.833333333333332</v>
      </c>
      <c r="E6">
        <f t="shared" si="5"/>
        <v>1.1666666666666679</v>
      </c>
      <c r="F6">
        <f t="shared" si="6"/>
        <v>1.1666666666666679</v>
      </c>
      <c r="G6">
        <f t="shared" si="7"/>
        <v>4.6666666666666717E-2</v>
      </c>
      <c r="H6">
        <f t="shared" si="8"/>
        <v>1.3611111111111138</v>
      </c>
      <c r="J6" s="35"/>
      <c r="K6" s="38" t="s">
        <v>90</v>
      </c>
      <c r="L6" s="38">
        <v>25</v>
      </c>
      <c r="M6" s="2">
        <f t="shared" si="9"/>
        <v>23.591000000000001</v>
      </c>
      <c r="O6">
        <f t="shared" si="1"/>
        <v>1.4089999999999989</v>
      </c>
      <c r="P6">
        <f t="shared" si="2"/>
        <v>1.4089999999999989</v>
      </c>
      <c r="Q6">
        <f t="shared" si="3"/>
        <v>5.6359999999999959E-2</v>
      </c>
      <c r="R6">
        <f t="shared" si="4"/>
        <v>1.985280999999997</v>
      </c>
    </row>
    <row r="7" spans="1:21" x14ac:dyDescent="0.3">
      <c r="A7" s="38" t="s">
        <v>91</v>
      </c>
      <c r="B7" s="38">
        <v>21</v>
      </c>
      <c r="C7" s="38">
        <f t="shared" si="0"/>
        <v>22.166666666666668</v>
      </c>
      <c r="D7" s="38">
        <v>22.833333333333332</v>
      </c>
      <c r="E7">
        <f t="shared" si="5"/>
        <v>-1.8333333333333321</v>
      </c>
      <c r="F7">
        <f t="shared" si="6"/>
        <v>1.8333333333333321</v>
      </c>
      <c r="G7">
        <f t="shared" si="7"/>
        <v>8.7301587301587241E-2</v>
      </c>
      <c r="H7">
        <f t="shared" si="8"/>
        <v>3.3611111111111067</v>
      </c>
      <c r="J7" s="35"/>
      <c r="K7" s="38" t="s">
        <v>91</v>
      </c>
      <c r="L7" s="38">
        <v>21</v>
      </c>
      <c r="M7" s="2">
        <f t="shared" si="9"/>
        <v>24.859099999999998</v>
      </c>
      <c r="O7">
        <f t="shared" si="1"/>
        <v>-3.859099999999998</v>
      </c>
      <c r="P7">
        <f t="shared" si="2"/>
        <v>3.859099999999998</v>
      </c>
      <c r="Q7">
        <f t="shared" si="3"/>
        <v>0.18376666666666658</v>
      </c>
      <c r="R7">
        <f t="shared" si="4"/>
        <v>14.892652809999984</v>
      </c>
      <c r="T7" t="s">
        <v>296</v>
      </c>
      <c r="U7" t="s">
        <v>299</v>
      </c>
    </row>
    <row r="8" spans="1:21" x14ac:dyDescent="0.3">
      <c r="A8" s="38" t="s">
        <v>92</v>
      </c>
      <c r="B8" s="38">
        <v>22</v>
      </c>
      <c r="C8" s="38">
        <f t="shared" si="0"/>
        <v>22.333333333333332</v>
      </c>
      <c r="D8" s="38">
        <v>22.166666666666668</v>
      </c>
      <c r="E8">
        <f t="shared" si="5"/>
        <v>-0.16666666666666785</v>
      </c>
      <c r="F8">
        <f t="shared" si="6"/>
        <v>0.16666666666666785</v>
      </c>
      <c r="G8">
        <f t="shared" si="7"/>
        <v>7.5757575757576297E-3</v>
      </c>
      <c r="H8">
        <f t="shared" si="8"/>
        <v>2.7777777777778172E-2</v>
      </c>
      <c r="J8" s="35"/>
      <c r="K8" s="38" t="s">
        <v>92</v>
      </c>
      <c r="L8" s="38">
        <v>22</v>
      </c>
      <c r="M8" s="2">
        <f t="shared" si="9"/>
        <v>21.385910000000003</v>
      </c>
      <c r="O8">
        <f t="shared" si="1"/>
        <v>0.61408999999999736</v>
      </c>
      <c r="P8">
        <f t="shared" si="2"/>
        <v>0.61408999999999736</v>
      </c>
      <c r="Q8">
        <f t="shared" si="3"/>
        <v>2.7913181818181698E-2</v>
      </c>
      <c r="R8">
        <f t="shared" si="4"/>
        <v>0.37710652809999679</v>
      </c>
      <c r="T8" t="s">
        <v>297</v>
      </c>
      <c r="U8" t="s">
        <v>300</v>
      </c>
    </row>
    <row r="9" spans="1:21" x14ac:dyDescent="0.3">
      <c r="A9" s="38" t="s">
        <v>93</v>
      </c>
      <c r="B9" s="38">
        <v>23</v>
      </c>
      <c r="C9" s="38">
        <f t="shared" si="0"/>
        <v>25.833333333333332</v>
      </c>
      <c r="D9" s="38">
        <v>22.333333333333332</v>
      </c>
      <c r="E9">
        <f t="shared" si="5"/>
        <v>0.66666666666666785</v>
      </c>
      <c r="F9">
        <f t="shared" si="6"/>
        <v>0.66666666666666785</v>
      </c>
      <c r="G9">
        <f t="shared" si="7"/>
        <v>2.8985507246376864E-2</v>
      </c>
      <c r="H9">
        <f t="shared" si="8"/>
        <v>0.44444444444444603</v>
      </c>
      <c r="J9" s="35"/>
      <c r="K9" s="38" t="s">
        <v>93</v>
      </c>
      <c r="L9" s="38">
        <v>23</v>
      </c>
      <c r="M9" s="2">
        <f t="shared" si="9"/>
        <v>21.938591000000002</v>
      </c>
      <c r="O9">
        <f t="shared" si="1"/>
        <v>1.0614089999999976</v>
      </c>
      <c r="P9">
        <f t="shared" si="2"/>
        <v>1.0614089999999976</v>
      </c>
      <c r="Q9">
        <f t="shared" si="3"/>
        <v>4.6148217391304244E-2</v>
      </c>
      <c r="R9">
        <f t="shared" si="4"/>
        <v>1.1265890652809949</v>
      </c>
      <c r="T9" t="s">
        <v>298</v>
      </c>
      <c r="U9" t="s">
        <v>301</v>
      </c>
    </row>
    <row r="10" spans="1:21" x14ac:dyDescent="0.3">
      <c r="A10" s="38" t="s">
        <v>94</v>
      </c>
      <c r="B10" s="38">
        <v>29</v>
      </c>
      <c r="C10" s="38">
        <f t="shared" si="0"/>
        <v>28.5</v>
      </c>
      <c r="D10" s="38">
        <v>25.833333333333332</v>
      </c>
      <c r="E10">
        <f t="shared" si="5"/>
        <v>3.1666666666666679</v>
      </c>
      <c r="F10">
        <f t="shared" si="6"/>
        <v>3.1666666666666679</v>
      </c>
      <c r="G10">
        <f t="shared" si="7"/>
        <v>0.10919540229885062</v>
      </c>
      <c r="H10">
        <f t="shared" si="8"/>
        <v>10.027777777777786</v>
      </c>
      <c r="J10" s="35"/>
      <c r="K10" s="38" t="s">
        <v>94</v>
      </c>
      <c r="L10" s="38">
        <v>29</v>
      </c>
      <c r="M10" s="2">
        <f t="shared" si="9"/>
        <v>22.8938591</v>
      </c>
      <c r="O10">
        <f t="shared" si="1"/>
        <v>6.1061408999999998</v>
      </c>
      <c r="P10">
        <f t="shared" si="2"/>
        <v>6.1061408999999998</v>
      </c>
      <c r="Q10">
        <f t="shared" si="3"/>
        <v>0.21055658275862069</v>
      </c>
      <c r="R10">
        <f t="shared" si="4"/>
        <v>37.284956690652805</v>
      </c>
    </row>
    <row r="11" spans="1:21" x14ac:dyDescent="0.3">
      <c r="A11" s="38" t="s">
        <v>95</v>
      </c>
      <c r="B11" s="38">
        <v>30</v>
      </c>
      <c r="C11" s="38">
        <f t="shared" si="0"/>
        <v>30.833333333333332</v>
      </c>
      <c r="D11" s="38">
        <v>28.5</v>
      </c>
      <c r="E11">
        <f t="shared" si="5"/>
        <v>1.5</v>
      </c>
      <c r="F11">
        <f t="shared" si="6"/>
        <v>1.5</v>
      </c>
      <c r="G11">
        <f t="shared" si="7"/>
        <v>0.05</v>
      </c>
      <c r="H11">
        <f t="shared" si="8"/>
        <v>2.25</v>
      </c>
      <c r="J11" s="35"/>
      <c r="K11" s="38" t="s">
        <v>95</v>
      </c>
      <c r="L11" s="38">
        <v>30</v>
      </c>
      <c r="M11" s="2">
        <f t="shared" si="9"/>
        <v>28.389385910000001</v>
      </c>
      <c r="O11">
        <f t="shared" si="1"/>
        <v>1.6106140899999986</v>
      </c>
      <c r="P11">
        <f t="shared" si="2"/>
        <v>1.6106140899999986</v>
      </c>
      <c r="Q11">
        <f t="shared" si="3"/>
        <v>5.3687136333333288E-2</v>
      </c>
      <c r="R11">
        <f t="shared" si="4"/>
        <v>2.5940777469065233</v>
      </c>
    </row>
    <row r="12" spans="1:21" x14ac:dyDescent="0.3">
      <c r="A12" s="38" t="s">
        <v>96</v>
      </c>
      <c r="B12" s="38">
        <v>32</v>
      </c>
      <c r="C12" s="38">
        <f t="shared" si="0"/>
        <v>29.666666666666668</v>
      </c>
      <c r="D12" s="38">
        <v>30.833333333333332</v>
      </c>
      <c r="E12">
        <f t="shared" si="5"/>
        <v>1.1666666666666679</v>
      </c>
      <c r="F12">
        <f t="shared" si="6"/>
        <v>1.1666666666666679</v>
      </c>
      <c r="G12">
        <f t="shared" si="7"/>
        <v>3.645833333333337E-2</v>
      </c>
      <c r="H12">
        <f t="shared" si="8"/>
        <v>1.3611111111111138</v>
      </c>
      <c r="J12" s="35"/>
      <c r="K12" s="38" t="s">
        <v>96</v>
      </c>
      <c r="L12" s="38">
        <v>32</v>
      </c>
      <c r="M12" s="2">
        <f t="shared" si="9"/>
        <v>29.838938590999998</v>
      </c>
      <c r="O12">
        <f t="shared" si="1"/>
        <v>2.161061409000002</v>
      </c>
      <c r="P12">
        <f t="shared" si="2"/>
        <v>2.161061409000002</v>
      </c>
      <c r="Q12">
        <f t="shared" si="3"/>
        <v>6.7533169031250062E-2</v>
      </c>
      <c r="R12">
        <f t="shared" si="4"/>
        <v>4.6701864134690743</v>
      </c>
    </row>
    <row r="13" spans="1:21" ht="15" thickBot="1" x14ac:dyDescent="0.35">
      <c r="A13" s="38" t="s">
        <v>97</v>
      </c>
      <c r="B13" s="38">
        <v>28</v>
      </c>
      <c r="C13" s="38" t="s">
        <v>108</v>
      </c>
      <c r="D13" s="8">
        <v>29.666666666666668</v>
      </c>
      <c r="E13" s="44">
        <f t="shared" si="5"/>
        <v>-1.6666666666666679</v>
      </c>
      <c r="F13" s="44">
        <f t="shared" si="6"/>
        <v>1.6666666666666679</v>
      </c>
      <c r="G13" s="44">
        <f t="shared" si="7"/>
        <v>5.9523809523809569E-2</v>
      </c>
      <c r="H13" s="44">
        <f t="shared" si="8"/>
        <v>2.7777777777777817</v>
      </c>
      <c r="J13" s="35"/>
      <c r="K13" s="38" t="s">
        <v>97</v>
      </c>
      <c r="L13" s="38">
        <v>28</v>
      </c>
      <c r="M13" s="2">
        <f t="shared" si="9"/>
        <v>31.783893859100001</v>
      </c>
      <c r="O13">
        <f t="shared" si="1"/>
        <v>-3.7838938591000009</v>
      </c>
      <c r="P13">
        <f t="shared" si="2"/>
        <v>3.7838938591000009</v>
      </c>
      <c r="Q13">
        <f t="shared" si="3"/>
        <v>0.13513906639642861</v>
      </c>
      <c r="R13">
        <f t="shared" si="4"/>
        <v>14.317852736934697</v>
      </c>
    </row>
    <row r="14" spans="1:21" ht="15" thickBot="1" x14ac:dyDescent="0.35">
      <c r="E14" s="88" t="s">
        <v>112</v>
      </c>
      <c r="F14" s="89">
        <f>SUM(F4:F13)</f>
        <v>13.833333333333307</v>
      </c>
      <c r="G14" s="88">
        <f>SUM(G4:G13)</f>
        <v>0.53265150839082487</v>
      </c>
      <c r="H14" s="88">
        <f>SUM(H4:H13)</f>
        <v>26.416666666666668</v>
      </c>
      <c r="J14" s="35"/>
      <c r="O14" s="73" t="s">
        <v>129</v>
      </c>
      <c r="P14" s="73">
        <f>SUM(P3:P13)</f>
        <v>26.595309258099991</v>
      </c>
      <c r="Q14" s="73">
        <f>SUM(Q3:Q13)</f>
        <v>1.0491522660098203</v>
      </c>
      <c r="R14" s="73">
        <f>SUM(R3:R13)</f>
        <v>95.786802991344061</v>
      </c>
    </row>
    <row r="15" spans="1:21" x14ac:dyDescent="0.3">
      <c r="E15" s="86" t="s">
        <v>101</v>
      </c>
      <c r="F15" s="86">
        <f>F14/10</f>
        <v>1.3833333333333306</v>
      </c>
      <c r="G15" s="86"/>
      <c r="H15" s="86"/>
      <c r="J15" s="35"/>
      <c r="K15" s="94" t="s">
        <v>130</v>
      </c>
      <c r="O15" s="86" t="s">
        <v>101</v>
      </c>
      <c r="P15" s="86">
        <f>P14/11</f>
        <v>2.4177553870999993</v>
      </c>
      <c r="Q15" s="86"/>
      <c r="R15" s="86"/>
    </row>
    <row r="16" spans="1:21" x14ac:dyDescent="0.3">
      <c r="E16" s="86" t="s">
        <v>104</v>
      </c>
      <c r="F16" s="86"/>
      <c r="G16" s="86">
        <f>(G14/10)*100</f>
        <v>5.3265150839082489</v>
      </c>
      <c r="H16" s="86"/>
      <c r="J16" s="35"/>
      <c r="O16" s="86" t="s">
        <v>104</v>
      </c>
      <c r="P16" s="86"/>
      <c r="Q16" s="86">
        <f>(Q14/11)*100</f>
        <v>9.5377478728165475</v>
      </c>
      <c r="R16" s="86"/>
    </row>
    <row r="17" spans="5:19" ht="15" thickBot="1" x14ac:dyDescent="0.35">
      <c r="E17" s="87" t="s">
        <v>113</v>
      </c>
      <c r="F17" s="87"/>
      <c r="G17" s="87"/>
      <c r="H17" s="87">
        <f>H14/10</f>
        <v>2.6416666666666666</v>
      </c>
      <c r="J17" s="35"/>
      <c r="O17" s="87" t="s">
        <v>113</v>
      </c>
      <c r="P17" s="87"/>
      <c r="Q17" s="87"/>
      <c r="R17" s="87">
        <f>R14/11</f>
        <v>8.7078911810312789</v>
      </c>
    </row>
    <row r="18" spans="5:19" x14ac:dyDescent="0.3">
      <c r="J18" s="35"/>
    </row>
    <row r="19" spans="5:19" x14ac:dyDescent="0.3">
      <c r="G19" s="95" t="s">
        <v>131</v>
      </c>
      <c r="J19" s="35"/>
    </row>
    <row r="20" spans="5:19" ht="15.6" x14ac:dyDescent="0.3">
      <c r="J20" s="35"/>
      <c r="K20" s="90" t="s">
        <v>118</v>
      </c>
      <c r="L20" s="74"/>
      <c r="M20" s="74"/>
      <c r="N20" s="74"/>
      <c r="O20" s="74"/>
    </row>
    <row r="21" spans="5:19" x14ac:dyDescent="0.3">
      <c r="J21" s="35"/>
      <c r="K21" s="2" t="s">
        <v>119</v>
      </c>
      <c r="L21" s="2">
        <v>19.3</v>
      </c>
      <c r="M21" s="2" t="s">
        <v>126</v>
      </c>
      <c r="N21" s="2"/>
      <c r="O21" s="2"/>
    </row>
    <row r="22" spans="5:19" x14ac:dyDescent="0.3">
      <c r="J22" s="35"/>
      <c r="K22" s="2" t="s">
        <v>120</v>
      </c>
      <c r="L22" s="2">
        <v>19</v>
      </c>
      <c r="M22" s="2" t="s">
        <v>127</v>
      </c>
      <c r="N22" s="2"/>
      <c r="O22" s="2"/>
      <c r="Q22" t="s">
        <v>292</v>
      </c>
      <c r="R22" t="s">
        <v>293</v>
      </c>
    </row>
    <row r="23" spans="5:19" x14ac:dyDescent="0.3">
      <c r="J23" s="35"/>
      <c r="K23" s="2" t="s">
        <v>121</v>
      </c>
      <c r="L23" s="2">
        <v>20</v>
      </c>
      <c r="M23" s="2" t="s">
        <v>128</v>
      </c>
      <c r="N23" s="2"/>
      <c r="O23" s="2"/>
      <c r="S23" t="s">
        <v>294</v>
      </c>
    </row>
    <row r="26" spans="5:19" x14ac:dyDescent="0.3">
      <c r="E26" s="2" t="s">
        <v>216</v>
      </c>
      <c r="F26" s="2" t="s">
        <v>217</v>
      </c>
      <c r="G26" s="2" t="s">
        <v>123</v>
      </c>
    </row>
    <row r="27" spans="5:19" x14ac:dyDescent="0.3">
      <c r="E27" s="2">
        <v>20</v>
      </c>
      <c r="F27" s="2">
        <v>19</v>
      </c>
      <c r="G27" s="2">
        <v>20</v>
      </c>
      <c r="H27">
        <f>AVERAGE(E27:G27)</f>
        <v>19.666666666666668</v>
      </c>
    </row>
    <row r="28" spans="5:19" x14ac:dyDescent="0.3">
      <c r="E28" t="s">
        <v>220</v>
      </c>
      <c r="F28" t="s">
        <v>219</v>
      </c>
      <c r="G28" t="s">
        <v>218</v>
      </c>
    </row>
    <row r="29" spans="5:19" x14ac:dyDescent="0.3">
      <c r="E29">
        <v>0.1</v>
      </c>
      <c r="F29">
        <v>0.2</v>
      </c>
      <c r="G29">
        <v>0.7</v>
      </c>
      <c r="H29">
        <f>SUM(E29:G29)</f>
        <v>1</v>
      </c>
    </row>
    <row r="30" spans="5:19" x14ac:dyDescent="0.3">
      <c r="E30">
        <v>0.3</v>
      </c>
      <c r="F30">
        <v>0.5</v>
      </c>
      <c r="G30">
        <v>0.7</v>
      </c>
      <c r="H30">
        <f>SUM(E30:G30)</f>
        <v>1.5</v>
      </c>
    </row>
    <row r="31" spans="5:19" x14ac:dyDescent="0.3">
      <c r="E31" s="121">
        <f>1/6</f>
        <v>0.16666666666666666</v>
      </c>
      <c r="F31">
        <f>2/6</f>
        <v>0.33333333333333331</v>
      </c>
      <c r="G31">
        <f>3/6</f>
        <v>0.5</v>
      </c>
      <c r="H31">
        <f>SUM(E31:G31)</f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3"/>
  <sheetViews>
    <sheetView topLeftCell="A7" workbookViewId="0">
      <selection activeCell="R23" sqref="R23"/>
    </sheetView>
  </sheetViews>
  <sheetFormatPr defaultRowHeight="14.4" x14ac:dyDescent="0.3"/>
  <cols>
    <col min="1" max="1" width="7.33203125" style="2" customWidth="1"/>
    <col min="2" max="2" width="7.109375" style="2" customWidth="1"/>
    <col min="3" max="3" width="9" style="2" customWidth="1"/>
    <col min="4" max="4" width="6.5546875" style="2" customWidth="1"/>
    <col min="5" max="5" width="8.109375" style="2" customWidth="1"/>
    <col min="6" max="6" width="5.6640625" style="2" customWidth="1"/>
    <col min="7" max="7" width="7.109375" style="2" customWidth="1"/>
    <col min="8" max="8" width="0.5546875" style="2" customWidth="1"/>
    <col min="10" max="10" width="7.6640625" customWidth="1"/>
    <col min="11" max="11" width="6.109375" customWidth="1"/>
    <col min="12" max="12" width="6.88671875" customWidth="1"/>
    <col min="13" max="13" width="7" customWidth="1"/>
    <col min="14" max="14" width="0.5546875" customWidth="1"/>
    <col min="16" max="16" width="8.44140625" customWidth="1"/>
    <col min="17" max="17" width="6.6640625" customWidth="1"/>
    <col min="18" max="18" width="7.33203125" customWidth="1"/>
    <col min="19" max="19" width="6.88671875" customWidth="1"/>
  </cols>
  <sheetData>
    <row r="1" spans="1:20" x14ac:dyDescent="0.3">
      <c r="A1" s="2" t="s">
        <v>0</v>
      </c>
      <c r="B1" s="2" t="s">
        <v>114</v>
      </c>
      <c r="C1" s="2" t="s">
        <v>115</v>
      </c>
      <c r="D1" s="2">
        <v>0.3</v>
      </c>
      <c r="H1" s="75"/>
      <c r="I1" s="2" t="s">
        <v>115</v>
      </c>
      <c r="J1" s="2">
        <v>0.5</v>
      </c>
      <c r="N1" s="33"/>
      <c r="O1" s="2" t="s">
        <v>115</v>
      </c>
      <c r="P1" s="2">
        <v>0.7</v>
      </c>
      <c r="T1" s="152" t="s">
        <v>125</v>
      </c>
    </row>
    <row r="2" spans="1:20" ht="33" customHeight="1" x14ac:dyDescent="0.3">
      <c r="C2" s="2" t="s">
        <v>116</v>
      </c>
      <c r="D2" s="2" t="s">
        <v>99</v>
      </c>
      <c r="E2" s="2" t="s">
        <v>110</v>
      </c>
      <c r="F2" s="2" t="s">
        <v>111</v>
      </c>
      <c r="G2" s="2" t="s">
        <v>117</v>
      </c>
      <c r="H2" s="75"/>
      <c r="I2" s="2" t="s">
        <v>116</v>
      </c>
      <c r="J2" s="2" t="s">
        <v>99</v>
      </c>
      <c r="K2" s="2" t="s">
        <v>110</v>
      </c>
      <c r="L2" s="2" t="s">
        <v>111</v>
      </c>
      <c r="M2" s="2" t="s">
        <v>117</v>
      </c>
      <c r="N2" s="33"/>
      <c r="O2" s="2" t="s">
        <v>116</v>
      </c>
      <c r="P2" s="2" t="s">
        <v>99</v>
      </c>
      <c r="Q2" s="2" t="s">
        <v>110</v>
      </c>
      <c r="R2" s="2" t="s">
        <v>111</v>
      </c>
      <c r="S2" s="2" t="s">
        <v>117</v>
      </c>
      <c r="T2" s="153"/>
    </row>
    <row r="3" spans="1:20" x14ac:dyDescent="0.3">
      <c r="A3" s="2">
        <v>1996</v>
      </c>
      <c r="B3" s="12">
        <v>120</v>
      </c>
      <c r="C3" s="2" t="s">
        <v>108</v>
      </c>
      <c r="D3" s="2" t="s">
        <v>108</v>
      </c>
      <c r="E3" s="2" t="s">
        <v>108</v>
      </c>
      <c r="F3" s="2" t="s">
        <v>108</v>
      </c>
      <c r="G3" s="2" t="s">
        <v>108</v>
      </c>
      <c r="H3" s="75"/>
      <c r="I3" s="2" t="s">
        <v>108</v>
      </c>
      <c r="J3" s="2" t="s">
        <v>108</v>
      </c>
      <c r="K3" s="2" t="s">
        <v>108</v>
      </c>
      <c r="L3" s="2" t="s">
        <v>108</v>
      </c>
      <c r="M3" s="2" t="s">
        <v>108</v>
      </c>
      <c r="N3" s="33"/>
      <c r="O3" s="2" t="s">
        <v>108</v>
      </c>
      <c r="P3" s="2" t="s">
        <v>108</v>
      </c>
      <c r="Q3" s="2" t="s">
        <v>108</v>
      </c>
      <c r="R3" s="2" t="s">
        <v>108</v>
      </c>
      <c r="S3" s="2" t="s">
        <v>108</v>
      </c>
      <c r="T3" s="91" t="e">
        <v>#N/A</v>
      </c>
    </row>
    <row r="4" spans="1:20" x14ac:dyDescent="0.3">
      <c r="A4" s="2">
        <f>A3+1</f>
        <v>1997</v>
      </c>
      <c r="B4" s="2">
        <v>112</v>
      </c>
      <c r="C4" s="12">
        <f>B3</f>
        <v>120</v>
      </c>
      <c r="D4" s="2">
        <f>B4-C4</f>
        <v>-8</v>
      </c>
      <c r="E4" s="2">
        <f>ABS(D4)</f>
        <v>8</v>
      </c>
      <c r="F4" s="2">
        <f>E4/B4</f>
        <v>7.1428571428571425E-2</v>
      </c>
      <c r="G4" s="2">
        <f>D4*D4</f>
        <v>64</v>
      </c>
      <c r="H4" s="75"/>
      <c r="I4" s="12">
        <v>120</v>
      </c>
      <c r="J4" s="2">
        <f t="shared" ref="J4:J14" si="0">B4-I4</f>
        <v>-8</v>
      </c>
      <c r="K4">
        <f>ABS(J4)</f>
        <v>8</v>
      </c>
      <c r="L4">
        <f>K4/B4</f>
        <v>7.1428571428571425E-2</v>
      </c>
      <c r="M4">
        <f>J4*J4</f>
        <v>64</v>
      </c>
      <c r="N4" s="33"/>
      <c r="O4" s="12">
        <v>120</v>
      </c>
      <c r="P4" s="2">
        <f t="shared" ref="P4:P14" si="1">B4-O4</f>
        <v>-8</v>
      </c>
      <c r="Q4">
        <f>ABS(P4)</f>
        <v>8</v>
      </c>
      <c r="R4">
        <f>Q4/B4</f>
        <v>7.1428571428571425E-2</v>
      </c>
      <c r="S4">
        <f>P4*P4</f>
        <v>64</v>
      </c>
      <c r="T4" s="91">
        <f>B3</f>
        <v>120</v>
      </c>
    </row>
    <row r="5" spans="1:20" x14ac:dyDescent="0.3">
      <c r="A5" s="2">
        <f t="shared" ref="A5:A14" si="2">A4+1</f>
        <v>1998</v>
      </c>
      <c r="B5" s="2">
        <v>136</v>
      </c>
      <c r="C5" s="2">
        <f>$D$1*B4+(1-$D$1)*C4</f>
        <v>117.6</v>
      </c>
      <c r="D5" s="2">
        <f t="shared" ref="D5:D14" si="3">B5-C5</f>
        <v>18.400000000000006</v>
      </c>
      <c r="E5" s="2">
        <f t="shared" ref="E5:E14" si="4">ABS(D5)</f>
        <v>18.400000000000006</v>
      </c>
      <c r="F5" s="2">
        <f t="shared" ref="F5:F14" si="5">E5/B5</f>
        <v>0.13529411764705887</v>
      </c>
      <c r="G5" s="2">
        <f t="shared" ref="G5:G14" si="6">D5*D5</f>
        <v>338.56000000000023</v>
      </c>
      <c r="H5" s="75"/>
      <c r="I5" s="2">
        <f t="shared" ref="I5:I14" si="7">$J$1*B4+(1-$J$1)*I4</f>
        <v>116</v>
      </c>
      <c r="J5" s="2">
        <f t="shared" si="0"/>
        <v>20</v>
      </c>
      <c r="K5">
        <f t="shared" ref="K5:K14" si="8">ABS(J5)</f>
        <v>20</v>
      </c>
      <c r="L5">
        <f t="shared" ref="L5:L14" si="9">K5/B5</f>
        <v>0.14705882352941177</v>
      </c>
      <c r="M5">
        <f t="shared" ref="M5:M14" si="10">J5*J5</f>
        <v>400</v>
      </c>
      <c r="N5" s="33"/>
      <c r="O5" s="41">
        <f t="shared" ref="O5:O14" si="11">$P$1*B4+(1-$P$1)*O4</f>
        <v>114.4</v>
      </c>
      <c r="P5" s="2">
        <f t="shared" si="1"/>
        <v>21.599999999999994</v>
      </c>
      <c r="Q5">
        <f t="shared" ref="Q5:Q14" si="12">ABS(P5)</f>
        <v>21.599999999999994</v>
      </c>
      <c r="R5">
        <f t="shared" ref="R5:R14" si="13">Q5/B5</f>
        <v>0.15882352941176467</v>
      </c>
      <c r="S5">
        <f t="shared" ref="S5:S14" si="14">P5*P5</f>
        <v>466.55999999999977</v>
      </c>
      <c r="T5" s="91">
        <f t="shared" ref="T5:T14" si="15">0.7*B4+0.3*T4</f>
        <v>114.39999999999999</v>
      </c>
    </row>
    <row r="6" spans="1:20" x14ac:dyDescent="0.3">
      <c r="A6" s="2">
        <f t="shared" si="2"/>
        <v>1999</v>
      </c>
      <c r="B6" s="2">
        <v>125</v>
      </c>
      <c r="C6" s="2">
        <f t="shared" ref="C6:C14" si="16">$D$1*B5+(1-$D$1)*C5</f>
        <v>123.11999999999999</v>
      </c>
      <c r="D6" s="2">
        <f t="shared" si="3"/>
        <v>1.8800000000000097</v>
      </c>
      <c r="E6" s="2">
        <f t="shared" si="4"/>
        <v>1.8800000000000097</v>
      </c>
      <c r="F6" s="2">
        <f t="shared" si="5"/>
        <v>1.5040000000000078E-2</v>
      </c>
      <c r="G6" s="2">
        <f t="shared" si="6"/>
        <v>3.5344000000000362</v>
      </c>
      <c r="H6" s="75"/>
      <c r="I6" s="2">
        <f t="shared" si="7"/>
        <v>126</v>
      </c>
      <c r="J6" s="2">
        <f t="shared" si="0"/>
        <v>-1</v>
      </c>
      <c r="K6">
        <f t="shared" si="8"/>
        <v>1</v>
      </c>
      <c r="L6">
        <f t="shared" si="9"/>
        <v>8.0000000000000002E-3</v>
      </c>
      <c r="M6">
        <f t="shared" si="10"/>
        <v>1</v>
      </c>
      <c r="N6" s="33"/>
      <c r="O6" s="41">
        <f t="shared" si="11"/>
        <v>129.51999999999998</v>
      </c>
      <c r="P6" s="2">
        <f t="shared" si="1"/>
        <v>-4.5199999999999818</v>
      </c>
      <c r="Q6">
        <f t="shared" si="12"/>
        <v>4.5199999999999818</v>
      </c>
      <c r="R6">
        <f t="shared" si="13"/>
        <v>3.6159999999999852E-2</v>
      </c>
      <c r="S6">
        <f t="shared" si="14"/>
        <v>20.430399999999835</v>
      </c>
      <c r="T6" s="91">
        <f t="shared" si="15"/>
        <v>129.51999999999998</v>
      </c>
    </row>
    <row r="7" spans="1:20" x14ac:dyDescent="0.3">
      <c r="A7" s="2">
        <f t="shared" si="2"/>
        <v>2000</v>
      </c>
      <c r="B7" s="2">
        <v>155</v>
      </c>
      <c r="C7" s="2">
        <f t="shared" si="16"/>
        <v>123.68399999999998</v>
      </c>
      <c r="D7" s="2">
        <f t="shared" si="3"/>
        <v>31.316000000000017</v>
      </c>
      <c r="E7" s="2">
        <f t="shared" si="4"/>
        <v>31.316000000000017</v>
      </c>
      <c r="F7" s="2">
        <f t="shared" si="5"/>
        <v>0.20203870967741946</v>
      </c>
      <c r="G7" s="2">
        <f t="shared" si="6"/>
        <v>980.69185600000105</v>
      </c>
      <c r="H7" s="75"/>
      <c r="I7" s="2">
        <f t="shared" si="7"/>
        <v>125.5</v>
      </c>
      <c r="J7" s="2">
        <f t="shared" si="0"/>
        <v>29.5</v>
      </c>
      <c r="K7">
        <f t="shared" si="8"/>
        <v>29.5</v>
      </c>
      <c r="L7">
        <f t="shared" si="9"/>
        <v>0.19032258064516128</v>
      </c>
      <c r="M7">
        <f t="shared" si="10"/>
        <v>870.25</v>
      </c>
      <c r="N7" s="33"/>
      <c r="O7" s="41">
        <f t="shared" si="11"/>
        <v>126.35599999999999</v>
      </c>
      <c r="P7" s="2">
        <f t="shared" si="1"/>
        <v>28.644000000000005</v>
      </c>
      <c r="Q7">
        <f t="shared" si="12"/>
        <v>28.644000000000005</v>
      </c>
      <c r="R7">
        <f t="shared" si="13"/>
        <v>0.18480000000000005</v>
      </c>
      <c r="S7">
        <f t="shared" si="14"/>
        <v>820.47873600000037</v>
      </c>
      <c r="T7" s="91">
        <f t="shared" si="15"/>
        <v>126.35599999999999</v>
      </c>
    </row>
    <row r="8" spans="1:20" x14ac:dyDescent="0.3">
      <c r="A8" s="2">
        <f t="shared" si="2"/>
        <v>2001</v>
      </c>
      <c r="B8" s="2">
        <v>159</v>
      </c>
      <c r="C8" s="2">
        <f t="shared" si="16"/>
        <v>133.0788</v>
      </c>
      <c r="D8" s="2">
        <f t="shared" si="3"/>
        <v>25.921199999999999</v>
      </c>
      <c r="E8" s="2">
        <f t="shared" si="4"/>
        <v>25.921199999999999</v>
      </c>
      <c r="F8" s="2">
        <f t="shared" si="5"/>
        <v>0.16302641509433963</v>
      </c>
      <c r="G8" s="2">
        <f t="shared" si="6"/>
        <v>671.90860943999996</v>
      </c>
      <c r="H8" s="75"/>
      <c r="I8" s="2">
        <f t="shared" si="7"/>
        <v>140.25</v>
      </c>
      <c r="J8" s="2">
        <f t="shared" si="0"/>
        <v>18.75</v>
      </c>
      <c r="K8">
        <f t="shared" si="8"/>
        <v>18.75</v>
      </c>
      <c r="L8">
        <f t="shared" si="9"/>
        <v>0.11792452830188679</v>
      </c>
      <c r="M8">
        <f t="shared" si="10"/>
        <v>351.5625</v>
      </c>
      <c r="N8" s="33"/>
      <c r="O8" s="41">
        <f t="shared" si="11"/>
        <v>146.4068</v>
      </c>
      <c r="P8" s="2">
        <f t="shared" si="1"/>
        <v>12.593199999999996</v>
      </c>
      <c r="Q8">
        <f t="shared" si="12"/>
        <v>12.593199999999996</v>
      </c>
      <c r="R8">
        <f t="shared" si="13"/>
        <v>7.9202515723270417E-2</v>
      </c>
      <c r="S8">
        <f t="shared" si="14"/>
        <v>158.5886862399999</v>
      </c>
      <c r="T8" s="91">
        <f t="shared" si="15"/>
        <v>146.4068</v>
      </c>
    </row>
    <row r="9" spans="1:20" x14ac:dyDescent="0.3">
      <c r="A9" s="2">
        <f t="shared" si="2"/>
        <v>2002</v>
      </c>
      <c r="B9" s="2">
        <v>165</v>
      </c>
      <c r="C9" s="2">
        <f t="shared" si="16"/>
        <v>140.85515999999998</v>
      </c>
      <c r="D9" s="2">
        <f t="shared" si="3"/>
        <v>24.144840000000016</v>
      </c>
      <c r="E9" s="2">
        <f t="shared" si="4"/>
        <v>24.144840000000016</v>
      </c>
      <c r="F9" s="2">
        <f t="shared" si="5"/>
        <v>0.14633236363636373</v>
      </c>
      <c r="G9" s="2">
        <f t="shared" si="6"/>
        <v>582.97329862560082</v>
      </c>
      <c r="H9" s="75"/>
      <c r="I9" s="2">
        <f t="shared" si="7"/>
        <v>149.625</v>
      </c>
      <c r="J9" s="2">
        <f t="shared" si="0"/>
        <v>15.375</v>
      </c>
      <c r="K9">
        <f t="shared" si="8"/>
        <v>15.375</v>
      </c>
      <c r="L9">
        <f t="shared" si="9"/>
        <v>9.3181818181818185E-2</v>
      </c>
      <c r="M9">
        <f t="shared" si="10"/>
        <v>236.390625</v>
      </c>
      <c r="N9" s="33"/>
      <c r="O9" s="41">
        <f t="shared" si="11"/>
        <v>155.22203999999999</v>
      </c>
      <c r="P9" s="2">
        <f t="shared" si="1"/>
        <v>9.7779600000000073</v>
      </c>
      <c r="Q9">
        <f t="shared" si="12"/>
        <v>9.7779600000000073</v>
      </c>
      <c r="R9">
        <f t="shared" si="13"/>
        <v>5.926036363636368E-2</v>
      </c>
      <c r="S9">
        <f t="shared" si="14"/>
        <v>95.608501761600138</v>
      </c>
      <c r="T9" s="91">
        <f t="shared" si="15"/>
        <v>155.22203999999999</v>
      </c>
    </row>
    <row r="10" spans="1:20" x14ac:dyDescent="0.3">
      <c r="A10" s="2">
        <f t="shared" si="2"/>
        <v>2003</v>
      </c>
      <c r="B10" s="2">
        <v>150</v>
      </c>
      <c r="C10" s="2">
        <f t="shared" si="16"/>
        <v>148.098612</v>
      </c>
      <c r="D10" s="2">
        <f t="shared" si="3"/>
        <v>1.9013879999999972</v>
      </c>
      <c r="E10" s="2">
        <f t="shared" si="4"/>
        <v>1.9013879999999972</v>
      </c>
      <c r="F10" s="2">
        <f t="shared" si="5"/>
        <v>1.2675919999999981E-2</v>
      </c>
      <c r="G10" s="2">
        <f t="shared" si="6"/>
        <v>3.6152763265439893</v>
      </c>
      <c r="H10" s="75"/>
      <c r="I10" s="2">
        <f t="shared" si="7"/>
        <v>157.3125</v>
      </c>
      <c r="J10" s="2">
        <f t="shared" si="0"/>
        <v>-7.3125</v>
      </c>
      <c r="K10">
        <f t="shared" si="8"/>
        <v>7.3125</v>
      </c>
      <c r="L10">
        <f t="shared" si="9"/>
        <v>4.8750000000000002E-2</v>
      </c>
      <c r="M10">
        <f t="shared" si="10"/>
        <v>53.47265625</v>
      </c>
      <c r="N10" s="33"/>
      <c r="O10" s="41">
        <f t="shared" si="11"/>
        <v>162.06661199999999</v>
      </c>
      <c r="P10" s="2">
        <f t="shared" si="1"/>
        <v>-12.066611999999992</v>
      </c>
      <c r="Q10">
        <f t="shared" si="12"/>
        <v>12.066611999999992</v>
      </c>
      <c r="R10">
        <f t="shared" si="13"/>
        <v>8.0444079999999946E-2</v>
      </c>
      <c r="S10">
        <f t="shared" si="14"/>
        <v>145.6031251585438</v>
      </c>
      <c r="T10" s="91">
        <f t="shared" si="15"/>
        <v>162.06661199999999</v>
      </c>
    </row>
    <row r="11" spans="1:20" x14ac:dyDescent="0.3">
      <c r="A11" s="2">
        <f t="shared" si="2"/>
        <v>2004</v>
      </c>
      <c r="B11" s="2">
        <v>145</v>
      </c>
      <c r="C11" s="2">
        <f t="shared" si="16"/>
        <v>148.6690284</v>
      </c>
      <c r="D11" s="2">
        <f t="shared" si="3"/>
        <v>-3.669028400000002</v>
      </c>
      <c r="E11" s="2">
        <f t="shared" si="4"/>
        <v>3.669028400000002</v>
      </c>
      <c r="F11" s="2">
        <f t="shared" si="5"/>
        <v>2.5303644137931049E-2</v>
      </c>
      <c r="G11" s="2">
        <f t="shared" si="6"/>
        <v>13.461769400006574</v>
      </c>
      <c r="H11" s="75"/>
      <c r="I11" s="2">
        <f t="shared" si="7"/>
        <v>153.65625</v>
      </c>
      <c r="J11" s="2">
        <f t="shared" si="0"/>
        <v>-8.65625</v>
      </c>
      <c r="K11">
        <f t="shared" si="8"/>
        <v>8.65625</v>
      </c>
      <c r="L11">
        <f t="shared" si="9"/>
        <v>5.9698275862068967E-2</v>
      </c>
      <c r="M11">
        <f t="shared" si="10"/>
        <v>74.9306640625</v>
      </c>
      <c r="N11" s="33"/>
      <c r="O11" s="41">
        <f t="shared" si="11"/>
        <v>153.61998360000001</v>
      </c>
      <c r="P11" s="2">
        <f t="shared" si="1"/>
        <v>-8.6199836000000118</v>
      </c>
      <c r="Q11">
        <f t="shared" si="12"/>
        <v>8.6199836000000118</v>
      </c>
      <c r="R11">
        <f t="shared" si="13"/>
        <v>5.9448162758620769E-2</v>
      </c>
      <c r="S11">
        <f t="shared" si="14"/>
        <v>74.304117264269166</v>
      </c>
      <c r="T11" s="91">
        <f t="shared" si="15"/>
        <v>153.61998360000001</v>
      </c>
    </row>
    <row r="12" spans="1:20" x14ac:dyDescent="0.3">
      <c r="A12" s="2">
        <f t="shared" si="2"/>
        <v>2005</v>
      </c>
      <c r="B12" s="2">
        <v>167</v>
      </c>
      <c r="C12" s="2">
        <f t="shared" si="16"/>
        <v>147.56831987999999</v>
      </c>
      <c r="D12" s="2">
        <f t="shared" si="3"/>
        <v>19.43168012000001</v>
      </c>
      <c r="E12" s="2">
        <f t="shared" si="4"/>
        <v>19.43168012000001</v>
      </c>
      <c r="F12" s="2">
        <f t="shared" si="5"/>
        <v>0.11635736598802401</v>
      </c>
      <c r="G12" s="2">
        <f t="shared" si="6"/>
        <v>377.59019228600363</v>
      </c>
      <c r="H12" s="75"/>
      <c r="I12" s="2">
        <f t="shared" si="7"/>
        <v>149.328125</v>
      </c>
      <c r="J12" s="2">
        <f t="shared" si="0"/>
        <v>17.671875</v>
      </c>
      <c r="K12">
        <f t="shared" si="8"/>
        <v>17.671875</v>
      </c>
      <c r="L12">
        <f t="shared" si="9"/>
        <v>0.10581961077844311</v>
      </c>
      <c r="M12">
        <f t="shared" si="10"/>
        <v>312.295166015625</v>
      </c>
      <c r="N12" s="33"/>
      <c r="O12" s="41">
        <f t="shared" si="11"/>
        <v>147.58599508</v>
      </c>
      <c r="P12" s="2">
        <f t="shared" si="1"/>
        <v>19.414004919999996</v>
      </c>
      <c r="Q12">
        <f t="shared" si="12"/>
        <v>19.414004919999996</v>
      </c>
      <c r="R12">
        <f t="shared" si="13"/>
        <v>0.11625152646706585</v>
      </c>
      <c r="S12">
        <f t="shared" si="14"/>
        <v>376.90358703378405</v>
      </c>
      <c r="T12" s="91">
        <f t="shared" si="15"/>
        <v>147.58599508</v>
      </c>
    </row>
    <row r="13" spans="1:20" x14ac:dyDescent="0.3">
      <c r="A13" s="2">
        <f t="shared" si="2"/>
        <v>2006</v>
      </c>
      <c r="B13" s="2">
        <v>170</v>
      </c>
      <c r="C13" s="2">
        <f t="shared" si="16"/>
        <v>153.39782391599999</v>
      </c>
      <c r="D13" s="2">
        <f t="shared" si="3"/>
        <v>16.602176084000007</v>
      </c>
      <c r="E13" s="2">
        <f t="shared" si="4"/>
        <v>16.602176084000007</v>
      </c>
      <c r="F13" s="2">
        <f t="shared" si="5"/>
        <v>9.7659859317647105E-2</v>
      </c>
      <c r="G13" s="2">
        <f t="shared" si="6"/>
        <v>275.63225072414178</v>
      </c>
      <c r="H13" s="75"/>
      <c r="I13" s="2">
        <f t="shared" si="7"/>
        <v>158.1640625</v>
      </c>
      <c r="J13" s="2">
        <f t="shared" si="0"/>
        <v>11.8359375</v>
      </c>
      <c r="K13">
        <f t="shared" si="8"/>
        <v>11.8359375</v>
      </c>
      <c r="L13">
        <f t="shared" si="9"/>
        <v>6.9623161764705885E-2</v>
      </c>
      <c r="M13">
        <f t="shared" si="10"/>
        <v>140.08941650390625</v>
      </c>
      <c r="N13" s="33"/>
      <c r="O13" s="41">
        <f t="shared" si="11"/>
        <v>161.17579852400002</v>
      </c>
      <c r="P13" s="2">
        <f t="shared" si="1"/>
        <v>8.8242014759999847</v>
      </c>
      <c r="Q13">
        <f t="shared" si="12"/>
        <v>8.8242014759999847</v>
      </c>
      <c r="R13">
        <f t="shared" si="13"/>
        <v>5.1907067505882261E-2</v>
      </c>
      <c r="S13">
        <f t="shared" si="14"/>
        <v>77.866531689040315</v>
      </c>
      <c r="T13" s="91">
        <f t="shared" si="15"/>
        <v>161.17579852399999</v>
      </c>
    </row>
    <row r="14" spans="1:20" ht="15" thickBot="1" x14ac:dyDescent="0.35">
      <c r="A14" s="2">
        <f t="shared" si="2"/>
        <v>2007</v>
      </c>
      <c r="B14" s="2">
        <v>180</v>
      </c>
      <c r="C14" s="2">
        <f t="shared" si="16"/>
        <v>158.37847674119999</v>
      </c>
      <c r="D14" s="2">
        <f t="shared" si="3"/>
        <v>21.621523258800011</v>
      </c>
      <c r="E14" s="2">
        <f t="shared" si="4"/>
        <v>21.621523258800011</v>
      </c>
      <c r="F14" s="2">
        <f t="shared" si="5"/>
        <v>0.12011957366000006</v>
      </c>
      <c r="G14" s="2">
        <f t="shared" si="6"/>
        <v>467.49026803082984</v>
      </c>
      <c r="H14" s="75"/>
      <c r="I14" s="2">
        <f t="shared" si="7"/>
        <v>164.08203125</v>
      </c>
      <c r="J14" s="2">
        <f t="shared" si="0"/>
        <v>15.91796875</v>
      </c>
      <c r="K14">
        <f t="shared" si="8"/>
        <v>15.91796875</v>
      </c>
      <c r="L14">
        <f t="shared" si="9"/>
        <v>8.8433159722222224E-2</v>
      </c>
      <c r="M14">
        <f t="shared" si="10"/>
        <v>253.38172912597656</v>
      </c>
      <c r="N14" s="33"/>
      <c r="O14" s="41">
        <f t="shared" si="11"/>
        <v>167.35273955719998</v>
      </c>
      <c r="P14" s="2">
        <f t="shared" si="1"/>
        <v>12.647260442800018</v>
      </c>
      <c r="Q14">
        <f t="shared" si="12"/>
        <v>12.647260442800018</v>
      </c>
      <c r="R14">
        <f t="shared" si="13"/>
        <v>7.0262558015555657E-2</v>
      </c>
      <c r="S14">
        <f t="shared" si="14"/>
        <v>159.9531967080141</v>
      </c>
      <c r="T14" s="92">
        <f t="shared" si="15"/>
        <v>167.35273955719998</v>
      </c>
    </row>
    <row r="15" spans="1:20" ht="15" thickBot="1" x14ac:dyDescent="0.35">
      <c r="D15" s="88" t="s">
        <v>112</v>
      </c>
      <c r="E15" s="89">
        <f>SUM(E4:E14)</f>
        <v>172.88783586280007</v>
      </c>
      <c r="F15" s="88">
        <f>SUM(F4:F14)</f>
        <v>1.1052765405873555</v>
      </c>
      <c r="G15" s="88">
        <f>SUM(G4:G14)</f>
        <v>3779.4579208331279</v>
      </c>
      <c r="H15" s="75"/>
      <c r="J15" s="88" t="s">
        <v>112</v>
      </c>
      <c r="K15" s="89">
        <f>SUM(K4:K14)</f>
        <v>154.01953125</v>
      </c>
      <c r="L15" s="88">
        <f>SUM(L4:L14)</f>
        <v>1.0002405302142896</v>
      </c>
      <c r="M15" s="88">
        <f>SUM(M4:M14)</f>
        <v>2757.3727569580078</v>
      </c>
      <c r="N15" s="33"/>
      <c r="P15" s="88" t="s">
        <v>112</v>
      </c>
      <c r="Q15" s="89">
        <f>SUM(Q4:Q14)</f>
        <v>146.70722243879999</v>
      </c>
      <c r="R15" s="88">
        <f>SUM(R4:R14)</f>
        <v>0.96798837494709455</v>
      </c>
      <c r="S15" s="88">
        <f>SUM(S4:S14)</f>
        <v>2460.2968818552513</v>
      </c>
    </row>
    <row r="16" spans="1:20" x14ac:dyDescent="0.3">
      <c r="D16" s="86" t="s">
        <v>101</v>
      </c>
      <c r="E16" s="86">
        <f>E15/11</f>
        <v>15.717075987527279</v>
      </c>
      <c r="F16" s="86"/>
      <c r="G16" s="86"/>
      <c r="H16" s="75"/>
      <c r="J16" s="86" t="s">
        <v>101</v>
      </c>
      <c r="K16" s="86">
        <f>K15/11</f>
        <v>14.001775568181818</v>
      </c>
      <c r="L16" s="86"/>
      <c r="M16" s="86"/>
      <c r="N16" s="33"/>
      <c r="P16" s="86" t="s">
        <v>101</v>
      </c>
      <c r="Q16" s="86">
        <f>Q15/11</f>
        <v>13.337020221709089</v>
      </c>
      <c r="R16" s="86"/>
      <c r="S16" s="86"/>
    </row>
    <row r="17" spans="2:19" x14ac:dyDescent="0.3">
      <c r="D17" s="86" t="s">
        <v>104</v>
      </c>
      <c r="E17" s="86"/>
      <c r="F17" s="86">
        <f>(F15/11)*100</f>
        <v>10.047968550794142</v>
      </c>
      <c r="G17" s="86"/>
      <c r="H17" s="75"/>
      <c r="J17" s="86" t="s">
        <v>104</v>
      </c>
      <c r="K17" s="86"/>
      <c r="L17" s="86">
        <f>(L15/11)*100</f>
        <v>9.0930957292208134</v>
      </c>
      <c r="M17" s="86"/>
      <c r="N17" s="33"/>
      <c r="P17" s="86" t="s">
        <v>104</v>
      </c>
      <c r="Q17" s="86"/>
      <c r="R17" s="86">
        <f>(R15/11)*100</f>
        <v>8.7998943177008595</v>
      </c>
      <c r="S17" s="86"/>
    </row>
    <row r="18" spans="2:19" ht="15" thickBot="1" x14ac:dyDescent="0.35">
      <c r="D18" s="87" t="s">
        <v>113</v>
      </c>
      <c r="E18" s="87"/>
      <c r="F18" s="87"/>
      <c r="G18" s="87">
        <f>G15/11</f>
        <v>343.58708371210253</v>
      </c>
      <c r="H18" s="75"/>
      <c r="J18" s="87" t="s">
        <v>113</v>
      </c>
      <c r="K18" s="87"/>
      <c r="L18" s="87"/>
      <c r="M18" s="87">
        <f>M15/11</f>
        <v>250.67025063254616</v>
      </c>
      <c r="N18" s="33"/>
      <c r="P18" s="87" t="s">
        <v>113</v>
      </c>
      <c r="Q18" s="87"/>
      <c r="R18" s="87"/>
      <c r="S18" s="87">
        <f>S15/11</f>
        <v>223.66335289593192</v>
      </c>
    </row>
    <row r="20" spans="2:19" ht="15.6" x14ac:dyDescent="0.3">
      <c r="B20" s="90" t="s">
        <v>118</v>
      </c>
      <c r="C20" s="74"/>
      <c r="D20" s="74"/>
      <c r="E20" s="74"/>
      <c r="F20" s="74"/>
    </row>
    <row r="21" spans="2:19" x14ac:dyDescent="0.3">
      <c r="B21" s="2" t="s">
        <v>119</v>
      </c>
      <c r="C21" s="2">
        <v>117.6</v>
      </c>
      <c r="D21" s="2" t="s">
        <v>122</v>
      </c>
    </row>
    <row r="22" spans="2:19" x14ac:dyDescent="0.3">
      <c r="B22" s="2" t="s">
        <v>120</v>
      </c>
      <c r="C22" s="2">
        <v>112</v>
      </c>
      <c r="D22" s="2" t="s">
        <v>123</v>
      </c>
    </row>
    <row r="23" spans="2:19" x14ac:dyDescent="0.3">
      <c r="B23" s="2" t="s">
        <v>121</v>
      </c>
      <c r="C23" s="2">
        <v>120</v>
      </c>
      <c r="D23" s="2" t="s">
        <v>124</v>
      </c>
    </row>
  </sheetData>
  <mergeCells count="1">
    <mergeCell ref="T1:T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MtbGraph.Document.16" shapeId="8196" r:id="rId3">
          <objectPr defaultSize="0" autoPict="0" r:id="rId4">
            <anchor moveWithCells="1">
              <from>
                <xdr:col>20</xdr:col>
                <xdr:colOff>434340</xdr:colOff>
                <xdr:row>14</xdr:row>
                <xdr:rowOff>121920</xdr:rowOff>
              </from>
              <to>
                <xdr:col>27</xdr:col>
                <xdr:colOff>403860</xdr:colOff>
                <xdr:row>29</xdr:row>
                <xdr:rowOff>68580</xdr:rowOff>
              </to>
            </anchor>
          </objectPr>
        </oleObject>
      </mc:Choice>
      <mc:Fallback>
        <oleObject progId="MtbGraph.Document.16" shapeId="8196" r:id="rId3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0"/>
  <sheetViews>
    <sheetView topLeftCell="A10" workbookViewId="0">
      <selection activeCell="P28" sqref="P28"/>
    </sheetView>
  </sheetViews>
  <sheetFormatPr defaultColWidth="9.109375" defaultRowHeight="14.4" x14ac:dyDescent="0.3"/>
  <cols>
    <col min="1" max="16384" width="9.109375" style="37"/>
  </cols>
  <sheetData>
    <row r="1" spans="1:17" ht="15" thickBot="1" x14ac:dyDescent="0.35">
      <c r="A1" s="38" t="s">
        <v>0</v>
      </c>
      <c r="B1" s="38" t="s">
        <v>114</v>
      </c>
      <c r="C1" s="97" t="s">
        <v>115</v>
      </c>
      <c r="D1" s="98">
        <v>0.8</v>
      </c>
      <c r="E1" s="98" t="s">
        <v>132</v>
      </c>
      <c r="F1" s="99">
        <v>0.4</v>
      </c>
      <c r="G1" s="154" t="s">
        <v>109</v>
      </c>
      <c r="H1" s="154" t="s">
        <v>147</v>
      </c>
      <c r="I1" s="154" t="s">
        <v>111</v>
      </c>
      <c r="J1" s="154" t="s">
        <v>117</v>
      </c>
      <c r="L1" s="37" t="s">
        <v>146</v>
      </c>
    </row>
    <row r="2" spans="1:17" ht="15.6" x14ac:dyDescent="0.3">
      <c r="A2" s="38"/>
      <c r="B2" s="38"/>
      <c r="C2" s="96" t="s">
        <v>133</v>
      </c>
      <c r="D2" s="96" t="s">
        <v>134</v>
      </c>
      <c r="E2" s="96" t="s">
        <v>121</v>
      </c>
      <c r="G2" s="154"/>
      <c r="H2" s="154"/>
      <c r="I2" s="154"/>
      <c r="J2" s="154"/>
      <c r="L2" s="93">
        <v>1997</v>
      </c>
    </row>
    <row r="3" spans="1:17" x14ac:dyDescent="0.3">
      <c r="A3" s="38">
        <v>1996</v>
      </c>
      <c r="B3" s="38">
        <v>120</v>
      </c>
      <c r="C3" s="38">
        <v>120</v>
      </c>
      <c r="D3" s="38">
        <v>0</v>
      </c>
      <c r="E3" s="38">
        <v>120</v>
      </c>
      <c r="G3" s="38">
        <f>B3-E3</f>
        <v>0</v>
      </c>
      <c r="H3" s="38">
        <f>ABS(G3)</f>
        <v>0</v>
      </c>
      <c r="I3" s="38">
        <f>H3/B3</f>
        <v>0</v>
      </c>
      <c r="J3" s="38">
        <f>G3*G3</f>
        <v>0</v>
      </c>
      <c r="L3" s="37" t="s">
        <v>139</v>
      </c>
    </row>
    <row r="4" spans="1:17" x14ac:dyDescent="0.3">
      <c r="A4" s="38">
        <f>A3+1</f>
        <v>1997</v>
      </c>
      <c r="B4" s="38">
        <v>112</v>
      </c>
      <c r="C4" s="38">
        <f>$D$1*B4+(1-$D$1)*(C3+D3)</f>
        <v>113.6</v>
      </c>
      <c r="D4" s="38">
        <f>$F$1*(C4-C3)+(1-$F$1)*D3</f>
        <v>-2.5600000000000023</v>
      </c>
      <c r="E4" s="38">
        <f>C3+D3</f>
        <v>120</v>
      </c>
      <c r="G4" s="38">
        <f t="shared" ref="G4:G14" si="0">B4-E4</f>
        <v>-8</v>
      </c>
      <c r="H4" s="38">
        <f t="shared" ref="H4:H14" si="1">ABS(G4)</f>
        <v>8</v>
      </c>
      <c r="I4" s="38">
        <f t="shared" ref="I4:I14" si="2">H4/B4</f>
        <v>7.1428571428571425E-2</v>
      </c>
      <c r="J4" s="38">
        <f t="shared" ref="J4:J14" si="3">G4*G4</f>
        <v>64</v>
      </c>
      <c r="L4" s="37" t="s">
        <v>135</v>
      </c>
    </row>
    <row r="5" spans="1:17" x14ac:dyDescent="0.3">
      <c r="A5" s="38">
        <f t="shared" ref="A5:A14" si="4">A4+1</f>
        <v>1998</v>
      </c>
      <c r="B5" s="38">
        <v>136</v>
      </c>
      <c r="C5" s="38">
        <f t="shared" ref="C5:C14" si="5">$D$1*B5+(1-$D$1)*(C4+D4)</f>
        <v>131.00800000000001</v>
      </c>
      <c r="D5" s="38">
        <f t="shared" ref="D5:D14" si="6">$F$1*(C5-C4)+(1-$F$1)*D4</f>
        <v>5.4272000000000054</v>
      </c>
      <c r="E5" s="38">
        <f>C4+D4</f>
        <v>111.03999999999999</v>
      </c>
      <c r="G5" s="38">
        <f t="shared" si="0"/>
        <v>24.960000000000008</v>
      </c>
      <c r="H5" s="38">
        <f t="shared" si="1"/>
        <v>24.960000000000008</v>
      </c>
      <c r="I5" s="38">
        <f t="shared" si="2"/>
        <v>0.18352941176470594</v>
      </c>
      <c r="J5" s="38">
        <f t="shared" si="3"/>
        <v>623.00160000000039</v>
      </c>
      <c r="L5" s="37" t="s">
        <v>136</v>
      </c>
      <c r="Q5" s="37">
        <f>0.8*112+0.2*120</f>
        <v>113.60000000000001</v>
      </c>
    </row>
    <row r="6" spans="1:17" x14ac:dyDescent="0.3">
      <c r="A6" s="38">
        <f t="shared" si="4"/>
        <v>1999</v>
      </c>
      <c r="B6" s="38">
        <v>125</v>
      </c>
      <c r="C6" s="38">
        <f t="shared" si="5"/>
        <v>127.28703999999999</v>
      </c>
      <c r="D6" s="38">
        <f t="shared" si="6"/>
        <v>1.7679359999999953</v>
      </c>
      <c r="E6" s="38">
        <f t="shared" ref="E6:E14" si="7">C5+D5</f>
        <v>136.43520000000001</v>
      </c>
      <c r="G6" s="38">
        <f t="shared" si="0"/>
        <v>-11.435200000000009</v>
      </c>
      <c r="H6" s="38">
        <f t="shared" si="1"/>
        <v>11.435200000000009</v>
      </c>
      <c r="I6" s="38">
        <f t="shared" si="2"/>
        <v>9.1481600000000066E-2</v>
      </c>
      <c r="J6" s="38">
        <f t="shared" si="3"/>
        <v>130.76379904000021</v>
      </c>
      <c r="L6" s="37" t="s">
        <v>137</v>
      </c>
    </row>
    <row r="7" spans="1:17" x14ac:dyDescent="0.3">
      <c r="A7" s="38">
        <f t="shared" si="4"/>
        <v>2000</v>
      </c>
      <c r="B7" s="38">
        <v>155</v>
      </c>
      <c r="C7" s="38">
        <f t="shared" si="5"/>
        <v>149.81099519999998</v>
      </c>
      <c r="D7" s="38">
        <f t="shared" si="6"/>
        <v>10.070343679999993</v>
      </c>
      <c r="E7" s="38">
        <f t="shared" si="7"/>
        <v>129.05497599999998</v>
      </c>
      <c r="G7" s="38">
        <f t="shared" si="0"/>
        <v>25.945024000000018</v>
      </c>
      <c r="H7" s="38">
        <f t="shared" si="1"/>
        <v>25.945024000000018</v>
      </c>
      <c r="I7" s="38">
        <f t="shared" si="2"/>
        <v>0.16738725161290335</v>
      </c>
      <c r="J7" s="38">
        <f t="shared" si="3"/>
        <v>673.14427036057691</v>
      </c>
      <c r="M7" s="37" t="s">
        <v>138</v>
      </c>
      <c r="Q7" s="37">
        <f>0.4*(113.6-120)+0.6*0</f>
        <v>-2.5600000000000023</v>
      </c>
    </row>
    <row r="8" spans="1:17" x14ac:dyDescent="0.3">
      <c r="A8" s="38">
        <f t="shared" si="4"/>
        <v>2001</v>
      </c>
      <c r="B8" s="38">
        <v>159</v>
      </c>
      <c r="C8" s="38">
        <f t="shared" si="5"/>
        <v>159.176267776</v>
      </c>
      <c r="D8" s="38">
        <f t="shared" si="6"/>
        <v>9.7883152384000063</v>
      </c>
      <c r="E8" s="38">
        <f t="shared" si="7"/>
        <v>159.88133887999999</v>
      </c>
      <c r="G8" s="38">
        <f t="shared" si="0"/>
        <v>-0.88133887999998706</v>
      </c>
      <c r="H8" s="38">
        <f t="shared" si="1"/>
        <v>0.88133887999998706</v>
      </c>
      <c r="I8" s="38">
        <f t="shared" si="2"/>
        <v>5.5430118238992895E-3</v>
      </c>
      <c r="J8" s="38">
        <f t="shared" si="3"/>
        <v>0.77675822139963158</v>
      </c>
      <c r="L8" s="93">
        <v>1998</v>
      </c>
    </row>
    <row r="9" spans="1:17" x14ac:dyDescent="0.3">
      <c r="A9" s="38">
        <f t="shared" si="4"/>
        <v>2002</v>
      </c>
      <c r="B9" s="38">
        <v>165</v>
      </c>
      <c r="C9" s="38">
        <f t="shared" si="5"/>
        <v>165.79291660287998</v>
      </c>
      <c r="D9" s="38">
        <f t="shared" si="6"/>
        <v>8.5196486737919965</v>
      </c>
      <c r="E9" s="38">
        <f t="shared" si="7"/>
        <v>168.96458301440001</v>
      </c>
      <c r="G9" s="38">
        <f t="shared" si="0"/>
        <v>-3.9645830144000058</v>
      </c>
      <c r="H9" s="38">
        <f t="shared" si="1"/>
        <v>3.9645830144000058</v>
      </c>
      <c r="I9" s="38">
        <f t="shared" si="2"/>
        <v>2.4027775844848519E-2</v>
      </c>
      <c r="J9" s="38">
        <f t="shared" si="3"/>
        <v>15.717918478069036</v>
      </c>
      <c r="L9" s="37" t="s">
        <v>140</v>
      </c>
      <c r="Q9" s="37">
        <f>Q5+Q7</f>
        <v>111.04</v>
      </c>
    </row>
    <row r="10" spans="1:17" x14ac:dyDescent="0.3">
      <c r="A10" s="38">
        <f t="shared" si="4"/>
        <v>2003</v>
      </c>
      <c r="B10" s="38">
        <v>150</v>
      </c>
      <c r="C10" s="38">
        <f t="shared" si="5"/>
        <v>154.86251305533438</v>
      </c>
      <c r="D10" s="38">
        <f t="shared" si="6"/>
        <v>0.73962778525695416</v>
      </c>
      <c r="E10" s="38">
        <f t="shared" si="7"/>
        <v>174.31256527667199</v>
      </c>
      <c r="G10" s="38">
        <f t="shared" si="0"/>
        <v>-24.31256527667199</v>
      </c>
      <c r="H10" s="38">
        <f t="shared" si="1"/>
        <v>24.31256527667199</v>
      </c>
      <c r="I10" s="38">
        <f t="shared" si="2"/>
        <v>0.16208376851114659</v>
      </c>
      <c r="J10" s="38">
        <f t="shared" si="3"/>
        <v>591.10083033243654</v>
      </c>
      <c r="L10" s="37" t="s">
        <v>141</v>
      </c>
    </row>
    <row r="11" spans="1:17" x14ac:dyDescent="0.3">
      <c r="A11" s="38">
        <f t="shared" si="4"/>
        <v>2004</v>
      </c>
      <c r="B11" s="38">
        <v>145</v>
      </c>
      <c r="C11" s="38">
        <f t="shared" si="5"/>
        <v>147.12042816811825</v>
      </c>
      <c r="D11" s="38">
        <f t="shared" si="6"/>
        <v>-2.6530572837322768</v>
      </c>
      <c r="E11" s="38">
        <f t="shared" si="7"/>
        <v>155.60214084059132</v>
      </c>
      <c r="G11" s="38">
        <f t="shared" si="0"/>
        <v>-10.602140840591318</v>
      </c>
      <c r="H11" s="38">
        <f t="shared" si="1"/>
        <v>10.602140840591318</v>
      </c>
      <c r="I11" s="38">
        <f t="shared" si="2"/>
        <v>7.3118212693733226E-2</v>
      </c>
      <c r="J11" s="38">
        <f t="shared" si="3"/>
        <v>112.40539040373437</v>
      </c>
      <c r="L11" s="37" t="s">
        <v>142</v>
      </c>
      <c r="Q11" s="37">
        <f>0.8*B5+0.2*(C4+D4)</f>
        <v>131.00800000000001</v>
      </c>
    </row>
    <row r="12" spans="1:17" x14ac:dyDescent="0.3">
      <c r="A12" s="38">
        <f t="shared" si="4"/>
        <v>2005</v>
      </c>
      <c r="B12" s="38">
        <v>167</v>
      </c>
      <c r="C12" s="38">
        <f t="shared" si="5"/>
        <v>162.49347417687719</v>
      </c>
      <c r="D12" s="38">
        <f t="shared" si="6"/>
        <v>4.5573840332642082</v>
      </c>
      <c r="E12" s="38">
        <f t="shared" si="7"/>
        <v>144.46737088438599</v>
      </c>
      <c r="G12" s="38">
        <f t="shared" si="0"/>
        <v>22.532629115614014</v>
      </c>
      <c r="H12" s="38">
        <f t="shared" si="1"/>
        <v>22.532629115614014</v>
      </c>
      <c r="I12" s="38">
        <f t="shared" si="2"/>
        <v>0.1349259228479881</v>
      </c>
      <c r="J12" s="38">
        <f t="shared" si="3"/>
        <v>507.71937486181639</v>
      </c>
      <c r="L12" s="37" t="s">
        <v>143</v>
      </c>
    </row>
    <row r="13" spans="1:17" x14ac:dyDescent="0.3">
      <c r="A13" s="38">
        <f t="shared" si="4"/>
        <v>2006</v>
      </c>
      <c r="B13" s="38">
        <v>170</v>
      </c>
      <c r="C13" s="38">
        <f t="shared" si="5"/>
        <v>169.41017164202827</v>
      </c>
      <c r="D13" s="38">
        <f t="shared" si="6"/>
        <v>5.5011094060189603</v>
      </c>
      <c r="E13" s="38">
        <f t="shared" si="7"/>
        <v>167.0508582101414</v>
      </c>
      <c r="G13" s="38">
        <f t="shared" si="0"/>
        <v>2.9491417898586008</v>
      </c>
      <c r="H13" s="38">
        <f t="shared" si="1"/>
        <v>2.9491417898586008</v>
      </c>
      <c r="I13" s="38">
        <f t="shared" si="2"/>
        <v>1.7347892881521183E-2</v>
      </c>
      <c r="J13" s="38">
        <f t="shared" si="3"/>
        <v>8.6974372966903921</v>
      </c>
      <c r="L13" s="37" t="s">
        <v>144</v>
      </c>
      <c r="Q13" s="37">
        <f>0.4*(C5-C4)+0.6*D4</f>
        <v>5.4272000000000054</v>
      </c>
    </row>
    <row r="14" spans="1:17" ht="15" thickBot="1" x14ac:dyDescent="0.35">
      <c r="A14" s="38">
        <f t="shared" si="4"/>
        <v>2007</v>
      </c>
      <c r="B14" s="38">
        <v>180</v>
      </c>
      <c r="C14" s="38">
        <f t="shared" si="5"/>
        <v>178.98225620960943</v>
      </c>
      <c r="D14" s="38">
        <f t="shared" si="6"/>
        <v>7.1294994706438395</v>
      </c>
      <c r="E14" s="38">
        <f t="shared" si="7"/>
        <v>174.91128104804724</v>
      </c>
      <c r="G14" s="38">
        <f t="shared" si="0"/>
        <v>5.0887189519527567</v>
      </c>
      <c r="H14" s="38">
        <f t="shared" si="1"/>
        <v>5.0887189519527567</v>
      </c>
      <c r="I14" s="38">
        <f t="shared" si="2"/>
        <v>2.8270660844181981E-2</v>
      </c>
      <c r="J14" s="38">
        <f t="shared" si="3"/>
        <v>25.895060571963164</v>
      </c>
      <c r="L14" s="93">
        <v>1999</v>
      </c>
    </row>
    <row r="15" spans="1:17" ht="15" thickBot="1" x14ac:dyDescent="0.35">
      <c r="G15" s="88" t="s">
        <v>112</v>
      </c>
      <c r="H15" s="89">
        <f>SUM(H3:H14)</f>
        <v>140.67134186908871</v>
      </c>
      <c r="I15" s="88">
        <f>SUM(I3:I14)</f>
        <v>0.95914408025349951</v>
      </c>
      <c r="J15" s="88">
        <f>SUM(J3:J14)</f>
        <v>2753.2224395666872</v>
      </c>
      <c r="L15" s="37" t="s">
        <v>145</v>
      </c>
      <c r="Q15" s="37">
        <f>Q11+Q13</f>
        <v>136.43520000000001</v>
      </c>
    </row>
    <row r="16" spans="1:17" x14ac:dyDescent="0.3">
      <c r="G16" s="86" t="s">
        <v>101</v>
      </c>
      <c r="H16" s="86">
        <f>H15/12</f>
        <v>11.722611822424058</v>
      </c>
      <c r="I16" s="86"/>
      <c r="J16" s="86"/>
    </row>
    <row r="17" spans="7:10" x14ac:dyDescent="0.3">
      <c r="G17" s="86" t="s">
        <v>104</v>
      </c>
      <c r="H17" s="86"/>
      <c r="I17" s="86">
        <f>(I15/12)*100</f>
        <v>7.9928673354458288</v>
      </c>
      <c r="J17" s="86"/>
    </row>
    <row r="18" spans="7:10" ht="15" thickBot="1" x14ac:dyDescent="0.35">
      <c r="G18" s="87" t="s">
        <v>113</v>
      </c>
      <c r="H18" s="87"/>
      <c r="I18" s="87"/>
      <c r="J18" s="87">
        <f>J15/12</f>
        <v>229.43520329722392</v>
      </c>
    </row>
    <row r="19" spans="7:10" x14ac:dyDescent="0.3">
      <c r="G19" s="38"/>
      <c r="H19" s="38"/>
      <c r="I19" s="38"/>
      <c r="J19" s="38"/>
    </row>
    <row r="20" spans="7:10" x14ac:dyDescent="0.3">
      <c r="G20" s="38"/>
      <c r="H20" s="38"/>
      <c r="I20" s="38"/>
      <c r="J20" s="38"/>
    </row>
  </sheetData>
  <mergeCells count="4">
    <mergeCell ref="G1:G2"/>
    <mergeCell ref="H1:H2"/>
    <mergeCell ref="J1:J2"/>
    <mergeCell ref="I1:I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MtbGraph.Document.16" shapeId="9222" r:id="rId3">
          <objectPr defaultSize="0" autoPict="0" r:id="rId4">
            <anchor moveWithCells="1">
              <from>
                <xdr:col>5</xdr:col>
                <xdr:colOff>358140</xdr:colOff>
                <xdr:row>18</xdr:row>
                <xdr:rowOff>121920</xdr:rowOff>
              </from>
              <to>
                <xdr:col>12</xdr:col>
                <xdr:colOff>281940</xdr:colOff>
                <xdr:row>33</xdr:row>
                <xdr:rowOff>60960</xdr:rowOff>
              </to>
            </anchor>
          </objectPr>
        </oleObject>
      </mc:Choice>
      <mc:Fallback>
        <oleObject progId="MtbGraph.Document.16" shapeId="9222" r:id="rId3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43"/>
  <sheetViews>
    <sheetView workbookViewId="0">
      <selection activeCell="L26" sqref="L26"/>
    </sheetView>
  </sheetViews>
  <sheetFormatPr defaultRowHeight="14.4" x14ac:dyDescent="0.3"/>
  <cols>
    <col min="3" max="4" width="9.109375" style="2"/>
    <col min="6" max="6" width="20.44140625" customWidth="1"/>
    <col min="7" max="7" width="10.21875" customWidth="1"/>
  </cols>
  <sheetData>
    <row r="1" spans="1:11" x14ac:dyDescent="0.3">
      <c r="A1" s="38" t="s">
        <v>0</v>
      </c>
      <c r="B1" s="38" t="s">
        <v>85</v>
      </c>
      <c r="C1" s="2" t="s">
        <v>149</v>
      </c>
      <c r="D1" s="2" t="s">
        <v>148</v>
      </c>
      <c r="F1" s="12" t="s">
        <v>156</v>
      </c>
    </row>
    <row r="2" spans="1:11" x14ac:dyDescent="0.3">
      <c r="A2" s="38">
        <v>1982</v>
      </c>
      <c r="B2" s="38">
        <v>140</v>
      </c>
      <c r="F2" t="s">
        <v>28</v>
      </c>
    </row>
    <row r="3" spans="1:11" ht="15" thickBot="1" x14ac:dyDescent="0.35">
      <c r="A3" s="38">
        <f>A2+1</f>
        <v>1983</v>
      </c>
      <c r="B3" s="38">
        <v>150</v>
      </c>
      <c r="C3" s="38">
        <v>140</v>
      </c>
    </row>
    <row r="4" spans="1:11" x14ac:dyDescent="0.3">
      <c r="A4" s="38">
        <f t="shared" ref="A4:A25" si="0">A3+1</f>
        <v>1984</v>
      </c>
      <c r="B4" s="12">
        <v>180</v>
      </c>
      <c r="C4" s="12">
        <v>150</v>
      </c>
      <c r="D4" s="12">
        <v>140</v>
      </c>
      <c r="F4" s="28" t="s">
        <v>29</v>
      </c>
      <c r="G4" s="28"/>
    </row>
    <row r="5" spans="1:11" x14ac:dyDescent="0.3">
      <c r="A5" s="38">
        <f t="shared" si="0"/>
        <v>1985</v>
      </c>
      <c r="B5" s="12">
        <v>210</v>
      </c>
      <c r="C5" s="12">
        <v>180</v>
      </c>
      <c r="D5" s="12">
        <v>150</v>
      </c>
      <c r="F5" s="25" t="s">
        <v>30</v>
      </c>
      <c r="G5" s="25">
        <v>0.93450222741701605</v>
      </c>
    </row>
    <row r="6" spans="1:11" x14ac:dyDescent="0.3">
      <c r="A6" s="38">
        <f t="shared" si="0"/>
        <v>1986</v>
      </c>
      <c r="B6" s="12">
        <v>220</v>
      </c>
      <c r="C6" s="12">
        <v>210</v>
      </c>
      <c r="D6" s="12">
        <v>180</v>
      </c>
      <c r="F6" s="25" t="s">
        <v>31</v>
      </c>
      <c r="G6" s="25">
        <v>0.87329441304736433</v>
      </c>
    </row>
    <row r="7" spans="1:11" x14ac:dyDescent="0.3">
      <c r="A7" s="38">
        <f t="shared" si="0"/>
        <v>1987</v>
      </c>
      <c r="B7" s="12">
        <v>235</v>
      </c>
      <c r="C7" s="12">
        <v>220</v>
      </c>
      <c r="D7" s="12">
        <v>210</v>
      </c>
      <c r="F7" s="25" t="s">
        <v>32</v>
      </c>
      <c r="G7" s="25">
        <v>0.85995698284182365</v>
      </c>
    </row>
    <row r="8" spans="1:11" x14ac:dyDescent="0.3">
      <c r="A8" s="38">
        <f t="shared" si="0"/>
        <v>1988</v>
      </c>
      <c r="B8" s="12">
        <v>240</v>
      </c>
      <c r="C8" s="12">
        <v>235</v>
      </c>
      <c r="D8" s="12">
        <v>220</v>
      </c>
      <c r="F8" s="25" t="s">
        <v>33</v>
      </c>
      <c r="G8" s="25">
        <v>26.802607267961577</v>
      </c>
    </row>
    <row r="9" spans="1:11" ht="15" thickBot="1" x14ac:dyDescent="0.35">
      <c r="A9" s="38">
        <f t="shared" si="0"/>
        <v>1989</v>
      </c>
      <c r="B9" s="12">
        <v>250</v>
      </c>
      <c r="C9" s="12">
        <v>240</v>
      </c>
      <c r="D9" s="12">
        <v>235</v>
      </c>
      <c r="F9" s="26" t="s">
        <v>34</v>
      </c>
      <c r="G9" s="26">
        <v>22</v>
      </c>
    </row>
    <row r="10" spans="1:11" x14ac:dyDescent="0.3">
      <c r="A10" s="38">
        <f t="shared" si="0"/>
        <v>1990</v>
      </c>
      <c r="B10" s="12">
        <v>270</v>
      </c>
      <c r="C10" s="12">
        <v>250</v>
      </c>
      <c r="D10" s="12">
        <v>240</v>
      </c>
    </row>
    <row r="11" spans="1:11" ht="15" thickBot="1" x14ac:dyDescent="0.35">
      <c r="A11" s="38">
        <f t="shared" si="0"/>
        <v>1991</v>
      </c>
      <c r="B11" s="12">
        <v>300</v>
      </c>
      <c r="C11" s="12">
        <v>270</v>
      </c>
      <c r="D11" s="12">
        <v>250</v>
      </c>
      <c r="F11" t="s">
        <v>35</v>
      </c>
    </row>
    <row r="12" spans="1:11" x14ac:dyDescent="0.3">
      <c r="A12" s="38">
        <f t="shared" si="0"/>
        <v>1992</v>
      </c>
      <c r="B12" s="12">
        <v>270</v>
      </c>
      <c r="C12" s="12">
        <v>300</v>
      </c>
      <c r="D12" s="12">
        <v>270</v>
      </c>
      <c r="F12" s="27"/>
      <c r="G12" s="27" t="s">
        <v>40</v>
      </c>
      <c r="H12" s="27" t="s">
        <v>41</v>
      </c>
      <c r="I12" s="27" t="s">
        <v>42</v>
      </c>
      <c r="J12" s="27" t="s">
        <v>43</v>
      </c>
      <c r="K12" s="27" t="s">
        <v>44</v>
      </c>
    </row>
    <row r="13" spans="1:11" x14ac:dyDescent="0.3">
      <c r="A13" s="38">
        <f t="shared" si="0"/>
        <v>1993</v>
      </c>
      <c r="B13" s="12">
        <v>260</v>
      </c>
      <c r="C13" s="12">
        <v>270</v>
      </c>
      <c r="D13" s="12">
        <v>300</v>
      </c>
      <c r="F13" s="25" t="s">
        <v>36</v>
      </c>
      <c r="G13" s="25">
        <v>2</v>
      </c>
      <c r="H13" s="25">
        <v>94074.6482655125</v>
      </c>
      <c r="I13" s="25">
        <v>47037.32413275625</v>
      </c>
      <c r="J13" s="25">
        <v>65.476962172561727</v>
      </c>
      <c r="K13" s="25">
        <v>2.9961238947731386E-9</v>
      </c>
    </row>
    <row r="14" spans="1:11" x14ac:dyDescent="0.3">
      <c r="A14" s="38">
        <f t="shared" si="0"/>
        <v>1994</v>
      </c>
      <c r="B14" s="12">
        <v>285</v>
      </c>
      <c r="C14" s="12">
        <v>260</v>
      </c>
      <c r="D14" s="12">
        <v>270</v>
      </c>
      <c r="F14" s="25" t="s">
        <v>37</v>
      </c>
      <c r="G14" s="25">
        <v>19</v>
      </c>
      <c r="H14" s="25">
        <v>13649.215370851149</v>
      </c>
      <c r="I14" s="25">
        <v>718.37975636058673</v>
      </c>
      <c r="J14" s="25"/>
      <c r="K14" s="25"/>
    </row>
    <row r="15" spans="1:11" ht="15" thickBot="1" x14ac:dyDescent="0.35">
      <c r="A15" s="38">
        <f t="shared" si="0"/>
        <v>1995</v>
      </c>
      <c r="B15" s="12">
        <v>250</v>
      </c>
      <c r="C15" s="12">
        <v>285</v>
      </c>
      <c r="D15" s="12">
        <v>260</v>
      </c>
      <c r="F15" s="26" t="s">
        <v>38</v>
      </c>
      <c r="G15" s="26">
        <v>21</v>
      </c>
      <c r="H15" s="26">
        <v>107723.86363636365</v>
      </c>
      <c r="I15" s="26"/>
      <c r="J15" s="26"/>
      <c r="K15" s="26"/>
    </row>
    <row r="16" spans="1:11" ht="15" thickBot="1" x14ac:dyDescent="0.35">
      <c r="A16" s="38">
        <f t="shared" si="0"/>
        <v>1996</v>
      </c>
      <c r="B16" s="12">
        <v>180</v>
      </c>
      <c r="C16" s="12">
        <v>250</v>
      </c>
      <c r="D16" s="12">
        <v>285</v>
      </c>
    </row>
    <row r="17" spans="1:16" x14ac:dyDescent="0.3">
      <c r="A17" s="38">
        <f t="shared" si="0"/>
        <v>1997</v>
      </c>
      <c r="B17" s="12">
        <v>165</v>
      </c>
      <c r="C17" s="12">
        <v>180</v>
      </c>
      <c r="D17" s="12">
        <v>250</v>
      </c>
      <c r="F17" s="27"/>
      <c r="G17" s="27" t="s">
        <v>45</v>
      </c>
      <c r="H17" s="27" t="s">
        <v>33</v>
      </c>
      <c r="I17" s="27" t="s">
        <v>46</v>
      </c>
      <c r="J17" s="27" t="s">
        <v>47</v>
      </c>
      <c r="K17" s="27" t="s">
        <v>48</v>
      </c>
      <c r="L17" s="27" t="s">
        <v>49</v>
      </c>
      <c r="M17" s="27" t="s">
        <v>50</v>
      </c>
      <c r="N17" s="27" t="s">
        <v>51</v>
      </c>
    </row>
    <row r="18" spans="1:16" x14ac:dyDescent="0.3">
      <c r="A18" s="38">
        <f t="shared" si="0"/>
        <v>1998</v>
      </c>
      <c r="B18" s="12">
        <v>130</v>
      </c>
      <c r="C18" s="12">
        <v>165</v>
      </c>
      <c r="D18" s="12">
        <v>180</v>
      </c>
      <c r="F18" s="25" t="s">
        <v>39</v>
      </c>
      <c r="G18" s="25">
        <v>14.925279649913591</v>
      </c>
      <c r="H18" s="25">
        <v>17.490517987421601</v>
      </c>
      <c r="I18" s="25">
        <v>0.85333548501234702</v>
      </c>
      <c r="J18" s="25">
        <v>0.40410330439372233</v>
      </c>
      <c r="K18" s="25">
        <v>-21.682795221821038</v>
      </c>
      <c r="L18" s="25">
        <v>51.533354521648221</v>
      </c>
      <c r="M18" s="25">
        <v>-21.682795221821038</v>
      </c>
      <c r="N18" s="25">
        <v>51.533354521648221</v>
      </c>
    </row>
    <row r="19" spans="1:16" x14ac:dyDescent="0.3">
      <c r="A19" s="38">
        <f t="shared" si="0"/>
        <v>1999</v>
      </c>
      <c r="B19" s="12">
        <v>110</v>
      </c>
      <c r="C19" s="12">
        <v>130</v>
      </c>
      <c r="D19" s="12">
        <v>165</v>
      </c>
      <c r="F19" s="25" t="s">
        <v>153</v>
      </c>
      <c r="G19" s="25">
        <v>1.2723786866933389</v>
      </c>
      <c r="H19" s="25">
        <v>0.21540688269941971</v>
      </c>
      <c r="I19" s="25">
        <v>5.9068617991599881</v>
      </c>
      <c r="J19" s="25">
        <v>1.0948085214290018E-5</v>
      </c>
      <c r="K19" s="25">
        <v>0.82152689971834425</v>
      </c>
      <c r="L19" s="25">
        <v>1.7232304736683335</v>
      </c>
      <c r="M19" s="25">
        <v>0.82152689971834425</v>
      </c>
      <c r="N19" s="25">
        <v>1.7232304736683335</v>
      </c>
    </row>
    <row r="20" spans="1:16" ht="15" thickBot="1" x14ac:dyDescent="0.35">
      <c r="A20" s="38">
        <f t="shared" si="0"/>
        <v>2000</v>
      </c>
      <c r="B20" s="12">
        <v>125</v>
      </c>
      <c r="C20" s="12">
        <v>110</v>
      </c>
      <c r="D20" s="12">
        <v>130</v>
      </c>
      <c r="F20" s="26" t="s">
        <v>154</v>
      </c>
      <c r="G20" s="26">
        <v>-0.35786951792166211</v>
      </c>
      <c r="H20" s="26">
        <v>0.21807402132296635</v>
      </c>
      <c r="I20" s="26">
        <v>-1.6410460803658014</v>
      </c>
      <c r="J20" s="26">
        <v>0.11723779473608584</v>
      </c>
      <c r="K20" s="26">
        <v>-0.8143036901921813</v>
      </c>
      <c r="L20" s="26">
        <v>9.8564654348857084E-2</v>
      </c>
      <c r="M20" s="26">
        <v>-0.8143036901921813</v>
      </c>
      <c r="N20" s="26">
        <v>9.8564654348857084E-2</v>
      </c>
    </row>
    <row r="21" spans="1:16" x14ac:dyDescent="0.3">
      <c r="A21" s="38">
        <f t="shared" si="0"/>
        <v>2001</v>
      </c>
      <c r="B21" s="12">
        <v>110</v>
      </c>
      <c r="C21" s="12">
        <v>125</v>
      </c>
      <c r="D21" s="12">
        <v>110</v>
      </c>
    </row>
    <row r="22" spans="1:16" x14ac:dyDescent="0.3">
      <c r="A22" s="38">
        <f>A21+1</f>
        <v>2002</v>
      </c>
      <c r="B22" s="12">
        <v>85</v>
      </c>
      <c r="C22" s="12">
        <v>110</v>
      </c>
      <c r="D22" s="12">
        <v>125</v>
      </c>
      <c r="F22" s="109" t="s">
        <v>155</v>
      </c>
      <c r="G22" s="109"/>
      <c r="H22" s="109"/>
      <c r="I22" s="31"/>
      <c r="J22" s="31"/>
      <c r="K22" s="31"/>
      <c r="L22" s="31"/>
      <c r="M22" s="31"/>
      <c r="N22" s="31"/>
      <c r="O22" s="31"/>
      <c r="P22" s="31" t="s">
        <v>209</v>
      </c>
    </row>
    <row r="23" spans="1:16" x14ac:dyDescent="0.3">
      <c r="A23" s="38">
        <f t="shared" si="0"/>
        <v>2003</v>
      </c>
      <c r="B23" s="12">
        <v>80</v>
      </c>
      <c r="C23" s="12">
        <v>85</v>
      </c>
      <c r="D23" s="12">
        <v>110</v>
      </c>
      <c r="F23" s="31"/>
      <c r="G23" s="31"/>
      <c r="H23" s="31"/>
      <c r="I23" s="31"/>
      <c r="J23" s="31"/>
      <c r="K23" s="31"/>
      <c r="L23" s="31" t="s">
        <v>184</v>
      </c>
      <c r="M23" s="31" t="s">
        <v>324</v>
      </c>
      <c r="N23" s="31"/>
      <c r="O23" s="31" t="s">
        <v>325</v>
      </c>
      <c r="P23" s="131" t="s">
        <v>326</v>
      </c>
    </row>
    <row r="24" spans="1:16" x14ac:dyDescent="0.3">
      <c r="A24" s="38">
        <f t="shared" si="0"/>
        <v>2004</v>
      </c>
      <c r="B24" s="12">
        <v>120</v>
      </c>
      <c r="C24" s="12">
        <v>80</v>
      </c>
      <c r="D24" s="12">
        <v>85</v>
      </c>
      <c r="F24" t="s">
        <v>28</v>
      </c>
      <c r="O24" s="31"/>
      <c r="P24" s="31"/>
    </row>
    <row r="25" spans="1:16" ht="15" thickBot="1" x14ac:dyDescent="0.35">
      <c r="A25" s="38">
        <f t="shared" si="0"/>
        <v>2005</v>
      </c>
      <c r="B25" s="12">
        <v>110</v>
      </c>
      <c r="C25" s="12">
        <v>120</v>
      </c>
      <c r="D25" s="12">
        <v>80</v>
      </c>
      <c r="O25" s="31"/>
      <c r="P25" s="31"/>
    </row>
    <row r="26" spans="1:16" x14ac:dyDescent="0.3">
      <c r="D26" s="38"/>
      <c r="F26" s="28" t="s">
        <v>29</v>
      </c>
      <c r="G26" s="28"/>
      <c r="L26" t="s">
        <v>197</v>
      </c>
      <c r="M26" t="s">
        <v>327</v>
      </c>
      <c r="O26" s="31"/>
      <c r="P26" s="31"/>
    </row>
    <row r="27" spans="1:16" x14ac:dyDescent="0.3">
      <c r="F27" s="25" t="s">
        <v>30</v>
      </c>
      <c r="G27" s="25">
        <v>0.92557393552638367</v>
      </c>
      <c r="O27" s="31"/>
      <c r="P27" s="31"/>
    </row>
    <row r="28" spans="1:16" x14ac:dyDescent="0.3">
      <c r="F28" s="25" t="s">
        <v>31</v>
      </c>
      <c r="G28" s="25">
        <v>0.85668711012579823</v>
      </c>
      <c r="L28" t="s">
        <v>289</v>
      </c>
      <c r="O28" s="31"/>
      <c r="P28" s="31"/>
    </row>
    <row r="29" spans="1:16" x14ac:dyDescent="0.3">
      <c r="F29" s="25" t="s">
        <v>32</v>
      </c>
      <c r="G29" s="25">
        <v>0.84986268679845534</v>
      </c>
      <c r="L29" t="s">
        <v>328</v>
      </c>
      <c r="O29" s="31"/>
      <c r="P29" s="31"/>
    </row>
    <row r="30" spans="1:16" x14ac:dyDescent="0.3">
      <c r="F30" s="25" t="s">
        <v>33</v>
      </c>
      <c r="G30" s="25">
        <v>27.307812170532294</v>
      </c>
      <c r="L30" t="s">
        <v>211</v>
      </c>
      <c r="O30" s="31"/>
      <c r="P30" s="31"/>
    </row>
    <row r="31" spans="1:16" ht="15" thickBot="1" x14ac:dyDescent="0.35">
      <c r="F31" s="26" t="s">
        <v>34</v>
      </c>
      <c r="G31" s="26">
        <v>23</v>
      </c>
      <c r="L31" t="s">
        <v>213</v>
      </c>
      <c r="O31" s="31"/>
      <c r="P31" s="31"/>
    </row>
    <row r="32" spans="1:16" x14ac:dyDescent="0.3">
      <c r="O32" s="31"/>
      <c r="P32" s="31"/>
    </row>
    <row r="33" spans="6:16" ht="15" thickBot="1" x14ac:dyDescent="0.35">
      <c r="F33" t="s">
        <v>35</v>
      </c>
      <c r="O33" s="31"/>
      <c r="P33" s="31"/>
    </row>
    <row r="34" spans="6:16" x14ac:dyDescent="0.3">
      <c r="F34" s="27"/>
      <c r="G34" s="27" t="s">
        <v>40</v>
      </c>
      <c r="H34" s="27" t="s">
        <v>41</v>
      </c>
      <c r="I34" s="27" t="s">
        <v>42</v>
      </c>
      <c r="J34" s="27" t="s">
        <v>43</v>
      </c>
      <c r="K34" s="27" t="s">
        <v>44</v>
      </c>
      <c r="O34" s="31"/>
      <c r="P34" s="31"/>
    </row>
    <row r="35" spans="6:16" x14ac:dyDescent="0.3">
      <c r="F35" s="25" t="s">
        <v>36</v>
      </c>
      <c r="G35" s="25">
        <v>1</v>
      </c>
      <c r="H35" s="25">
        <v>93611.690414072262</v>
      </c>
      <c r="I35" s="25">
        <v>93611.690414072262</v>
      </c>
      <c r="J35" s="25">
        <v>125.53252766330739</v>
      </c>
      <c r="K35" s="25">
        <v>2.553511867207234E-10</v>
      </c>
      <c r="O35" s="31"/>
      <c r="P35" s="31"/>
    </row>
    <row r="36" spans="6:16" x14ac:dyDescent="0.3">
      <c r="F36" s="25" t="s">
        <v>37</v>
      </c>
      <c r="G36" s="25">
        <v>21</v>
      </c>
      <c r="H36" s="25">
        <v>15660.048716362506</v>
      </c>
      <c r="I36" s="25">
        <v>745.71660554107166</v>
      </c>
      <c r="J36" s="25"/>
      <c r="K36" s="25"/>
      <c r="O36" s="31"/>
      <c r="P36" s="31"/>
    </row>
    <row r="37" spans="6:16" ht="15" thickBot="1" x14ac:dyDescent="0.35">
      <c r="F37" s="26" t="s">
        <v>38</v>
      </c>
      <c r="G37" s="26">
        <v>22</v>
      </c>
      <c r="H37" s="26">
        <v>109271.73913043477</v>
      </c>
      <c r="I37" s="26"/>
      <c r="J37" s="26"/>
      <c r="K37" s="26"/>
      <c r="O37" s="31"/>
      <c r="P37" s="31"/>
    </row>
    <row r="38" spans="6:16" ht="15" thickBot="1" x14ac:dyDescent="0.35">
      <c r="O38" s="31"/>
      <c r="P38" s="31"/>
    </row>
    <row r="39" spans="6:16" x14ac:dyDescent="0.3">
      <c r="F39" s="27"/>
      <c r="G39" s="27" t="s">
        <v>45</v>
      </c>
      <c r="H39" s="27" t="s">
        <v>33</v>
      </c>
      <c r="I39" s="27" t="s">
        <v>46</v>
      </c>
      <c r="J39" s="27" t="s">
        <v>47</v>
      </c>
      <c r="K39" s="27" t="s">
        <v>48</v>
      </c>
      <c r="L39" s="27" t="s">
        <v>49</v>
      </c>
      <c r="M39" s="27" t="s">
        <v>50</v>
      </c>
      <c r="N39" s="27" t="s">
        <v>51</v>
      </c>
      <c r="O39" s="31"/>
      <c r="P39" s="31"/>
    </row>
    <row r="40" spans="6:16" x14ac:dyDescent="0.3">
      <c r="F40" s="25" t="s">
        <v>39</v>
      </c>
      <c r="G40" s="110">
        <v>9.6435199505102958</v>
      </c>
      <c r="H40" s="25">
        <v>16.946740186736648</v>
      </c>
      <c r="I40" s="25">
        <v>0.56904866919820896</v>
      </c>
      <c r="J40" s="25">
        <v>0.57535947819903988</v>
      </c>
      <c r="K40" s="25">
        <v>-25.599155564830184</v>
      </c>
      <c r="L40" s="25">
        <v>44.886195465850776</v>
      </c>
      <c r="M40" s="25">
        <v>-25.599155564830184</v>
      </c>
      <c r="N40" s="25">
        <v>44.886195465850776</v>
      </c>
    </row>
    <row r="41" spans="6:16" ht="15" thickBot="1" x14ac:dyDescent="0.35">
      <c r="F41" s="26" t="s">
        <v>153</v>
      </c>
      <c r="G41" s="111">
        <v>0.94231364058150358</v>
      </c>
      <c r="H41" s="26">
        <v>8.4104133548256355E-2</v>
      </c>
      <c r="I41" s="26">
        <v>11.204129937808979</v>
      </c>
      <c r="J41" s="26">
        <v>2.553511867207234E-10</v>
      </c>
      <c r="K41" s="26">
        <v>0.76740952005572394</v>
      </c>
      <c r="L41" s="26">
        <v>1.1172177611072831</v>
      </c>
      <c r="M41" s="26">
        <v>0.76740952005572394</v>
      </c>
      <c r="N41" s="26">
        <v>1.1172177611072831</v>
      </c>
    </row>
    <row r="43" spans="6:16" x14ac:dyDescent="0.3">
      <c r="F43" t="s">
        <v>157</v>
      </c>
      <c r="H43" s="112">
        <f>B25*G41+G40</f>
        <v>113.29802041447569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8"/>
  <sheetViews>
    <sheetView topLeftCell="A7" workbookViewId="0">
      <selection activeCell="G31" sqref="G31"/>
    </sheetView>
  </sheetViews>
  <sheetFormatPr defaultRowHeight="14.4" x14ac:dyDescent="0.3"/>
  <cols>
    <col min="4" max="4" width="19.44140625" customWidth="1"/>
  </cols>
  <sheetData>
    <row r="1" spans="1:9" x14ac:dyDescent="0.3">
      <c r="A1" t="s">
        <v>150</v>
      </c>
      <c r="B1" t="s">
        <v>85</v>
      </c>
    </row>
    <row r="2" spans="1:9" x14ac:dyDescent="0.3">
      <c r="A2">
        <v>92</v>
      </c>
      <c r="B2">
        <v>930</v>
      </c>
      <c r="D2" t="s">
        <v>28</v>
      </c>
    </row>
    <row r="3" spans="1:9" ht="15" thickBot="1" x14ac:dyDescent="0.35">
      <c r="A3">
        <v>94</v>
      </c>
      <c r="B3">
        <v>900</v>
      </c>
    </row>
    <row r="4" spans="1:9" x14ac:dyDescent="0.3">
      <c r="A4">
        <v>97</v>
      </c>
      <c r="B4">
        <v>1020</v>
      </c>
      <c r="D4" s="28" t="s">
        <v>29</v>
      </c>
      <c r="E4" s="28"/>
    </row>
    <row r="5" spans="1:9" x14ac:dyDescent="0.3">
      <c r="A5">
        <v>98</v>
      </c>
      <c r="B5">
        <v>990</v>
      </c>
      <c r="D5" s="25" t="s">
        <v>30</v>
      </c>
      <c r="E5" s="25">
        <v>0.94916657427576989</v>
      </c>
    </row>
    <row r="6" spans="1:9" x14ac:dyDescent="0.3">
      <c r="A6">
        <v>100</v>
      </c>
      <c r="B6">
        <v>1100</v>
      </c>
      <c r="D6" s="25" t="s">
        <v>31</v>
      </c>
      <c r="E6" s="25">
        <v>0.90091718572240065</v>
      </c>
    </row>
    <row r="7" spans="1:9" x14ac:dyDescent="0.3">
      <c r="A7">
        <v>102</v>
      </c>
      <c r="B7">
        <v>1050</v>
      </c>
      <c r="D7" s="25" t="s">
        <v>32</v>
      </c>
      <c r="E7" s="25">
        <v>0.89100890429464075</v>
      </c>
    </row>
    <row r="8" spans="1:9" x14ac:dyDescent="0.3">
      <c r="A8">
        <v>104</v>
      </c>
      <c r="B8">
        <v>1150</v>
      </c>
      <c r="D8" s="25" t="s">
        <v>33</v>
      </c>
      <c r="E8" s="25">
        <v>37.106884029934918</v>
      </c>
    </row>
    <row r="9" spans="1:9" ht="15" thickBot="1" x14ac:dyDescent="0.35">
      <c r="A9">
        <v>105</v>
      </c>
      <c r="B9">
        <v>1120</v>
      </c>
      <c r="D9" s="26" t="s">
        <v>34</v>
      </c>
      <c r="E9" s="26">
        <v>12</v>
      </c>
    </row>
    <row r="10" spans="1:9" x14ac:dyDescent="0.3">
      <c r="A10">
        <v>105</v>
      </c>
      <c r="B10">
        <v>1130</v>
      </c>
    </row>
    <row r="11" spans="1:9" ht="15" thickBot="1" x14ac:dyDescent="0.35">
      <c r="A11">
        <v>107</v>
      </c>
      <c r="B11">
        <v>1200</v>
      </c>
      <c r="D11" t="s">
        <v>35</v>
      </c>
    </row>
    <row r="12" spans="1:9" x14ac:dyDescent="0.3">
      <c r="A12">
        <v>107</v>
      </c>
      <c r="B12">
        <v>1250</v>
      </c>
      <c r="D12" s="27"/>
      <c r="E12" s="27" t="s">
        <v>40</v>
      </c>
      <c r="F12" s="27" t="s">
        <v>41</v>
      </c>
      <c r="G12" s="27" t="s">
        <v>42</v>
      </c>
      <c r="H12" s="27" t="s">
        <v>43</v>
      </c>
      <c r="I12" s="27" t="s">
        <v>44</v>
      </c>
    </row>
    <row r="13" spans="1:9" x14ac:dyDescent="0.3">
      <c r="A13">
        <v>110</v>
      </c>
      <c r="B13">
        <v>1220</v>
      </c>
      <c r="D13" s="25" t="s">
        <v>36</v>
      </c>
      <c r="E13" s="25">
        <v>1</v>
      </c>
      <c r="F13" s="25">
        <v>125197.45824255627</v>
      </c>
      <c r="G13" s="25">
        <v>125197.45824255627</v>
      </c>
      <c r="H13" s="25">
        <v>90.925675889494798</v>
      </c>
      <c r="I13" s="25">
        <v>2.4538199807405907E-6</v>
      </c>
    </row>
    <row r="14" spans="1:9" x14ac:dyDescent="0.3">
      <c r="D14" s="25" t="s">
        <v>37</v>
      </c>
      <c r="E14" s="25">
        <v>10</v>
      </c>
      <c r="F14" s="25">
        <v>13769.208424110388</v>
      </c>
      <c r="G14" s="25">
        <v>1376.9208424110388</v>
      </c>
      <c r="H14" s="25"/>
      <c r="I14" s="25"/>
    </row>
    <row r="15" spans="1:9" ht="15" thickBot="1" x14ac:dyDescent="0.35">
      <c r="D15" s="26" t="s">
        <v>38</v>
      </c>
      <c r="E15" s="26">
        <v>11</v>
      </c>
      <c r="F15" s="26">
        <v>138966.66666666666</v>
      </c>
      <c r="G15" s="26"/>
      <c r="H15" s="26"/>
      <c r="I15" s="26"/>
    </row>
    <row r="16" spans="1:9" ht="15" thickBot="1" x14ac:dyDescent="0.35"/>
    <row r="17" spans="4:12" x14ac:dyDescent="0.3">
      <c r="D17" s="27"/>
      <c r="E17" s="27" t="s">
        <v>45</v>
      </c>
      <c r="F17" s="27" t="s">
        <v>33</v>
      </c>
      <c r="G17" s="27" t="s">
        <v>46</v>
      </c>
      <c r="H17" s="27" t="s">
        <v>47</v>
      </c>
      <c r="I17" s="27" t="s">
        <v>48</v>
      </c>
      <c r="J17" s="27" t="s">
        <v>49</v>
      </c>
      <c r="K17" s="27" t="s">
        <v>50</v>
      </c>
      <c r="L17" s="27" t="s">
        <v>51</v>
      </c>
    </row>
    <row r="18" spans="4:12" x14ac:dyDescent="0.3">
      <c r="D18" s="25" t="s">
        <v>39</v>
      </c>
      <c r="E18" s="29">
        <v>-852.08424110384817</v>
      </c>
      <c r="F18" s="25">
        <v>203.77588865704627</v>
      </c>
      <c r="G18" s="25">
        <v>-4.1814772430603968</v>
      </c>
      <c r="H18" s="25">
        <v>1.8832835869986564E-3</v>
      </c>
      <c r="I18" s="25">
        <v>-1306.1252137704619</v>
      </c>
      <c r="J18" s="25">
        <v>-398.04326843723453</v>
      </c>
      <c r="K18" s="25">
        <v>-1306.1252137704619</v>
      </c>
      <c r="L18" s="25">
        <v>-398.04326843723453</v>
      </c>
    </row>
    <row r="19" spans="4:12" ht="15" thickBot="1" x14ac:dyDescent="0.35">
      <c r="D19" s="26" t="s">
        <v>150</v>
      </c>
      <c r="E19" s="102">
        <v>19.070442992011611</v>
      </c>
      <c r="F19" s="26">
        <v>1.9999425136335525</v>
      </c>
      <c r="G19" s="26">
        <v>9.5354955765022904</v>
      </c>
      <c r="H19" s="26">
        <v>2.4538199807405907E-6</v>
      </c>
      <c r="I19" s="26">
        <v>14.614293394765866</v>
      </c>
      <c r="J19" s="26">
        <v>23.526592589257355</v>
      </c>
      <c r="K19" s="26">
        <v>14.614293394765866</v>
      </c>
      <c r="L19" s="26">
        <v>23.526592589257355</v>
      </c>
    </row>
    <row r="38" spans="7:7" x14ac:dyDescent="0.3">
      <c r="G38" t="s">
        <v>151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78"/>
  <sheetViews>
    <sheetView workbookViewId="0">
      <selection activeCell="B3" sqref="B3:B7"/>
    </sheetView>
  </sheetViews>
  <sheetFormatPr defaultRowHeight="14.4" x14ac:dyDescent="0.3"/>
  <cols>
    <col min="1" max="1" width="12" customWidth="1"/>
    <col min="2" max="2" width="10.5546875" customWidth="1"/>
  </cols>
  <sheetData>
    <row r="1" spans="1:10" x14ac:dyDescent="0.3">
      <c r="A1" t="s">
        <v>158</v>
      </c>
      <c r="B1" s="107" t="s">
        <v>159</v>
      </c>
      <c r="C1" s="113" t="s">
        <v>160</v>
      </c>
      <c r="D1" s="113" t="s">
        <v>161</v>
      </c>
      <c r="E1" s="113" t="s">
        <v>162</v>
      </c>
      <c r="F1" s="113" t="s">
        <v>163</v>
      </c>
      <c r="G1" s="113" t="s">
        <v>164</v>
      </c>
      <c r="H1" s="113" t="s">
        <v>165</v>
      </c>
      <c r="I1" s="113" t="s">
        <v>166</v>
      </c>
      <c r="J1" s="113" t="s">
        <v>167</v>
      </c>
    </row>
    <row r="2" spans="1:10" x14ac:dyDescent="0.3">
      <c r="A2" s="114">
        <v>42955</v>
      </c>
      <c r="B2" s="107">
        <v>160.08000200000001</v>
      </c>
      <c r="C2" s="115"/>
      <c r="D2" s="115"/>
      <c r="E2" s="115"/>
      <c r="F2" s="115"/>
      <c r="G2" s="115"/>
      <c r="H2" s="115"/>
      <c r="I2" s="115"/>
      <c r="J2" s="115"/>
    </row>
    <row r="3" spans="1:10" x14ac:dyDescent="0.3">
      <c r="A3" s="114">
        <v>42956</v>
      </c>
      <c r="B3" s="107">
        <v>161.05999800000001</v>
      </c>
      <c r="C3" s="115">
        <v>160.08000200000001</v>
      </c>
      <c r="D3" s="115"/>
      <c r="E3" s="115"/>
      <c r="F3" s="115"/>
      <c r="G3" s="115"/>
      <c r="H3" s="115"/>
      <c r="I3" s="115"/>
      <c r="J3" s="115"/>
    </row>
    <row r="4" spans="1:10" x14ac:dyDescent="0.3">
      <c r="A4" s="114">
        <v>42957</v>
      </c>
      <c r="B4" s="107">
        <v>155.320007</v>
      </c>
      <c r="C4" s="115">
        <v>161.05999800000001</v>
      </c>
      <c r="D4" s="115">
        <v>160.08000200000001</v>
      </c>
      <c r="E4" s="115"/>
      <c r="F4" s="115"/>
      <c r="G4" s="115"/>
      <c r="H4" s="115"/>
      <c r="I4" s="115"/>
      <c r="J4" s="115"/>
    </row>
    <row r="5" spans="1:10" x14ac:dyDescent="0.3">
      <c r="A5" s="114">
        <v>42958</v>
      </c>
      <c r="B5" s="107">
        <v>157.479996</v>
      </c>
      <c r="C5" s="115">
        <v>155.320007</v>
      </c>
      <c r="D5" s="115">
        <v>161.05999800000001</v>
      </c>
      <c r="E5" s="115">
        <v>160.08000200000001</v>
      </c>
      <c r="F5" s="115"/>
      <c r="G5" s="115"/>
      <c r="H5" s="115"/>
      <c r="I5" s="115"/>
      <c r="J5" s="115"/>
    </row>
    <row r="6" spans="1:10" x14ac:dyDescent="0.3">
      <c r="A6" s="114">
        <v>42961</v>
      </c>
      <c r="B6" s="107">
        <v>159.85000600000001</v>
      </c>
      <c r="C6" s="115">
        <v>157.479996</v>
      </c>
      <c r="D6" s="115">
        <v>155.320007</v>
      </c>
      <c r="E6" s="115">
        <v>161.05999800000001</v>
      </c>
      <c r="F6" s="115">
        <v>160.08000200000001</v>
      </c>
      <c r="G6" s="115"/>
      <c r="H6" s="115"/>
      <c r="I6" s="115"/>
      <c r="J6" s="115"/>
    </row>
    <row r="7" spans="1:10" x14ac:dyDescent="0.3">
      <c r="A7" s="114">
        <v>42962</v>
      </c>
      <c r="B7" s="107">
        <v>161.60000600000001</v>
      </c>
      <c r="C7" s="115">
        <v>159.85000600000001</v>
      </c>
      <c r="D7" s="115">
        <v>157.479996</v>
      </c>
      <c r="E7" s="115">
        <v>155.320007</v>
      </c>
      <c r="F7" s="115">
        <v>161.05999800000001</v>
      </c>
      <c r="G7" s="115">
        <v>160.08000200000001</v>
      </c>
      <c r="H7" s="115"/>
      <c r="I7" s="115"/>
      <c r="J7" s="115"/>
    </row>
    <row r="8" spans="1:10" x14ac:dyDescent="0.3">
      <c r="A8" s="114">
        <v>42963</v>
      </c>
      <c r="B8" s="107">
        <v>160.949997</v>
      </c>
      <c r="C8" s="115">
        <v>161.60000600000001</v>
      </c>
      <c r="D8" s="115">
        <v>159.85000600000001</v>
      </c>
      <c r="E8" s="115">
        <v>157.479996</v>
      </c>
      <c r="F8" s="115">
        <v>155.320007</v>
      </c>
      <c r="G8" s="115">
        <v>161.05999800000001</v>
      </c>
      <c r="H8" s="115">
        <v>160.08000200000001</v>
      </c>
      <c r="I8" s="115"/>
      <c r="J8" s="115"/>
    </row>
    <row r="9" spans="1:10" x14ac:dyDescent="0.3">
      <c r="A9" s="114">
        <v>42964</v>
      </c>
      <c r="B9" s="107">
        <v>157.86000100000001</v>
      </c>
      <c r="C9" s="115">
        <v>160.949997</v>
      </c>
      <c r="D9" s="115">
        <v>161.60000600000001</v>
      </c>
      <c r="E9" s="115">
        <v>159.85000600000001</v>
      </c>
      <c r="F9" s="115">
        <v>157.479996</v>
      </c>
      <c r="G9" s="115">
        <v>155.320007</v>
      </c>
      <c r="H9" s="115">
        <v>161.05999800000001</v>
      </c>
      <c r="I9" s="115">
        <v>160.08000200000001</v>
      </c>
      <c r="J9" s="115"/>
    </row>
    <row r="10" spans="1:10" x14ac:dyDescent="0.3">
      <c r="A10" s="114">
        <v>42965</v>
      </c>
      <c r="B10" s="107">
        <v>157.5</v>
      </c>
      <c r="C10" s="115">
        <v>157.86000100000001</v>
      </c>
      <c r="D10" s="115">
        <v>160.949997</v>
      </c>
      <c r="E10" s="115">
        <v>161.60000600000001</v>
      </c>
      <c r="F10" s="115">
        <v>159.85000600000001</v>
      </c>
      <c r="G10" s="115">
        <v>157.479996</v>
      </c>
      <c r="H10" s="115">
        <v>155.320007</v>
      </c>
      <c r="I10" s="115">
        <v>161.05999800000001</v>
      </c>
      <c r="J10" s="115">
        <v>160.08000200000001</v>
      </c>
    </row>
    <row r="11" spans="1:10" x14ac:dyDescent="0.3">
      <c r="A11" s="114">
        <v>42968</v>
      </c>
      <c r="B11" s="107">
        <v>157.21000699999999</v>
      </c>
      <c r="C11" s="115">
        <v>157.5</v>
      </c>
      <c r="D11" s="115">
        <v>157.86000100000001</v>
      </c>
      <c r="E11" s="115">
        <v>160.949997</v>
      </c>
      <c r="F11" s="115">
        <v>161.60000600000001</v>
      </c>
      <c r="G11" s="115">
        <v>159.85000600000001</v>
      </c>
      <c r="H11" s="115">
        <v>157.479996</v>
      </c>
      <c r="I11" s="115">
        <v>155.320007</v>
      </c>
      <c r="J11" s="115">
        <v>161.05999800000001</v>
      </c>
    </row>
    <row r="12" spans="1:10" x14ac:dyDescent="0.3">
      <c r="A12" s="114">
        <v>42969</v>
      </c>
      <c r="B12" s="107">
        <v>159.779999</v>
      </c>
      <c r="C12" s="115">
        <v>157.21000699999999</v>
      </c>
      <c r="D12" s="115">
        <v>157.5</v>
      </c>
      <c r="E12" s="115">
        <v>157.86000100000001</v>
      </c>
      <c r="F12" s="115">
        <v>160.949997</v>
      </c>
      <c r="G12" s="115">
        <v>161.60000600000001</v>
      </c>
      <c r="H12" s="115">
        <v>159.85000600000001</v>
      </c>
      <c r="I12" s="115">
        <v>157.479996</v>
      </c>
      <c r="J12" s="115">
        <v>155.320007</v>
      </c>
    </row>
    <row r="13" spans="1:10" x14ac:dyDescent="0.3">
      <c r="A13" s="114">
        <v>42970</v>
      </c>
      <c r="B13" s="107">
        <v>159.979996</v>
      </c>
      <c r="C13" s="115">
        <v>159.779999</v>
      </c>
      <c r="D13" s="115">
        <v>157.21000699999999</v>
      </c>
      <c r="E13" s="115">
        <v>157.5</v>
      </c>
      <c r="F13" s="115">
        <v>157.86000100000001</v>
      </c>
      <c r="G13" s="115">
        <v>160.949997</v>
      </c>
      <c r="H13" s="115">
        <v>161.60000600000001</v>
      </c>
      <c r="I13" s="115">
        <v>159.85000600000001</v>
      </c>
      <c r="J13" s="115">
        <v>157.479996</v>
      </c>
    </row>
    <row r="14" spans="1:10" hidden="1" x14ac:dyDescent="0.3">
      <c r="A14" s="114">
        <v>42971</v>
      </c>
      <c r="B14" s="107">
        <v>159.270004</v>
      </c>
      <c r="C14" s="115">
        <v>159.979996</v>
      </c>
      <c r="D14" s="115">
        <v>159.779999</v>
      </c>
      <c r="E14" s="115">
        <v>157.21000699999999</v>
      </c>
      <c r="F14" s="115">
        <v>157.5</v>
      </c>
      <c r="G14" s="115">
        <v>157.86000100000001</v>
      </c>
      <c r="H14" s="115">
        <v>160.949997</v>
      </c>
      <c r="I14" s="115">
        <v>161.60000600000001</v>
      </c>
      <c r="J14" s="115">
        <v>159.85000600000001</v>
      </c>
    </row>
    <row r="15" spans="1:10" hidden="1" x14ac:dyDescent="0.3">
      <c r="A15" s="114">
        <v>42972</v>
      </c>
      <c r="B15" s="107">
        <v>159.86000100000001</v>
      </c>
      <c r="C15" s="115">
        <v>159.270004</v>
      </c>
      <c r="D15" s="115">
        <v>159.979996</v>
      </c>
      <c r="E15" s="115">
        <v>159.779999</v>
      </c>
      <c r="F15" s="115">
        <v>157.21000699999999</v>
      </c>
      <c r="G15" s="115">
        <v>157.5</v>
      </c>
      <c r="H15" s="115">
        <v>157.86000100000001</v>
      </c>
      <c r="I15" s="115">
        <v>160.949997</v>
      </c>
      <c r="J15" s="115">
        <v>161.60000600000001</v>
      </c>
    </row>
    <row r="16" spans="1:10" hidden="1" x14ac:dyDescent="0.3">
      <c r="A16" s="114">
        <v>42975</v>
      </c>
      <c r="B16" s="107">
        <v>161.470001</v>
      </c>
      <c r="C16" s="115">
        <v>159.86000100000001</v>
      </c>
      <c r="D16" s="115">
        <v>159.270004</v>
      </c>
      <c r="E16" s="115">
        <v>159.979996</v>
      </c>
      <c r="F16" s="115">
        <v>159.779999</v>
      </c>
      <c r="G16" s="115">
        <v>157.21000699999999</v>
      </c>
      <c r="H16" s="115">
        <v>157.5</v>
      </c>
      <c r="I16" s="115">
        <v>157.86000100000001</v>
      </c>
      <c r="J16" s="115">
        <v>160.949997</v>
      </c>
    </row>
    <row r="17" spans="1:10" hidden="1" x14ac:dyDescent="0.3">
      <c r="A17" s="114">
        <v>42976</v>
      </c>
      <c r="B17" s="107">
        <v>162.91000399999999</v>
      </c>
      <c r="C17" s="115">
        <v>161.470001</v>
      </c>
      <c r="D17" s="115">
        <v>159.86000100000001</v>
      </c>
      <c r="E17" s="115">
        <v>159.270004</v>
      </c>
      <c r="F17" s="115">
        <v>159.979996</v>
      </c>
      <c r="G17" s="115">
        <v>159.779999</v>
      </c>
      <c r="H17" s="115">
        <v>157.21000699999999</v>
      </c>
      <c r="I17" s="115">
        <v>157.5</v>
      </c>
      <c r="J17" s="115">
        <v>157.86000100000001</v>
      </c>
    </row>
    <row r="18" spans="1:10" hidden="1" x14ac:dyDescent="0.3">
      <c r="A18" s="114">
        <v>42977</v>
      </c>
      <c r="B18" s="107">
        <v>163.35000600000001</v>
      </c>
      <c r="C18" s="115">
        <v>162.91000399999999</v>
      </c>
      <c r="D18" s="115">
        <v>161.470001</v>
      </c>
      <c r="E18" s="115">
        <v>159.86000100000001</v>
      </c>
      <c r="F18" s="115">
        <v>159.270004</v>
      </c>
      <c r="G18" s="115">
        <v>159.979996</v>
      </c>
      <c r="H18" s="115">
        <v>159.779999</v>
      </c>
      <c r="I18" s="115">
        <v>157.21000699999999</v>
      </c>
      <c r="J18" s="115">
        <v>157.5</v>
      </c>
    </row>
    <row r="19" spans="1:10" hidden="1" x14ac:dyDescent="0.3">
      <c r="A19" s="114">
        <v>42978</v>
      </c>
      <c r="B19" s="107">
        <v>164</v>
      </c>
      <c r="C19" s="115">
        <v>163.35000600000001</v>
      </c>
      <c r="D19" s="115">
        <v>162.91000399999999</v>
      </c>
      <c r="E19" s="115">
        <v>161.470001</v>
      </c>
      <c r="F19" s="115">
        <v>159.86000100000001</v>
      </c>
      <c r="G19" s="115">
        <v>159.270004</v>
      </c>
      <c r="H19" s="115">
        <v>159.979996</v>
      </c>
      <c r="I19" s="115">
        <v>159.779999</v>
      </c>
      <c r="J19" s="115">
        <v>157.21000699999999</v>
      </c>
    </row>
    <row r="20" spans="1:10" hidden="1" x14ac:dyDescent="0.3">
      <c r="A20" s="114">
        <v>42979</v>
      </c>
      <c r="B20" s="107">
        <v>164.050003</v>
      </c>
      <c r="C20" s="115">
        <v>164</v>
      </c>
      <c r="D20" s="115">
        <v>163.35000600000001</v>
      </c>
      <c r="E20" s="115">
        <v>162.91000399999999</v>
      </c>
      <c r="F20" s="115">
        <v>161.470001</v>
      </c>
      <c r="G20" s="115">
        <v>159.86000100000001</v>
      </c>
      <c r="H20" s="115">
        <v>159.270004</v>
      </c>
      <c r="I20" s="115">
        <v>159.979996</v>
      </c>
      <c r="J20" s="115">
        <v>159.779999</v>
      </c>
    </row>
    <row r="21" spans="1:10" hidden="1" x14ac:dyDescent="0.3">
      <c r="A21" s="114">
        <v>42983</v>
      </c>
      <c r="B21" s="107">
        <v>162.08000200000001</v>
      </c>
      <c r="C21" s="115">
        <v>164.050003</v>
      </c>
      <c r="D21" s="115">
        <v>164</v>
      </c>
      <c r="E21" s="115">
        <v>163.35000600000001</v>
      </c>
      <c r="F21" s="115">
        <v>162.91000399999999</v>
      </c>
      <c r="G21" s="115">
        <v>161.470001</v>
      </c>
      <c r="H21" s="115">
        <v>159.86000100000001</v>
      </c>
      <c r="I21" s="115">
        <v>159.270004</v>
      </c>
      <c r="J21" s="115">
        <v>159.979996</v>
      </c>
    </row>
    <row r="22" spans="1:10" hidden="1" x14ac:dyDescent="0.3">
      <c r="A22" s="114">
        <v>42984</v>
      </c>
      <c r="B22" s="107">
        <v>161.91000399999999</v>
      </c>
      <c r="C22" s="115">
        <v>162.08000200000001</v>
      </c>
      <c r="D22" s="115">
        <v>164.050003</v>
      </c>
      <c r="E22" s="115">
        <v>164</v>
      </c>
      <c r="F22" s="115">
        <v>163.35000600000001</v>
      </c>
      <c r="G22" s="115">
        <v>162.91000399999999</v>
      </c>
      <c r="H22" s="115">
        <v>161.470001</v>
      </c>
      <c r="I22" s="115">
        <v>159.86000100000001</v>
      </c>
      <c r="J22" s="115">
        <v>159.270004</v>
      </c>
    </row>
    <row r="23" spans="1:10" hidden="1" x14ac:dyDescent="0.3">
      <c r="A23" s="114">
        <v>42985</v>
      </c>
      <c r="B23" s="107">
        <v>161.259995</v>
      </c>
      <c r="C23" s="115">
        <v>161.91000399999999</v>
      </c>
      <c r="D23" s="115">
        <v>162.08000200000001</v>
      </c>
      <c r="E23" s="115">
        <v>164.050003</v>
      </c>
      <c r="F23" s="115">
        <v>164</v>
      </c>
      <c r="G23" s="115">
        <v>163.35000600000001</v>
      </c>
      <c r="H23" s="115">
        <v>162.91000399999999</v>
      </c>
      <c r="I23" s="115">
        <v>161.470001</v>
      </c>
      <c r="J23" s="115">
        <v>159.86000100000001</v>
      </c>
    </row>
    <row r="24" spans="1:10" hidden="1" x14ac:dyDescent="0.3">
      <c r="A24" s="114">
        <v>42986</v>
      </c>
      <c r="B24" s="107">
        <v>158.63000500000001</v>
      </c>
      <c r="C24" s="115">
        <v>161.259995</v>
      </c>
      <c r="D24" s="115">
        <v>161.91000399999999</v>
      </c>
      <c r="E24" s="115">
        <v>162.08000200000001</v>
      </c>
      <c r="F24" s="115">
        <v>164.050003</v>
      </c>
      <c r="G24" s="115">
        <v>164</v>
      </c>
      <c r="H24" s="115">
        <v>163.35000600000001</v>
      </c>
      <c r="I24" s="115">
        <v>162.91000399999999</v>
      </c>
      <c r="J24" s="115">
        <v>161.470001</v>
      </c>
    </row>
    <row r="25" spans="1:10" hidden="1" x14ac:dyDescent="0.3">
      <c r="A25" s="114">
        <v>42989</v>
      </c>
      <c r="B25" s="107">
        <v>161.5</v>
      </c>
      <c r="C25" s="115">
        <v>158.63000500000001</v>
      </c>
      <c r="D25" s="115">
        <v>161.259995</v>
      </c>
      <c r="E25" s="115">
        <v>161.91000399999999</v>
      </c>
      <c r="F25" s="115">
        <v>162.08000200000001</v>
      </c>
      <c r="G25" s="115">
        <v>164.050003</v>
      </c>
      <c r="H25" s="115">
        <v>164</v>
      </c>
      <c r="I25" s="115">
        <v>163.35000600000001</v>
      </c>
      <c r="J25" s="115">
        <v>162.91000399999999</v>
      </c>
    </row>
    <row r="26" spans="1:10" hidden="1" x14ac:dyDescent="0.3">
      <c r="A26" s="114">
        <v>42990</v>
      </c>
      <c r="B26" s="107">
        <v>160.86000100000001</v>
      </c>
      <c r="C26" s="115">
        <v>161.5</v>
      </c>
      <c r="D26" s="115">
        <v>158.63000500000001</v>
      </c>
      <c r="E26" s="115">
        <v>161.259995</v>
      </c>
      <c r="F26" s="115">
        <v>161.91000399999999</v>
      </c>
      <c r="G26" s="115">
        <v>162.08000200000001</v>
      </c>
      <c r="H26" s="115">
        <v>164.050003</v>
      </c>
      <c r="I26" s="115">
        <v>164</v>
      </c>
      <c r="J26" s="115">
        <v>163.35000600000001</v>
      </c>
    </row>
    <row r="27" spans="1:10" hidden="1" x14ac:dyDescent="0.3">
      <c r="A27" s="114">
        <v>42991</v>
      </c>
      <c r="B27" s="107">
        <v>159.64999399999999</v>
      </c>
      <c r="C27" s="115">
        <v>160.86000100000001</v>
      </c>
      <c r="D27" s="115">
        <v>161.5</v>
      </c>
      <c r="E27" s="115">
        <v>158.63000500000001</v>
      </c>
      <c r="F27" s="115">
        <v>161.259995</v>
      </c>
      <c r="G27" s="115">
        <v>161.91000399999999</v>
      </c>
      <c r="H27" s="115">
        <v>162.08000200000001</v>
      </c>
      <c r="I27" s="115">
        <v>164.050003</v>
      </c>
      <c r="J27" s="115">
        <v>164</v>
      </c>
    </row>
    <row r="28" spans="1:10" hidden="1" x14ac:dyDescent="0.3">
      <c r="A28" s="114">
        <v>42992</v>
      </c>
      <c r="B28" s="107">
        <v>158.279999</v>
      </c>
      <c r="C28" s="115">
        <v>159.64999399999999</v>
      </c>
      <c r="D28" s="115">
        <v>160.86000100000001</v>
      </c>
      <c r="E28" s="115">
        <v>161.5</v>
      </c>
      <c r="F28" s="115">
        <v>158.63000500000001</v>
      </c>
      <c r="G28" s="115">
        <v>161.259995</v>
      </c>
      <c r="H28" s="115">
        <v>161.91000399999999</v>
      </c>
      <c r="I28" s="115">
        <v>162.08000200000001</v>
      </c>
      <c r="J28" s="115">
        <v>164.050003</v>
      </c>
    </row>
    <row r="29" spans="1:10" hidden="1" x14ac:dyDescent="0.3">
      <c r="A29" s="114">
        <v>42993</v>
      </c>
      <c r="B29" s="107">
        <v>159.88000500000001</v>
      </c>
      <c r="C29" s="115">
        <v>158.279999</v>
      </c>
      <c r="D29" s="115">
        <v>159.64999399999999</v>
      </c>
      <c r="E29" s="115">
        <v>160.86000100000001</v>
      </c>
      <c r="F29" s="115">
        <v>161.5</v>
      </c>
      <c r="G29" s="115">
        <v>158.63000500000001</v>
      </c>
      <c r="H29" s="115">
        <v>161.259995</v>
      </c>
      <c r="I29" s="115">
        <v>161.91000399999999</v>
      </c>
      <c r="J29" s="115">
        <v>162.08000200000001</v>
      </c>
    </row>
    <row r="30" spans="1:10" hidden="1" x14ac:dyDescent="0.3">
      <c r="A30" s="114">
        <v>42996</v>
      </c>
      <c r="B30" s="107">
        <v>158.66999799999999</v>
      </c>
      <c r="C30" s="115">
        <v>159.88000500000001</v>
      </c>
      <c r="D30" s="115">
        <v>158.279999</v>
      </c>
      <c r="E30" s="115">
        <v>159.64999399999999</v>
      </c>
      <c r="F30" s="115">
        <v>160.86000100000001</v>
      </c>
      <c r="G30" s="115">
        <v>161.5</v>
      </c>
      <c r="H30" s="115">
        <v>158.63000500000001</v>
      </c>
      <c r="I30" s="115">
        <v>161.259995</v>
      </c>
      <c r="J30" s="115">
        <v>161.91000399999999</v>
      </c>
    </row>
    <row r="31" spans="1:10" hidden="1" x14ac:dyDescent="0.3">
      <c r="A31" s="114">
        <v>42997</v>
      </c>
      <c r="B31" s="107">
        <v>158.729996</v>
      </c>
      <c r="C31" s="115">
        <v>158.66999799999999</v>
      </c>
      <c r="D31" s="115">
        <v>159.88000500000001</v>
      </c>
      <c r="E31" s="115">
        <v>158.279999</v>
      </c>
      <c r="F31" s="115">
        <v>159.64999399999999</v>
      </c>
      <c r="G31" s="115">
        <v>160.86000100000001</v>
      </c>
      <c r="H31" s="115">
        <v>161.5</v>
      </c>
      <c r="I31" s="115">
        <v>158.63000500000001</v>
      </c>
      <c r="J31" s="115">
        <v>161.259995</v>
      </c>
    </row>
    <row r="32" spans="1:10" hidden="1" x14ac:dyDescent="0.3">
      <c r="A32" s="114">
        <v>42998</v>
      </c>
      <c r="B32" s="107">
        <v>156.070007</v>
      </c>
      <c r="C32" s="115">
        <v>158.729996</v>
      </c>
      <c r="D32" s="115">
        <v>158.66999799999999</v>
      </c>
      <c r="E32" s="115">
        <v>159.88000500000001</v>
      </c>
      <c r="F32" s="115">
        <v>158.279999</v>
      </c>
      <c r="G32" s="115">
        <v>159.64999399999999</v>
      </c>
      <c r="H32" s="115">
        <v>160.86000100000001</v>
      </c>
      <c r="I32" s="115">
        <v>161.5</v>
      </c>
      <c r="J32" s="115">
        <v>158.63000500000001</v>
      </c>
    </row>
    <row r="33" spans="1:10" hidden="1" x14ac:dyDescent="0.3">
      <c r="A33" s="114">
        <v>42999</v>
      </c>
      <c r="B33" s="107">
        <v>153.38999899999999</v>
      </c>
      <c r="C33" s="115">
        <v>156.070007</v>
      </c>
      <c r="D33" s="115">
        <v>158.729996</v>
      </c>
      <c r="E33" s="115">
        <v>158.66999799999999</v>
      </c>
      <c r="F33" s="115">
        <v>159.88000500000001</v>
      </c>
      <c r="G33" s="115">
        <v>158.279999</v>
      </c>
      <c r="H33" s="115">
        <v>159.64999399999999</v>
      </c>
      <c r="I33" s="115">
        <v>160.86000100000001</v>
      </c>
      <c r="J33" s="115">
        <v>161.5</v>
      </c>
    </row>
    <row r="34" spans="1:10" hidden="1" x14ac:dyDescent="0.3">
      <c r="A34" s="114">
        <v>43000</v>
      </c>
      <c r="B34" s="107">
        <v>151.88999899999999</v>
      </c>
      <c r="C34" s="115">
        <v>153.38999899999999</v>
      </c>
      <c r="D34" s="115">
        <v>156.070007</v>
      </c>
      <c r="E34" s="115">
        <v>158.729996</v>
      </c>
      <c r="F34" s="115">
        <v>158.66999799999999</v>
      </c>
      <c r="G34" s="115">
        <v>159.88000500000001</v>
      </c>
      <c r="H34" s="115">
        <v>158.279999</v>
      </c>
      <c r="I34" s="115">
        <v>159.64999399999999</v>
      </c>
      <c r="J34" s="115">
        <v>160.86000100000001</v>
      </c>
    </row>
    <row r="35" spans="1:10" hidden="1" x14ac:dyDescent="0.3">
      <c r="A35" s="114">
        <v>43003</v>
      </c>
      <c r="B35" s="107">
        <v>150.550003</v>
      </c>
      <c r="C35" s="115">
        <v>151.88999899999999</v>
      </c>
      <c r="D35" s="115">
        <v>153.38999899999999</v>
      </c>
      <c r="E35" s="115">
        <v>156.070007</v>
      </c>
      <c r="F35" s="115">
        <v>158.729996</v>
      </c>
      <c r="G35" s="115">
        <v>158.66999799999999</v>
      </c>
      <c r="H35" s="115">
        <v>159.88000500000001</v>
      </c>
      <c r="I35" s="115">
        <v>158.279999</v>
      </c>
      <c r="J35" s="115">
        <v>159.64999399999999</v>
      </c>
    </row>
    <row r="36" spans="1:10" hidden="1" x14ac:dyDescent="0.3">
      <c r="A36" s="114">
        <v>43004</v>
      </c>
      <c r="B36" s="107">
        <v>153.13999899999999</v>
      </c>
      <c r="C36" s="115">
        <v>150.550003</v>
      </c>
      <c r="D36" s="115">
        <v>151.88999899999999</v>
      </c>
      <c r="E36" s="115">
        <v>153.38999899999999</v>
      </c>
      <c r="F36" s="115">
        <v>156.070007</v>
      </c>
      <c r="G36" s="115">
        <v>158.729996</v>
      </c>
      <c r="H36" s="115">
        <v>158.66999799999999</v>
      </c>
      <c r="I36" s="115">
        <v>159.88000500000001</v>
      </c>
      <c r="J36" s="115">
        <v>158.279999</v>
      </c>
    </row>
    <row r="37" spans="1:10" hidden="1" x14ac:dyDescent="0.3">
      <c r="A37" s="114">
        <v>43005</v>
      </c>
      <c r="B37" s="107">
        <v>154.229996</v>
      </c>
      <c r="C37" s="115">
        <v>153.13999899999999</v>
      </c>
      <c r="D37" s="115">
        <v>150.550003</v>
      </c>
      <c r="E37" s="115">
        <v>151.88999899999999</v>
      </c>
      <c r="F37" s="115">
        <v>153.38999899999999</v>
      </c>
      <c r="G37" s="115">
        <v>156.070007</v>
      </c>
      <c r="H37" s="115">
        <v>158.729996</v>
      </c>
      <c r="I37" s="115">
        <v>158.66999799999999</v>
      </c>
      <c r="J37" s="115">
        <v>159.88000500000001</v>
      </c>
    </row>
    <row r="38" spans="1:10" hidden="1" x14ac:dyDescent="0.3">
      <c r="A38" s="114">
        <v>43006</v>
      </c>
      <c r="B38" s="107">
        <v>153.279999</v>
      </c>
      <c r="C38" s="115">
        <v>154.229996</v>
      </c>
      <c r="D38" s="115">
        <v>153.13999899999999</v>
      </c>
      <c r="E38" s="115">
        <v>150.550003</v>
      </c>
      <c r="F38" s="115">
        <v>151.88999899999999</v>
      </c>
      <c r="G38" s="115">
        <v>153.38999899999999</v>
      </c>
      <c r="H38" s="115">
        <v>156.070007</v>
      </c>
      <c r="I38" s="115">
        <v>158.729996</v>
      </c>
      <c r="J38" s="115">
        <v>158.66999799999999</v>
      </c>
    </row>
    <row r="39" spans="1:10" hidden="1" x14ac:dyDescent="0.3">
      <c r="A39" s="114">
        <v>43007</v>
      </c>
      <c r="B39" s="107">
        <v>154.11999499999999</v>
      </c>
      <c r="C39" s="115">
        <v>153.279999</v>
      </c>
      <c r="D39" s="115">
        <v>154.229996</v>
      </c>
      <c r="E39" s="115">
        <v>153.13999899999999</v>
      </c>
      <c r="F39" s="115">
        <v>150.550003</v>
      </c>
      <c r="G39" s="115">
        <v>151.88999899999999</v>
      </c>
      <c r="H39" s="115">
        <v>153.38999899999999</v>
      </c>
      <c r="I39" s="115">
        <v>156.070007</v>
      </c>
      <c r="J39" s="115">
        <v>158.729996</v>
      </c>
    </row>
    <row r="40" spans="1:10" hidden="1" x14ac:dyDescent="0.3">
      <c r="A40" s="114">
        <v>43010</v>
      </c>
      <c r="B40" s="107">
        <v>153.80999800000001</v>
      </c>
      <c r="C40" s="115">
        <v>154.11999499999999</v>
      </c>
      <c r="D40" s="115">
        <v>153.279999</v>
      </c>
      <c r="E40" s="115">
        <v>154.229996</v>
      </c>
      <c r="F40" s="115">
        <v>153.13999899999999</v>
      </c>
      <c r="G40" s="115">
        <v>150.550003</v>
      </c>
      <c r="H40" s="115">
        <v>151.88999899999999</v>
      </c>
      <c r="I40" s="115">
        <v>153.38999899999999</v>
      </c>
      <c r="J40" s="115">
        <v>156.070007</v>
      </c>
    </row>
    <row r="41" spans="1:10" hidden="1" x14ac:dyDescent="0.3">
      <c r="A41" s="114">
        <v>43011</v>
      </c>
      <c r="B41" s="107">
        <v>154.479996</v>
      </c>
      <c r="C41" s="115">
        <v>153.80999800000001</v>
      </c>
      <c r="D41" s="115">
        <v>154.11999499999999</v>
      </c>
      <c r="E41" s="115">
        <v>153.279999</v>
      </c>
      <c r="F41" s="115">
        <v>154.229996</v>
      </c>
      <c r="G41" s="115">
        <v>153.13999899999999</v>
      </c>
      <c r="H41" s="115">
        <v>150.550003</v>
      </c>
      <c r="I41" s="115">
        <v>151.88999899999999</v>
      </c>
      <c r="J41" s="115">
        <v>153.38999899999999</v>
      </c>
    </row>
    <row r="42" spans="1:10" hidden="1" x14ac:dyDescent="0.3">
      <c r="A42" s="114">
        <v>43012</v>
      </c>
      <c r="B42" s="107">
        <v>153.479996</v>
      </c>
      <c r="C42" s="115">
        <v>154.479996</v>
      </c>
      <c r="D42" s="115">
        <v>153.80999800000001</v>
      </c>
      <c r="E42" s="115">
        <v>154.11999499999999</v>
      </c>
      <c r="F42" s="115">
        <v>153.279999</v>
      </c>
      <c r="G42" s="115">
        <v>154.229996</v>
      </c>
      <c r="H42" s="115">
        <v>153.13999899999999</v>
      </c>
      <c r="I42" s="115">
        <v>150.550003</v>
      </c>
      <c r="J42" s="115">
        <v>151.88999899999999</v>
      </c>
    </row>
    <row r="43" spans="1:10" hidden="1" x14ac:dyDescent="0.3">
      <c r="A43" s="114">
        <v>43013</v>
      </c>
      <c r="B43" s="107">
        <v>155.38999899999999</v>
      </c>
      <c r="C43" s="115">
        <v>153.479996</v>
      </c>
      <c r="D43" s="115">
        <v>154.479996</v>
      </c>
      <c r="E43" s="115">
        <v>153.80999800000001</v>
      </c>
      <c r="F43" s="115">
        <v>154.11999499999999</v>
      </c>
      <c r="G43" s="115">
        <v>153.279999</v>
      </c>
      <c r="H43" s="115">
        <v>154.229996</v>
      </c>
      <c r="I43" s="115">
        <v>153.13999899999999</v>
      </c>
      <c r="J43" s="115">
        <v>150.550003</v>
      </c>
    </row>
    <row r="44" spans="1:10" hidden="1" x14ac:dyDescent="0.3">
      <c r="A44" s="114">
        <v>43014</v>
      </c>
      <c r="B44" s="107">
        <v>155.300003</v>
      </c>
      <c r="C44" s="115">
        <v>155.38999899999999</v>
      </c>
      <c r="D44" s="115">
        <v>153.479996</v>
      </c>
      <c r="E44" s="115">
        <v>154.479996</v>
      </c>
      <c r="F44" s="115">
        <v>153.80999800000001</v>
      </c>
      <c r="G44" s="115">
        <v>154.11999499999999</v>
      </c>
      <c r="H44" s="115">
        <v>153.279999</v>
      </c>
      <c r="I44" s="115">
        <v>154.229996</v>
      </c>
      <c r="J44" s="115">
        <v>153.13999899999999</v>
      </c>
    </row>
    <row r="45" spans="1:10" hidden="1" x14ac:dyDescent="0.3">
      <c r="A45" s="114">
        <v>43017</v>
      </c>
      <c r="B45" s="107">
        <v>155.83999600000001</v>
      </c>
      <c r="C45" s="115">
        <v>155.300003</v>
      </c>
      <c r="D45" s="115">
        <v>155.38999899999999</v>
      </c>
      <c r="E45" s="115">
        <v>153.479996</v>
      </c>
      <c r="F45" s="115">
        <v>154.479996</v>
      </c>
      <c r="G45" s="115">
        <v>153.80999800000001</v>
      </c>
      <c r="H45" s="115">
        <v>154.11999499999999</v>
      </c>
      <c r="I45" s="115">
        <v>153.279999</v>
      </c>
      <c r="J45" s="115">
        <v>154.229996</v>
      </c>
    </row>
    <row r="46" spans="1:10" hidden="1" x14ac:dyDescent="0.3">
      <c r="A46" s="114">
        <v>43018</v>
      </c>
      <c r="B46" s="107">
        <v>155.89999399999999</v>
      </c>
      <c r="C46" s="115">
        <v>155.83999600000001</v>
      </c>
      <c r="D46" s="115">
        <v>155.300003</v>
      </c>
      <c r="E46" s="115">
        <v>155.38999899999999</v>
      </c>
      <c r="F46" s="115">
        <v>153.479996</v>
      </c>
      <c r="G46" s="115">
        <v>154.479996</v>
      </c>
      <c r="H46" s="115">
        <v>153.80999800000001</v>
      </c>
      <c r="I46" s="115">
        <v>154.11999499999999</v>
      </c>
      <c r="J46" s="115">
        <v>153.279999</v>
      </c>
    </row>
    <row r="47" spans="1:10" hidden="1" x14ac:dyDescent="0.3">
      <c r="A47" s="114">
        <v>43019</v>
      </c>
      <c r="B47" s="107">
        <v>156.550003</v>
      </c>
      <c r="C47" s="115">
        <v>155.89999399999999</v>
      </c>
      <c r="D47" s="115">
        <v>155.83999600000001</v>
      </c>
      <c r="E47" s="115">
        <v>155.300003</v>
      </c>
      <c r="F47" s="115">
        <v>155.38999899999999</v>
      </c>
      <c r="G47" s="115">
        <v>153.479996</v>
      </c>
      <c r="H47" s="115">
        <v>154.479996</v>
      </c>
      <c r="I47" s="115">
        <v>153.80999800000001</v>
      </c>
      <c r="J47" s="115">
        <v>154.11999499999999</v>
      </c>
    </row>
    <row r="48" spans="1:10" hidden="1" x14ac:dyDescent="0.3">
      <c r="A48" s="114">
        <v>43020</v>
      </c>
      <c r="B48" s="107">
        <v>156</v>
      </c>
      <c r="C48" s="115">
        <v>156.550003</v>
      </c>
      <c r="D48" s="115">
        <v>155.89999399999999</v>
      </c>
      <c r="E48" s="115">
        <v>155.83999600000001</v>
      </c>
      <c r="F48" s="115">
        <v>155.300003</v>
      </c>
      <c r="G48" s="115">
        <v>155.38999899999999</v>
      </c>
      <c r="H48" s="115">
        <v>153.479996</v>
      </c>
      <c r="I48" s="115">
        <v>154.479996</v>
      </c>
      <c r="J48" s="115">
        <v>153.80999800000001</v>
      </c>
    </row>
    <row r="49" spans="1:10" hidden="1" x14ac:dyDescent="0.3">
      <c r="A49" s="114">
        <v>43021</v>
      </c>
      <c r="B49" s="107">
        <v>156.990005</v>
      </c>
      <c r="C49" s="115">
        <v>156</v>
      </c>
      <c r="D49" s="115">
        <v>156.550003</v>
      </c>
      <c r="E49" s="115">
        <v>155.89999399999999</v>
      </c>
      <c r="F49" s="115">
        <v>155.83999600000001</v>
      </c>
      <c r="G49" s="115">
        <v>155.300003</v>
      </c>
      <c r="H49" s="115">
        <v>155.38999899999999</v>
      </c>
      <c r="I49" s="115">
        <v>153.479996</v>
      </c>
      <c r="J49" s="115">
        <v>154.479996</v>
      </c>
    </row>
    <row r="50" spans="1:10" hidden="1" x14ac:dyDescent="0.3">
      <c r="A50" s="114">
        <v>43024</v>
      </c>
      <c r="B50" s="107">
        <v>159.88000500000001</v>
      </c>
      <c r="C50" s="115">
        <v>156.990005</v>
      </c>
      <c r="D50" s="115">
        <v>156</v>
      </c>
      <c r="E50" s="115">
        <v>156.550003</v>
      </c>
      <c r="F50" s="115">
        <v>155.89999399999999</v>
      </c>
      <c r="G50" s="115">
        <v>155.83999600000001</v>
      </c>
      <c r="H50" s="115">
        <v>155.300003</v>
      </c>
      <c r="I50" s="115">
        <v>155.38999899999999</v>
      </c>
      <c r="J50" s="115">
        <v>153.479996</v>
      </c>
    </row>
    <row r="51" spans="1:10" hidden="1" x14ac:dyDescent="0.3">
      <c r="A51" s="114">
        <v>43025</v>
      </c>
      <c r="B51" s="107">
        <v>160.470001</v>
      </c>
      <c r="C51" s="115">
        <v>159.88000500000001</v>
      </c>
      <c r="D51" s="115">
        <v>156.990005</v>
      </c>
      <c r="E51" s="115">
        <v>156</v>
      </c>
      <c r="F51" s="115">
        <v>156.550003</v>
      </c>
      <c r="G51" s="115">
        <v>155.89999399999999</v>
      </c>
      <c r="H51" s="115">
        <v>155.83999600000001</v>
      </c>
      <c r="I51" s="115">
        <v>155.300003</v>
      </c>
      <c r="J51" s="115">
        <v>155.38999899999999</v>
      </c>
    </row>
    <row r="52" spans="1:10" hidden="1" x14ac:dyDescent="0.3">
      <c r="A52" s="114">
        <v>43026</v>
      </c>
      <c r="B52" s="107">
        <v>159.759995</v>
      </c>
      <c r="C52" s="115">
        <v>160.470001</v>
      </c>
      <c r="D52" s="115">
        <v>159.88000500000001</v>
      </c>
      <c r="E52" s="115">
        <v>156.990005</v>
      </c>
      <c r="F52" s="115">
        <v>156</v>
      </c>
      <c r="G52" s="115">
        <v>156.550003</v>
      </c>
      <c r="H52" s="115">
        <v>155.89999399999999</v>
      </c>
      <c r="I52" s="115">
        <v>155.83999600000001</v>
      </c>
      <c r="J52" s="115">
        <v>155.300003</v>
      </c>
    </row>
    <row r="53" spans="1:10" hidden="1" x14ac:dyDescent="0.3">
      <c r="A53" s="114">
        <v>43027</v>
      </c>
      <c r="B53" s="107">
        <v>155.979996</v>
      </c>
      <c r="C53" s="115">
        <v>159.759995</v>
      </c>
      <c r="D53" s="115">
        <v>160.470001</v>
      </c>
      <c r="E53" s="115">
        <v>159.88000500000001</v>
      </c>
      <c r="F53" s="115">
        <v>156.990005</v>
      </c>
      <c r="G53" s="115">
        <v>156</v>
      </c>
      <c r="H53" s="115">
        <v>156.550003</v>
      </c>
      <c r="I53" s="115">
        <v>155.89999399999999</v>
      </c>
      <c r="J53" s="115">
        <v>155.83999600000001</v>
      </c>
    </row>
    <row r="54" spans="1:10" hidden="1" x14ac:dyDescent="0.3">
      <c r="A54" s="114">
        <v>43028</v>
      </c>
      <c r="B54" s="107">
        <v>156.25</v>
      </c>
      <c r="C54" s="115">
        <v>155.979996</v>
      </c>
      <c r="D54" s="115">
        <v>159.759995</v>
      </c>
      <c r="E54" s="115">
        <v>160.470001</v>
      </c>
      <c r="F54" s="115">
        <v>159.88000500000001</v>
      </c>
      <c r="G54" s="115">
        <v>156.990005</v>
      </c>
      <c r="H54" s="115">
        <v>156</v>
      </c>
      <c r="I54" s="115">
        <v>156.550003</v>
      </c>
      <c r="J54" s="115">
        <v>155.89999399999999</v>
      </c>
    </row>
    <row r="55" spans="1:10" hidden="1" x14ac:dyDescent="0.3">
      <c r="A55" s="114">
        <v>43031</v>
      </c>
      <c r="B55" s="107">
        <v>156.16999799999999</v>
      </c>
      <c r="C55" s="115">
        <v>156.25</v>
      </c>
      <c r="D55" s="115">
        <v>155.979996</v>
      </c>
      <c r="E55" s="115">
        <v>159.759995</v>
      </c>
      <c r="F55" s="115">
        <v>160.470001</v>
      </c>
      <c r="G55" s="115">
        <v>159.88000500000001</v>
      </c>
      <c r="H55" s="115">
        <v>156.990005</v>
      </c>
      <c r="I55" s="115">
        <v>156</v>
      </c>
      <c r="J55" s="115">
        <v>156.550003</v>
      </c>
    </row>
    <row r="56" spans="1:10" hidden="1" x14ac:dyDescent="0.3">
      <c r="A56" s="114">
        <v>43032</v>
      </c>
      <c r="B56" s="107">
        <v>157.10000600000001</v>
      </c>
      <c r="C56" s="115">
        <v>156.16999799999999</v>
      </c>
      <c r="D56" s="115">
        <v>156.25</v>
      </c>
      <c r="E56" s="115">
        <v>155.979996</v>
      </c>
      <c r="F56" s="115">
        <v>159.759995</v>
      </c>
      <c r="G56" s="115">
        <v>160.470001</v>
      </c>
      <c r="H56" s="115">
        <v>159.88000500000001</v>
      </c>
      <c r="I56" s="115">
        <v>156.990005</v>
      </c>
      <c r="J56" s="115">
        <v>156</v>
      </c>
    </row>
    <row r="57" spans="1:10" hidden="1" x14ac:dyDescent="0.3">
      <c r="A57" s="114">
        <v>43033</v>
      </c>
      <c r="B57" s="107">
        <v>156.41000399999999</v>
      </c>
      <c r="C57" s="115">
        <v>157.10000600000001</v>
      </c>
      <c r="D57" s="115">
        <v>156.16999799999999</v>
      </c>
      <c r="E57" s="115">
        <v>156.25</v>
      </c>
      <c r="F57" s="115">
        <v>155.979996</v>
      </c>
      <c r="G57" s="115">
        <v>159.759995</v>
      </c>
      <c r="H57" s="115">
        <v>160.470001</v>
      </c>
      <c r="I57" s="115">
        <v>159.88000500000001</v>
      </c>
      <c r="J57" s="115">
        <v>156.990005</v>
      </c>
    </row>
    <row r="58" spans="1:10" hidden="1" x14ac:dyDescent="0.3">
      <c r="A58" s="114">
        <v>43034</v>
      </c>
      <c r="B58" s="107">
        <v>157.41000399999999</v>
      </c>
      <c r="C58" s="115">
        <v>156.41000399999999</v>
      </c>
      <c r="D58" s="115">
        <v>157.10000600000001</v>
      </c>
      <c r="E58" s="115">
        <v>156.16999799999999</v>
      </c>
      <c r="F58" s="115">
        <v>156.25</v>
      </c>
      <c r="G58" s="115">
        <v>155.979996</v>
      </c>
      <c r="H58" s="115">
        <v>159.759995</v>
      </c>
      <c r="I58" s="115">
        <v>160.470001</v>
      </c>
      <c r="J58" s="115">
        <v>159.88000500000001</v>
      </c>
    </row>
    <row r="59" spans="1:10" hidden="1" x14ac:dyDescent="0.3">
      <c r="A59" s="114">
        <v>43035</v>
      </c>
      <c r="B59" s="107">
        <v>163.050003</v>
      </c>
      <c r="C59" s="115">
        <v>157.41000399999999</v>
      </c>
      <c r="D59" s="115">
        <v>156.41000399999999</v>
      </c>
      <c r="E59" s="115">
        <v>157.10000600000001</v>
      </c>
      <c r="F59" s="115">
        <v>156.16999799999999</v>
      </c>
      <c r="G59" s="115">
        <v>156.25</v>
      </c>
      <c r="H59" s="115">
        <v>155.979996</v>
      </c>
      <c r="I59" s="115">
        <v>159.759995</v>
      </c>
      <c r="J59" s="115">
        <v>160.470001</v>
      </c>
    </row>
    <row r="60" spans="1:10" hidden="1" x14ac:dyDescent="0.3">
      <c r="A60" s="114">
        <v>43038</v>
      </c>
      <c r="B60" s="107">
        <v>166.720001</v>
      </c>
      <c r="C60" s="115">
        <v>163.050003</v>
      </c>
      <c r="D60" s="115">
        <v>157.41000399999999</v>
      </c>
      <c r="E60" s="115">
        <v>156.41000399999999</v>
      </c>
      <c r="F60" s="115">
        <v>157.10000600000001</v>
      </c>
      <c r="G60" s="115">
        <v>156.16999799999999</v>
      </c>
      <c r="H60" s="115">
        <v>156.25</v>
      </c>
      <c r="I60" s="115">
        <v>155.979996</v>
      </c>
      <c r="J60" s="115">
        <v>159.759995</v>
      </c>
    </row>
    <row r="61" spans="1:10" hidden="1" x14ac:dyDescent="0.3">
      <c r="A61" s="114">
        <v>43039</v>
      </c>
      <c r="B61" s="107">
        <v>169.03999300000001</v>
      </c>
      <c r="C61" s="115">
        <v>166.720001</v>
      </c>
      <c r="D61" s="115">
        <v>163.050003</v>
      </c>
      <c r="E61" s="115">
        <v>157.41000399999999</v>
      </c>
      <c r="F61" s="115">
        <v>156.41000399999999</v>
      </c>
      <c r="G61" s="115">
        <v>157.10000600000001</v>
      </c>
      <c r="H61" s="115">
        <v>156.16999799999999</v>
      </c>
      <c r="I61" s="115">
        <v>156.25</v>
      </c>
      <c r="J61" s="115">
        <v>155.979996</v>
      </c>
    </row>
    <row r="62" spans="1:10" hidden="1" x14ac:dyDescent="0.3">
      <c r="A62" s="114">
        <v>43040</v>
      </c>
      <c r="B62" s="107">
        <v>166.88999899999999</v>
      </c>
      <c r="C62" s="115">
        <v>169.03999300000001</v>
      </c>
      <c r="D62" s="115">
        <v>166.720001</v>
      </c>
      <c r="E62" s="115">
        <v>163.050003</v>
      </c>
      <c r="F62" s="115">
        <v>157.41000399999999</v>
      </c>
      <c r="G62" s="115">
        <v>156.41000399999999</v>
      </c>
      <c r="H62" s="115">
        <v>157.10000600000001</v>
      </c>
      <c r="I62" s="115">
        <v>156.16999799999999</v>
      </c>
      <c r="J62" s="115">
        <v>156.25</v>
      </c>
    </row>
    <row r="63" spans="1:10" hidden="1" x14ac:dyDescent="0.3">
      <c r="A63" s="114">
        <v>43041</v>
      </c>
      <c r="B63" s="107">
        <v>168.11000100000001</v>
      </c>
      <c r="C63" s="115">
        <v>166.88999899999999</v>
      </c>
      <c r="D63" s="115">
        <v>169.03999300000001</v>
      </c>
      <c r="E63" s="115">
        <v>166.720001</v>
      </c>
      <c r="F63" s="115">
        <v>163.050003</v>
      </c>
      <c r="G63" s="115">
        <v>157.41000399999999</v>
      </c>
      <c r="H63" s="115">
        <v>156.41000399999999</v>
      </c>
      <c r="I63" s="115">
        <v>157.10000600000001</v>
      </c>
      <c r="J63" s="115">
        <v>156.16999799999999</v>
      </c>
    </row>
    <row r="64" spans="1:10" hidden="1" x14ac:dyDescent="0.3">
      <c r="A64" s="114">
        <v>43042</v>
      </c>
      <c r="B64" s="107">
        <v>172.5</v>
      </c>
      <c r="C64" s="115">
        <v>168.11000100000001</v>
      </c>
      <c r="D64" s="115">
        <v>166.88999899999999</v>
      </c>
      <c r="E64" s="115">
        <v>169.03999300000001</v>
      </c>
      <c r="F64" s="115">
        <v>166.720001</v>
      </c>
      <c r="G64" s="115">
        <v>163.050003</v>
      </c>
      <c r="H64" s="115">
        <v>157.41000399999999</v>
      </c>
      <c r="I64" s="115">
        <v>156.41000399999999</v>
      </c>
      <c r="J64" s="115">
        <v>157.10000600000001</v>
      </c>
    </row>
    <row r="65" spans="1:15" x14ac:dyDescent="0.3">
      <c r="A65" s="114">
        <v>43045</v>
      </c>
      <c r="B65" s="107">
        <v>174.25</v>
      </c>
      <c r="C65" s="115">
        <v>172.5</v>
      </c>
      <c r="D65" s="115">
        <v>168.11000100000001</v>
      </c>
      <c r="E65" s="115">
        <v>166.88999899999999</v>
      </c>
      <c r="F65" s="115">
        <v>169.03999300000001</v>
      </c>
      <c r="G65" s="115">
        <v>166.720001</v>
      </c>
      <c r="H65" s="115">
        <v>163.050003</v>
      </c>
      <c r="I65" s="115">
        <v>157.41000399999999</v>
      </c>
      <c r="J65" s="115">
        <v>156.41000399999999</v>
      </c>
    </row>
    <row r="66" spans="1:15" x14ac:dyDescent="0.3">
      <c r="A66" s="114">
        <v>43046</v>
      </c>
      <c r="B66" s="107">
        <v>174.80999800000001</v>
      </c>
      <c r="C66" s="115">
        <v>174.25</v>
      </c>
      <c r="D66" s="115">
        <v>172.5</v>
      </c>
      <c r="E66" s="115">
        <v>168.11000100000001</v>
      </c>
      <c r="F66" s="115">
        <v>166.88999899999999</v>
      </c>
      <c r="G66" s="115">
        <v>169.03999300000001</v>
      </c>
      <c r="H66" s="115">
        <v>166.720001</v>
      </c>
      <c r="I66" s="115">
        <v>163.050003</v>
      </c>
      <c r="J66" s="115">
        <v>157.41000399999999</v>
      </c>
    </row>
    <row r="67" spans="1:15" x14ac:dyDescent="0.3">
      <c r="A67" s="114">
        <v>43047</v>
      </c>
      <c r="B67" s="107">
        <v>176.240005</v>
      </c>
      <c r="C67" s="115">
        <v>174.80999800000001</v>
      </c>
      <c r="D67" s="115">
        <v>174.25</v>
      </c>
      <c r="E67" s="115">
        <v>172.5</v>
      </c>
      <c r="F67" s="115">
        <v>168.11000100000001</v>
      </c>
      <c r="G67" s="115">
        <v>166.88999899999999</v>
      </c>
      <c r="H67" s="115">
        <v>169.03999300000001</v>
      </c>
      <c r="I67" s="115">
        <v>166.720001</v>
      </c>
      <c r="J67" s="115">
        <v>163.050003</v>
      </c>
    </row>
    <row r="68" spans="1:15" x14ac:dyDescent="0.3">
      <c r="A68" s="108" t="s">
        <v>168</v>
      </c>
      <c r="C68" s="95">
        <v>0.93540000000000001</v>
      </c>
      <c r="D68" s="95">
        <v>0.84323899999999996</v>
      </c>
      <c r="E68" s="95">
        <v>0.75603299999999996</v>
      </c>
      <c r="F68" s="95">
        <v>0.67986599999999997</v>
      </c>
      <c r="G68" s="95">
        <v>0.59473600000000004</v>
      </c>
      <c r="H68" s="95">
        <v>0.46705200000000002</v>
      </c>
      <c r="I68" s="95">
        <v>0.30095300000000003</v>
      </c>
      <c r="J68" s="95">
        <v>0.14388799999999999</v>
      </c>
    </row>
    <row r="69" spans="1:15" x14ac:dyDescent="0.3">
      <c r="A69" t="s">
        <v>169</v>
      </c>
    </row>
    <row r="70" spans="1:15" x14ac:dyDescent="0.3">
      <c r="C70" t="s">
        <v>170</v>
      </c>
      <c r="D70" t="s">
        <v>171</v>
      </c>
      <c r="K70">
        <v>-1</v>
      </c>
    </row>
    <row r="71" spans="1:15" x14ac:dyDescent="0.3">
      <c r="C71">
        <v>1</v>
      </c>
      <c r="D71">
        <v>0.93540000000000001</v>
      </c>
      <c r="K71">
        <v>0</v>
      </c>
      <c r="N71" t="s">
        <v>319</v>
      </c>
      <c r="O71">
        <v>0.86</v>
      </c>
    </row>
    <row r="72" spans="1:15" x14ac:dyDescent="0.3">
      <c r="C72">
        <v>2</v>
      </c>
      <c r="D72">
        <v>0.84323899999999996</v>
      </c>
      <c r="K72">
        <v>1</v>
      </c>
    </row>
    <row r="73" spans="1:15" x14ac:dyDescent="0.3">
      <c r="C73">
        <v>3</v>
      </c>
      <c r="D73">
        <v>0.75603299999999996</v>
      </c>
      <c r="M73" t="s">
        <v>320</v>
      </c>
    </row>
    <row r="74" spans="1:15" x14ac:dyDescent="0.3">
      <c r="C74">
        <v>4</v>
      </c>
      <c r="D74">
        <v>0.67986599999999997</v>
      </c>
    </row>
    <row r="75" spans="1:15" x14ac:dyDescent="0.3">
      <c r="C75">
        <v>5</v>
      </c>
      <c r="D75">
        <v>0.59473600000000004</v>
      </c>
      <c r="M75" t="s">
        <v>321</v>
      </c>
    </row>
    <row r="76" spans="1:15" x14ac:dyDescent="0.3">
      <c r="C76">
        <v>6</v>
      </c>
      <c r="D76">
        <v>0.46705200000000002</v>
      </c>
    </row>
    <row r="77" spans="1:15" x14ac:dyDescent="0.3">
      <c r="C77">
        <v>7</v>
      </c>
      <c r="D77">
        <v>0.30095300000000003</v>
      </c>
      <c r="K77" t="s">
        <v>323</v>
      </c>
      <c r="L77" t="s">
        <v>322</v>
      </c>
      <c r="M77" s="129">
        <v>0.5</v>
      </c>
    </row>
    <row r="78" spans="1:15" ht="21" x14ac:dyDescent="0.4">
      <c r="C78">
        <v>8</v>
      </c>
      <c r="D78">
        <v>0.14388799999999999</v>
      </c>
      <c r="K78" s="130">
        <v>0.7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89"/>
  <sheetViews>
    <sheetView workbookViewId="0">
      <selection activeCell="F7" sqref="F7"/>
    </sheetView>
  </sheetViews>
  <sheetFormatPr defaultRowHeight="14.4" x14ac:dyDescent="0.3"/>
  <cols>
    <col min="1" max="1" width="17.33203125" customWidth="1"/>
    <col min="2" max="2" width="11" customWidth="1"/>
    <col min="3" max="3" width="13.109375" customWidth="1"/>
    <col min="4" max="4" width="10.44140625" customWidth="1"/>
    <col min="6" max="6" width="11.109375" customWidth="1"/>
    <col min="7" max="7" width="10.77734375" customWidth="1"/>
  </cols>
  <sheetData>
    <row r="1" spans="1:10" x14ac:dyDescent="0.3">
      <c r="A1" t="s">
        <v>28</v>
      </c>
    </row>
    <row r="2" spans="1:10" ht="15" thickBot="1" x14ac:dyDescent="0.35"/>
    <row r="3" spans="1:10" x14ac:dyDescent="0.3">
      <c r="A3" s="28" t="s">
        <v>29</v>
      </c>
      <c r="B3" s="28"/>
    </row>
    <row r="4" spans="1:10" x14ac:dyDescent="0.3">
      <c r="A4" s="25" t="s">
        <v>30</v>
      </c>
      <c r="B4" s="25">
        <v>0.99992970145586735</v>
      </c>
      <c r="D4" s="116" t="s">
        <v>172</v>
      </c>
    </row>
    <row r="5" spans="1:10" x14ac:dyDescent="0.3">
      <c r="A5" s="25" t="s">
        <v>31</v>
      </c>
      <c r="B5" s="25">
        <v>0.99985940785362004</v>
      </c>
    </row>
    <row r="6" spans="1:10" x14ac:dyDescent="0.3">
      <c r="A6" s="25" t="s">
        <v>32</v>
      </c>
      <c r="B6" s="25">
        <v>0.98372810798029131</v>
      </c>
    </row>
    <row r="7" spans="1:10" x14ac:dyDescent="0.3">
      <c r="A7" s="25" t="s">
        <v>33</v>
      </c>
      <c r="B7" s="25">
        <v>1.9239685602719123</v>
      </c>
    </row>
    <row r="8" spans="1:10" ht="15" thickBot="1" x14ac:dyDescent="0.35">
      <c r="A8" s="26" t="s">
        <v>34</v>
      </c>
      <c r="B8" s="26">
        <v>64</v>
      </c>
    </row>
    <row r="10" spans="1:10" ht="15" thickBot="1" x14ac:dyDescent="0.35">
      <c r="A10" t="s">
        <v>35</v>
      </c>
    </row>
    <row r="11" spans="1:10" x14ac:dyDescent="0.3">
      <c r="A11" s="27"/>
      <c r="B11" s="27" t="s">
        <v>40</v>
      </c>
      <c r="C11" s="27" t="s">
        <v>41</v>
      </c>
      <c r="D11" s="27" t="s">
        <v>42</v>
      </c>
      <c r="E11" s="27" t="s">
        <v>43</v>
      </c>
      <c r="F11" s="27" t="s">
        <v>44</v>
      </c>
    </row>
    <row r="12" spans="1:10" x14ac:dyDescent="0.3">
      <c r="A12" s="25" t="s">
        <v>36</v>
      </c>
      <c r="B12" s="25">
        <v>2</v>
      </c>
      <c r="C12" s="25">
        <v>1632170.4372576242</v>
      </c>
      <c r="D12" s="25">
        <v>816085.21862881212</v>
      </c>
      <c r="E12" s="25">
        <v>220464.95797632064</v>
      </c>
      <c r="F12" s="25">
        <v>1.9836079604331648E-118</v>
      </c>
    </row>
    <row r="13" spans="1:10" x14ac:dyDescent="0.3">
      <c r="A13" s="25" t="s">
        <v>37</v>
      </c>
      <c r="B13" s="25">
        <v>62</v>
      </c>
      <c r="C13" s="25">
        <v>229.50261129671605</v>
      </c>
      <c r="D13" s="25">
        <v>3.7016550209147749</v>
      </c>
      <c r="E13" s="25"/>
      <c r="F13" s="25"/>
    </row>
    <row r="14" spans="1:10" ht="15" thickBot="1" x14ac:dyDescent="0.35">
      <c r="A14" s="26" t="s">
        <v>38</v>
      </c>
      <c r="B14" s="26">
        <v>64</v>
      </c>
      <c r="C14" s="26">
        <v>1632399.9398689209</v>
      </c>
      <c r="D14" s="26"/>
      <c r="E14" s="26"/>
      <c r="F14" s="26"/>
      <c r="H14" s="31"/>
      <c r="I14" s="31"/>
      <c r="J14" s="31"/>
    </row>
    <row r="15" spans="1:10" ht="15" thickBot="1" x14ac:dyDescent="0.35">
      <c r="H15" s="31"/>
      <c r="I15" s="31"/>
      <c r="J15" s="31"/>
    </row>
    <row r="16" spans="1:10" x14ac:dyDescent="0.3">
      <c r="A16" s="27"/>
      <c r="B16" s="27" t="s">
        <v>45</v>
      </c>
      <c r="C16" s="27" t="s">
        <v>33</v>
      </c>
      <c r="D16" s="27" t="s">
        <v>46</v>
      </c>
      <c r="E16" s="27" t="s">
        <v>47</v>
      </c>
      <c r="F16" s="27" t="s">
        <v>48</v>
      </c>
      <c r="G16" s="27" t="s">
        <v>49</v>
      </c>
      <c r="H16" s="117"/>
      <c r="I16" s="117"/>
      <c r="J16" s="31"/>
    </row>
    <row r="17" spans="1:10" x14ac:dyDescent="0.3">
      <c r="A17" s="25" t="s">
        <v>39</v>
      </c>
      <c r="B17" s="25">
        <v>0</v>
      </c>
      <c r="C17" s="25" t="e">
        <v>#N/A</v>
      </c>
      <c r="D17" s="25" t="e">
        <v>#N/A</v>
      </c>
      <c r="E17" s="25" t="e">
        <v>#N/A</v>
      </c>
      <c r="F17" s="25" t="e">
        <v>#N/A</v>
      </c>
      <c r="G17" s="25" t="e">
        <v>#N/A</v>
      </c>
      <c r="H17" s="25"/>
      <c r="I17" s="25"/>
      <c r="J17" s="31"/>
    </row>
    <row r="18" spans="1:10" x14ac:dyDescent="0.3">
      <c r="A18" s="25" t="s">
        <v>153</v>
      </c>
      <c r="B18" s="25">
        <v>1.1580543559765604</v>
      </c>
      <c r="C18" s="25">
        <v>0.12565882924246149</v>
      </c>
      <c r="D18" s="25">
        <v>9.215861415850604</v>
      </c>
      <c r="E18" s="25">
        <v>3.1747993927325929E-13</v>
      </c>
      <c r="F18" s="25">
        <v>0.90686593545711869</v>
      </c>
      <c r="G18" s="25">
        <v>1.409242776496002</v>
      </c>
      <c r="H18" s="25"/>
      <c r="I18" s="25"/>
      <c r="J18" s="31"/>
    </row>
    <row r="19" spans="1:10" ht="15" thickBot="1" x14ac:dyDescent="0.35">
      <c r="A19" s="26" t="s">
        <v>154</v>
      </c>
      <c r="B19" s="118">
        <v>-0.15680364485049544</v>
      </c>
      <c r="C19" s="26">
        <v>0.1258497241627895</v>
      </c>
      <c r="D19" s="26">
        <v>-1.2459593844454226</v>
      </c>
      <c r="E19" s="26">
        <v>0.21746697734961115</v>
      </c>
      <c r="F19" s="26">
        <v>-0.40837365887841914</v>
      </c>
      <c r="G19" s="26">
        <v>9.4766369177428228E-2</v>
      </c>
      <c r="H19" s="25"/>
      <c r="I19" s="25"/>
      <c r="J19" s="31"/>
    </row>
    <row r="20" spans="1:10" x14ac:dyDescent="0.3">
      <c r="H20" s="31"/>
      <c r="I20" s="31"/>
      <c r="J20" s="31"/>
    </row>
    <row r="21" spans="1:10" x14ac:dyDescent="0.3">
      <c r="H21" s="31"/>
      <c r="I21" s="31"/>
      <c r="J21" s="31"/>
    </row>
    <row r="23" spans="1:10" x14ac:dyDescent="0.3">
      <c r="A23" t="s">
        <v>173</v>
      </c>
    </row>
    <row r="24" spans="1:10" ht="15" thickBot="1" x14ac:dyDescent="0.35"/>
    <row r="25" spans="1:10" x14ac:dyDescent="0.3">
      <c r="A25" s="27" t="s">
        <v>174</v>
      </c>
      <c r="B25" s="27" t="s">
        <v>175</v>
      </c>
      <c r="C25" s="27" t="s">
        <v>176</v>
      </c>
      <c r="D25" s="27" t="s">
        <v>177</v>
      </c>
    </row>
    <row r="26" spans="1:10" x14ac:dyDescent="0.3">
      <c r="A26" s="25">
        <v>1</v>
      </c>
      <c r="B26" s="25">
        <v>161.41510447620149</v>
      </c>
      <c r="C26" s="25">
        <v>-6.095097476201488</v>
      </c>
      <c r="D26" s="25">
        <v>-3.2186727768430621</v>
      </c>
    </row>
    <row r="27" spans="1:10" x14ac:dyDescent="0.3">
      <c r="A27" s="25">
        <v>2</v>
      </c>
      <c r="B27" s="25">
        <v>154.61421595064635</v>
      </c>
      <c r="C27" s="25">
        <v>2.8657800493536456</v>
      </c>
      <c r="D27" s="25">
        <v>1.5133487635415175</v>
      </c>
    </row>
    <row r="28" spans="1:10" x14ac:dyDescent="0.3">
      <c r="A28" s="25">
        <v>3</v>
      </c>
      <c r="B28" s="25">
        <v>158.01565213116683</v>
      </c>
      <c r="C28" s="25">
        <v>1.8343538688331762</v>
      </c>
      <c r="D28" s="25">
        <v>0.96867767640520608</v>
      </c>
    </row>
    <row r="29" spans="1:10" x14ac:dyDescent="0.3">
      <c r="A29" s="25">
        <v>4</v>
      </c>
      <c r="B29" s="25">
        <v>160.42155838733788</v>
      </c>
      <c r="C29" s="25">
        <v>1.1784476126621257</v>
      </c>
      <c r="D29" s="25">
        <v>0.62230953067138339</v>
      </c>
    </row>
    <row r="30" spans="1:10" x14ac:dyDescent="0.3">
      <c r="A30" s="25">
        <v>5</v>
      </c>
      <c r="B30" s="25">
        <v>162.07652730396472</v>
      </c>
      <c r="C30" s="25">
        <v>-1.1265303039647279</v>
      </c>
      <c r="D30" s="25">
        <v>-0.59489326230098594</v>
      </c>
    </row>
    <row r="31" spans="1:10" x14ac:dyDescent="0.3">
      <c r="A31" s="25">
        <v>6</v>
      </c>
      <c r="B31" s="25">
        <v>161.04937517160238</v>
      </c>
      <c r="C31" s="25">
        <v>-3.1893741716023669</v>
      </c>
      <c r="D31" s="25">
        <v>-1.6842309514138407</v>
      </c>
    </row>
    <row r="32" spans="1:10" x14ac:dyDescent="0.3">
      <c r="A32" s="25">
        <v>7</v>
      </c>
      <c r="B32" s="25">
        <v>157.57291562423788</v>
      </c>
      <c r="C32" s="25">
        <v>-7.2915624237879229E-2</v>
      </c>
      <c r="D32" s="25">
        <v>-3.8504968240022572E-2</v>
      </c>
    </row>
    <row r="33" spans="1:4" x14ac:dyDescent="0.3">
      <c r="A33" s="25">
        <v>8</v>
      </c>
      <c r="B33" s="25">
        <v>157.64053753340539</v>
      </c>
      <c r="C33" s="25">
        <v>-0.43053053340540259</v>
      </c>
      <c r="D33" s="25">
        <v>-0.22735270647964992</v>
      </c>
    </row>
    <row r="34" spans="1:4" x14ac:dyDescent="0.3">
      <c r="A34" s="25">
        <v>9</v>
      </c>
      <c r="B34" s="25">
        <v>157.3611593455025</v>
      </c>
      <c r="C34" s="25">
        <v>2.4188396544975035</v>
      </c>
      <c r="D34" s="25">
        <v>1.2773304082302466</v>
      </c>
    </row>
    <row r="35" spans="1:4" x14ac:dyDescent="0.3">
      <c r="A35" s="25">
        <v>10</v>
      </c>
      <c r="B35" s="25">
        <v>160.38282173530857</v>
      </c>
      <c r="C35" s="25">
        <v>-0.4028257353085678</v>
      </c>
      <c r="D35" s="25">
        <v>-0.21272247623798546</v>
      </c>
    </row>
    <row r="36" spans="1:4" x14ac:dyDescent="0.3">
      <c r="A36" s="25">
        <v>11</v>
      </c>
      <c r="B36" s="25">
        <v>160.21144501950417</v>
      </c>
      <c r="C36" s="25">
        <v>-0.94144101950416825</v>
      </c>
      <c r="D36" s="25">
        <v>-0.49715211156391265</v>
      </c>
    </row>
    <row r="37" spans="1:4" x14ac:dyDescent="0.3">
      <c r="A37" s="25">
        <v>12</v>
      </c>
      <c r="B37" s="25">
        <v>159.35787543263652</v>
      </c>
      <c r="C37" s="25">
        <v>0.50212556736349256</v>
      </c>
      <c r="D37" s="25">
        <v>0.2651603031026446</v>
      </c>
    </row>
    <row r="38" spans="1:4" x14ac:dyDescent="0.3">
      <c r="A38" s="25">
        <v>13</v>
      </c>
      <c r="B38" s="25">
        <v>160.15245336191433</v>
      </c>
      <c r="C38" s="25">
        <v>1.3175476380856708</v>
      </c>
      <c r="D38" s="25">
        <v>0.69576487192508285</v>
      </c>
    </row>
    <row r="39" spans="1:4" x14ac:dyDescent="0.3">
      <c r="A39" s="25">
        <v>14</v>
      </c>
      <c r="B39" s="25">
        <v>161.92440719498569</v>
      </c>
      <c r="C39" s="25">
        <v>0.98559680501429625</v>
      </c>
      <c r="D39" s="25">
        <v>0.52046970825805816</v>
      </c>
    </row>
    <row r="40" spans="1:4" x14ac:dyDescent="0.3">
      <c r="A40" s="25">
        <v>15</v>
      </c>
      <c r="B40" s="25">
        <v>163.33955507354574</v>
      </c>
      <c r="C40" s="25">
        <v>1.0450926454268483E-2</v>
      </c>
      <c r="D40" s="25">
        <v>5.5188801495766214E-3</v>
      </c>
    </row>
    <row r="41" spans="1:4" x14ac:dyDescent="0.3">
      <c r="A41" s="25">
        <v>16</v>
      </c>
      <c r="B41" s="25">
        <v>163.62330358728849</v>
      </c>
      <c r="C41" s="25">
        <v>0.37669641271151022</v>
      </c>
      <c r="D41" s="25">
        <v>0.19892421630057225</v>
      </c>
    </row>
    <row r="42" spans="1:4" x14ac:dyDescent="0.3">
      <c r="A42" s="25">
        <v>17</v>
      </c>
      <c r="B42" s="25">
        <v>164.30703805300558</v>
      </c>
      <c r="C42" s="25">
        <v>-0.25703505300558049</v>
      </c>
      <c r="D42" s="25">
        <v>-0.1357339617674273</v>
      </c>
    </row>
    <row r="43" spans="1:4" x14ac:dyDescent="0.3">
      <c r="A43" s="25">
        <v>18</v>
      </c>
      <c r="B43" s="25">
        <v>164.26302281663655</v>
      </c>
      <c r="C43" s="25">
        <v>-2.1830208166365423</v>
      </c>
      <c r="D43" s="25">
        <v>-1.1528002138152307</v>
      </c>
    </row>
    <row r="44" spans="1:4" x14ac:dyDescent="0.3">
      <c r="A44" s="25">
        <v>19</v>
      </c>
      <c r="B44" s="25">
        <v>161.97381392465491</v>
      </c>
      <c r="C44" s="25">
        <v>-6.3809924654918859E-2</v>
      </c>
      <c r="D44" s="25">
        <v>-3.3696469692424132E-2</v>
      </c>
    </row>
    <row r="45" spans="1:4" x14ac:dyDescent="0.3">
      <c r="A45" s="25">
        <v>20</v>
      </c>
      <c r="B45" s="25">
        <v>162.08585033740673</v>
      </c>
      <c r="C45" s="25">
        <v>-0.8258553374067219</v>
      </c>
      <c r="D45" s="25">
        <v>-0.43611412327701482</v>
      </c>
    </row>
    <row r="46" spans="1:4" x14ac:dyDescent="0.3">
      <c r="A46" s="25">
        <v>21</v>
      </c>
      <c r="B46" s="25">
        <v>161.35976088955005</v>
      </c>
      <c r="C46" s="25">
        <v>-2.7297558895500345</v>
      </c>
      <c r="D46" s="25">
        <v>-1.4415177121330198</v>
      </c>
    </row>
    <row r="47" spans="1:4" x14ac:dyDescent="0.3">
      <c r="A47" s="25">
        <v>22</v>
      </c>
      <c r="B47" s="25">
        <v>158.41601329426089</v>
      </c>
      <c r="C47" s="25">
        <v>3.0839867057391075</v>
      </c>
      <c r="D47" s="25">
        <v>1.6285783931538622</v>
      </c>
    </row>
    <row r="48" spans="1:4" x14ac:dyDescent="0.3">
      <c r="A48" s="25">
        <v>23</v>
      </c>
      <c r="B48" s="25">
        <v>162.15201552356217</v>
      </c>
      <c r="C48" s="25">
        <v>-1.292014523562159</v>
      </c>
      <c r="D48" s="25">
        <v>-0.68228145497470116</v>
      </c>
    </row>
    <row r="49" spans="1:4" x14ac:dyDescent="0.3">
      <c r="A49" s="25">
        <v>24</v>
      </c>
      <c r="B49" s="25">
        <v>160.96083621708885</v>
      </c>
      <c r="C49" s="25">
        <v>-1.3108422170888616</v>
      </c>
      <c r="D49" s="25">
        <v>-0.69222390213682738</v>
      </c>
    </row>
    <row r="50" spans="1:4" x14ac:dyDescent="0.3">
      <c r="A50" s="25">
        <v>25</v>
      </c>
      <c r="B50" s="25">
        <v>159.65993651587738</v>
      </c>
      <c r="C50" s="25">
        <v>-1.3799375158773728</v>
      </c>
      <c r="D50" s="25">
        <v>-0.72871144939702581</v>
      </c>
    </row>
    <row r="51" spans="1:4" x14ac:dyDescent="0.3">
      <c r="A51" s="25">
        <v>26</v>
      </c>
      <c r="B51" s="25">
        <v>158.26314134635589</v>
      </c>
      <c r="C51" s="25">
        <v>1.616863653644117</v>
      </c>
      <c r="D51" s="25">
        <v>0.85382638196864391</v>
      </c>
    </row>
    <row r="52" spans="1:4" x14ac:dyDescent="0.3">
      <c r="A52" s="25">
        <v>27</v>
      </c>
      <c r="B52" s="25">
        <v>160.33085547367151</v>
      </c>
      <c r="C52" s="25">
        <v>-1.6608574736715127</v>
      </c>
      <c r="D52" s="25">
        <v>-0.87705844862949722</v>
      </c>
    </row>
    <row r="53" spans="1:4" x14ac:dyDescent="0.3">
      <c r="A53" s="25">
        <v>28</v>
      </c>
      <c r="B53" s="25">
        <v>158.67871482397666</v>
      </c>
      <c r="C53" s="25">
        <v>5.1281176023337594E-2</v>
      </c>
      <c r="D53" s="25">
        <v>2.7080342172588003E-2</v>
      </c>
    </row>
    <row r="54" spans="1:4" x14ac:dyDescent="0.3">
      <c r="A54" s="25">
        <v>29</v>
      </c>
      <c r="B54" s="25">
        <v>158.93792927712116</v>
      </c>
      <c r="C54" s="25">
        <v>-2.8679222771211528</v>
      </c>
      <c r="D54" s="25">
        <v>-1.5144800219379575</v>
      </c>
    </row>
    <row r="55" spans="1:4" x14ac:dyDescent="0.3">
      <c r="A55" s="25">
        <v>30</v>
      </c>
      <c r="B55" s="25">
        <v>155.84810952373772</v>
      </c>
      <c r="C55" s="25">
        <v>-2.4581105237377301</v>
      </c>
      <c r="D55" s="25">
        <v>-1.2980683994174285</v>
      </c>
    </row>
    <row r="56" spans="1:4" x14ac:dyDescent="0.3">
      <c r="A56" s="25">
        <v>31</v>
      </c>
      <c r="B56" s="25">
        <v>153.16161055574787</v>
      </c>
      <c r="C56" s="25">
        <v>-1.2716115557478815</v>
      </c>
      <c r="D56" s="25">
        <v>-0.67150714376359544</v>
      </c>
    </row>
    <row r="57" spans="1:4" x14ac:dyDescent="0.3">
      <c r="A57" s="25">
        <v>32</v>
      </c>
      <c r="B57" s="25">
        <v>151.84476404441153</v>
      </c>
      <c r="C57" s="25">
        <v>-1.2947610444115298</v>
      </c>
      <c r="D57" s="25">
        <v>-0.68373182585448089</v>
      </c>
    </row>
    <row r="58" spans="1:4" x14ac:dyDescent="0.3">
      <c r="A58" s="25">
        <v>33</v>
      </c>
      <c r="B58" s="25">
        <v>150.52818130689613</v>
      </c>
      <c r="C58" s="25">
        <v>2.611817693103859</v>
      </c>
      <c r="D58" s="25">
        <v>1.3792374182191895</v>
      </c>
    </row>
    <row r="59" spans="1:4" x14ac:dyDescent="0.3">
      <c r="A59" s="25">
        <v>34</v>
      </c>
      <c r="B59" s="25">
        <v>153.73765371354304</v>
      </c>
      <c r="C59" s="25">
        <v>0.49234228645696021</v>
      </c>
      <c r="D59" s="25">
        <v>0.25999399033324022</v>
      </c>
    </row>
    <row r="60" spans="1:4" x14ac:dyDescent="0.3">
      <c r="A60" s="25">
        <v>35</v>
      </c>
      <c r="B60" s="25">
        <v>154.59380867444625</v>
      </c>
      <c r="C60" s="25">
        <v>-1.3138096744462473</v>
      </c>
      <c r="D60" s="25">
        <v>-0.6937909442144895</v>
      </c>
    </row>
    <row r="61" spans="1:4" x14ac:dyDescent="0.3">
      <c r="A61" s="25">
        <v>36</v>
      </c>
      <c r="B61" s="25">
        <v>153.32274500795549</v>
      </c>
      <c r="C61" s="25">
        <v>0.79724999204449887</v>
      </c>
      <c r="D61" s="25">
        <v>0.42100833592101655</v>
      </c>
    </row>
    <row r="62" spans="1:4" x14ac:dyDescent="0.3">
      <c r="A62" s="25">
        <v>37</v>
      </c>
      <c r="B62" s="25">
        <v>154.4444690269554</v>
      </c>
      <c r="C62" s="25">
        <v>-0.6344710269553957</v>
      </c>
      <c r="D62" s="25">
        <v>-0.33504872237575423</v>
      </c>
    </row>
    <row r="63" spans="1:4" x14ac:dyDescent="0.3">
      <c r="A63" s="25">
        <v>38</v>
      </c>
      <c r="B63" s="25">
        <v>153.95376121630591</v>
      </c>
      <c r="C63" s="25">
        <v>0.52623478369409327</v>
      </c>
      <c r="D63" s="25">
        <v>0.27789179403897746</v>
      </c>
    </row>
    <row r="64" spans="1:4" x14ac:dyDescent="0.3">
      <c r="A64" s="25">
        <v>39</v>
      </c>
      <c r="B64" s="25">
        <v>154.77826397819419</v>
      </c>
      <c r="C64" s="25">
        <v>-1.2982679781941897</v>
      </c>
      <c r="D64" s="25">
        <v>-0.68558375231513424</v>
      </c>
    </row>
    <row r="65" spans="1:4" x14ac:dyDescent="0.3">
      <c r="A65" s="25">
        <v>40</v>
      </c>
      <c r="B65" s="25">
        <v>153.51515149377511</v>
      </c>
      <c r="C65" s="25">
        <v>1.8748475062248815</v>
      </c>
      <c r="D65" s="25">
        <v>0.99006138172196867</v>
      </c>
    </row>
    <row r="66" spans="1:4" x14ac:dyDescent="0.3">
      <c r="A66" s="25">
        <v>41</v>
      </c>
      <c r="B66" s="25">
        <v>155.88384243270389</v>
      </c>
      <c r="C66" s="25">
        <v>-0.58383943270388272</v>
      </c>
      <c r="D66" s="25">
        <v>-0.3083114085424945</v>
      </c>
    </row>
    <row r="67" spans="1:4" x14ac:dyDescent="0.3">
      <c r="A67" s="25">
        <v>42</v>
      </c>
      <c r="B67" s="25">
        <v>155.48012674080806</v>
      </c>
      <c r="C67" s="25">
        <v>0.35986925919195301</v>
      </c>
      <c r="D67" s="25">
        <v>0.19003820567373131</v>
      </c>
    </row>
    <row r="68" spans="1:4" x14ac:dyDescent="0.3">
      <c r="A68" s="25">
        <v>43</v>
      </c>
      <c r="B68" s="25">
        <v>156.11957968747689</v>
      </c>
      <c r="C68" s="25">
        <v>-0.21958568747689355</v>
      </c>
      <c r="D68" s="25">
        <v>-0.11595786240103138</v>
      </c>
    </row>
    <row r="69" spans="1:4" x14ac:dyDescent="0.3">
      <c r="A69" s="25">
        <v>44</v>
      </c>
      <c r="B69" s="25">
        <v>156.104387762133</v>
      </c>
      <c r="C69" s="25">
        <v>0.44561523786700263</v>
      </c>
      <c r="D69" s="25">
        <v>0.23531857212607327</v>
      </c>
    </row>
    <row r="70" spans="1:4" x14ac:dyDescent="0.3">
      <c r="A70" s="25">
        <v>45</v>
      </c>
      <c r="B70" s="25">
        <v>156.84772561092322</v>
      </c>
      <c r="C70" s="25">
        <v>-0.84772561092322007</v>
      </c>
      <c r="D70" s="25">
        <v>-0.4476632829523961</v>
      </c>
    </row>
    <row r="71" spans="1:4" x14ac:dyDescent="0.3">
      <c r="A71" s="25">
        <v>46</v>
      </c>
      <c r="B71" s="25">
        <v>156.10886846058742</v>
      </c>
      <c r="C71" s="25">
        <v>0.88113653941258008</v>
      </c>
      <c r="D71" s="25">
        <v>0.46530678191162395</v>
      </c>
    </row>
    <row r="72" spans="1:4" x14ac:dyDescent="0.3">
      <c r="A72" s="25">
        <v>47</v>
      </c>
      <c r="B72" s="25">
        <v>157.34159053835469</v>
      </c>
      <c r="C72" s="25">
        <v>2.538414461645317</v>
      </c>
      <c r="D72" s="25">
        <v>1.340474956461948</v>
      </c>
    </row>
    <row r="73" spans="1:4" x14ac:dyDescent="0.3">
      <c r="A73" s="25">
        <v>48</v>
      </c>
      <c r="B73" s="25">
        <v>160.53313123470676</v>
      </c>
      <c r="C73" s="25">
        <v>-6.3130234706761712E-2</v>
      </c>
      <c r="D73" s="25">
        <v>-3.3337541957245288E-2</v>
      </c>
    </row>
    <row r="74" spans="1:4" x14ac:dyDescent="0.3">
      <c r="A74" s="25">
        <v>49</v>
      </c>
      <c r="B74" s="25">
        <v>160.76321613889755</v>
      </c>
      <c r="C74" s="25">
        <v>-1.0032211388975441</v>
      </c>
      <c r="D74" s="25">
        <v>-0.52977669045177933</v>
      </c>
    </row>
    <row r="75" spans="1:4" x14ac:dyDescent="0.3">
      <c r="A75" s="25">
        <v>50</v>
      </c>
      <c r="B75" s="25">
        <v>159.84847707458084</v>
      </c>
      <c r="C75" s="25">
        <v>-3.868481074580842</v>
      </c>
      <c r="D75" s="25">
        <v>-2.0428507946103833</v>
      </c>
    </row>
    <row r="76" spans="1:4" x14ac:dyDescent="0.3">
      <c r="A76" s="25">
        <v>51</v>
      </c>
      <c r="B76" s="25">
        <v>155.58236429570951</v>
      </c>
      <c r="C76" s="25">
        <v>0.66763570429048968</v>
      </c>
      <c r="D76" s="25">
        <v>0.352562182087932</v>
      </c>
    </row>
    <row r="77" spans="1:4" x14ac:dyDescent="0.3">
      <c r="A77" s="25">
        <v>52</v>
      </c>
      <c r="B77" s="25">
        <v>156.48776122477184</v>
      </c>
      <c r="C77" s="25">
        <v>-0.31776322477185204</v>
      </c>
      <c r="D77" s="25">
        <v>-0.16780303269118921</v>
      </c>
    </row>
    <row r="78" spans="1:4" x14ac:dyDescent="0.3">
      <c r="A78" s="25">
        <v>53</v>
      </c>
      <c r="B78" s="25">
        <v>156.35277694886079</v>
      </c>
      <c r="C78" s="25">
        <v>0.74722905113921456</v>
      </c>
      <c r="D78" s="25">
        <v>0.39459349327206006</v>
      </c>
    </row>
    <row r="79" spans="1:4" x14ac:dyDescent="0.3">
      <c r="A79" s="25">
        <v>54</v>
      </c>
      <c r="B79" s="25">
        <v>157.44232136954921</v>
      </c>
      <c r="C79" s="25">
        <v>-1.0323173695492187</v>
      </c>
      <c r="D79" s="25">
        <v>-0.54514170239341875</v>
      </c>
    </row>
    <row r="80" spans="1:4" x14ac:dyDescent="0.3">
      <c r="A80" s="25">
        <v>55</v>
      </c>
      <c r="B80" s="25">
        <v>156.49743290367653</v>
      </c>
      <c r="C80" s="25">
        <v>0.91257109632346101</v>
      </c>
      <c r="D80" s="25">
        <v>0.48190660709509764</v>
      </c>
    </row>
    <row r="81" spans="1:4" x14ac:dyDescent="0.3">
      <c r="A81" s="25">
        <v>56</v>
      </c>
      <c r="B81" s="25">
        <v>157.76368208820722</v>
      </c>
      <c r="C81" s="25">
        <v>5.2863209117927852</v>
      </c>
      <c r="D81" s="25">
        <v>2.791577538321417</v>
      </c>
    </row>
    <row r="82" spans="1:4" x14ac:dyDescent="0.3">
      <c r="A82" s="25">
        <v>57</v>
      </c>
      <c r="B82" s="25">
        <v>164.13830385301017</v>
      </c>
      <c r="C82" s="25">
        <v>2.5816971469898249</v>
      </c>
      <c r="D82" s="25">
        <v>1.3633314901877798</v>
      </c>
    </row>
    <row r="83" spans="1:4" x14ac:dyDescent="0.3">
      <c r="A83" s="25">
        <v>58</v>
      </c>
      <c r="B83" s="25">
        <v>167.50398862318227</v>
      </c>
      <c r="C83" s="25">
        <v>1.5360043768177434</v>
      </c>
      <c r="D83" s="25">
        <v>0.81112656394400062</v>
      </c>
    </row>
    <row r="84" spans="1:4" x14ac:dyDescent="0.3">
      <c r="A84" s="25">
        <v>59</v>
      </c>
      <c r="B84" s="25">
        <v>169.61519640161904</v>
      </c>
      <c r="C84" s="25">
        <v>-2.7251974016190559</v>
      </c>
      <c r="D84" s="25">
        <v>-1.4391104854948411</v>
      </c>
    </row>
    <row r="85" spans="1:4" x14ac:dyDescent="0.3">
      <c r="A85" s="25">
        <v>60</v>
      </c>
      <c r="B85" s="25">
        <v>166.76160328297158</v>
      </c>
      <c r="C85" s="25">
        <v>1.3483977170284334</v>
      </c>
      <c r="D85" s="25">
        <v>0.71205604850498738</v>
      </c>
    </row>
    <row r="86" spans="1:4" x14ac:dyDescent="0.3">
      <c r="A86" s="25">
        <v>61</v>
      </c>
      <c r="B86" s="25">
        <v>168.51155880897841</v>
      </c>
      <c r="C86" s="25">
        <v>3.9884411910215931</v>
      </c>
      <c r="D86" s="25">
        <v>2.1061988153110134</v>
      </c>
    </row>
    <row r="87" spans="1:4" x14ac:dyDescent="0.3">
      <c r="A87" s="25">
        <v>62</v>
      </c>
      <c r="B87" s="25">
        <v>173.40411551333622</v>
      </c>
      <c r="C87" s="25">
        <v>0.84588448666377758</v>
      </c>
      <c r="D87" s="25">
        <v>0.44669102999732996</v>
      </c>
    </row>
    <row r="88" spans="1:4" x14ac:dyDescent="0.3">
      <c r="A88" s="25">
        <v>63</v>
      </c>
      <c r="B88" s="25">
        <v>174.74234279220516</v>
      </c>
      <c r="C88" s="25">
        <v>6.7655207794842909E-2</v>
      </c>
      <c r="D88" s="25">
        <v>3.5727070221792598E-2</v>
      </c>
    </row>
    <row r="89" spans="1:4" ht="15" thickBot="1" x14ac:dyDescent="0.35">
      <c r="A89" s="26">
        <v>64</v>
      </c>
      <c r="B89" s="26">
        <v>175.11644453695499</v>
      </c>
      <c r="C89" s="26">
        <v>1.1235604630450098</v>
      </c>
      <c r="D89" s="26">
        <v>0.59332496152201164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4"/>
  <sheetViews>
    <sheetView workbookViewId="0">
      <selection activeCell="H31" sqref="H31"/>
    </sheetView>
  </sheetViews>
  <sheetFormatPr defaultRowHeight="14.4" x14ac:dyDescent="0.3"/>
  <cols>
    <col min="1" max="2" width="9.109375" style="2"/>
    <col min="3" max="3" width="11.6640625" style="2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33" t="s">
        <v>190</v>
      </c>
      <c r="E1" s="133" t="s">
        <v>335</v>
      </c>
      <c r="G1" t="s">
        <v>347</v>
      </c>
    </row>
    <row r="2" spans="1:23" x14ac:dyDescent="0.3">
      <c r="A2" s="1">
        <v>1</v>
      </c>
      <c r="B2" s="1">
        <v>1</v>
      </c>
      <c r="C2" s="1">
        <v>2022</v>
      </c>
      <c r="D2" s="12">
        <v>1</v>
      </c>
      <c r="E2" s="12" t="s">
        <v>336</v>
      </c>
      <c r="G2" t="s">
        <v>337</v>
      </c>
      <c r="H2" t="s">
        <v>344</v>
      </c>
    </row>
    <row r="3" spans="1:23" x14ac:dyDescent="0.3">
      <c r="A3" s="1"/>
      <c r="B3" s="1">
        <v>2</v>
      </c>
      <c r="C3" s="1">
        <v>2100</v>
      </c>
      <c r="D3" s="12">
        <v>2</v>
      </c>
      <c r="E3" s="12" t="s">
        <v>336</v>
      </c>
      <c r="G3" t="s">
        <v>345</v>
      </c>
      <c r="H3" s="135" t="s">
        <v>346</v>
      </c>
      <c r="I3" s="136">
        <v>95</v>
      </c>
      <c r="J3">
        <v>1</v>
      </c>
      <c r="K3" t="s">
        <v>355</v>
      </c>
    </row>
    <row r="4" spans="1:23" x14ac:dyDescent="0.3">
      <c r="A4" s="1"/>
      <c r="B4" s="1">
        <v>3</v>
      </c>
      <c r="C4" s="1">
        <v>2150</v>
      </c>
      <c r="D4" s="12">
        <v>3</v>
      </c>
      <c r="E4" s="12" t="s">
        <v>336</v>
      </c>
      <c r="G4" t="s">
        <v>338</v>
      </c>
      <c r="H4" s="136">
        <v>95</v>
      </c>
      <c r="I4" t="s">
        <v>357</v>
      </c>
      <c r="J4">
        <v>2</v>
      </c>
      <c r="K4" t="s">
        <v>356</v>
      </c>
    </row>
    <row r="5" spans="1:23" x14ac:dyDescent="0.3">
      <c r="A5" s="1"/>
      <c r="B5" s="1">
        <v>4</v>
      </c>
      <c r="C5" s="1">
        <v>2120</v>
      </c>
      <c r="D5" s="132">
        <v>4</v>
      </c>
      <c r="E5" s="12" t="s">
        <v>336</v>
      </c>
      <c r="G5" t="s">
        <v>339</v>
      </c>
      <c r="H5" s="136">
        <v>96</v>
      </c>
    </row>
    <row r="6" spans="1:23" x14ac:dyDescent="0.3">
      <c r="A6" s="1">
        <v>2</v>
      </c>
      <c r="B6" s="1">
        <v>1</v>
      </c>
      <c r="C6" s="1">
        <v>2200</v>
      </c>
      <c r="D6" s="12">
        <v>5</v>
      </c>
      <c r="E6" s="12" t="s">
        <v>336</v>
      </c>
      <c r="G6" t="s">
        <v>340</v>
      </c>
      <c r="H6">
        <v>92</v>
      </c>
      <c r="K6" t="s">
        <v>358</v>
      </c>
    </row>
    <row r="7" spans="1:23" x14ac:dyDescent="0.3">
      <c r="A7" s="1"/>
      <c r="B7" s="1">
        <v>2</v>
      </c>
      <c r="C7" s="1">
        <v>2250</v>
      </c>
      <c r="G7" t="s">
        <v>341</v>
      </c>
      <c r="H7">
        <v>99</v>
      </c>
      <c r="K7">
        <v>94.33</v>
      </c>
      <c r="L7" t="s">
        <v>360</v>
      </c>
    </row>
    <row r="8" spans="1:23" x14ac:dyDescent="0.3">
      <c r="A8" s="1"/>
      <c r="B8" s="1">
        <v>3</v>
      </c>
      <c r="C8" s="1">
        <v>2150</v>
      </c>
      <c r="G8" t="s">
        <v>342</v>
      </c>
      <c r="H8">
        <v>96</v>
      </c>
      <c r="K8">
        <f>(3*H4+2*H5+1*H6)/6</f>
        <v>94.833333333333329</v>
      </c>
      <c r="L8" t="s">
        <v>361</v>
      </c>
      <c r="O8" t="s">
        <v>363</v>
      </c>
      <c r="S8" t="s">
        <v>379</v>
      </c>
    </row>
    <row r="9" spans="1:23" x14ac:dyDescent="0.3">
      <c r="A9" s="1"/>
      <c r="B9" s="1">
        <v>4</v>
      </c>
      <c r="C9" s="1">
        <v>2340</v>
      </c>
      <c r="G9" t="s">
        <v>343</v>
      </c>
      <c r="H9">
        <v>94.56</v>
      </c>
      <c r="J9" t="s">
        <v>359</v>
      </c>
      <c r="Q9" s="120" t="s">
        <v>374</v>
      </c>
      <c r="R9" s="120" t="s">
        <v>375</v>
      </c>
      <c r="S9" s="120" t="s">
        <v>378</v>
      </c>
      <c r="T9" s="120" t="s">
        <v>380</v>
      </c>
      <c r="V9" s="120" t="s">
        <v>365</v>
      </c>
      <c r="W9" s="120" t="s">
        <v>366</v>
      </c>
    </row>
    <row r="10" spans="1:23" x14ac:dyDescent="0.3">
      <c r="A10" s="1">
        <v>3</v>
      </c>
      <c r="B10" s="1">
        <v>1</v>
      </c>
      <c r="C10" s="1">
        <v>2250</v>
      </c>
      <c r="G10">
        <v>12</v>
      </c>
      <c r="H10">
        <v>90</v>
      </c>
      <c r="Q10" s="119">
        <v>1</v>
      </c>
      <c r="R10" s="119" t="s">
        <v>373</v>
      </c>
      <c r="S10" s="120"/>
      <c r="T10" s="120"/>
    </row>
    <row r="11" spans="1:23" x14ac:dyDescent="0.3">
      <c r="A11" s="1"/>
      <c r="B11" s="1">
        <v>2</v>
      </c>
      <c r="C11" s="1">
        <v>2300</v>
      </c>
      <c r="G11">
        <v>11</v>
      </c>
      <c r="H11">
        <v>90</v>
      </c>
      <c r="J11" t="s">
        <v>362</v>
      </c>
      <c r="Q11" s="119">
        <v>2</v>
      </c>
      <c r="R11" s="138" t="s">
        <v>373</v>
      </c>
      <c r="S11" s="138" t="s">
        <v>373</v>
      </c>
      <c r="T11" s="139"/>
    </row>
    <row r="12" spans="1:23" x14ac:dyDescent="0.3">
      <c r="A12" s="1"/>
      <c r="B12" s="1">
        <v>3</v>
      </c>
      <c r="C12" s="1">
        <v>2350</v>
      </c>
      <c r="G12">
        <v>10</v>
      </c>
      <c r="H12">
        <v>91</v>
      </c>
      <c r="K12" t="s">
        <v>273</v>
      </c>
      <c r="Q12" s="119">
        <v>3</v>
      </c>
      <c r="R12" s="119" t="s">
        <v>373</v>
      </c>
      <c r="S12" s="119" t="s">
        <v>373</v>
      </c>
      <c r="T12" s="119" t="s">
        <v>373</v>
      </c>
    </row>
    <row r="13" spans="1:23" x14ac:dyDescent="0.3">
      <c r="A13" s="1"/>
      <c r="B13" s="1">
        <v>4</v>
      </c>
      <c r="C13" s="1">
        <v>2250</v>
      </c>
      <c r="Q13" s="119">
        <v>4</v>
      </c>
      <c r="R13" s="119" t="s">
        <v>373</v>
      </c>
      <c r="S13" s="119" t="s">
        <v>373</v>
      </c>
      <c r="T13" s="119" t="s">
        <v>373</v>
      </c>
    </row>
    <row r="14" spans="1:23" x14ac:dyDescent="0.3">
      <c r="A14" s="1">
        <v>4</v>
      </c>
      <c r="B14" s="1">
        <v>1</v>
      </c>
      <c r="C14" s="1">
        <v>2400</v>
      </c>
      <c r="F14" t="s">
        <v>348</v>
      </c>
      <c r="G14" t="s">
        <v>349</v>
      </c>
      <c r="Q14" s="119">
        <v>5</v>
      </c>
      <c r="R14" s="119" t="s">
        <v>373</v>
      </c>
      <c r="S14" s="119" t="s">
        <v>373</v>
      </c>
      <c r="T14" s="119" t="s">
        <v>373</v>
      </c>
    </row>
    <row r="15" spans="1:23" x14ac:dyDescent="0.3">
      <c r="A15" s="1"/>
      <c r="B15" s="1">
        <v>2</v>
      </c>
      <c r="C15" s="1">
        <v>2450</v>
      </c>
      <c r="F15" t="s">
        <v>350</v>
      </c>
      <c r="G15" t="s">
        <v>351</v>
      </c>
      <c r="I15" s="134"/>
      <c r="J15" s="134" t="s">
        <v>364</v>
      </c>
      <c r="K15" s="134" t="s">
        <v>365</v>
      </c>
      <c r="L15" s="134" t="s">
        <v>366</v>
      </c>
      <c r="M15" s="134" t="s">
        <v>105</v>
      </c>
      <c r="N15" s="134"/>
      <c r="O15" s="134"/>
      <c r="Q15" s="119">
        <v>6</v>
      </c>
      <c r="R15" s="119" t="s">
        <v>373</v>
      </c>
      <c r="S15" s="119" t="s">
        <v>373</v>
      </c>
      <c r="T15" s="119" t="s">
        <v>373</v>
      </c>
    </row>
    <row r="16" spans="1:23" x14ac:dyDescent="0.3">
      <c r="A16" s="1"/>
      <c r="B16" s="1">
        <v>3</v>
      </c>
      <c r="C16" s="1">
        <v>2300</v>
      </c>
      <c r="F16" t="s">
        <v>352</v>
      </c>
      <c r="G16" t="s">
        <v>353</v>
      </c>
      <c r="I16" s="134">
        <v>1</v>
      </c>
      <c r="J16" s="134"/>
      <c r="K16" s="134"/>
      <c r="L16" s="134" t="s">
        <v>367</v>
      </c>
      <c r="M16" s="134"/>
      <c r="N16" s="134"/>
      <c r="O16" s="134"/>
      <c r="Q16" s="119"/>
      <c r="R16" s="119"/>
      <c r="S16" s="119" t="s">
        <v>373</v>
      </c>
      <c r="T16" s="119" t="s">
        <v>373</v>
      </c>
    </row>
    <row r="17" spans="1:22" x14ac:dyDescent="0.3">
      <c r="A17" s="1"/>
      <c r="B17" s="1">
        <v>4</v>
      </c>
      <c r="C17" s="1">
        <v>2270</v>
      </c>
      <c r="F17" t="s">
        <v>354</v>
      </c>
      <c r="G17" t="s">
        <v>349</v>
      </c>
      <c r="I17" s="134">
        <v>2</v>
      </c>
      <c r="J17" s="134"/>
      <c r="K17" s="134"/>
      <c r="L17" s="134"/>
      <c r="M17" s="134"/>
      <c r="N17" s="134"/>
      <c r="O17" s="134"/>
      <c r="Q17" s="119"/>
      <c r="R17" s="119"/>
      <c r="S17" s="119"/>
      <c r="T17" s="119" t="s">
        <v>373</v>
      </c>
      <c r="V17" s="37"/>
    </row>
    <row r="18" spans="1:22" x14ac:dyDescent="0.3">
      <c r="A18" s="1">
        <v>5</v>
      </c>
      <c r="B18" s="1">
        <v>1</v>
      </c>
      <c r="C18" s="1">
        <v>2500</v>
      </c>
      <c r="I18" s="134">
        <v>3</v>
      </c>
      <c r="J18" s="134"/>
      <c r="K18" s="134"/>
      <c r="L18" s="134"/>
      <c r="M18" s="134"/>
      <c r="N18" s="134"/>
      <c r="O18" s="134"/>
      <c r="Q18" s="119"/>
      <c r="R18" s="119"/>
      <c r="S18" s="119"/>
      <c r="T18" s="119"/>
    </row>
    <row r="19" spans="1:22" x14ac:dyDescent="0.3">
      <c r="A19" s="1"/>
      <c r="B19" s="1">
        <v>2</v>
      </c>
      <c r="C19" s="1">
        <v>2560</v>
      </c>
      <c r="I19" s="134"/>
      <c r="J19" s="134"/>
      <c r="K19" s="134"/>
      <c r="L19" s="134"/>
      <c r="M19" s="134"/>
      <c r="N19" s="134"/>
      <c r="O19" s="134"/>
      <c r="Q19" s="119"/>
      <c r="R19" s="119"/>
      <c r="S19" s="119"/>
      <c r="T19" s="119"/>
    </row>
    <row r="20" spans="1:22" x14ac:dyDescent="0.3">
      <c r="A20" s="1"/>
      <c r="B20" s="1">
        <v>3</v>
      </c>
      <c r="C20" s="1">
        <v>2400</v>
      </c>
      <c r="I20" s="134"/>
      <c r="J20" s="134"/>
      <c r="K20" s="134"/>
      <c r="L20" s="134"/>
      <c r="M20" s="134"/>
      <c r="N20" s="134"/>
      <c r="O20" s="134"/>
      <c r="Q20" s="119"/>
      <c r="R20" s="119"/>
      <c r="S20" s="119"/>
      <c r="T20" s="119"/>
    </row>
    <row r="21" spans="1:22" x14ac:dyDescent="0.3">
      <c r="A21" s="1"/>
      <c r="B21" s="1">
        <v>4</v>
      </c>
      <c r="C21" s="1">
        <v>2350</v>
      </c>
      <c r="I21" s="134"/>
      <c r="J21" s="134"/>
      <c r="K21" s="134"/>
      <c r="L21" s="134"/>
      <c r="M21" s="134"/>
      <c r="N21" s="134"/>
      <c r="O21" s="134"/>
      <c r="Q21" s="119" t="s">
        <v>382</v>
      </c>
      <c r="R21" s="119" t="s">
        <v>373</v>
      </c>
      <c r="S21" s="138"/>
      <c r="T21" s="138"/>
    </row>
    <row r="22" spans="1:22" x14ac:dyDescent="0.3">
      <c r="I22" s="134">
        <v>2000</v>
      </c>
      <c r="J22" s="134"/>
      <c r="K22" s="134"/>
      <c r="L22" s="134"/>
      <c r="M22" s="134"/>
      <c r="N22" s="134"/>
      <c r="O22" s="134"/>
      <c r="S22" s="119"/>
      <c r="T22" s="140" t="s">
        <v>371</v>
      </c>
    </row>
    <row r="23" spans="1:22" x14ac:dyDescent="0.3">
      <c r="I23" s="134"/>
      <c r="J23" s="134"/>
      <c r="K23" s="134"/>
      <c r="L23" s="134"/>
      <c r="M23" s="134" t="s">
        <v>368</v>
      </c>
      <c r="N23" s="134" t="s">
        <v>369</v>
      </c>
      <c r="O23" s="134"/>
      <c r="T23" s="119"/>
    </row>
    <row r="24" spans="1:22" x14ac:dyDescent="0.3">
      <c r="I24" s="134"/>
      <c r="J24" s="134"/>
      <c r="K24" s="134"/>
      <c r="L24" s="134"/>
      <c r="M24" s="134"/>
      <c r="N24" s="134" t="s">
        <v>370</v>
      </c>
      <c r="O24" s="134"/>
      <c r="Q24" s="95" t="s">
        <v>376</v>
      </c>
      <c r="R24" s="95" t="s">
        <v>377</v>
      </c>
      <c r="S24" s="95"/>
      <c r="T24" s="95"/>
      <c r="U24" s="95"/>
      <c r="V24" s="95"/>
    </row>
    <row r="25" spans="1:22" x14ac:dyDescent="0.3">
      <c r="I25" s="134"/>
      <c r="J25" s="134"/>
      <c r="K25" s="134"/>
      <c r="L25" s="134"/>
      <c r="M25" s="134"/>
      <c r="N25" s="137" t="s">
        <v>371</v>
      </c>
      <c r="O25" s="134" t="s">
        <v>372</v>
      </c>
      <c r="U25" s="95" t="s">
        <v>371</v>
      </c>
    </row>
    <row r="26" spans="1:22" x14ac:dyDescent="0.3">
      <c r="J26" t="s">
        <v>387</v>
      </c>
      <c r="Q26" t="s">
        <v>381</v>
      </c>
    </row>
    <row r="27" spans="1:22" x14ac:dyDescent="0.3">
      <c r="I27">
        <v>1</v>
      </c>
      <c r="J27" t="s">
        <v>388</v>
      </c>
      <c r="Q27" t="s">
        <v>383</v>
      </c>
    </row>
    <row r="28" spans="1:22" x14ac:dyDescent="0.3">
      <c r="I28">
        <v>2</v>
      </c>
      <c r="J28" t="s">
        <v>389</v>
      </c>
    </row>
    <row r="29" spans="1:22" x14ac:dyDescent="0.3">
      <c r="I29">
        <v>3</v>
      </c>
      <c r="J29" t="s">
        <v>390</v>
      </c>
      <c r="Q29" t="s">
        <v>384</v>
      </c>
    </row>
    <row r="30" spans="1:22" x14ac:dyDescent="0.3">
      <c r="E30" t="s">
        <v>399</v>
      </c>
      <c r="F30" t="s">
        <v>402</v>
      </c>
      <c r="Q30" t="s">
        <v>386</v>
      </c>
    </row>
    <row r="31" spans="1:22" x14ac:dyDescent="0.3">
      <c r="E31" t="s">
        <v>400</v>
      </c>
      <c r="F31" t="s">
        <v>266</v>
      </c>
      <c r="J31">
        <v>2001</v>
      </c>
      <c r="K31">
        <v>2005</v>
      </c>
      <c r="L31">
        <v>2010</v>
      </c>
      <c r="M31">
        <v>2015</v>
      </c>
      <c r="N31">
        <v>2020</v>
      </c>
      <c r="Q31" t="s">
        <v>385</v>
      </c>
    </row>
    <row r="32" spans="1:22" x14ac:dyDescent="0.3">
      <c r="E32" t="s">
        <v>401</v>
      </c>
      <c r="F32" t="s">
        <v>403</v>
      </c>
      <c r="I32" t="s">
        <v>391</v>
      </c>
      <c r="J32" t="s">
        <v>283</v>
      </c>
      <c r="K32" t="s">
        <v>392</v>
      </c>
      <c r="L32" t="s">
        <v>393</v>
      </c>
      <c r="O32" t="s">
        <v>394</v>
      </c>
    </row>
    <row r="33" spans="10:15" x14ac:dyDescent="0.3">
      <c r="J33" t="s">
        <v>395</v>
      </c>
      <c r="K33" s="129">
        <v>0.1</v>
      </c>
      <c r="L33" t="s">
        <v>396</v>
      </c>
      <c r="O33" t="s">
        <v>398</v>
      </c>
    </row>
    <row r="34" spans="10:15" x14ac:dyDescent="0.3">
      <c r="L34" t="s">
        <v>397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8"/>
  <sheetViews>
    <sheetView workbookViewId="0">
      <selection activeCell="G18" sqref="G18"/>
    </sheetView>
  </sheetViews>
  <sheetFormatPr defaultRowHeight="14.4" x14ac:dyDescent="0.3"/>
  <cols>
    <col min="4" max="4" width="11.33203125" customWidth="1"/>
    <col min="5" max="5" width="10.33203125" customWidth="1"/>
    <col min="8" max="8" width="10.88671875" customWidth="1"/>
  </cols>
  <sheetData>
    <row r="1" spans="2:8" x14ac:dyDescent="0.3">
      <c r="B1" t="s">
        <v>66</v>
      </c>
      <c r="C1" t="s">
        <v>329</v>
      </c>
      <c r="D1" t="s">
        <v>330</v>
      </c>
      <c r="E1" t="s">
        <v>331</v>
      </c>
      <c r="F1" t="s">
        <v>332</v>
      </c>
      <c r="G1" t="s">
        <v>333</v>
      </c>
      <c r="H1" t="s">
        <v>334</v>
      </c>
    </row>
    <row r="2" spans="2:8" x14ac:dyDescent="0.3">
      <c r="B2">
        <v>74.290000000000006</v>
      </c>
      <c r="C2">
        <v>1</v>
      </c>
    </row>
    <row r="3" spans="2:8" x14ac:dyDescent="0.3">
      <c r="B3">
        <v>74.680000000000007</v>
      </c>
      <c r="C3">
        <v>2</v>
      </c>
    </row>
    <row r="4" spans="2:8" x14ac:dyDescent="0.3">
      <c r="B4">
        <v>72.86</v>
      </c>
      <c r="C4">
        <v>3</v>
      </c>
    </row>
    <row r="5" spans="2:8" x14ac:dyDescent="0.3">
      <c r="B5">
        <v>80.3</v>
      </c>
      <c r="C5">
        <v>4</v>
      </c>
    </row>
    <row r="6" spans="2:8" x14ac:dyDescent="0.3">
      <c r="B6">
        <v>81.81</v>
      </c>
      <c r="C6">
        <v>5</v>
      </c>
    </row>
    <row r="7" spans="2:8" x14ac:dyDescent="0.3">
      <c r="B7">
        <v>76.98</v>
      </c>
      <c r="C7">
        <v>6</v>
      </c>
    </row>
    <row r="8" spans="2:8" x14ac:dyDescent="0.3">
      <c r="B8">
        <v>81.73</v>
      </c>
      <c r="C8">
        <v>7</v>
      </c>
    </row>
    <row r="9" spans="2:8" x14ac:dyDescent="0.3">
      <c r="B9">
        <v>82.54</v>
      </c>
      <c r="C9">
        <v>8</v>
      </c>
    </row>
    <row r="10" spans="2:8" x14ac:dyDescent="0.3">
      <c r="B10">
        <v>86.08</v>
      </c>
      <c r="C10">
        <v>9</v>
      </c>
    </row>
    <row r="11" spans="2:8" x14ac:dyDescent="0.3">
      <c r="B11">
        <v>89.68</v>
      </c>
      <c r="C11">
        <v>10</v>
      </c>
    </row>
    <row r="12" spans="2:8" x14ac:dyDescent="0.3">
      <c r="B12">
        <v>84.98</v>
      </c>
      <c r="C12">
        <v>11</v>
      </c>
    </row>
    <row r="13" spans="2:8" x14ac:dyDescent="0.3">
      <c r="B13">
        <v>93.34</v>
      </c>
      <c r="C13">
        <v>12</v>
      </c>
    </row>
    <row r="14" spans="2:8" x14ac:dyDescent="0.3">
      <c r="B14">
        <v>71.819999999999993</v>
      </c>
      <c r="C14">
        <v>13</v>
      </c>
    </row>
    <row r="15" spans="2:8" x14ac:dyDescent="0.3">
      <c r="B15">
        <v>88.53</v>
      </c>
      <c r="C15">
        <v>14</v>
      </c>
    </row>
    <row r="16" spans="2:8" x14ac:dyDescent="0.3">
      <c r="B16">
        <v>83.13</v>
      </c>
      <c r="C16">
        <v>15</v>
      </c>
    </row>
    <row r="17" spans="2:3" x14ac:dyDescent="0.3">
      <c r="B17">
        <v>91.79</v>
      </c>
      <c r="C17">
        <v>16</v>
      </c>
    </row>
    <row r="18" spans="2:3" x14ac:dyDescent="0.3">
      <c r="B18">
        <f>AVERAGE(B2:B17)</f>
        <v>82.158749999999998</v>
      </c>
      <c r="C18">
        <f>AVERAGE(C2:C17)</f>
        <v>8.5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74"/>
  <sheetViews>
    <sheetView workbookViewId="0">
      <pane ySplit="1" topLeftCell="A2" activePane="bottomLeft" state="frozen"/>
      <selection pane="bottomLeft" activeCell="I3" sqref="I3"/>
    </sheetView>
  </sheetViews>
  <sheetFormatPr defaultRowHeight="14.4" x14ac:dyDescent="0.3"/>
  <cols>
    <col min="1" max="1" width="5.109375" style="2" customWidth="1"/>
    <col min="2" max="2" width="7.88671875" style="2" customWidth="1"/>
    <col min="3" max="3" width="10.6640625" style="2" customWidth="1"/>
    <col min="4" max="4" width="7.33203125" style="2" customWidth="1"/>
    <col min="5" max="5" width="9.109375" style="2" customWidth="1"/>
    <col min="6" max="6" width="17.33203125" style="2" customWidth="1"/>
    <col min="7" max="7" width="9.109375" style="2" customWidth="1"/>
    <col min="8" max="8" width="11.5546875" style="2" customWidth="1"/>
    <col min="9" max="9" width="11.6640625" style="2" customWidth="1"/>
    <col min="10" max="10" width="7.5546875" style="2" customWidth="1"/>
    <col min="11" max="11" width="3.33203125" style="2" customWidth="1"/>
    <col min="12" max="12" width="7.33203125" style="2" customWidth="1"/>
    <col min="13" max="16" width="9.109375" style="2"/>
    <col min="18" max="18" width="9.6640625" customWidth="1"/>
  </cols>
  <sheetData>
    <row r="1" spans="1:29" s="24" customFormat="1" x14ac:dyDescent="0.3">
      <c r="A1" s="23" t="s">
        <v>3</v>
      </c>
      <c r="B1" s="23" t="s">
        <v>4</v>
      </c>
      <c r="C1" s="23" t="s">
        <v>5</v>
      </c>
      <c r="D1" s="23" t="s">
        <v>6</v>
      </c>
      <c r="E1" s="23" t="s">
        <v>7</v>
      </c>
      <c r="F1" s="23" t="s">
        <v>8</v>
      </c>
      <c r="G1" s="23" t="s">
        <v>10</v>
      </c>
      <c r="H1" s="23" t="s">
        <v>9</v>
      </c>
      <c r="I1" s="23" t="s">
        <v>11</v>
      </c>
      <c r="J1" s="23" t="s">
        <v>12</v>
      </c>
      <c r="K1" s="23"/>
      <c r="L1" s="23"/>
      <c r="M1" s="23"/>
      <c r="N1" s="23"/>
      <c r="O1" s="23"/>
      <c r="P1" s="23"/>
    </row>
    <row r="2" spans="1:29" s="11" customFormat="1" ht="120" customHeight="1" thickBot="1" x14ac:dyDescent="0.35">
      <c r="A2" s="9" t="s">
        <v>0</v>
      </c>
      <c r="B2" s="9" t="s">
        <v>1</v>
      </c>
      <c r="C2" s="19" t="s">
        <v>71</v>
      </c>
      <c r="D2" s="10" t="s">
        <v>18</v>
      </c>
      <c r="E2" s="19" t="s">
        <v>19</v>
      </c>
      <c r="F2" s="19" t="s">
        <v>69</v>
      </c>
      <c r="G2" s="19" t="s">
        <v>70</v>
      </c>
      <c r="H2" s="19" t="s">
        <v>75</v>
      </c>
      <c r="I2" s="19" t="s">
        <v>76</v>
      </c>
      <c r="J2" s="19" t="s">
        <v>20</v>
      </c>
      <c r="K2" s="141" t="s">
        <v>74</v>
      </c>
      <c r="L2" s="142"/>
      <c r="M2" s="142"/>
      <c r="N2" s="142"/>
      <c r="O2" s="142"/>
      <c r="P2" s="142"/>
      <c r="Q2" s="143"/>
    </row>
    <row r="3" spans="1:29" ht="15" customHeight="1" x14ac:dyDescent="0.3">
      <c r="A3" s="1">
        <v>1</v>
      </c>
      <c r="B3" s="1">
        <v>1</v>
      </c>
      <c r="C3" s="1">
        <v>2022</v>
      </c>
      <c r="D3" s="12"/>
      <c r="F3" s="144" t="s">
        <v>73</v>
      </c>
      <c r="G3" s="147" t="s">
        <v>72</v>
      </c>
      <c r="H3" s="20">
        <v>1.0119894506628544</v>
      </c>
      <c r="I3" s="2">
        <f>C3/H3</f>
        <v>1998.0445435232427</v>
      </c>
      <c r="J3" s="2">
        <f>ROUND(I3,0)</f>
        <v>1998</v>
      </c>
      <c r="L3" s="5" t="s">
        <v>1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4"/>
      <c r="S3" s="4"/>
      <c r="T3" s="13">
        <v>100</v>
      </c>
    </row>
    <row r="4" spans="1:29" ht="18" x14ac:dyDescent="0.35">
      <c r="A4" s="1"/>
      <c r="B4" s="1"/>
      <c r="C4" s="1"/>
      <c r="F4" s="145"/>
      <c r="G4" s="148"/>
      <c r="H4" s="20"/>
      <c r="L4" s="5">
        <v>1</v>
      </c>
      <c r="M4" s="6"/>
      <c r="N4" s="6">
        <v>100.917431192661</v>
      </c>
      <c r="O4" s="7">
        <v>98.468271334792107</v>
      </c>
      <c r="P4" s="6">
        <v>101.856763925729</v>
      </c>
      <c r="Q4" s="7">
        <v>103.305785123967</v>
      </c>
      <c r="R4" s="6">
        <f>(N4+P4)/2</f>
        <v>101.387097559195</v>
      </c>
      <c r="S4" s="14">
        <f>R4*$S$8</f>
        <v>101.19894506628545</v>
      </c>
      <c r="T4" s="21">
        <f>S4/$T$3</f>
        <v>1.0119894506628544</v>
      </c>
    </row>
    <row r="5" spans="1:29" ht="18" x14ac:dyDescent="0.35">
      <c r="A5" s="1"/>
      <c r="B5" s="1">
        <v>2</v>
      </c>
      <c r="C5" s="1">
        <v>2100</v>
      </c>
      <c r="D5" s="12"/>
      <c r="F5" s="145"/>
      <c r="G5" s="148"/>
      <c r="H5" s="20">
        <v>1.0284368051543742</v>
      </c>
      <c r="I5" s="2">
        <f t="shared" ref="I5:I41" si="0">C5/H5</f>
        <v>2041.9339228964857</v>
      </c>
      <c r="J5" s="2">
        <f t="shared" ref="J5:J41" si="1">ROUND(I5,0)</f>
        <v>2042</v>
      </c>
      <c r="L5" s="5">
        <v>2</v>
      </c>
      <c r="M5" s="6"/>
      <c r="N5" s="6">
        <v>101.925254813137</v>
      </c>
      <c r="O5" s="7">
        <v>100.05437737901001</v>
      </c>
      <c r="P5" s="6">
        <v>104.14452709883101</v>
      </c>
      <c r="Q5" s="7">
        <v>104.81064483111599</v>
      </c>
      <c r="R5" s="6">
        <f>(N5+P5)/2</f>
        <v>103.034890955984</v>
      </c>
      <c r="S5" s="14">
        <f>R5*$S$8</f>
        <v>102.84368051543741</v>
      </c>
      <c r="T5" s="21">
        <f>S5/$T$3</f>
        <v>1.0284368051543742</v>
      </c>
    </row>
    <row r="6" spans="1:29" ht="18.600000000000001" thickBot="1" x14ac:dyDescent="0.4">
      <c r="A6" s="1"/>
      <c r="B6" s="1"/>
      <c r="C6" s="3"/>
      <c r="D6" s="2">
        <f>C3+C5+C7+C9</f>
        <v>8392</v>
      </c>
      <c r="F6" s="146"/>
      <c r="G6" s="149"/>
      <c r="H6" s="20"/>
      <c r="L6" s="5">
        <v>3</v>
      </c>
      <c r="M6" s="101">
        <v>101.403136422592</v>
      </c>
      <c r="N6" s="7">
        <v>95.928611266034594</v>
      </c>
      <c r="O6" s="7">
        <v>101.89701897019</v>
      </c>
      <c r="P6" s="6">
        <v>97.148891235480505</v>
      </c>
      <c r="Q6" s="6"/>
      <c r="R6" s="6">
        <f>(M6+P6)/2</f>
        <v>99.276013829036259</v>
      </c>
      <c r="S6" s="14">
        <f>R6*$S$8</f>
        <v>99.091779050275079</v>
      </c>
      <c r="T6" s="21">
        <f>S6/$T$3</f>
        <v>0.99091779050275075</v>
      </c>
    </row>
    <row r="7" spans="1:29" ht="18" x14ac:dyDescent="0.35">
      <c r="A7" s="1"/>
      <c r="B7" s="1">
        <v>3</v>
      </c>
      <c r="C7" s="1">
        <v>2150</v>
      </c>
      <c r="E7" s="2">
        <f>D6+D8</f>
        <v>16962</v>
      </c>
      <c r="F7" s="2">
        <f>E7/8</f>
        <v>2120.25</v>
      </c>
      <c r="G7" s="100">
        <f>(C7/F7)*100</f>
        <v>101.40313642259167</v>
      </c>
      <c r="H7" s="20">
        <v>0.99091779050275075</v>
      </c>
      <c r="I7" s="2">
        <f t="shared" si="0"/>
        <v>2169.7057219138014</v>
      </c>
      <c r="J7" s="2">
        <f t="shared" si="1"/>
        <v>2170</v>
      </c>
      <c r="L7" s="5">
        <v>4</v>
      </c>
      <c r="M7" s="101">
        <v>98.091382301908595</v>
      </c>
      <c r="N7" s="7">
        <v>103.826955074875</v>
      </c>
      <c r="O7" s="6">
        <v>96</v>
      </c>
      <c r="P7" s="7">
        <v>94.830287206266306</v>
      </c>
      <c r="Q7" s="6"/>
      <c r="R7" s="6">
        <f>(M7+O7)/2</f>
        <v>97.045691150954298</v>
      </c>
      <c r="S7" s="14">
        <f>R7*$S$8</f>
        <v>96.865595368002019</v>
      </c>
      <c r="T7" s="21">
        <f>S7/$T$3</f>
        <v>0.96865595368002022</v>
      </c>
    </row>
    <row r="8" spans="1:29" ht="16.2" thickBot="1" x14ac:dyDescent="0.35">
      <c r="A8" s="1"/>
      <c r="B8" s="1"/>
      <c r="C8" s="1"/>
      <c r="D8" s="2">
        <f t="shared" ref="D8:D38" si="2">C5+C7+C9+C11</f>
        <v>8570</v>
      </c>
      <c r="G8" s="100"/>
      <c r="H8" s="20"/>
      <c r="L8" s="15"/>
      <c r="M8" s="8"/>
      <c r="N8" s="8"/>
      <c r="O8" s="8"/>
      <c r="P8" s="8"/>
      <c r="Q8" s="8"/>
      <c r="R8" s="16">
        <f>SUM(R4:R7)</f>
        <v>400.74369349516962</v>
      </c>
      <c r="S8" s="17">
        <f>400/R8</f>
        <v>0.99814421659718877</v>
      </c>
      <c r="T8" s="18"/>
    </row>
    <row r="9" spans="1:29" x14ac:dyDescent="0.3">
      <c r="A9" s="1"/>
      <c r="B9" s="1">
        <v>4</v>
      </c>
      <c r="C9" s="1">
        <v>2120</v>
      </c>
      <c r="E9" s="2">
        <f t="shared" ref="E9:E37" si="3">D8+D10</f>
        <v>17290</v>
      </c>
      <c r="F9" s="2">
        <f t="shared" ref="F9:F37" si="4">E9/8</f>
        <v>2161.25</v>
      </c>
      <c r="G9" s="100">
        <f t="shared" ref="G9:G37" si="5">(C9/F9)*100</f>
        <v>98.09138230190861</v>
      </c>
      <c r="H9" s="20">
        <v>0.96865595368002022</v>
      </c>
      <c r="I9" s="2">
        <f t="shared" si="0"/>
        <v>2188.5995661781762</v>
      </c>
      <c r="J9" s="2">
        <f t="shared" si="1"/>
        <v>2189</v>
      </c>
    </row>
    <row r="10" spans="1:29" x14ac:dyDescent="0.3">
      <c r="A10" s="1"/>
      <c r="B10" s="1"/>
      <c r="C10" s="1"/>
      <c r="D10" s="2">
        <f t="shared" si="2"/>
        <v>8720</v>
      </c>
      <c r="H10" s="20"/>
      <c r="Q10" t="s">
        <v>66</v>
      </c>
      <c r="R10" t="s">
        <v>193</v>
      </c>
    </row>
    <row r="11" spans="1:29" x14ac:dyDescent="0.3">
      <c r="A11" s="1">
        <v>2</v>
      </c>
      <c r="B11" s="1">
        <v>1</v>
      </c>
      <c r="C11" s="1">
        <v>2200</v>
      </c>
      <c r="E11" s="2">
        <f t="shared" si="3"/>
        <v>17440</v>
      </c>
      <c r="F11" s="2">
        <f t="shared" si="4"/>
        <v>2180</v>
      </c>
      <c r="G11" s="2">
        <f t="shared" si="5"/>
        <v>100.91743119266054</v>
      </c>
      <c r="H11" s="20">
        <v>1.0119894506628544</v>
      </c>
      <c r="I11" s="2">
        <f t="shared" si="0"/>
        <v>2173.9357051192551</v>
      </c>
      <c r="J11" s="2">
        <f t="shared" si="1"/>
        <v>2174</v>
      </c>
      <c r="N11" s="2" t="s">
        <v>178</v>
      </c>
      <c r="P11" s="2" t="s">
        <v>190</v>
      </c>
      <c r="Q11" t="s">
        <v>183</v>
      </c>
      <c r="R11" s="2" t="s">
        <v>191</v>
      </c>
      <c r="S11" s="2" t="s">
        <v>192</v>
      </c>
      <c r="V11" t="s">
        <v>194</v>
      </c>
    </row>
    <row r="12" spans="1:29" x14ac:dyDescent="0.3">
      <c r="A12" s="1"/>
      <c r="B12" s="1"/>
      <c r="C12" s="1"/>
      <c r="D12" s="2">
        <f t="shared" si="2"/>
        <v>8720</v>
      </c>
      <c r="H12" s="20"/>
      <c r="M12" s="119"/>
      <c r="N12" s="119" t="s">
        <v>179</v>
      </c>
      <c r="O12" s="119"/>
      <c r="P12" s="2">
        <v>1</v>
      </c>
      <c r="Q12" s="120">
        <v>32450</v>
      </c>
      <c r="Z12" t="s">
        <v>184</v>
      </c>
      <c r="AA12" t="s">
        <v>186</v>
      </c>
      <c r="AB12" t="s">
        <v>187</v>
      </c>
      <c r="AC12" t="s">
        <v>189</v>
      </c>
    </row>
    <row r="13" spans="1:29" x14ac:dyDescent="0.3">
      <c r="A13" s="1"/>
      <c r="B13" s="1">
        <v>2</v>
      </c>
      <c r="C13" s="1">
        <v>2250</v>
      </c>
      <c r="E13" s="2">
        <f t="shared" si="3"/>
        <v>17660</v>
      </c>
      <c r="F13" s="2">
        <f t="shared" si="4"/>
        <v>2207.5</v>
      </c>
      <c r="G13" s="2">
        <f t="shared" si="5"/>
        <v>101.92525481313703</v>
      </c>
      <c r="H13" s="20">
        <v>1.0284368051543742</v>
      </c>
      <c r="I13" s="2">
        <f t="shared" si="0"/>
        <v>2187.7863459605205</v>
      </c>
      <c r="J13" s="2">
        <f t="shared" si="1"/>
        <v>2188</v>
      </c>
      <c r="M13" s="119"/>
      <c r="N13" s="119" t="s">
        <v>180</v>
      </c>
      <c r="O13" s="119"/>
      <c r="P13" s="2">
        <v>2</v>
      </c>
      <c r="Q13" s="120">
        <v>32500</v>
      </c>
      <c r="R13" s="120">
        <v>32450</v>
      </c>
    </row>
    <row r="14" spans="1:29" x14ac:dyDescent="0.3">
      <c r="A14" s="1"/>
      <c r="B14" s="1"/>
      <c r="C14" s="1"/>
      <c r="D14" s="2">
        <f t="shared" si="2"/>
        <v>8940</v>
      </c>
      <c r="H14" s="20"/>
      <c r="M14" s="119"/>
      <c r="N14" s="119" t="s">
        <v>181</v>
      </c>
      <c r="O14" s="119"/>
      <c r="P14" s="2">
        <v>3</v>
      </c>
      <c r="Q14" s="120">
        <v>33000</v>
      </c>
      <c r="R14" s="120">
        <v>32500</v>
      </c>
      <c r="S14" s="120">
        <v>32500</v>
      </c>
      <c r="U14" s="108" t="s">
        <v>209</v>
      </c>
      <c r="AA14" s="2"/>
    </row>
    <row r="15" spans="1:29" x14ac:dyDescent="0.3">
      <c r="A15" s="1"/>
      <c r="B15" s="1">
        <v>3</v>
      </c>
      <c r="C15" s="1">
        <v>2150</v>
      </c>
      <c r="E15" s="2">
        <f t="shared" si="3"/>
        <v>17930</v>
      </c>
      <c r="F15" s="2">
        <f t="shared" si="4"/>
        <v>2241.25</v>
      </c>
      <c r="G15" s="2">
        <f t="shared" si="5"/>
        <v>95.928611266034579</v>
      </c>
      <c r="H15" s="20">
        <v>0.99091779050275075</v>
      </c>
      <c r="I15" s="2">
        <f t="shared" si="0"/>
        <v>2169.7057219138014</v>
      </c>
      <c r="J15" s="2">
        <f t="shared" si="1"/>
        <v>2170</v>
      </c>
      <c r="M15" s="119"/>
      <c r="N15" s="119" t="s">
        <v>182</v>
      </c>
      <c r="O15" s="119"/>
      <c r="P15" s="2">
        <v>4</v>
      </c>
      <c r="Q15" s="120" t="s">
        <v>185</v>
      </c>
      <c r="R15" s="120">
        <v>33000</v>
      </c>
      <c r="S15" s="120">
        <v>33000</v>
      </c>
      <c r="U15" s="108" t="s">
        <v>210</v>
      </c>
    </row>
    <row r="16" spans="1:29" x14ac:dyDescent="0.3">
      <c r="A16" s="1"/>
      <c r="B16" s="1"/>
      <c r="C16" s="1"/>
      <c r="D16" s="2">
        <f t="shared" si="2"/>
        <v>8990</v>
      </c>
      <c r="H16" s="20"/>
      <c r="Q16" s="120" t="s">
        <v>185</v>
      </c>
      <c r="R16" s="120" t="s">
        <v>185</v>
      </c>
      <c r="S16" s="120" t="s">
        <v>185</v>
      </c>
      <c r="Z16">
        <v>33500</v>
      </c>
    </row>
    <row r="17" spans="1:23" x14ac:dyDescent="0.3">
      <c r="A17" s="1"/>
      <c r="B17" s="1">
        <v>4</v>
      </c>
      <c r="C17" s="1">
        <v>2340</v>
      </c>
      <c r="E17" s="2">
        <f t="shared" si="3"/>
        <v>18030</v>
      </c>
      <c r="F17" s="2">
        <f t="shared" si="4"/>
        <v>2253.75</v>
      </c>
      <c r="G17" s="2">
        <f t="shared" si="5"/>
        <v>103.8269550748752</v>
      </c>
      <c r="H17" s="20">
        <v>0.96865595368002022</v>
      </c>
      <c r="I17" s="2">
        <f t="shared" si="0"/>
        <v>2415.718389083459</v>
      </c>
      <c r="J17" s="2">
        <f t="shared" si="1"/>
        <v>2416</v>
      </c>
      <c r="Q17" s="120">
        <v>33100</v>
      </c>
      <c r="R17" s="120" t="s">
        <v>185</v>
      </c>
      <c r="S17" s="120" t="s">
        <v>185</v>
      </c>
    </row>
    <row r="18" spans="1:23" x14ac:dyDescent="0.3">
      <c r="A18" s="1"/>
      <c r="B18" s="1"/>
      <c r="C18" s="1"/>
      <c r="D18" s="2">
        <f t="shared" si="2"/>
        <v>9040</v>
      </c>
      <c r="H18" s="20"/>
      <c r="Q18" s="120">
        <v>33200</v>
      </c>
      <c r="R18" s="120">
        <v>33100</v>
      </c>
      <c r="S18" s="120">
        <v>33100</v>
      </c>
    </row>
    <row r="19" spans="1:23" x14ac:dyDescent="0.3">
      <c r="A19" s="1">
        <v>3</v>
      </c>
      <c r="B19" s="1">
        <v>1</v>
      </c>
      <c r="C19" s="1">
        <v>2250</v>
      </c>
      <c r="E19" s="2">
        <f t="shared" si="3"/>
        <v>18280</v>
      </c>
      <c r="F19" s="2">
        <f t="shared" si="4"/>
        <v>2285</v>
      </c>
      <c r="G19" s="2">
        <f t="shared" si="5"/>
        <v>98.468271334792121</v>
      </c>
      <c r="H19" s="20">
        <v>1.0119894506628544</v>
      </c>
      <c r="I19" s="2">
        <f t="shared" si="0"/>
        <v>2223.3433347810565</v>
      </c>
      <c r="J19" s="2">
        <f t="shared" si="1"/>
        <v>2223</v>
      </c>
      <c r="M19" s="155">
        <v>128</v>
      </c>
      <c r="P19" s="2" t="s">
        <v>188</v>
      </c>
      <c r="Q19" s="120">
        <v>33300</v>
      </c>
      <c r="R19" s="120">
        <v>33200</v>
      </c>
      <c r="S19" s="120">
        <v>33200</v>
      </c>
    </row>
    <row r="20" spans="1:23" x14ac:dyDescent="0.3">
      <c r="A20" s="1"/>
      <c r="B20" s="1"/>
      <c r="C20" s="1"/>
      <c r="D20" s="2">
        <f t="shared" si="2"/>
        <v>9240</v>
      </c>
      <c r="H20" s="20"/>
      <c r="R20" s="37"/>
      <c r="S20" s="37"/>
    </row>
    <row r="21" spans="1:23" x14ac:dyDescent="0.3">
      <c r="A21" s="1"/>
      <c r="B21" s="1">
        <v>2</v>
      </c>
      <c r="C21" s="1">
        <v>2300</v>
      </c>
      <c r="E21" s="2">
        <f t="shared" si="3"/>
        <v>18390</v>
      </c>
      <c r="F21" s="2">
        <f t="shared" si="4"/>
        <v>2298.75</v>
      </c>
      <c r="G21" s="2">
        <f t="shared" si="5"/>
        <v>100.05437737901033</v>
      </c>
      <c r="H21" s="20">
        <v>1.0284368051543742</v>
      </c>
      <c r="I21" s="2">
        <f t="shared" si="0"/>
        <v>2236.4038203151986</v>
      </c>
      <c r="J21" s="2">
        <f t="shared" si="1"/>
        <v>2236</v>
      </c>
      <c r="Q21" t="s">
        <v>195</v>
      </c>
      <c r="R21" s="2"/>
      <c r="V21" t="s">
        <v>196</v>
      </c>
    </row>
    <row r="22" spans="1:23" x14ac:dyDescent="0.3">
      <c r="A22" s="1"/>
      <c r="B22" s="1"/>
      <c r="C22" s="1"/>
      <c r="D22" s="2">
        <f t="shared" si="2"/>
        <v>9150</v>
      </c>
      <c r="H22" s="20"/>
      <c r="Q22" t="s">
        <v>197</v>
      </c>
      <c r="S22" t="s">
        <v>208</v>
      </c>
    </row>
    <row r="23" spans="1:23" x14ac:dyDescent="0.3">
      <c r="A23" s="1"/>
      <c r="B23" s="1">
        <v>3</v>
      </c>
      <c r="C23" s="1">
        <v>2350</v>
      </c>
      <c r="E23" s="2">
        <f t="shared" si="3"/>
        <v>18450</v>
      </c>
      <c r="F23" s="2">
        <f t="shared" si="4"/>
        <v>2306.25</v>
      </c>
      <c r="G23" s="2">
        <f t="shared" si="5"/>
        <v>101.89701897018971</v>
      </c>
      <c r="H23" s="20">
        <v>0.99091779050275075</v>
      </c>
      <c r="I23" s="2">
        <f t="shared" si="0"/>
        <v>2371.5388123243879</v>
      </c>
      <c r="J23" s="2">
        <f t="shared" si="1"/>
        <v>2372</v>
      </c>
      <c r="R23" t="s">
        <v>198</v>
      </c>
      <c r="T23" t="s">
        <v>199</v>
      </c>
    </row>
    <row r="24" spans="1:23" x14ac:dyDescent="0.3">
      <c r="A24" s="1"/>
      <c r="B24" s="1"/>
      <c r="C24" s="1"/>
      <c r="D24" s="2">
        <f t="shared" si="2"/>
        <v>9300</v>
      </c>
      <c r="H24" s="20"/>
      <c r="L24" s="2">
        <v>1</v>
      </c>
      <c r="M24" s="22" t="s">
        <v>21</v>
      </c>
      <c r="Q24" s="2"/>
      <c r="T24" t="s">
        <v>200</v>
      </c>
      <c r="U24" t="s">
        <v>201</v>
      </c>
      <c r="V24" t="s">
        <v>202</v>
      </c>
      <c r="W24" t="s">
        <v>203</v>
      </c>
    </row>
    <row r="25" spans="1:23" x14ac:dyDescent="0.3">
      <c r="A25" s="1"/>
      <c r="B25" s="1">
        <v>4</v>
      </c>
      <c r="C25" s="1">
        <v>2250</v>
      </c>
      <c r="E25" s="2">
        <f t="shared" si="3"/>
        <v>18750</v>
      </c>
      <c r="F25" s="2">
        <f t="shared" si="4"/>
        <v>2343.75</v>
      </c>
      <c r="G25" s="2">
        <f t="shared" si="5"/>
        <v>96</v>
      </c>
      <c r="H25" s="20">
        <v>0.96865595368002022</v>
      </c>
      <c r="I25" s="2">
        <f t="shared" si="0"/>
        <v>2322.8061433494795</v>
      </c>
      <c r="J25" s="2">
        <f t="shared" si="1"/>
        <v>2323</v>
      </c>
      <c r="L25" s="2">
        <v>2</v>
      </c>
      <c r="M25" s="22" t="s">
        <v>22</v>
      </c>
      <c r="Q25" s="2"/>
      <c r="T25" t="s">
        <v>204</v>
      </c>
      <c r="U25" t="s">
        <v>205</v>
      </c>
      <c r="V25" t="s">
        <v>206</v>
      </c>
      <c r="W25" t="s">
        <v>207</v>
      </c>
    </row>
    <row r="26" spans="1:23" x14ac:dyDescent="0.3">
      <c r="A26" s="1"/>
      <c r="B26" s="1"/>
      <c r="C26" s="1"/>
      <c r="D26" s="2">
        <f t="shared" si="2"/>
        <v>9450</v>
      </c>
      <c r="H26" s="20"/>
      <c r="L26" s="2">
        <v>3</v>
      </c>
      <c r="M26" s="22" t="s">
        <v>23</v>
      </c>
      <c r="Q26" s="2"/>
    </row>
    <row r="27" spans="1:23" x14ac:dyDescent="0.3">
      <c r="A27" s="1">
        <v>4</v>
      </c>
      <c r="B27" s="1">
        <v>1</v>
      </c>
      <c r="C27" s="1">
        <v>2400</v>
      </c>
      <c r="E27" s="2">
        <f t="shared" si="3"/>
        <v>18850</v>
      </c>
      <c r="F27" s="2">
        <f t="shared" si="4"/>
        <v>2356.25</v>
      </c>
      <c r="G27" s="2">
        <f t="shared" si="5"/>
        <v>101.85676392572944</v>
      </c>
      <c r="H27" s="20">
        <v>1.0119894506628544</v>
      </c>
      <c r="I27" s="2">
        <f t="shared" si="0"/>
        <v>2371.5662237664601</v>
      </c>
      <c r="J27" s="2">
        <f t="shared" si="1"/>
        <v>2372</v>
      </c>
      <c r="L27" s="2">
        <v>4</v>
      </c>
      <c r="M27" s="22" t="s">
        <v>24</v>
      </c>
      <c r="Q27" s="2"/>
      <c r="S27" t="s">
        <v>211</v>
      </c>
    </row>
    <row r="28" spans="1:23" x14ac:dyDescent="0.3">
      <c r="A28" s="1"/>
      <c r="B28" s="1"/>
      <c r="C28" s="1"/>
      <c r="D28" s="2">
        <f t="shared" si="2"/>
        <v>9400</v>
      </c>
      <c r="H28" s="20"/>
      <c r="L28" s="2">
        <v>5</v>
      </c>
      <c r="M28" s="22" t="s">
        <v>25</v>
      </c>
      <c r="Q28" s="2"/>
      <c r="R28" s="2"/>
      <c r="S28" t="s">
        <v>212</v>
      </c>
    </row>
    <row r="29" spans="1:23" x14ac:dyDescent="0.3">
      <c r="A29" s="1"/>
      <c r="B29" s="1">
        <v>2</v>
      </c>
      <c r="C29" s="1">
        <v>2450</v>
      </c>
      <c r="E29" s="2">
        <f t="shared" si="3"/>
        <v>18820</v>
      </c>
      <c r="F29" s="2">
        <f t="shared" si="4"/>
        <v>2352.5</v>
      </c>
      <c r="G29" s="2">
        <f t="shared" si="5"/>
        <v>104.14452709883105</v>
      </c>
      <c r="H29" s="20">
        <v>1.0284368051543742</v>
      </c>
      <c r="I29" s="2">
        <f t="shared" si="0"/>
        <v>2382.2562433792332</v>
      </c>
      <c r="J29" s="2">
        <f t="shared" si="1"/>
        <v>2382</v>
      </c>
      <c r="L29" s="2">
        <v>6</v>
      </c>
      <c r="M29" s="22" t="s">
        <v>26</v>
      </c>
      <c r="Q29" s="2"/>
      <c r="R29" s="2"/>
      <c r="S29" t="s">
        <v>213</v>
      </c>
    </row>
    <row r="30" spans="1:23" x14ac:dyDescent="0.3">
      <c r="A30" s="1"/>
      <c r="B30" s="1"/>
      <c r="C30" s="1"/>
      <c r="D30" s="2">
        <f t="shared" si="2"/>
        <v>9420</v>
      </c>
      <c r="H30" s="20"/>
      <c r="L30" s="2">
        <v>7</v>
      </c>
      <c r="M30" s="22" t="s">
        <v>27</v>
      </c>
      <c r="Q30" s="2"/>
      <c r="R30" s="2"/>
    </row>
    <row r="31" spans="1:23" x14ac:dyDescent="0.3">
      <c r="A31" s="1"/>
      <c r="B31" s="1">
        <v>3</v>
      </c>
      <c r="C31" s="1">
        <v>2300</v>
      </c>
      <c r="E31" s="2">
        <f t="shared" si="3"/>
        <v>18940</v>
      </c>
      <c r="F31" s="2">
        <f t="shared" si="4"/>
        <v>2367.5</v>
      </c>
      <c r="G31" s="2">
        <f t="shared" si="5"/>
        <v>97.148891235480463</v>
      </c>
      <c r="H31" s="20">
        <v>0.99091779050275075</v>
      </c>
      <c r="I31" s="2">
        <f t="shared" si="0"/>
        <v>2321.0805397217414</v>
      </c>
      <c r="J31" s="2">
        <f t="shared" si="1"/>
        <v>2321</v>
      </c>
      <c r="R31" s="2"/>
    </row>
    <row r="32" spans="1:23" x14ac:dyDescent="0.3">
      <c r="A32" s="1"/>
      <c r="B32" s="1"/>
      <c r="C32" s="1"/>
      <c r="D32" s="2">
        <f t="shared" si="2"/>
        <v>9520</v>
      </c>
      <c r="H32" s="20"/>
    </row>
    <row r="33" spans="1:10" x14ac:dyDescent="0.3">
      <c r="A33" s="1"/>
      <c r="B33" s="1">
        <v>4</v>
      </c>
      <c r="C33" s="1">
        <v>2270</v>
      </c>
      <c r="E33" s="2">
        <f t="shared" si="3"/>
        <v>19150</v>
      </c>
      <c r="F33" s="2">
        <f t="shared" si="4"/>
        <v>2393.75</v>
      </c>
      <c r="G33" s="2">
        <f t="shared" si="5"/>
        <v>94.83028720626632</v>
      </c>
      <c r="H33" s="20">
        <v>0.96865595368002022</v>
      </c>
      <c r="I33" s="2">
        <f t="shared" si="0"/>
        <v>2343.4533090681416</v>
      </c>
      <c r="J33" s="2">
        <f t="shared" si="1"/>
        <v>2343</v>
      </c>
    </row>
    <row r="34" spans="1:10" x14ac:dyDescent="0.3">
      <c r="A34" s="1"/>
      <c r="B34" s="1"/>
      <c r="C34" s="1"/>
      <c r="D34" s="2">
        <f t="shared" si="2"/>
        <v>9630</v>
      </c>
      <c r="H34" s="20"/>
    </row>
    <row r="35" spans="1:10" x14ac:dyDescent="0.3">
      <c r="A35" s="1">
        <v>5</v>
      </c>
      <c r="B35" s="1">
        <v>1</v>
      </c>
      <c r="C35" s="1">
        <v>2500</v>
      </c>
      <c r="E35" s="2">
        <f t="shared" si="3"/>
        <v>19360</v>
      </c>
      <c r="F35" s="2">
        <f t="shared" si="4"/>
        <v>2420</v>
      </c>
      <c r="G35" s="2">
        <f t="shared" si="5"/>
        <v>103.30578512396693</v>
      </c>
      <c r="H35" s="20">
        <v>1.0119894506628544</v>
      </c>
      <c r="I35" s="2">
        <f t="shared" si="0"/>
        <v>2470.3814830900628</v>
      </c>
      <c r="J35" s="2">
        <f t="shared" si="1"/>
        <v>2470</v>
      </c>
    </row>
    <row r="36" spans="1:10" x14ac:dyDescent="0.3">
      <c r="A36" s="1"/>
      <c r="B36" s="1"/>
      <c r="C36" s="1"/>
      <c r="D36" s="2">
        <f t="shared" si="2"/>
        <v>9730</v>
      </c>
      <c r="H36" s="20"/>
    </row>
    <row r="37" spans="1:10" x14ac:dyDescent="0.3">
      <c r="A37" s="1"/>
      <c r="B37" s="1">
        <v>2</v>
      </c>
      <c r="C37" s="1">
        <v>2560</v>
      </c>
      <c r="E37" s="2">
        <f t="shared" si="3"/>
        <v>19540</v>
      </c>
      <c r="F37" s="2">
        <f t="shared" si="4"/>
        <v>2442.5</v>
      </c>
      <c r="G37" s="2">
        <f t="shared" si="5"/>
        <v>104.81064483111567</v>
      </c>
      <c r="H37" s="20">
        <v>1.0284368051543742</v>
      </c>
      <c r="I37" s="2">
        <f t="shared" si="0"/>
        <v>2489.2146869595254</v>
      </c>
      <c r="J37" s="2">
        <f t="shared" si="1"/>
        <v>2489</v>
      </c>
    </row>
    <row r="38" spans="1:10" x14ac:dyDescent="0.3">
      <c r="A38" s="1"/>
      <c r="B38" s="1"/>
      <c r="C38" s="1"/>
      <c r="D38" s="2">
        <f t="shared" si="2"/>
        <v>9810</v>
      </c>
      <c r="H38" s="20"/>
    </row>
    <row r="39" spans="1:10" x14ac:dyDescent="0.3">
      <c r="A39" s="1"/>
      <c r="B39" s="1">
        <v>3</v>
      </c>
      <c r="C39" s="1">
        <v>2400</v>
      </c>
      <c r="D39" s="12"/>
      <c r="G39" s="12"/>
      <c r="H39" s="20">
        <v>0.99091779050275075</v>
      </c>
      <c r="I39" s="2">
        <f t="shared" si="0"/>
        <v>2421.9970849270344</v>
      </c>
      <c r="J39" s="2">
        <f t="shared" si="1"/>
        <v>2422</v>
      </c>
    </row>
    <row r="40" spans="1:10" x14ac:dyDescent="0.3">
      <c r="A40" s="1"/>
      <c r="B40" s="1"/>
      <c r="C40" s="1"/>
      <c r="H40" s="20"/>
    </row>
    <row r="41" spans="1:10" x14ac:dyDescent="0.3">
      <c r="A41" s="1"/>
      <c r="B41" s="1">
        <v>4</v>
      </c>
      <c r="C41" s="1">
        <v>2350</v>
      </c>
      <c r="D41" s="12"/>
      <c r="G41" s="12"/>
      <c r="H41" s="20">
        <v>0.96865595368002022</v>
      </c>
      <c r="I41" s="2">
        <f t="shared" si="0"/>
        <v>2426.04197194279</v>
      </c>
      <c r="J41" s="2">
        <f t="shared" si="1"/>
        <v>2426</v>
      </c>
    </row>
    <row r="51" spans="1:2" x14ac:dyDescent="0.3">
      <c r="A51" s="2" t="s">
        <v>68</v>
      </c>
      <c r="B51" s="22"/>
    </row>
    <row r="52" spans="1:2" x14ac:dyDescent="0.3">
      <c r="B52" s="22"/>
    </row>
    <row r="53" spans="1:2" x14ac:dyDescent="0.3">
      <c r="B53" s="22"/>
    </row>
    <row r="54" spans="1:2" x14ac:dyDescent="0.3">
      <c r="B54" s="22"/>
    </row>
    <row r="55" spans="1:2" x14ac:dyDescent="0.3">
      <c r="B55" s="22"/>
    </row>
    <row r="56" spans="1:2" x14ac:dyDescent="0.3">
      <c r="B56" s="22"/>
    </row>
    <row r="57" spans="1:2" x14ac:dyDescent="0.3">
      <c r="B57" s="22"/>
    </row>
    <row r="69" spans="13:17" x14ac:dyDescent="0.3">
      <c r="M69" s="22" t="s">
        <v>404</v>
      </c>
      <c r="O69" s="22" t="s">
        <v>406</v>
      </c>
      <c r="Q69" t="s">
        <v>409</v>
      </c>
    </row>
    <row r="70" spans="13:17" x14ac:dyDescent="0.3">
      <c r="M70" s="2" t="s">
        <v>405</v>
      </c>
      <c r="Q70" t="s">
        <v>408</v>
      </c>
    </row>
    <row r="71" spans="13:17" x14ac:dyDescent="0.3">
      <c r="Q71" t="s">
        <v>407</v>
      </c>
    </row>
    <row r="72" spans="13:17" x14ac:dyDescent="0.3">
      <c r="Q72">
        <v>10</v>
      </c>
    </row>
    <row r="73" spans="13:17" x14ac:dyDescent="0.3">
      <c r="M73" s="22" t="s">
        <v>410</v>
      </c>
    </row>
    <row r="74" spans="13:17" x14ac:dyDescent="0.3">
      <c r="M74" s="22" t="s">
        <v>411</v>
      </c>
    </row>
  </sheetData>
  <mergeCells count="3">
    <mergeCell ref="K2:Q2"/>
    <mergeCell ref="F3:F6"/>
    <mergeCell ref="G3:G6"/>
  </mergeCells>
  <pageMargins left="0.7" right="0.7" top="0.75" bottom="0.75" header="0.3" footer="0.3"/>
  <pageSetup scale="80" orientation="landscape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2"/>
  <sheetViews>
    <sheetView tabSelected="1" workbookViewId="0">
      <selection activeCell="K26" sqref="K26"/>
    </sheetView>
  </sheetViews>
  <sheetFormatPr defaultRowHeight="14.4" x14ac:dyDescent="0.3"/>
  <cols>
    <col min="1" max="1" width="5.6640625" customWidth="1"/>
    <col min="2" max="2" width="8" customWidth="1"/>
    <col min="3" max="3" width="11.33203125" customWidth="1"/>
    <col min="4" max="4" width="6.33203125" customWidth="1"/>
    <col min="5" max="5" width="10.109375" style="55" customWidth="1"/>
    <col min="6" max="6" width="11" customWidth="1"/>
    <col min="7" max="7" width="15" style="2" customWidth="1"/>
    <col min="8" max="8" width="6.5546875" customWidth="1"/>
    <col min="9" max="9" width="7.33203125" customWidth="1"/>
    <col min="10" max="10" width="8.6640625" customWidth="1"/>
    <col min="11" max="11" width="7.33203125" style="2" customWidth="1"/>
    <col min="12" max="12" width="12" customWidth="1"/>
    <col min="13" max="13" width="18.33203125" style="2" customWidth="1"/>
    <col min="14" max="14" width="22.109375" style="2" customWidth="1"/>
    <col min="15" max="15" width="10.44140625" customWidth="1"/>
  </cols>
  <sheetData>
    <row r="1" spans="1:15" s="11" customFormat="1" ht="46.8" x14ac:dyDescent="0.3">
      <c r="A1" s="56" t="s">
        <v>0</v>
      </c>
      <c r="B1" s="57" t="s">
        <v>1</v>
      </c>
      <c r="C1" s="57" t="s">
        <v>2</v>
      </c>
      <c r="D1" s="58" t="s">
        <v>53</v>
      </c>
      <c r="E1" s="53" t="s">
        <v>64</v>
      </c>
      <c r="F1" s="19" t="s">
        <v>82</v>
      </c>
      <c r="G1" s="19" t="s">
        <v>65</v>
      </c>
      <c r="H1" s="65" t="s">
        <v>53</v>
      </c>
      <c r="I1" s="65" t="s">
        <v>54</v>
      </c>
      <c r="J1" s="65" t="s">
        <v>55</v>
      </c>
      <c r="K1" s="65" t="s">
        <v>56</v>
      </c>
      <c r="L1" s="19" t="s">
        <v>81</v>
      </c>
      <c r="M1" s="19" t="s">
        <v>83</v>
      </c>
      <c r="N1" s="52" t="s">
        <v>63</v>
      </c>
      <c r="O1" s="11" t="s">
        <v>152</v>
      </c>
    </row>
    <row r="2" spans="1:15" x14ac:dyDescent="0.3">
      <c r="A2" s="59">
        <v>1</v>
      </c>
      <c r="B2" s="60">
        <v>1</v>
      </c>
      <c r="C2" s="60">
        <v>2022</v>
      </c>
      <c r="D2" s="61">
        <v>-9.5</v>
      </c>
      <c r="E2" s="54">
        <v>1.0119894506628544</v>
      </c>
      <c r="F2" s="107">
        <v>2022</v>
      </c>
      <c r="G2" s="2">
        <v>1998.0445435232427</v>
      </c>
      <c r="H2" s="66">
        <v>-9.5</v>
      </c>
      <c r="I2" s="66">
        <f>H2*2</f>
        <v>-19</v>
      </c>
      <c r="J2" s="67">
        <f>G2*I2</f>
        <v>-37962.84632694161</v>
      </c>
      <c r="K2" s="66">
        <f>I2*I2</f>
        <v>361</v>
      </c>
      <c r="L2" s="108">
        <f t="shared" ref="L2:L11" si="0">$J$27+$K$26*I2</f>
        <v>2087.6058076627828</v>
      </c>
      <c r="M2" s="2">
        <f>(F2/L2)*100</f>
        <v>96.857366107050979</v>
      </c>
      <c r="N2" s="2">
        <f>L2*E2</f>
        <v>2112.6350544972443</v>
      </c>
      <c r="O2">
        <f>F2-N2</f>
        <v>-90.635054497244255</v>
      </c>
    </row>
    <row r="3" spans="1:15" x14ac:dyDescent="0.3">
      <c r="A3" s="59"/>
      <c r="B3" s="60">
        <v>2</v>
      </c>
      <c r="C3" s="60">
        <v>2100</v>
      </c>
      <c r="D3" s="62">
        <v>-8.5</v>
      </c>
      <c r="E3" s="54">
        <v>1.0284368051543742</v>
      </c>
      <c r="F3" s="1">
        <v>2100</v>
      </c>
      <c r="G3" s="2">
        <v>2041.9339228964857</v>
      </c>
      <c r="H3" s="66">
        <v>-8.5</v>
      </c>
      <c r="I3" s="66">
        <f t="shared" ref="I3:I11" si="1">H3*2</f>
        <v>-17</v>
      </c>
      <c r="J3" s="67">
        <f t="shared" ref="J3:J11" si="2">G3*I3</f>
        <v>-34712.876689240256</v>
      </c>
      <c r="K3" s="66">
        <f t="shared" ref="K3:K11" si="3">I3*I3</f>
        <v>289</v>
      </c>
      <c r="L3">
        <f t="shared" si="0"/>
        <v>2108.5184256467733</v>
      </c>
      <c r="M3" s="2">
        <f t="shared" ref="M3:M11" si="4">(F3/L3)*100</f>
        <v>99.59599946848175</v>
      </c>
      <c r="N3" s="2">
        <f t="shared" ref="N3:N11" si="5">L3*E3</f>
        <v>2168.4779532812986</v>
      </c>
      <c r="O3">
        <f t="shared" ref="O3:O11" si="6">F3-N3</f>
        <v>-68.477953281298596</v>
      </c>
    </row>
    <row r="4" spans="1:15" x14ac:dyDescent="0.3">
      <c r="A4" s="59"/>
      <c r="B4" s="60">
        <v>3</v>
      </c>
      <c r="C4" s="60">
        <v>2150</v>
      </c>
      <c r="D4" s="62">
        <v>-7.5</v>
      </c>
      <c r="E4" s="54">
        <v>0.99091779050275075</v>
      </c>
      <c r="F4" s="1">
        <v>2150</v>
      </c>
      <c r="G4" s="2">
        <v>2169.7057219138014</v>
      </c>
      <c r="H4" s="66">
        <v>-7.5</v>
      </c>
      <c r="I4" s="66">
        <f t="shared" si="1"/>
        <v>-15</v>
      </c>
      <c r="J4" s="67">
        <f t="shared" si="2"/>
        <v>-32545.585828707022</v>
      </c>
      <c r="K4" s="66">
        <f t="shared" si="3"/>
        <v>225</v>
      </c>
      <c r="L4">
        <f t="shared" si="0"/>
        <v>2129.4310436307637</v>
      </c>
      <c r="M4" s="2">
        <f t="shared" si="4"/>
        <v>100.96593671961152</v>
      </c>
      <c r="N4" s="2">
        <f t="shared" si="5"/>
        <v>2110.091104782563</v>
      </c>
      <c r="O4">
        <f t="shared" si="6"/>
        <v>39.908895217437021</v>
      </c>
    </row>
    <row r="5" spans="1:15" x14ac:dyDescent="0.3">
      <c r="A5" s="59"/>
      <c r="B5" s="60">
        <v>4</v>
      </c>
      <c r="C5" s="60">
        <v>2120</v>
      </c>
      <c r="D5" s="62">
        <v>-6.5</v>
      </c>
      <c r="E5" s="54">
        <v>0.96865595368002022</v>
      </c>
      <c r="F5" s="1">
        <v>2120</v>
      </c>
      <c r="G5" s="2">
        <v>2188.5995661781762</v>
      </c>
      <c r="H5" s="66">
        <v>-6.5</v>
      </c>
      <c r="I5" s="66">
        <f t="shared" si="1"/>
        <v>-13</v>
      </c>
      <c r="J5" s="67">
        <f t="shared" si="2"/>
        <v>-28451.794360316293</v>
      </c>
      <c r="K5" s="66">
        <f t="shared" si="3"/>
        <v>169</v>
      </c>
      <c r="L5">
        <f t="shared" si="0"/>
        <v>2150.3436616147542</v>
      </c>
      <c r="M5" s="2">
        <f t="shared" si="4"/>
        <v>98.588892456754181</v>
      </c>
      <c r="N5" s="2">
        <f t="shared" si="5"/>
        <v>2082.9431902812262</v>
      </c>
      <c r="O5">
        <f t="shared" si="6"/>
        <v>37.05680971877382</v>
      </c>
    </row>
    <row r="6" spans="1:15" x14ac:dyDescent="0.3">
      <c r="A6" s="59">
        <v>2</v>
      </c>
      <c r="B6" s="60">
        <v>1</v>
      </c>
      <c r="C6" s="60">
        <v>2200</v>
      </c>
      <c r="D6" s="61">
        <v>-5.5</v>
      </c>
      <c r="E6" s="54">
        <v>1.0119894506628544</v>
      </c>
      <c r="F6" s="1">
        <v>2200</v>
      </c>
      <c r="G6" s="2">
        <v>2173.9357051192551</v>
      </c>
      <c r="H6" s="66">
        <v>-5.5</v>
      </c>
      <c r="I6" s="66">
        <f t="shared" si="1"/>
        <v>-11</v>
      </c>
      <c r="J6" s="67">
        <f t="shared" si="2"/>
        <v>-23913.292756311806</v>
      </c>
      <c r="K6" s="66">
        <f t="shared" si="3"/>
        <v>121</v>
      </c>
      <c r="L6">
        <f t="shared" si="0"/>
        <v>2171.2562795987446</v>
      </c>
      <c r="M6" s="2">
        <f t="shared" si="4"/>
        <v>101.32382900495594</v>
      </c>
      <c r="N6" s="2">
        <f t="shared" si="5"/>
        <v>2197.2884496394067</v>
      </c>
      <c r="O6">
        <f t="shared" si="6"/>
        <v>2.7115503605932645</v>
      </c>
    </row>
    <row r="7" spans="1:15" x14ac:dyDescent="0.3">
      <c r="A7" s="59"/>
      <c r="B7" s="60">
        <v>2</v>
      </c>
      <c r="C7" s="60">
        <v>2250</v>
      </c>
      <c r="D7" s="62">
        <v>-4.5</v>
      </c>
      <c r="E7" s="54">
        <v>1.0284368051543742</v>
      </c>
      <c r="F7" s="1">
        <v>2250</v>
      </c>
      <c r="G7" s="2">
        <v>2187.7863459605205</v>
      </c>
      <c r="H7" s="66">
        <v>-4.5</v>
      </c>
      <c r="I7" s="66">
        <f t="shared" si="1"/>
        <v>-9</v>
      </c>
      <c r="J7" s="67">
        <f t="shared" si="2"/>
        <v>-19690.077113644686</v>
      </c>
      <c r="K7" s="66">
        <f t="shared" si="3"/>
        <v>81</v>
      </c>
      <c r="L7">
        <f t="shared" si="0"/>
        <v>2192.1688975827351</v>
      </c>
      <c r="M7" s="2">
        <f t="shared" si="4"/>
        <v>102.63807695114342</v>
      </c>
      <c r="N7" s="2">
        <f t="shared" si="5"/>
        <v>2254.5071773887744</v>
      </c>
      <c r="O7">
        <f t="shared" si="6"/>
        <v>-4.5071773887743802</v>
      </c>
    </row>
    <row r="8" spans="1:15" x14ac:dyDescent="0.3">
      <c r="A8" s="59"/>
      <c r="B8" s="60">
        <v>3</v>
      </c>
      <c r="C8" s="60">
        <v>2150</v>
      </c>
      <c r="D8" s="62">
        <v>-3.5</v>
      </c>
      <c r="E8" s="54">
        <v>0.99091779050275075</v>
      </c>
      <c r="F8" s="1">
        <v>2150</v>
      </c>
      <c r="G8" s="2">
        <v>2169.7057219138014</v>
      </c>
      <c r="H8" s="66">
        <v>-3.5</v>
      </c>
      <c r="I8" s="66">
        <f t="shared" si="1"/>
        <v>-7</v>
      </c>
      <c r="J8" s="67">
        <f t="shared" si="2"/>
        <v>-15187.940053396611</v>
      </c>
      <c r="K8" s="66">
        <f t="shared" si="3"/>
        <v>49</v>
      </c>
      <c r="L8">
        <f t="shared" si="0"/>
        <v>2213.0815155667256</v>
      </c>
      <c r="M8" s="2">
        <f t="shared" si="4"/>
        <v>97.149607227613956</v>
      </c>
      <c r="N8" s="2">
        <f t="shared" si="5"/>
        <v>2192.9818456078588</v>
      </c>
      <c r="O8">
        <f t="shared" si="6"/>
        <v>-42.981845607858759</v>
      </c>
    </row>
    <row r="9" spans="1:15" x14ac:dyDescent="0.3">
      <c r="A9" s="59"/>
      <c r="B9" s="60">
        <v>4</v>
      </c>
      <c r="C9" s="60">
        <v>2340</v>
      </c>
      <c r="D9" s="62">
        <v>-2.5</v>
      </c>
      <c r="E9" s="54">
        <v>0.96865595368002022</v>
      </c>
      <c r="F9" s="1">
        <v>2340</v>
      </c>
      <c r="G9" s="2">
        <v>2415.718389083459</v>
      </c>
      <c r="H9" s="66">
        <v>-2.5</v>
      </c>
      <c r="I9" s="66">
        <f t="shared" si="1"/>
        <v>-5</v>
      </c>
      <c r="J9" s="67">
        <f t="shared" si="2"/>
        <v>-12078.591945417294</v>
      </c>
      <c r="K9" s="66">
        <f t="shared" si="3"/>
        <v>25</v>
      </c>
      <c r="L9">
        <f t="shared" si="0"/>
        <v>2233.994133550716</v>
      </c>
      <c r="M9" s="2">
        <f t="shared" si="4"/>
        <v>104.74512734197729</v>
      </c>
      <c r="N9" s="2">
        <f t="shared" si="5"/>
        <v>2163.9717179501395</v>
      </c>
      <c r="O9">
        <f t="shared" si="6"/>
        <v>176.02828204986054</v>
      </c>
    </row>
    <row r="10" spans="1:15" x14ac:dyDescent="0.3">
      <c r="A10" s="59">
        <v>3</v>
      </c>
      <c r="B10" s="60">
        <v>1</v>
      </c>
      <c r="C10" s="60">
        <v>2250</v>
      </c>
      <c r="D10" s="61">
        <v>-1.5</v>
      </c>
      <c r="E10" s="54">
        <v>1.0119894506628544</v>
      </c>
      <c r="F10" s="1">
        <v>2250</v>
      </c>
      <c r="G10" s="2">
        <v>2223.3433347810565</v>
      </c>
      <c r="H10" s="66">
        <v>-1.5</v>
      </c>
      <c r="I10" s="66">
        <f t="shared" si="1"/>
        <v>-3</v>
      </c>
      <c r="J10" s="67">
        <f t="shared" si="2"/>
        <v>-6670.0300043431689</v>
      </c>
      <c r="K10" s="66">
        <f t="shared" si="3"/>
        <v>9</v>
      </c>
      <c r="L10">
        <f t="shared" si="0"/>
        <v>2254.9067515347065</v>
      </c>
      <c r="M10" s="2">
        <f t="shared" si="4"/>
        <v>99.782396698605524</v>
      </c>
      <c r="N10" s="2">
        <f t="shared" si="5"/>
        <v>2281.9418447815692</v>
      </c>
      <c r="O10">
        <f t="shared" si="6"/>
        <v>-31.941844781569216</v>
      </c>
    </row>
    <row r="11" spans="1:15" x14ac:dyDescent="0.3">
      <c r="A11" s="59"/>
      <c r="B11" s="60">
        <v>2</v>
      </c>
      <c r="C11" s="60">
        <v>2300</v>
      </c>
      <c r="D11" s="62">
        <v>-0.5</v>
      </c>
      <c r="E11" s="54">
        <v>1.0284368051543742</v>
      </c>
      <c r="F11" s="1">
        <v>2300</v>
      </c>
      <c r="G11" s="2">
        <v>2236.4038203151986</v>
      </c>
      <c r="H11" s="66">
        <v>-0.5</v>
      </c>
      <c r="I11" s="66">
        <f t="shared" si="1"/>
        <v>-1</v>
      </c>
      <c r="J11" s="67">
        <f t="shared" si="2"/>
        <v>-2236.4038203151986</v>
      </c>
      <c r="K11" s="66">
        <f t="shared" si="3"/>
        <v>1</v>
      </c>
      <c r="L11">
        <f t="shared" si="0"/>
        <v>2275.8193695186969</v>
      </c>
      <c r="M11" s="2">
        <f t="shared" si="4"/>
        <v>101.06250218295739</v>
      </c>
      <c r="N11" s="2">
        <f t="shared" si="5"/>
        <v>2340.5364014962506</v>
      </c>
      <c r="O11">
        <f t="shared" si="6"/>
        <v>-40.536401496250619</v>
      </c>
    </row>
    <row r="12" spans="1:15" ht="11.25" customHeight="1" x14ac:dyDescent="0.3">
      <c r="A12" s="59"/>
      <c r="B12" s="106" t="s">
        <v>52</v>
      </c>
      <c r="C12" s="103"/>
      <c r="D12" s="104">
        <v>0</v>
      </c>
      <c r="E12" s="105"/>
      <c r="F12" s="30"/>
      <c r="G12" s="12"/>
      <c r="H12" s="30"/>
      <c r="I12" s="30"/>
      <c r="J12" s="30"/>
      <c r="K12" s="12"/>
      <c r="L12" s="30"/>
      <c r="M12" s="12"/>
      <c r="N12" s="12"/>
      <c r="O12" s="30"/>
    </row>
    <row r="13" spans="1:15" x14ac:dyDescent="0.3">
      <c r="A13" s="59"/>
      <c r="B13" s="60">
        <v>3</v>
      </c>
      <c r="C13" s="60">
        <v>2350</v>
      </c>
      <c r="D13" s="62">
        <v>0.5</v>
      </c>
      <c r="E13" s="54">
        <v>0.99091779050275075</v>
      </c>
      <c r="F13" s="1">
        <v>2350</v>
      </c>
      <c r="G13" s="2">
        <v>2371.5388123243879</v>
      </c>
      <c r="H13" s="66">
        <v>0.5</v>
      </c>
      <c r="I13" s="66">
        <f t="shared" ref="I13:I22" si="7">H13*2</f>
        <v>1</v>
      </c>
      <c r="J13" s="67">
        <f t="shared" ref="J13:J22" si="8">G13*I13</f>
        <v>2371.5388123243879</v>
      </c>
      <c r="K13" s="66">
        <f t="shared" ref="K13:K22" si="9">I13*I13</f>
        <v>1</v>
      </c>
      <c r="L13">
        <f t="shared" ref="L13:L22" si="10">$J$27+$K$26*I13</f>
        <v>2296.7319875026874</v>
      </c>
      <c r="M13" s="2">
        <f t="shared" ref="M13:M22" si="11">(F13/L13)*100</f>
        <v>102.31929597302438</v>
      </c>
      <c r="N13" s="2">
        <f t="shared" ref="N13:N22" si="12">L13*E13</f>
        <v>2275.8725864331545</v>
      </c>
      <c r="O13">
        <f t="shared" ref="O13:O22" si="13">F13-N13</f>
        <v>74.127413566845462</v>
      </c>
    </row>
    <row r="14" spans="1:15" x14ac:dyDescent="0.3">
      <c r="A14" s="59"/>
      <c r="B14" s="60">
        <v>4</v>
      </c>
      <c r="C14" s="60">
        <v>2250</v>
      </c>
      <c r="D14" s="62">
        <v>1.5</v>
      </c>
      <c r="E14" s="54">
        <v>0.96865595368002022</v>
      </c>
      <c r="F14" s="1">
        <v>2250</v>
      </c>
      <c r="G14" s="2">
        <v>2322.8061433494795</v>
      </c>
      <c r="H14" s="66">
        <v>1.5</v>
      </c>
      <c r="I14" s="66">
        <f t="shared" si="7"/>
        <v>3</v>
      </c>
      <c r="J14" s="67">
        <f t="shared" si="8"/>
        <v>6968.4184300484385</v>
      </c>
      <c r="K14" s="66">
        <f t="shared" si="9"/>
        <v>9</v>
      </c>
      <c r="L14">
        <f t="shared" si="10"/>
        <v>2317.6446054866778</v>
      </c>
      <c r="M14" s="2">
        <f t="shared" si="11"/>
        <v>97.081321039190414</v>
      </c>
      <c r="N14" s="2">
        <f t="shared" si="12"/>
        <v>2245.0002456190523</v>
      </c>
      <c r="O14">
        <f t="shared" si="13"/>
        <v>4.9997543809477065</v>
      </c>
    </row>
    <row r="15" spans="1:15" x14ac:dyDescent="0.3">
      <c r="A15" s="59">
        <v>4</v>
      </c>
      <c r="B15" s="60">
        <v>1</v>
      </c>
      <c r="C15" s="60">
        <v>2400</v>
      </c>
      <c r="D15" s="62">
        <v>2.5</v>
      </c>
      <c r="E15" s="54">
        <v>1.0119894506628544</v>
      </c>
      <c r="F15" s="1">
        <v>2400</v>
      </c>
      <c r="G15" s="2">
        <v>2371.5662237664601</v>
      </c>
      <c r="H15" s="66">
        <v>2.5</v>
      </c>
      <c r="I15" s="66">
        <f t="shared" si="7"/>
        <v>5</v>
      </c>
      <c r="J15" s="67">
        <f t="shared" si="8"/>
        <v>11857.8311188323</v>
      </c>
      <c r="K15" s="66">
        <f t="shared" si="9"/>
        <v>25</v>
      </c>
      <c r="L15">
        <f t="shared" si="10"/>
        <v>2338.5572234706683</v>
      </c>
      <c r="M15" s="2">
        <f t="shared" si="11"/>
        <v>102.62737964727431</v>
      </c>
      <c r="N15" s="2">
        <f t="shared" si="12"/>
        <v>2366.5952399237317</v>
      </c>
      <c r="O15">
        <f t="shared" si="13"/>
        <v>33.404760076268303</v>
      </c>
    </row>
    <row r="16" spans="1:15" x14ac:dyDescent="0.3">
      <c r="A16" s="59"/>
      <c r="B16" s="60">
        <v>2</v>
      </c>
      <c r="C16" s="60">
        <v>2450</v>
      </c>
      <c r="D16" s="62">
        <v>3.5</v>
      </c>
      <c r="E16" s="54">
        <v>1.0284368051543742</v>
      </c>
      <c r="F16" s="1">
        <v>2450</v>
      </c>
      <c r="G16" s="2">
        <v>2382.2562433792332</v>
      </c>
      <c r="H16" s="66">
        <v>3.5</v>
      </c>
      <c r="I16" s="66">
        <f t="shared" si="7"/>
        <v>7</v>
      </c>
      <c r="J16" s="67">
        <f t="shared" si="8"/>
        <v>16675.793703654632</v>
      </c>
      <c r="K16" s="66">
        <f t="shared" si="9"/>
        <v>49</v>
      </c>
      <c r="L16">
        <f t="shared" si="10"/>
        <v>2359.4698414546588</v>
      </c>
      <c r="M16" s="2">
        <f t="shared" si="11"/>
        <v>103.83688559839899</v>
      </c>
      <c r="N16" s="2">
        <f t="shared" si="12"/>
        <v>2426.5656256037269</v>
      </c>
      <c r="O16">
        <f t="shared" si="13"/>
        <v>23.434374396273142</v>
      </c>
    </row>
    <row r="17" spans="1:15" x14ac:dyDescent="0.3">
      <c r="A17" s="59"/>
      <c r="B17" s="60">
        <v>3</v>
      </c>
      <c r="C17" s="60">
        <v>2300</v>
      </c>
      <c r="D17" s="62">
        <v>4.5</v>
      </c>
      <c r="E17" s="54">
        <v>0.99091779050275075</v>
      </c>
      <c r="F17" s="1">
        <v>2300</v>
      </c>
      <c r="G17" s="2">
        <v>2321.0805397217414</v>
      </c>
      <c r="H17" s="66">
        <v>4.5</v>
      </c>
      <c r="I17" s="66">
        <f t="shared" si="7"/>
        <v>9</v>
      </c>
      <c r="J17" s="67">
        <f t="shared" si="8"/>
        <v>20889.724857495672</v>
      </c>
      <c r="K17" s="66">
        <f t="shared" si="9"/>
        <v>81</v>
      </c>
      <c r="L17">
        <f t="shared" si="10"/>
        <v>2380.3824594386492</v>
      </c>
      <c r="M17" s="2">
        <f t="shared" si="11"/>
        <v>96.623128391829709</v>
      </c>
      <c r="N17" s="2">
        <f t="shared" si="12"/>
        <v>2358.7633272584499</v>
      </c>
      <c r="O17">
        <f t="shared" si="13"/>
        <v>-58.763327258449863</v>
      </c>
    </row>
    <row r="18" spans="1:15" x14ac:dyDescent="0.3">
      <c r="A18" s="59"/>
      <c r="B18" s="60">
        <v>4</v>
      </c>
      <c r="C18" s="60">
        <v>2270</v>
      </c>
      <c r="D18" s="62">
        <v>5.5</v>
      </c>
      <c r="E18" s="54">
        <v>0.96865595368002022</v>
      </c>
      <c r="F18" s="1">
        <v>2270</v>
      </c>
      <c r="G18" s="2">
        <v>2343.4533090681416</v>
      </c>
      <c r="H18" s="66">
        <v>5.5</v>
      </c>
      <c r="I18" s="66">
        <f t="shared" si="7"/>
        <v>11</v>
      </c>
      <c r="J18" s="67">
        <f t="shared" si="8"/>
        <v>25777.986399749556</v>
      </c>
      <c r="K18" s="66">
        <f t="shared" si="9"/>
        <v>121</v>
      </c>
      <c r="L18">
        <f t="shared" si="10"/>
        <v>2401.2950774226397</v>
      </c>
      <c r="M18" s="2">
        <f t="shared" si="11"/>
        <v>94.532322218243934</v>
      </c>
      <c r="N18" s="2">
        <f t="shared" si="12"/>
        <v>2326.0287732879651</v>
      </c>
      <c r="O18">
        <f t="shared" si="13"/>
        <v>-56.028773287965123</v>
      </c>
    </row>
    <row r="19" spans="1:15" x14ac:dyDescent="0.3">
      <c r="A19" s="59">
        <v>5</v>
      </c>
      <c r="B19" s="60">
        <v>1</v>
      </c>
      <c r="C19" s="60">
        <v>2500</v>
      </c>
      <c r="D19" s="62">
        <v>6.5</v>
      </c>
      <c r="E19" s="54">
        <v>1.0119894506628544</v>
      </c>
      <c r="F19" s="1">
        <v>2500</v>
      </c>
      <c r="G19" s="2">
        <v>2470.3814830900628</v>
      </c>
      <c r="H19" s="66">
        <v>6.5</v>
      </c>
      <c r="I19" s="66">
        <f t="shared" si="7"/>
        <v>13</v>
      </c>
      <c r="J19" s="67">
        <f t="shared" si="8"/>
        <v>32114.959280170817</v>
      </c>
      <c r="K19" s="66">
        <f t="shared" si="9"/>
        <v>169</v>
      </c>
      <c r="L19">
        <f t="shared" si="10"/>
        <v>2422.2076954066301</v>
      </c>
      <c r="M19" s="2">
        <f t="shared" si="11"/>
        <v>103.21162816635798</v>
      </c>
      <c r="N19" s="2">
        <f t="shared" si="12"/>
        <v>2451.2486350658942</v>
      </c>
      <c r="O19">
        <f t="shared" si="13"/>
        <v>48.751364934105823</v>
      </c>
    </row>
    <row r="20" spans="1:15" x14ac:dyDescent="0.3">
      <c r="A20" s="59"/>
      <c r="B20" s="60">
        <v>2</v>
      </c>
      <c r="C20" s="60">
        <v>2560</v>
      </c>
      <c r="D20" s="62">
        <v>7.5</v>
      </c>
      <c r="E20" s="54">
        <v>1.0284368051543742</v>
      </c>
      <c r="F20" s="1">
        <v>2560</v>
      </c>
      <c r="G20" s="2">
        <v>2489.2146869595254</v>
      </c>
      <c r="H20" s="66">
        <v>7.5</v>
      </c>
      <c r="I20" s="66">
        <f t="shared" si="7"/>
        <v>15</v>
      </c>
      <c r="J20" s="67">
        <f t="shared" si="8"/>
        <v>37338.220304392882</v>
      </c>
      <c r="K20" s="66">
        <f t="shared" si="9"/>
        <v>225</v>
      </c>
      <c r="L20">
        <f t="shared" si="10"/>
        <v>2443.1203133906206</v>
      </c>
      <c r="M20" s="2">
        <f t="shared" si="11"/>
        <v>104.78403318775452</v>
      </c>
      <c r="N20" s="2">
        <f t="shared" si="12"/>
        <v>2512.5948497112031</v>
      </c>
      <c r="O20">
        <f t="shared" si="13"/>
        <v>47.405150288796904</v>
      </c>
    </row>
    <row r="21" spans="1:15" x14ac:dyDescent="0.3">
      <c r="A21" s="59"/>
      <c r="B21" s="60">
        <v>3</v>
      </c>
      <c r="C21" s="60">
        <v>2400</v>
      </c>
      <c r="D21" s="62">
        <v>8.5</v>
      </c>
      <c r="E21" s="54">
        <v>0.99091779050275075</v>
      </c>
      <c r="F21" s="1">
        <v>2400</v>
      </c>
      <c r="G21" s="2">
        <v>2421.9970849270344</v>
      </c>
      <c r="H21" s="66">
        <v>8.5</v>
      </c>
      <c r="I21" s="66">
        <f t="shared" si="7"/>
        <v>17</v>
      </c>
      <c r="J21" s="67">
        <f t="shared" si="8"/>
        <v>41173.950443759582</v>
      </c>
      <c r="K21" s="66">
        <f t="shared" si="9"/>
        <v>289</v>
      </c>
      <c r="L21">
        <f t="shared" si="10"/>
        <v>2464.0329313746111</v>
      </c>
      <c r="M21" s="2">
        <f t="shared" si="11"/>
        <v>97.401295633703683</v>
      </c>
      <c r="N21" s="2">
        <f t="shared" si="12"/>
        <v>2441.6540680837456</v>
      </c>
      <c r="O21">
        <f t="shared" si="13"/>
        <v>-41.654068083745642</v>
      </c>
    </row>
    <row r="22" spans="1:15" ht="15" thickBot="1" x14ac:dyDescent="0.35">
      <c r="A22" s="63"/>
      <c r="B22" s="64">
        <v>4</v>
      </c>
      <c r="C22" s="64">
        <v>2350</v>
      </c>
      <c r="D22" s="18">
        <v>9.5</v>
      </c>
      <c r="E22" s="54">
        <v>0.96865595368002022</v>
      </c>
      <c r="F22" s="1">
        <v>2350</v>
      </c>
      <c r="G22" s="2">
        <v>2426.04197194279</v>
      </c>
      <c r="H22" s="66">
        <v>9.5</v>
      </c>
      <c r="I22" s="66">
        <f t="shared" si="7"/>
        <v>19</v>
      </c>
      <c r="J22" s="67">
        <f t="shared" si="8"/>
        <v>46094.797466913013</v>
      </c>
      <c r="K22" s="66">
        <f t="shared" si="9"/>
        <v>361</v>
      </c>
      <c r="L22">
        <f t="shared" si="10"/>
        <v>2484.9455493586015</v>
      </c>
      <c r="M22" s="2">
        <f t="shared" si="11"/>
        <v>94.569476607105827</v>
      </c>
      <c r="N22" s="2">
        <f t="shared" si="12"/>
        <v>2407.057300956878</v>
      </c>
      <c r="O22">
        <f t="shared" si="13"/>
        <v>-57.057300956877953</v>
      </c>
    </row>
    <row r="23" spans="1:15" x14ac:dyDescent="0.3">
      <c r="D23" s="2"/>
      <c r="F23" s="39" t="s">
        <v>57</v>
      </c>
      <c r="G23" s="40">
        <f>AVERAGE(G2:G22)</f>
        <v>2286.2756785106922</v>
      </c>
      <c r="I23" s="39" t="s">
        <v>58</v>
      </c>
      <c r="J23" s="39">
        <f>SUM(J2:J22)</f>
        <v>27813.781918707326</v>
      </c>
      <c r="K23" s="40">
        <f>SUM(K2:K22)</f>
        <v>2660</v>
      </c>
    </row>
    <row r="25" spans="1:15" x14ac:dyDescent="0.3">
      <c r="I25" t="s">
        <v>59</v>
      </c>
    </row>
    <row r="26" spans="1:15" ht="15.6" x14ac:dyDescent="0.3">
      <c r="I26" t="s">
        <v>60</v>
      </c>
      <c r="K26" s="42">
        <f>J23/K23</f>
        <v>10.456308991995234</v>
      </c>
    </row>
    <row r="27" spans="1:15" ht="15.6" x14ac:dyDescent="0.3">
      <c r="I27" t="s">
        <v>61</v>
      </c>
      <c r="J27" s="43">
        <f>G23</f>
        <v>2286.2756785106922</v>
      </c>
    </row>
    <row r="52" spans="13:13" x14ac:dyDescent="0.3">
      <c r="M52" s="20"/>
    </row>
    <row r="54" spans="13:13" x14ac:dyDescent="0.3">
      <c r="M54" s="20"/>
    </row>
    <row r="56" spans="13:13" x14ac:dyDescent="0.3">
      <c r="M56" s="20"/>
    </row>
    <row r="58" spans="13:13" x14ac:dyDescent="0.3">
      <c r="M58" s="20"/>
    </row>
    <row r="60" spans="13:13" x14ac:dyDescent="0.3">
      <c r="M60" s="20"/>
    </row>
    <row r="62" spans="13:13" x14ac:dyDescent="0.3">
      <c r="M62" s="20"/>
    </row>
  </sheetData>
  <sortState xmlns:xlrd2="http://schemas.microsoft.com/office/spreadsheetml/2017/richdata2" ref="A1:E22">
    <sortCondition ref="E13"/>
  </sortState>
  <pageMargins left="0.7" right="0.7" top="0.75" bottom="0.75" header="0.3" footer="0.3"/>
  <pageSetup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D2" sqref="D2"/>
    </sheetView>
  </sheetViews>
  <sheetFormatPr defaultRowHeight="14.4" x14ac:dyDescent="0.3"/>
  <cols>
    <col min="1" max="1" width="23.88671875" customWidth="1"/>
  </cols>
  <sheetData>
    <row r="1" spans="1:2" x14ac:dyDescent="0.3">
      <c r="A1" s="28" t="s">
        <v>302</v>
      </c>
      <c r="B1" s="28"/>
    </row>
    <row r="2" spans="1:2" x14ac:dyDescent="0.3">
      <c r="A2" s="25"/>
      <c r="B2" s="25"/>
    </row>
    <row r="3" spans="1:2" x14ac:dyDescent="0.3">
      <c r="A3" s="25" t="s">
        <v>304</v>
      </c>
      <c r="B3" s="25">
        <v>45.6</v>
      </c>
    </row>
    <row r="4" spans="1:2" x14ac:dyDescent="0.3">
      <c r="A4" s="25" t="s">
        <v>33</v>
      </c>
      <c r="B4" s="25">
        <v>14.270949512909084</v>
      </c>
    </row>
    <row r="5" spans="1:2" x14ac:dyDescent="0.3">
      <c r="A5" s="25" t="s">
        <v>305</v>
      </c>
      <c r="B5" s="25">
        <v>35</v>
      </c>
    </row>
    <row r="6" spans="1:2" x14ac:dyDescent="0.3">
      <c r="A6" s="25" t="s">
        <v>186</v>
      </c>
      <c r="B6" s="25" t="e">
        <v>#N/A</v>
      </c>
    </row>
    <row r="7" spans="1:2" x14ac:dyDescent="0.3">
      <c r="A7" s="25" t="s">
        <v>306</v>
      </c>
      <c r="B7" s="25">
        <v>31.910813214332226</v>
      </c>
    </row>
    <row r="8" spans="1:2" x14ac:dyDescent="0.3">
      <c r="A8" s="25" t="s">
        <v>307</v>
      </c>
      <c r="B8" s="25">
        <v>1018.3000000000002</v>
      </c>
    </row>
    <row r="9" spans="1:2" x14ac:dyDescent="0.3">
      <c r="A9" s="25" t="s">
        <v>308</v>
      </c>
      <c r="B9" s="25">
        <v>3.2345788846973811</v>
      </c>
    </row>
    <row r="10" spans="1:2" x14ac:dyDescent="0.3">
      <c r="A10" s="25" t="s">
        <v>309</v>
      </c>
      <c r="B10" s="25">
        <v>1.7513858558270132</v>
      </c>
    </row>
    <row r="11" spans="1:2" x14ac:dyDescent="0.3">
      <c r="A11" s="25" t="s">
        <v>310</v>
      </c>
      <c r="B11" s="25">
        <v>80</v>
      </c>
    </row>
    <row r="12" spans="1:2" x14ac:dyDescent="0.3">
      <c r="A12" s="25" t="s">
        <v>311</v>
      </c>
      <c r="B12" s="25">
        <v>20</v>
      </c>
    </row>
    <row r="13" spans="1:2" x14ac:dyDescent="0.3">
      <c r="A13" s="25" t="s">
        <v>312</v>
      </c>
      <c r="B13" s="25">
        <v>100</v>
      </c>
    </row>
    <row r="14" spans="1:2" x14ac:dyDescent="0.3">
      <c r="A14" s="25" t="s">
        <v>313</v>
      </c>
      <c r="B14" s="25">
        <v>228</v>
      </c>
    </row>
    <row r="15" spans="1:2" x14ac:dyDescent="0.3">
      <c r="A15" s="25" t="s">
        <v>314</v>
      </c>
      <c r="B15" s="25">
        <v>5</v>
      </c>
    </row>
    <row r="16" spans="1:2" ht="15" thickBot="1" x14ac:dyDescent="0.35">
      <c r="A16" s="26" t="s">
        <v>315</v>
      </c>
      <c r="B16" s="26">
        <v>39.622507921641251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workbookViewId="0">
      <selection activeCell="K25" sqref="K25"/>
    </sheetView>
  </sheetViews>
  <sheetFormatPr defaultRowHeight="14.4" x14ac:dyDescent="0.3"/>
  <cols>
    <col min="1" max="1" width="21.109375" customWidth="1"/>
    <col min="2" max="2" width="11" customWidth="1"/>
  </cols>
  <sheetData>
    <row r="1" spans="1:9" x14ac:dyDescent="0.3">
      <c r="A1" t="s">
        <v>28</v>
      </c>
    </row>
    <row r="2" spans="1:9" ht="15" thickBot="1" x14ac:dyDescent="0.35"/>
    <row r="3" spans="1:9" x14ac:dyDescent="0.3">
      <c r="A3" s="28" t="s">
        <v>29</v>
      </c>
      <c r="B3" s="28"/>
    </row>
    <row r="4" spans="1:9" x14ac:dyDescent="0.3">
      <c r="A4" s="25" t="s">
        <v>30</v>
      </c>
      <c r="B4" s="25">
        <v>0.99540026581284269</v>
      </c>
    </row>
    <row r="5" spans="1:9" x14ac:dyDescent="0.3">
      <c r="A5" s="25" t="s">
        <v>31</v>
      </c>
      <c r="B5" s="25">
        <v>0.99082168918027791</v>
      </c>
    </row>
    <row r="6" spans="1:9" x14ac:dyDescent="0.3">
      <c r="A6" s="25" t="s">
        <v>32</v>
      </c>
      <c r="B6" s="25">
        <v>0.98776225224037051</v>
      </c>
    </row>
    <row r="7" spans="1:9" x14ac:dyDescent="0.3">
      <c r="A7" s="25" t="s">
        <v>33</v>
      </c>
      <c r="B7" s="25">
        <v>7.3486552044365743</v>
      </c>
    </row>
    <row r="8" spans="1:9" ht="15" thickBot="1" x14ac:dyDescent="0.35">
      <c r="A8" s="26" t="s">
        <v>34</v>
      </c>
      <c r="B8" s="26">
        <v>5</v>
      </c>
    </row>
    <row r="10" spans="1:9" ht="15" thickBot="1" x14ac:dyDescent="0.35">
      <c r="A10" t="s">
        <v>35</v>
      </c>
    </row>
    <row r="11" spans="1:9" x14ac:dyDescent="0.3">
      <c r="A11" s="27"/>
      <c r="B11" s="27" t="s">
        <v>40</v>
      </c>
      <c r="C11" s="27" t="s">
        <v>41</v>
      </c>
      <c r="D11" s="27" t="s">
        <v>42</v>
      </c>
      <c r="E11" s="27" t="s">
        <v>43</v>
      </c>
      <c r="F11" s="27" t="s">
        <v>44</v>
      </c>
    </row>
    <row r="12" spans="1:9" x14ac:dyDescent="0.3">
      <c r="A12" s="25" t="s">
        <v>36</v>
      </c>
      <c r="B12" s="25">
        <v>1</v>
      </c>
      <c r="C12" s="25">
        <v>17489.191800058921</v>
      </c>
      <c r="D12" s="25">
        <v>17489.191800058921</v>
      </c>
      <c r="E12" s="25">
        <v>323.85752955257215</v>
      </c>
      <c r="F12" s="25">
        <v>3.742252502441519E-4</v>
      </c>
    </row>
    <row r="13" spans="1:9" x14ac:dyDescent="0.3">
      <c r="A13" s="25" t="s">
        <v>37</v>
      </c>
      <c r="B13" s="25">
        <v>3</v>
      </c>
      <c r="C13" s="25">
        <v>162.00819994107826</v>
      </c>
      <c r="D13" s="25">
        <v>54.002733313692751</v>
      </c>
      <c r="E13" s="25"/>
      <c r="F13" s="25"/>
    </row>
    <row r="14" spans="1:9" ht="15" thickBot="1" x14ac:dyDescent="0.35">
      <c r="A14" s="26" t="s">
        <v>38</v>
      </c>
      <c r="B14" s="26">
        <v>4</v>
      </c>
      <c r="C14" s="26">
        <v>17651.2</v>
      </c>
      <c r="D14" s="26"/>
      <c r="E14" s="26"/>
      <c r="F14" s="26"/>
    </row>
    <row r="15" spans="1:9" ht="15" thickBot="1" x14ac:dyDescent="0.35"/>
    <row r="16" spans="1:9" x14ac:dyDescent="0.3">
      <c r="A16" s="27"/>
      <c r="B16" s="27" t="s">
        <v>45</v>
      </c>
      <c r="C16" s="27" t="s">
        <v>33</v>
      </c>
      <c r="D16" s="27" t="s">
        <v>46</v>
      </c>
      <c r="E16" s="27" t="s">
        <v>47</v>
      </c>
      <c r="F16" s="27" t="s">
        <v>48</v>
      </c>
      <c r="G16" s="27" t="s">
        <v>49</v>
      </c>
      <c r="H16" s="27" t="s">
        <v>50</v>
      </c>
      <c r="I16" s="27" t="s">
        <v>51</v>
      </c>
    </row>
    <row r="17" spans="1:9" x14ac:dyDescent="0.3">
      <c r="A17" s="25" t="s">
        <v>39</v>
      </c>
      <c r="B17" s="25">
        <v>-5.8891289403909042</v>
      </c>
      <c r="C17" s="25">
        <v>6.1942576633569004</v>
      </c>
      <c r="D17" s="25">
        <v>-0.9507400661146157</v>
      </c>
      <c r="E17" s="25">
        <v>0.4118766815793054</v>
      </c>
      <c r="F17" s="25">
        <v>-25.602021355116374</v>
      </c>
      <c r="G17" s="25">
        <v>13.823763474334566</v>
      </c>
      <c r="H17" s="25">
        <v>-25.602021355116374</v>
      </c>
      <c r="I17" s="25">
        <v>13.823763474334566</v>
      </c>
    </row>
    <row r="18" spans="1:9" ht="15" thickBot="1" x14ac:dyDescent="0.35">
      <c r="A18" s="26" t="s">
        <v>302</v>
      </c>
      <c r="B18" s="26">
        <v>2.0721300206226072</v>
      </c>
      <c r="C18" s="26">
        <v>0.11514365295360203</v>
      </c>
      <c r="D18" s="26">
        <v>17.996042052422872</v>
      </c>
      <c r="E18" s="26">
        <v>3.742252502441519E-4</v>
      </c>
      <c r="F18" s="26">
        <v>1.7056915277035467</v>
      </c>
      <c r="G18" s="26">
        <v>2.4385685135416675</v>
      </c>
      <c r="H18" s="26">
        <v>1.7056915277035467</v>
      </c>
      <c r="I18" s="26">
        <v>2.4385685135416675</v>
      </c>
    </row>
    <row r="22" spans="1:9" x14ac:dyDescent="0.3">
      <c r="A22" t="s">
        <v>173</v>
      </c>
      <c r="F22" t="s">
        <v>317</v>
      </c>
    </row>
    <row r="23" spans="1:9" ht="15" thickBot="1" x14ac:dyDescent="0.35"/>
    <row r="24" spans="1:9" x14ac:dyDescent="0.3">
      <c r="A24" s="27" t="s">
        <v>174</v>
      </c>
      <c r="B24" s="27" t="s">
        <v>316</v>
      </c>
      <c r="C24" s="27" t="s">
        <v>176</v>
      </c>
      <c r="D24" s="27" t="s">
        <v>177</v>
      </c>
      <c r="F24" s="27" t="s">
        <v>318</v>
      </c>
      <c r="G24" s="27" t="s">
        <v>303</v>
      </c>
    </row>
    <row r="25" spans="1:9" x14ac:dyDescent="0.3">
      <c r="A25" s="25">
        <v>1</v>
      </c>
      <c r="B25" s="25">
        <v>66.635421781400353</v>
      </c>
      <c r="C25" s="25">
        <v>2.3645782185996467</v>
      </c>
      <c r="D25" s="25">
        <v>0.37154821747637062</v>
      </c>
      <c r="F25" s="25">
        <v>10</v>
      </c>
      <c r="G25" s="25">
        <v>26</v>
      </c>
    </row>
    <row r="26" spans="1:9" x14ac:dyDescent="0.3">
      <c r="A26" s="25">
        <v>2</v>
      </c>
      <c r="B26" s="25">
        <v>201.32387312186984</v>
      </c>
      <c r="C26" s="25">
        <v>-1.3238731218698376</v>
      </c>
      <c r="D26" s="25">
        <v>-0.20802132690155603</v>
      </c>
      <c r="F26" s="25">
        <v>30</v>
      </c>
      <c r="G26" s="25">
        <v>58</v>
      </c>
    </row>
    <row r="27" spans="1:9" x14ac:dyDescent="0.3">
      <c r="A27" s="25">
        <v>3</v>
      </c>
      <c r="B27" s="25">
        <v>89.428852008249024</v>
      </c>
      <c r="C27" s="25">
        <v>0.5711479917509763</v>
      </c>
      <c r="D27" s="25">
        <v>8.9744977172275045E-2</v>
      </c>
      <c r="F27" s="25">
        <v>50</v>
      </c>
      <c r="G27" s="25">
        <v>69</v>
      </c>
    </row>
    <row r="28" spans="1:9" x14ac:dyDescent="0.3">
      <c r="A28" s="25">
        <v>4</v>
      </c>
      <c r="B28" s="25">
        <v>35.55347147206124</v>
      </c>
      <c r="C28" s="25">
        <v>-9.5534714720612399</v>
      </c>
      <c r="D28" s="25">
        <v>-1.5011452225326873</v>
      </c>
      <c r="F28" s="25">
        <v>70</v>
      </c>
      <c r="G28" s="25">
        <v>90</v>
      </c>
    </row>
    <row r="29" spans="1:9" ht="15" thickBot="1" x14ac:dyDescent="0.35">
      <c r="A29" s="26">
        <v>5</v>
      </c>
      <c r="B29" s="26">
        <v>50.058381616419489</v>
      </c>
      <c r="C29" s="26">
        <v>7.9416183835805114</v>
      </c>
      <c r="D29" s="26">
        <v>1.2478733547856067</v>
      </c>
      <c r="F29" s="26">
        <v>90</v>
      </c>
      <c r="G29" s="26">
        <v>200</v>
      </c>
    </row>
  </sheetData>
  <sortState xmlns:xlrd2="http://schemas.microsoft.com/office/spreadsheetml/2017/richdata2" ref="G25:G29">
    <sortCondition ref="G2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7"/>
  <sheetViews>
    <sheetView workbookViewId="0">
      <selection activeCell="B3" sqref="B3:B7"/>
    </sheetView>
  </sheetViews>
  <sheetFormatPr defaultRowHeight="14.4" x14ac:dyDescent="0.3"/>
  <sheetData>
    <row r="2" spans="2:3" x14ac:dyDescent="0.3">
      <c r="B2" t="s">
        <v>302</v>
      </c>
      <c r="C2" t="s">
        <v>303</v>
      </c>
    </row>
    <row r="3" spans="2:3" x14ac:dyDescent="0.3">
      <c r="B3">
        <v>35</v>
      </c>
      <c r="C3">
        <v>69</v>
      </c>
    </row>
    <row r="4" spans="2:3" x14ac:dyDescent="0.3">
      <c r="B4">
        <v>100</v>
      </c>
      <c r="C4">
        <v>200</v>
      </c>
    </row>
    <row r="5" spans="2:3" x14ac:dyDescent="0.3">
      <c r="B5">
        <v>46</v>
      </c>
      <c r="C5">
        <v>90</v>
      </c>
    </row>
    <row r="6" spans="2:3" x14ac:dyDescent="0.3">
      <c r="B6">
        <v>20</v>
      </c>
      <c r="C6">
        <v>26</v>
      </c>
    </row>
    <row r="7" spans="2:3" x14ac:dyDescent="0.3">
      <c r="B7">
        <v>27</v>
      </c>
      <c r="C7">
        <v>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2:R8"/>
  <sheetViews>
    <sheetView showGridLines="0" workbookViewId="0">
      <selection activeCell="D14" sqref="D14"/>
    </sheetView>
  </sheetViews>
  <sheetFormatPr defaultRowHeight="14.4" x14ac:dyDescent="0.3"/>
  <cols>
    <col min="7" max="7" width="9.109375" customWidth="1"/>
  </cols>
  <sheetData>
    <row r="2" spans="4:18" x14ac:dyDescent="0.3">
      <c r="K2" s="45" t="s">
        <v>62</v>
      </c>
      <c r="L2" s="30"/>
    </row>
    <row r="4" spans="4:18" x14ac:dyDescent="0.3">
      <c r="R4" s="31"/>
    </row>
    <row r="5" spans="4:18" x14ac:dyDescent="0.3">
      <c r="D5" s="31"/>
      <c r="E5" s="31"/>
      <c r="R5" s="31"/>
    </row>
    <row r="6" spans="4:18" ht="15" thickBot="1" x14ac:dyDescent="0.35">
      <c r="D6" s="31"/>
      <c r="E6" s="31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31"/>
    </row>
    <row r="7" spans="4:18" x14ac:dyDescent="0.3">
      <c r="D7" s="31"/>
      <c r="E7" s="31"/>
      <c r="I7" s="34"/>
      <c r="J7" s="48"/>
      <c r="K7" s="47"/>
      <c r="L7" s="50"/>
      <c r="M7" s="36"/>
      <c r="N7" s="47"/>
      <c r="O7" s="51"/>
      <c r="R7" s="31"/>
    </row>
    <row r="8" spans="4:18" ht="18" x14ac:dyDescent="0.35">
      <c r="D8" s="31"/>
      <c r="E8" s="31"/>
      <c r="I8" s="46">
        <v>4</v>
      </c>
      <c r="J8" s="46">
        <v>1</v>
      </c>
      <c r="K8" s="46">
        <v>2</v>
      </c>
      <c r="L8" s="46">
        <v>3</v>
      </c>
      <c r="M8" s="46">
        <v>4</v>
      </c>
      <c r="N8" s="46">
        <v>1</v>
      </c>
      <c r="O8" s="46">
        <v>2</v>
      </c>
      <c r="R8" s="3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4thAUG2018</vt:lpstr>
      <vt:lpstr>Data</vt:lpstr>
      <vt:lpstr>Rice 130</vt:lpstr>
      <vt:lpstr>Deseasonalized Production</vt:lpstr>
      <vt:lpstr>regression</vt:lpstr>
      <vt:lpstr>Sheet7</vt:lpstr>
      <vt:lpstr>Sheet8</vt:lpstr>
      <vt:lpstr>Sheet6</vt:lpstr>
      <vt:lpstr>time 0.5, 1.5</vt:lpstr>
      <vt:lpstr>reg by Data Analysis</vt:lpstr>
      <vt:lpstr>Reg with 1,2,3</vt:lpstr>
      <vt:lpstr>MA pg582</vt:lpstr>
      <vt:lpstr>WMA</vt:lpstr>
      <vt:lpstr>Exp Smoothening pg590</vt:lpstr>
      <vt:lpstr>Double Exp</vt:lpstr>
      <vt:lpstr>AutoReg</vt:lpstr>
      <vt:lpstr>Sales vs Advt</vt:lpstr>
      <vt:lpstr>ACF</vt:lpstr>
      <vt:lpstr>PACF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2020-05-17T11:47:54Z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3abed08a-1097-4f5b-9162-00c51061c42a</vt:lpwstr>
  </property>
</Properties>
</file>